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gebit365-my.sharepoint.com/personal/philipp_wagner_gebit_de/Documents/Dokumente/"/>
    </mc:Choice>
  </mc:AlternateContent>
  <xr:revisionPtr revIDLastSave="0" documentId="8_{17746358-A650-4BE0-8773-8B47C6D24B77}" xr6:coauthVersionLast="47" xr6:coauthVersionMax="47" xr10:uidLastSave="{00000000-0000-0000-0000-000000000000}"/>
  <bookViews>
    <workbookView xWindow="-120" yWindow="-120" windowWidth="29040" windowHeight="15720" tabRatio="634" firstSheet="1" activeTab="1" xr2:uid="{5BF7A8F5-7452-48A3-BF78-F0416D3590FF}"/>
  </bookViews>
  <sheets>
    <sheet name="Diagramme PAY@MCO (FTE)" sheetId="51" r:id="rId1"/>
    <sheet name="Diagramme PAY@MCO" sheetId="31" r:id="rId2"/>
    <sheet name="KPIs HIL" sheetId="24" r:id="rId3"/>
    <sheet name="KPIs IDL" sheetId="11" r:id="rId4"/>
    <sheet name="Sprint_TEST" sheetId="48" r:id="rId5"/>
    <sheet name="Sprint_3_1u2" sheetId="74" r:id="rId6"/>
    <sheet name="Sprint_2_5u6" sheetId="66" r:id="rId7"/>
    <sheet name="Sprint_2_3u4" sheetId="57" r:id="rId8"/>
    <sheet name="Sprint_2_2" sheetId="41" state="hidden" r:id="rId9"/>
    <sheet name="Sprint_2_1" sheetId="36" state="hidden" r:id="rId10"/>
    <sheet name="Sprint_1_6" sheetId="28" state="hidden" r:id="rId11"/>
    <sheet name="Sprint_1_5" sheetId="22" state="hidden" r:id="rId12"/>
    <sheet name="Sprint_1_4" sheetId="19" state="hidden" r:id="rId13"/>
    <sheet name="Sprint_1_3" sheetId="18" state="hidden" r:id="rId14"/>
    <sheet name="Sprint_1_2" sheetId="17" state="hidden" r:id="rId15"/>
    <sheet name="Sprint_1_1" sheetId="16" state="hidden" r:id="rId16"/>
    <sheet name="Sprint_4_8" sheetId="15" state="hidden" r:id="rId17"/>
    <sheet name="Sprint_4_6" sheetId="14" state="hidden" r:id="rId18"/>
    <sheet name="Sprint_4_5" sheetId="13" state="hidden" r:id="rId19"/>
    <sheet name="Sprint_4_4" sheetId="10" state="hidden" r:id="rId20"/>
  </sheets>
  <externalReferences>
    <externalReference r:id="rId21"/>
  </externalReferences>
  <definedNames>
    <definedName name="_xlnm._FilterDatabase" localSheetId="15" hidden="1">#REF!</definedName>
    <definedName name="_xlnm._FilterDatabase" localSheetId="14" hidden="1">#REF!</definedName>
    <definedName name="_xlnm._FilterDatabase" localSheetId="13" hidden="1">#REF!</definedName>
    <definedName name="_xlnm._FilterDatabase" localSheetId="12" hidden="1">#REF!</definedName>
    <definedName name="_xlnm._FilterDatabase" localSheetId="11" hidden="1">#REF!</definedName>
    <definedName name="_xlnm._FilterDatabase" localSheetId="10" hidden="1">#REF!</definedName>
    <definedName name="_xlnm._FilterDatabase" localSheetId="9" hidden="1">#REF!</definedName>
    <definedName name="_xlnm._FilterDatabase" localSheetId="8" hidden="1">#REF!</definedName>
    <definedName name="_xlnm._FilterDatabase" localSheetId="7" hidden="1">#REF!</definedName>
    <definedName name="_xlnm._FilterDatabase" localSheetId="6" hidden="1">Sprint_2_5u6!#REF!</definedName>
    <definedName name="_xlnm._FilterDatabase" localSheetId="5" hidden="1">Sprint_3_1u2!#REF!</definedName>
    <definedName name="_xlnm._FilterDatabase" localSheetId="19" hidden="1">#REF!</definedName>
    <definedName name="_xlnm._FilterDatabase" localSheetId="18" hidden="1">#REF!</definedName>
    <definedName name="_xlnm._FilterDatabase" localSheetId="17" hidden="1">#REF!</definedName>
    <definedName name="_xlnm._FilterDatabase" localSheetId="16" hidden="1">#REF!</definedName>
    <definedName name="_xlnm._FilterDatabase" localSheetId="4" hidden="1">#REF!</definedName>
    <definedName name="_xlnm.Print_Area" localSheetId="15">#REF!</definedName>
    <definedName name="_xlnm.Print_Area" localSheetId="14">#REF!</definedName>
    <definedName name="_xlnm.Print_Area" localSheetId="13">#REF!</definedName>
    <definedName name="_xlnm.Print_Area" localSheetId="12">#REF!</definedName>
    <definedName name="_xlnm.Print_Area" localSheetId="11">#REF!</definedName>
    <definedName name="_xlnm.Print_Area" localSheetId="10">#REF!</definedName>
    <definedName name="_xlnm.Print_Area" localSheetId="9">#REF!</definedName>
    <definedName name="_xlnm.Print_Area" localSheetId="8">#REF!</definedName>
    <definedName name="_xlnm.Print_Area" localSheetId="7">#REF!</definedName>
    <definedName name="_xlnm.Print_Area" localSheetId="6">Sprint_2_5u6!#REF!</definedName>
    <definedName name="_xlnm.Print_Area" localSheetId="5">Sprint_3_1u2!#REF!</definedName>
    <definedName name="_xlnm.Print_Area" localSheetId="19">#REF!</definedName>
    <definedName name="_xlnm.Print_Area" localSheetId="18">#REF!</definedName>
    <definedName name="_xlnm.Print_Area" localSheetId="17">#REF!</definedName>
    <definedName name="_xlnm.Print_Area" localSheetId="16">#REF!</definedName>
    <definedName name="_xlnm.Print_Area" localSheetId="4">#REF!</definedName>
    <definedName name="SprintEffort">'[1]Sprints+Effort'!$A:$W</definedName>
  </definedNames>
  <calcPr calcId="191029"/>
  <pivotCaches>
    <pivotCache cacheId="0"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98" i="74" l="1"/>
  <c r="P398" i="74"/>
  <c r="N398" i="74"/>
  <c r="Q397" i="74"/>
  <c r="P397" i="74"/>
  <c r="N397" i="74"/>
  <c r="O397" i="74" s="1"/>
  <c r="R397" i="74" s="1"/>
  <c r="Q396" i="74"/>
  <c r="P396" i="74"/>
  <c r="N396" i="74"/>
  <c r="O396" i="74" s="1"/>
  <c r="R396" i="74" s="1"/>
  <c r="Q395" i="74"/>
  <c r="P395" i="74"/>
  <c r="N395" i="74"/>
  <c r="Q394" i="74"/>
  <c r="P394" i="74"/>
  <c r="N394" i="74"/>
  <c r="O394" i="74" s="1"/>
  <c r="Q393" i="74"/>
  <c r="P393" i="74"/>
  <c r="N393" i="74"/>
  <c r="Q392" i="74"/>
  <c r="P392" i="74"/>
  <c r="N392" i="74"/>
  <c r="Q391" i="74"/>
  <c r="P391" i="74"/>
  <c r="N391" i="74"/>
  <c r="O391" i="74" s="1"/>
  <c r="Q390" i="74"/>
  <c r="P390" i="74"/>
  <c r="N390" i="74"/>
  <c r="Q389" i="74"/>
  <c r="P389" i="74"/>
  <c r="N389" i="74"/>
  <c r="O389" i="74" s="1"/>
  <c r="Q388" i="74"/>
  <c r="P388" i="74"/>
  <c r="N388" i="74"/>
  <c r="O388" i="74" s="1"/>
  <c r="R388" i="74" s="1"/>
  <c r="Q387" i="74"/>
  <c r="P387" i="74"/>
  <c r="N387" i="74"/>
  <c r="Q386" i="74"/>
  <c r="P386" i="74"/>
  <c r="N386" i="74"/>
  <c r="O386" i="74" s="1"/>
  <c r="Q385" i="74"/>
  <c r="P385" i="74"/>
  <c r="N385" i="74"/>
  <c r="O385" i="74" s="1"/>
  <c r="Q384" i="74"/>
  <c r="P384" i="74"/>
  <c r="N384" i="74"/>
  <c r="O384" i="74" s="1"/>
  <c r="Q383" i="74"/>
  <c r="P383" i="74"/>
  <c r="N383" i="74"/>
  <c r="Q382" i="74"/>
  <c r="P382" i="74"/>
  <c r="N382" i="74"/>
  <c r="O382" i="74" s="1"/>
  <c r="R382" i="74" s="1"/>
  <c r="Q381" i="74"/>
  <c r="P381" i="74"/>
  <c r="N381" i="74"/>
  <c r="Q380" i="74"/>
  <c r="P380" i="74"/>
  <c r="N380" i="74"/>
  <c r="Q379" i="74"/>
  <c r="P379" i="74"/>
  <c r="N379" i="74"/>
  <c r="O379" i="74" s="1"/>
  <c r="Q378" i="74"/>
  <c r="P378" i="74"/>
  <c r="N378" i="74"/>
  <c r="O378" i="74" s="1"/>
  <c r="Q377" i="74"/>
  <c r="P377" i="74"/>
  <c r="N377" i="74"/>
  <c r="O377" i="74" s="1"/>
  <c r="Q376" i="74"/>
  <c r="P376" i="74"/>
  <c r="N376" i="74"/>
  <c r="O376" i="74" s="1"/>
  <c r="R376" i="74" s="1"/>
  <c r="Q375" i="74"/>
  <c r="P375" i="74"/>
  <c r="N375" i="74"/>
  <c r="Q374" i="74"/>
  <c r="P374" i="74"/>
  <c r="N374" i="74"/>
  <c r="O374" i="74" s="1"/>
  <c r="Q373" i="74"/>
  <c r="P373" i="74"/>
  <c r="N373" i="74"/>
  <c r="O373" i="74" s="1"/>
  <c r="Q372" i="74"/>
  <c r="P372" i="74"/>
  <c r="N372" i="74"/>
  <c r="O372" i="74" s="1"/>
  <c r="Q371" i="74"/>
  <c r="P371" i="74"/>
  <c r="N371" i="74"/>
  <c r="Q370" i="74"/>
  <c r="P370" i="74"/>
  <c r="N370" i="74"/>
  <c r="O370" i="74" s="1"/>
  <c r="R370" i="74" s="1"/>
  <c r="Q369" i="74"/>
  <c r="P369" i="74"/>
  <c r="N369" i="74"/>
  <c r="Q368" i="74"/>
  <c r="P368" i="74"/>
  <c r="N368" i="74"/>
  <c r="Q367" i="74"/>
  <c r="P367" i="74"/>
  <c r="N367" i="74"/>
  <c r="O367" i="74" s="1"/>
  <c r="Q366" i="74"/>
  <c r="P366" i="74"/>
  <c r="N366" i="74"/>
  <c r="Q365" i="74"/>
  <c r="P365" i="74"/>
  <c r="N365" i="74"/>
  <c r="O365" i="74" s="1"/>
  <c r="Q364" i="74"/>
  <c r="P364" i="74"/>
  <c r="N364" i="74"/>
  <c r="O364" i="74" s="1"/>
  <c r="Q363" i="74"/>
  <c r="P363" i="74"/>
  <c r="N363" i="74"/>
  <c r="Q362" i="74"/>
  <c r="P362" i="74"/>
  <c r="N362" i="74"/>
  <c r="O362" i="74" s="1"/>
  <c r="Q361" i="74"/>
  <c r="P361" i="74"/>
  <c r="N361" i="74"/>
  <c r="O361" i="74" s="1"/>
  <c r="Q360" i="74"/>
  <c r="P360" i="74"/>
  <c r="N360" i="74"/>
  <c r="O360" i="74" s="1"/>
  <c r="Q359" i="74"/>
  <c r="P359" i="74"/>
  <c r="N359" i="74"/>
  <c r="Q358" i="74"/>
  <c r="P358" i="74"/>
  <c r="N358" i="74"/>
  <c r="O358" i="74" s="1"/>
  <c r="R358" i="74" s="1"/>
  <c r="Q357" i="74"/>
  <c r="P357" i="74"/>
  <c r="N357" i="74"/>
  <c r="Q356" i="74"/>
  <c r="P356" i="74"/>
  <c r="N356" i="74"/>
  <c r="Q355" i="74"/>
  <c r="P355" i="74"/>
  <c r="N355" i="74"/>
  <c r="O355" i="74" s="1"/>
  <c r="Q354" i="74"/>
  <c r="P354" i="74"/>
  <c r="N354" i="74"/>
  <c r="O354" i="74" s="1"/>
  <c r="Q353" i="74"/>
  <c r="P353" i="74"/>
  <c r="N353" i="74"/>
  <c r="O353" i="74" s="1"/>
  <c r="Q352" i="74"/>
  <c r="P352" i="74"/>
  <c r="N352" i="74"/>
  <c r="O352" i="74" s="1"/>
  <c r="R352" i="74" s="1"/>
  <c r="Q351" i="74"/>
  <c r="P351" i="74"/>
  <c r="N351" i="74"/>
  <c r="Q350" i="74"/>
  <c r="P350" i="74"/>
  <c r="N350" i="74"/>
  <c r="Q349" i="74"/>
  <c r="P349" i="74"/>
  <c r="N349" i="74"/>
  <c r="O349" i="74" s="1"/>
  <c r="Q348" i="74"/>
  <c r="P348" i="74"/>
  <c r="N348" i="74"/>
  <c r="O348" i="74" s="1"/>
  <c r="Q347" i="74"/>
  <c r="P347" i="74"/>
  <c r="N347" i="74"/>
  <c r="Q346" i="74"/>
  <c r="P346" i="74"/>
  <c r="N346" i="74"/>
  <c r="O346" i="74" s="1"/>
  <c r="Q345" i="74"/>
  <c r="P345" i="74"/>
  <c r="N345" i="74"/>
  <c r="Q344" i="74"/>
  <c r="P344" i="74"/>
  <c r="N344" i="74"/>
  <c r="Q343" i="74"/>
  <c r="P343" i="74"/>
  <c r="N343" i="74"/>
  <c r="Q342" i="74"/>
  <c r="P342" i="74"/>
  <c r="N342" i="74"/>
  <c r="Q341" i="74"/>
  <c r="P341" i="74"/>
  <c r="N341" i="74"/>
  <c r="O341" i="74" s="1"/>
  <c r="Q340" i="74"/>
  <c r="P340" i="74"/>
  <c r="N340" i="74"/>
  <c r="O340" i="74" s="1"/>
  <c r="Q339" i="74"/>
  <c r="P339" i="74"/>
  <c r="N339" i="74"/>
  <c r="O339" i="74" s="1"/>
  <c r="Q338" i="74"/>
  <c r="P338" i="74"/>
  <c r="N338" i="74"/>
  <c r="Q337" i="74"/>
  <c r="P337" i="74"/>
  <c r="N337" i="74"/>
  <c r="O337" i="74" s="1"/>
  <c r="Q336" i="74"/>
  <c r="P336" i="74"/>
  <c r="N336" i="74"/>
  <c r="O336" i="74" s="1"/>
  <c r="Q335" i="74"/>
  <c r="P335" i="74"/>
  <c r="N335" i="74"/>
  <c r="Q334" i="74"/>
  <c r="P334" i="74"/>
  <c r="N334" i="74"/>
  <c r="O334" i="74" s="1"/>
  <c r="Q333" i="74"/>
  <c r="P333" i="74"/>
  <c r="N333" i="74"/>
  <c r="Q332" i="74"/>
  <c r="P332" i="74"/>
  <c r="N332" i="74"/>
  <c r="Q331" i="74"/>
  <c r="P331" i="74"/>
  <c r="N331" i="74"/>
  <c r="Q330" i="74"/>
  <c r="P330" i="74"/>
  <c r="N330" i="74"/>
  <c r="Q329" i="74"/>
  <c r="P329" i="74"/>
  <c r="N329" i="74"/>
  <c r="O329" i="74" s="1"/>
  <c r="Q328" i="74"/>
  <c r="P328" i="74"/>
  <c r="N328" i="74"/>
  <c r="O328" i="74" s="1"/>
  <c r="Q327" i="74"/>
  <c r="P327" i="74"/>
  <c r="N327" i="74"/>
  <c r="Q326" i="74"/>
  <c r="P326" i="74"/>
  <c r="N326" i="74"/>
  <c r="O326" i="74" s="1"/>
  <c r="Q325" i="74"/>
  <c r="P325" i="74"/>
  <c r="N325" i="74"/>
  <c r="O325" i="74" s="1"/>
  <c r="Q324" i="74"/>
  <c r="P324" i="74"/>
  <c r="N324" i="74"/>
  <c r="O324" i="74" s="1"/>
  <c r="R324" i="74" s="1"/>
  <c r="Q323" i="74"/>
  <c r="P323" i="74"/>
  <c r="N323" i="74"/>
  <c r="Q322" i="74"/>
  <c r="P322" i="74"/>
  <c r="N322" i="74"/>
  <c r="O322" i="74" s="1"/>
  <c r="R322" i="74" s="1"/>
  <c r="Q321" i="74"/>
  <c r="P321" i="74"/>
  <c r="N321" i="74"/>
  <c r="Q320" i="74"/>
  <c r="P320" i="74"/>
  <c r="N320" i="74"/>
  <c r="Q319" i="74"/>
  <c r="P319" i="74"/>
  <c r="N319" i="74"/>
  <c r="O319" i="74" s="1"/>
  <c r="Q318" i="74"/>
  <c r="P318" i="74"/>
  <c r="N318" i="74"/>
  <c r="Q317" i="74"/>
  <c r="P317" i="74"/>
  <c r="N317" i="74"/>
  <c r="O317" i="74" s="1"/>
  <c r="Q316" i="74"/>
  <c r="P316" i="74"/>
  <c r="N316" i="74"/>
  <c r="O316" i="74" s="1"/>
  <c r="Q315" i="74"/>
  <c r="P315" i="74"/>
  <c r="N315" i="74"/>
  <c r="Q314" i="74"/>
  <c r="P314" i="74"/>
  <c r="N314" i="74"/>
  <c r="Q313" i="74"/>
  <c r="P313" i="74"/>
  <c r="N313" i="74"/>
  <c r="O313" i="74" s="1"/>
  <c r="Q312" i="74"/>
  <c r="P312" i="74"/>
  <c r="N312" i="74"/>
  <c r="O312" i="74" s="1"/>
  <c r="Q311" i="74"/>
  <c r="P311" i="74"/>
  <c r="N311" i="74"/>
  <c r="Q310" i="74"/>
  <c r="P310" i="74"/>
  <c r="N310" i="74"/>
  <c r="O310" i="74" s="1"/>
  <c r="R310" i="74" s="1"/>
  <c r="Q309" i="74"/>
  <c r="P309" i="74"/>
  <c r="N309" i="74"/>
  <c r="Q308" i="74"/>
  <c r="P308" i="74"/>
  <c r="N308" i="74"/>
  <c r="Q307" i="74"/>
  <c r="P307" i="74"/>
  <c r="N307" i="74"/>
  <c r="Q306" i="74"/>
  <c r="P306" i="74"/>
  <c r="N306" i="74"/>
  <c r="O306" i="74" s="1"/>
  <c r="Q305" i="74"/>
  <c r="P305" i="74"/>
  <c r="N305" i="74"/>
  <c r="O305" i="74" s="1"/>
  <c r="Q304" i="74"/>
  <c r="P304" i="74"/>
  <c r="N304" i="74"/>
  <c r="O304" i="74" s="1"/>
  <c r="Q303" i="74"/>
  <c r="P303" i="74"/>
  <c r="N303" i="74"/>
  <c r="O303" i="74" s="1"/>
  <c r="Q302" i="74"/>
  <c r="P302" i="74"/>
  <c r="N302" i="74"/>
  <c r="O302" i="74" s="1"/>
  <c r="Q301" i="74"/>
  <c r="P301" i="74"/>
  <c r="N301" i="74"/>
  <c r="O301" i="74" s="1"/>
  <c r="Q300" i="74"/>
  <c r="P300" i="74"/>
  <c r="N300" i="74"/>
  <c r="O300" i="74" s="1"/>
  <c r="Q299" i="74"/>
  <c r="P299" i="74"/>
  <c r="N299" i="74"/>
  <c r="Q298" i="74"/>
  <c r="P298" i="74"/>
  <c r="N298" i="74"/>
  <c r="O298" i="74" s="1"/>
  <c r="Q297" i="74"/>
  <c r="P297" i="74"/>
  <c r="N297" i="74"/>
  <c r="Q296" i="74"/>
  <c r="P296" i="74"/>
  <c r="N296" i="74"/>
  <c r="Q295" i="74"/>
  <c r="P295" i="74"/>
  <c r="N295" i="74"/>
  <c r="O295" i="74" s="1"/>
  <c r="R295" i="74" s="1"/>
  <c r="Q294" i="74"/>
  <c r="P294" i="74"/>
  <c r="N294" i="74"/>
  <c r="Q293" i="74"/>
  <c r="P293" i="74"/>
  <c r="N293" i="74"/>
  <c r="O293" i="74" s="1"/>
  <c r="Q292" i="74"/>
  <c r="P292" i="74"/>
  <c r="N292" i="74"/>
  <c r="O292" i="74" s="1"/>
  <c r="Q291" i="74"/>
  <c r="P291" i="74"/>
  <c r="N291" i="74"/>
  <c r="Q290" i="74"/>
  <c r="P290" i="74"/>
  <c r="N290" i="74"/>
  <c r="O290" i="74" s="1"/>
  <c r="Q289" i="74"/>
  <c r="P289" i="74"/>
  <c r="N289" i="74"/>
  <c r="O289" i="74" s="1"/>
  <c r="Q288" i="74"/>
  <c r="P288" i="74"/>
  <c r="N288" i="74"/>
  <c r="O288" i="74" s="1"/>
  <c r="Q287" i="74"/>
  <c r="P287" i="74"/>
  <c r="N287" i="74"/>
  <c r="Q286" i="74"/>
  <c r="P286" i="74"/>
  <c r="N286" i="74"/>
  <c r="O286" i="74" s="1"/>
  <c r="R286" i="74" s="1"/>
  <c r="Q285" i="74"/>
  <c r="P285" i="74"/>
  <c r="N285" i="74"/>
  <c r="Q284" i="74"/>
  <c r="P284" i="74"/>
  <c r="N284" i="74"/>
  <c r="Q283" i="74"/>
  <c r="P283" i="74"/>
  <c r="N283" i="74"/>
  <c r="Q282" i="74"/>
  <c r="P282" i="74"/>
  <c r="N282" i="74"/>
  <c r="O282" i="74" s="1"/>
  <c r="Q281" i="74"/>
  <c r="P281" i="74"/>
  <c r="N281" i="74"/>
  <c r="O281" i="74" s="1"/>
  <c r="Q280" i="74"/>
  <c r="P280" i="74"/>
  <c r="N280" i="74"/>
  <c r="O280" i="74" s="1"/>
  <c r="Q279" i="74"/>
  <c r="P279" i="74"/>
  <c r="N279" i="74"/>
  <c r="Q278" i="74"/>
  <c r="P278" i="74"/>
  <c r="N278" i="74"/>
  <c r="O278" i="74" s="1"/>
  <c r="Q277" i="74"/>
  <c r="P277" i="74"/>
  <c r="N277" i="74"/>
  <c r="O277" i="74" s="1"/>
  <c r="Q276" i="74"/>
  <c r="P276" i="74"/>
  <c r="N276" i="74"/>
  <c r="O276" i="74" s="1"/>
  <c r="Q275" i="74"/>
  <c r="P275" i="74"/>
  <c r="N275" i="74"/>
  <c r="Q274" i="74"/>
  <c r="P274" i="74"/>
  <c r="N274" i="74"/>
  <c r="O274" i="74" s="1"/>
  <c r="R274" i="74" s="1"/>
  <c r="Q273" i="74"/>
  <c r="P273" i="74"/>
  <c r="N273" i="74"/>
  <c r="Q272" i="74"/>
  <c r="P272" i="74"/>
  <c r="N272" i="74"/>
  <c r="Q271" i="74"/>
  <c r="P271" i="74"/>
  <c r="N271" i="74"/>
  <c r="O271" i="74" s="1"/>
  <c r="Q270" i="74"/>
  <c r="P270" i="74"/>
  <c r="N270" i="74"/>
  <c r="O270" i="74" s="1"/>
  <c r="Q269" i="74"/>
  <c r="P269" i="74"/>
  <c r="N269" i="74"/>
  <c r="O269" i="74" s="1"/>
  <c r="Q268" i="74"/>
  <c r="P268" i="74"/>
  <c r="N268" i="74"/>
  <c r="O268" i="74" s="1"/>
  <c r="Q267" i="74"/>
  <c r="P267" i="74"/>
  <c r="N267" i="74"/>
  <c r="O267" i="74" s="1"/>
  <c r="Q266" i="74"/>
  <c r="P266" i="74"/>
  <c r="N266" i="74"/>
  <c r="O266" i="74" s="1"/>
  <c r="Q265" i="74"/>
  <c r="P265" i="74"/>
  <c r="N265" i="74"/>
  <c r="O265" i="74" s="1"/>
  <c r="Q264" i="74"/>
  <c r="P264" i="74"/>
  <c r="N264" i="74"/>
  <c r="O264" i="74" s="1"/>
  <c r="Q263" i="74"/>
  <c r="P263" i="74"/>
  <c r="N263" i="74"/>
  <c r="Q262" i="74"/>
  <c r="P262" i="74"/>
  <c r="N262" i="74"/>
  <c r="O262" i="74" s="1"/>
  <c r="Q261" i="74"/>
  <c r="P261" i="74"/>
  <c r="N261" i="74"/>
  <c r="Q260" i="74"/>
  <c r="P260" i="74"/>
  <c r="N260" i="74"/>
  <c r="Q259" i="74"/>
  <c r="P259" i="74"/>
  <c r="N259" i="74"/>
  <c r="Q258" i="74"/>
  <c r="P258" i="74"/>
  <c r="N258" i="74"/>
  <c r="O258" i="74" s="1"/>
  <c r="Q257" i="74"/>
  <c r="P257" i="74"/>
  <c r="N257" i="74"/>
  <c r="O257" i="74" s="1"/>
  <c r="Q256" i="74"/>
  <c r="P256" i="74"/>
  <c r="N256" i="74"/>
  <c r="O256" i="74" s="1"/>
  <c r="R256" i="74" s="1"/>
  <c r="Q255" i="74"/>
  <c r="P255" i="74"/>
  <c r="N255" i="74"/>
  <c r="Q254" i="74"/>
  <c r="P254" i="74"/>
  <c r="N254" i="74"/>
  <c r="Q253" i="74"/>
  <c r="P253" i="74"/>
  <c r="N253" i="74"/>
  <c r="O253" i="74" s="1"/>
  <c r="Q252" i="74"/>
  <c r="P252" i="74"/>
  <c r="N252" i="74"/>
  <c r="Q251" i="74"/>
  <c r="P251" i="74"/>
  <c r="N251" i="74"/>
  <c r="Q250" i="74"/>
  <c r="P250" i="74"/>
  <c r="N250" i="74"/>
  <c r="O250" i="74" s="1"/>
  <c r="R250" i="74" s="1"/>
  <c r="Q249" i="74"/>
  <c r="P249" i="74"/>
  <c r="N249" i="74"/>
  <c r="Q248" i="74"/>
  <c r="P248" i="74"/>
  <c r="N248" i="74"/>
  <c r="Q247" i="74"/>
  <c r="P247" i="74"/>
  <c r="N247" i="74"/>
  <c r="O247" i="74" s="1"/>
  <c r="Q246" i="74"/>
  <c r="P246" i="74"/>
  <c r="N246" i="74"/>
  <c r="O246" i="74" s="1"/>
  <c r="Q245" i="74"/>
  <c r="P245" i="74"/>
  <c r="N245" i="74"/>
  <c r="O245" i="74" s="1"/>
  <c r="Q244" i="74"/>
  <c r="P244" i="74"/>
  <c r="N244" i="74"/>
  <c r="O244" i="74" s="1"/>
  <c r="R244" i="74" s="1"/>
  <c r="Q243" i="74"/>
  <c r="P243" i="74"/>
  <c r="N243" i="74"/>
  <c r="Q242" i="74"/>
  <c r="P242" i="74"/>
  <c r="N242" i="74"/>
  <c r="Q241" i="74"/>
  <c r="P241" i="74"/>
  <c r="N241" i="74"/>
  <c r="O241" i="74" s="1"/>
  <c r="Q240" i="74"/>
  <c r="P240" i="74"/>
  <c r="N240" i="74"/>
  <c r="O240" i="74" s="1"/>
  <c r="Q239" i="74"/>
  <c r="P239" i="74"/>
  <c r="N239" i="74"/>
  <c r="Q238" i="74"/>
  <c r="P238" i="74"/>
  <c r="N238" i="74"/>
  <c r="O238" i="74" s="1"/>
  <c r="Q237" i="74"/>
  <c r="P237" i="74"/>
  <c r="N237" i="74"/>
  <c r="Q236" i="74"/>
  <c r="P236" i="74"/>
  <c r="N236" i="74"/>
  <c r="Q235" i="74"/>
  <c r="P235" i="74"/>
  <c r="N235" i="74"/>
  <c r="Q234" i="74"/>
  <c r="P234" i="74"/>
  <c r="N234" i="74"/>
  <c r="Q233" i="74"/>
  <c r="P233" i="74"/>
  <c r="N233" i="74"/>
  <c r="O233" i="74" s="1"/>
  <c r="Q232" i="74"/>
  <c r="P232" i="74"/>
  <c r="N232" i="74"/>
  <c r="O232" i="74" s="1"/>
  <c r="Q231" i="74"/>
  <c r="P231" i="74"/>
  <c r="N231" i="74"/>
  <c r="O231" i="74" s="1"/>
  <c r="Q230" i="74"/>
  <c r="P230" i="74"/>
  <c r="N230" i="74"/>
  <c r="Q229" i="74"/>
  <c r="P229" i="74"/>
  <c r="N229" i="74"/>
  <c r="O229" i="74" s="1"/>
  <c r="Q228" i="74"/>
  <c r="P228" i="74"/>
  <c r="N228" i="74"/>
  <c r="O228" i="74" s="1"/>
  <c r="Q227" i="74"/>
  <c r="P227" i="74"/>
  <c r="N227" i="74"/>
  <c r="Q226" i="74"/>
  <c r="P226" i="74"/>
  <c r="N226" i="74"/>
  <c r="O226" i="74" s="1"/>
  <c r="Q225" i="74"/>
  <c r="P225" i="74"/>
  <c r="N225" i="74"/>
  <c r="Q224" i="74"/>
  <c r="P224" i="74"/>
  <c r="N224" i="74"/>
  <c r="Q223" i="74"/>
  <c r="P223" i="74"/>
  <c r="N223" i="74"/>
  <c r="Q222" i="74"/>
  <c r="P222" i="74"/>
  <c r="N222" i="74"/>
  <c r="Q221" i="74"/>
  <c r="P221" i="74"/>
  <c r="N221" i="74"/>
  <c r="O221" i="74" s="1"/>
  <c r="Q220" i="74"/>
  <c r="P220" i="74"/>
  <c r="N220" i="74"/>
  <c r="O220" i="74" s="1"/>
  <c r="Q219" i="74"/>
  <c r="P219" i="74"/>
  <c r="N219" i="74"/>
  <c r="Q218" i="74"/>
  <c r="P218" i="74"/>
  <c r="N218" i="74"/>
  <c r="O218" i="74" s="1"/>
  <c r="Q217" i="74"/>
  <c r="P217" i="74"/>
  <c r="N217" i="74"/>
  <c r="O217" i="74" s="1"/>
  <c r="Q216" i="74"/>
  <c r="P216" i="74"/>
  <c r="N216" i="74"/>
  <c r="O216" i="74" s="1"/>
  <c r="Q215" i="74"/>
  <c r="P215" i="74"/>
  <c r="N215" i="74"/>
  <c r="Q214" i="74"/>
  <c r="P214" i="74"/>
  <c r="N214" i="74"/>
  <c r="O214" i="74" s="1"/>
  <c r="R214" i="74" s="1"/>
  <c r="Q213" i="74"/>
  <c r="P213" i="74"/>
  <c r="N213" i="74"/>
  <c r="Q212" i="74"/>
  <c r="P212" i="74"/>
  <c r="N212" i="74"/>
  <c r="Q211" i="74"/>
  <c r="P211" i="74"/>
  <c r="N211" i="74"/>
  <c r="O211" i="74" s="1"/>
  <c r="R211" i="74" s="1"/>
  <c r="Q210" i="74"/>
  <c r="P210" i="74"/>
  <c r="N210" i="74"/>
  <c r="Q209" i="74"/>
  <c r="P209" i="74"/>
  <c r="N209" i="74"/>
  <c r="O209" i="74" s="1"/>
  <c r="Q208" i="74"/>
  <c r="P208" i="74"/>
  <c r="N208" i="74"/>
  <c r="O208" i="74" s="1"/>
  <c r="Q207" i="74"/>
  <c r="P207" i="74"/>
  <c r="N207" i="74"/>
  <c r="Q206" i="74"/>
  <c r="P206" i="74"/>
  <c r="N206" i="74"/>
  <c r="Q205" i="74"/>
  <c r="P205" i="74"/>
  <c r="N205" i="74"/>
  <c r="O205" i="74" s="1"/>
  <c r="Q204" i="74"/>
  <c r="P204" i="74"/>
  <c r="N204" i="74"/>
  <c r="O204" i="74" s="1"/>
  <c r="Q203" i="74"/>
  <c r="P203" i="74"/>
  <c r="N203" i="74"/>
  <c r="Q202" i="74"/>
  <c r="P202" i="74"/>
  <c r="N202" i="74"/>
  <c r="O202" i="74" s="1"/>
  <c r="R202" i="74" s="1"/>
  <c r="Q201" i="74"/>
  <c r="P201" i="74"/>
  <c r="N201" i="74"/>
  <c r="Q200" i="74"/>
  <c r="P200" i="74"/>
  <c r="N200" i="74"/>
  <c r="Q199" i="74"/>
  <c r="P199" i="74"/>
  <c r="N199" i="74"/>
  <c r="Q198" i="74"/>
  <c r="P198" i="74"/>
  <c r="N198" i="74"/>
  <c r="O198" i="74" s="1"/>
  <c r="Q197" i="74"/>
  <c r="P197" i="74"/>
  <c r="N197" i="74"/>
  <c r="O197" i="74" s="1"/>
  <c r="Q196" i="74"/>
  <c r="P196" i="74"/>
  <c r="N196" i="74"/>
  <c r="O196" i="74" s="1"/>
  <c r="Q195" i="74"/>
  <c r="P195" i="74"/>
  <c r="N195" i="74"/>
  <c r="O195" i="74" s="1"/>
  <c r="Q194" i="74"/>
  <c r="P194" i="74"/>
  <c r="N194" i="74"/>
  <c r="Q193" i="74"/>
  <c r="P193" i="74"/>
  <c r="N193" i="74"/>
  <c r="O193" i="74" s="1"/>
  <c r="Q192" i="74"/>
  <c r="P192" i="74"/>
  <c r="N192" i="74"/>
  <c r="O192" i="74" s="1"/>
  <c r="Q191" i="74"/>
  <c r="P191" i="74"/>
  <c r="N191" i="74"/>
  <c r="Q190" i="74"/>
  <c r="P190" i="74"/>
  <c r="N190" i="74"/>
  <c r="O190" i="74" s="1"/>
  <c r="Q189" i="74"/>
  <c r="P189" i="74"/>
  <c r="N189" i="74"/>
  <c r="Q188" i="74"/>
  <c r="P188" i="74"/>
  <c r="N188" i="74"/>
  <c r="Q187" i="74"/>
  <c r="P187" i="74"/>
  <c r="N187" i="74"/>
  <c r="O187" i="74" s="1"/>
  <c r="R187" i="74" s="1"/>
  <c r="Q186" i="74"/>
  <c r="P186" i="74"/>
  <c r="N186" i="74"/>
  <c r="Q185" i="74"/>
  <c r="P185" i="74"/>
  <c r="N185" i="74"/>
  <c r="O185" i="74" s="1"/>
  <c r="Q184" i="74"/>
  <c r="P184" i="74"/>
  <c r="N184" i="74"/>
  <c r="O184" i="74" s="1"/>
  <c r="Q183" i="74"/>
  <c r="P183" i="74"/>
  <c r="N183" i="74"/>
  <c r="Q182" i="74"/>
  <c r="P182" i="74"/>
  <c r="N182" i="74"/>
  <c r="O182" i="74" s="1"/>
  <c r="Q181" i="74"/>
  <c r="P181" i="74"/>
  <c r="N181" i="74"/>
  <c r="O181" i="74" s="1"/>
  <c r="Q180" i="74"/>
  <c r="P180" i="74"/>
  <c r="N180" i="74"/>
  <c r="O180" i="74" s="1"/>
  <c r="Q179" i="74"/>
  <c r="P179" i="74"/>
  <c r="N179" i="74"/>
  <c r="Q178" i="74"/>
  <c r="P178" i="74"/>
  <c r="N178" i="74"/>
  <c r="O178" i="74" s="1"/>
  <c r="R178" i="74" s="1"/>
  <c r="Q177" i="74"/>
  <c r="P177" i="74"/>
  <c r="N177" i="74"/>
  <c r="Q176" i="74"/>
  <c r="P176" i="74"/>
  <c r="N176" i="74"/>
  <c r="Q175" i="74"/>
  <c r="P175" i="74"/>
  <c r="N175" i="74"/>
  <c r="Q174" i="74"/>
  <c r="P174" i="74"/>
  <c r="N174" i="74"/>
  <c r="Q173" i="74"/>
  <c r="P173" i="74"/>
  <c r="N173" i="74"/>
  <c r="O173" i="74" s="1"/>
  <c r="Q172" i="74"/>
  <c r="P172" i="74"/>
  <c r="N172" i="74"/>
  <c r="O172" i="74" s="1"/>
  <c r="Q171" i="74"/>
  <c r="P171" i="74"/>
  <c r="N171" i="74"/>
  <c r="Q170" i="74"/>
  <c r="P170" i="74"/>
  <c r="N170" i="74"/>
  <c r="O170" i="74" s="1"/>
  <c r="Q169" i="74"/>
  <c r="P169" i="74"/>
  <c r="N169" i="74"/>
  <c r="O169" i="74" s="1"/>
  <c r="Q168" i="74"/>
  <c r="P168" i="74"/>
  <c r="N168" i="74"/>
  <c r="O168" i="74" s="1"/>
  <c r="Q167" i="74"/>
  <c r="P167" i="74"/>
  <c r="N167" i="74"/>
  <c r="Q166" i="74"/>
  <c r="P166" i="74"/>
  <c r="N166" i="74"/>
  <c r="O166" i="74" s="1"/>
  <c r="R166" i="74" s="1"/>
  <c r="Q165" i="74"/>
  <c r="P165" i="74"/>
  <c r="N165" i="74"/>
  <c r="Q164" i="74"/>
  <c r="P164" i="74"/>
  <c r="N164" i="74"/>
  <c r="Q163" i="74"/>
  <c r="P163" i="74"/>
  <c r="N163" i="74"/>
  <c r="O163" i="74" s="1"/>
  <c r="Q162" i="74"/>
  <c r="P162" i="74"/>
  <c r="N162" i="74"/>
  <c r="O162" i="74" s="1"/>
  <c r="Q161" i="74"/>
  <c r="P161" i="74"/>
  <c r="N161" i="74"/>
  <c r="O161" i="74" s="1"/>
  <c r="Q160" i="74"/>
  <c r="P160" i="74"/>
  <c r="N160" i="74"/>
  <c r="O160" i="74" s="1"/>
  <c r="R160" i="74" s="1"/>
  <c r="Q159" i="74"/>
  <c r="P159" i="74"/>
  <c r="N159" i="74"/>
  <c r="O159" i="74" s="1"/>
  <c r="Q158" i="74"/>
  <c r="P158" i="74"/>
  <c r="N158" i="74"/>
  <c r="O158" i="74" s="1"/>
  <c r="Q157" i="74"/>
  <c r="P157" i="74"/>
  <c r="N157" i="74"/>
  <c r="O157" i="74" s="1"/>
  <c r="Q156" i="74"/>
  <c r="P156" i="74"/>
  <c r="N156" i="74"/>
  <c r="O156" i="74" s="1"/>
  <c r="Q155" i="74"/>
  <c r="P155" i="74"/>
  <c r="N155" i="74"/>
  <c r="Q154" i="74"/>
  <c r="P154" i="74"/>
  <c r="N154" i="74"/>
  <c r="O154" i="74" s="1"/>
  <c r="Q153" i="74"/>
  <c r="P153" i="74"/>
  <c r="N153" i="74"/>
  <c r="Q152" i="74"/>
  <c r="P152" i="74"/>
  <c r="N152" i="74"/>
  <c r="Q151" i="74"/>
  <c r="P151" i="74"/>
  <c r="N151" i="74"/>
  <c r="Q150" i="74"/>
  <c r="P150" i="74"/>
  <c r="N150" i="74"/>
  <c r="Q149" i="74"/>
  <c r="P149" i="74"/>
  <c r="N149" i="74"/>
  <c r="O149" i="74" s="1"/>
  <c r="Q148" i="74"/>
  <c r="P148" i="74"/>
  <c r="N148" i="74"/>
  <c r="O148" i="74" s="1"/>
  <c r="R148" i="74" s="1"/>
  <c r="Q147" i="74"/>
  <c r="P147" i="74"/>
  <c r="N147" i="74"/>
  <c r="Q146" i="74"/>
  <c r="P146" i="74"/>
  <c r="N146" i="74"/>
  <c r="Q145" i="74"/>
  <c r="P145" i="74"/>
  <c r="N145" i="74"/>
  <c r="O145" i="74" s="1"/>
  <c r="Q144" i="74"/>
  <c r="P144" i="74"/>
  <c r="N144" i="74"/>
  <c r="Q143" i="74"/>
  <c r="P143" i="74"/>
  <c r="N143" i="74"/>
  <c r="Q142" i="74"/>
  <c r="P142" i="74"/>
  <c r="N142" i="74"/>
  <c r="O142" i="74" s="1"/>
  <c r="R142" i="74" s="1"/>
  <c r="Q141" i="74"/>
  <c r="P141" i="74"/>
  <c r="N141" i="74"/>
  <c r="Q140" i="74"/>
  <c r="P140" i="74"/>
  <c r="N140" i="74"/>
  <c r="Q139" i="74"/>
  <c r="P139" i="74"/>
  <c r="N139" i="74"/>
  <c r="O139" i="74" s="1"/>
  <c r="Q138" i="74"/>
  <c r="P138" i="74"/>
  <c r="N138" i="74"/>
  <c r="O138" i="74" s="1"/>
  <c r="Q137" i="74"/>
  <c r="P137" i="74"/>
  <c r="N137" i="74"/>
  <c r="O137" i="74" s="1"/>
  <c r="Q136" i="74"/>
  <c r="N136" i="74"/>
  <c r="Q135" i="74"/>
  <c r="P135" i="74"/>
  <c r="N135" i="74"/>
  <c r="O135" i="74" s="1"/>
  <c r="Q134" i="74"/>
  <c r="P134" i="74"/>
  <c r="N134" i="74"/>
  <c r="Q133" i="74"/>
  <c r="N133" i="74"/>
  <c r="Q132" i="74"/>
  <c r="P132" i="74"/>
  <c r="N132" i="74"/>
  <c r="O132" i="74" s="1"/>
  <c r="Q131" i="74"/>
  <c r="N131" i="74"/>
  <c r="Q130" i="74"/>
  <c r="P130" i="74"/>
  <c r="N130" i="74"/>
  <c r="O130" i="74" s="1"/>
  <c r="Q129" i="74"/>
  <c r="N129" i="74"/>
  <c r="Q128" i="74"/>
  <c r="N128" i="74"/>
  <c r="Q127" i="74"/>
  <c r="N127" i="74"/>
  <c r="O127" i="74" s="1"/>
  <c r="Q126" i="74"/>
  <c r="N126" i="74"/>
  <c r="Q125" i="74"/>
  <c r="N125" i="74"/>
  <c r="O125" i="74" s="1"/>
  <c r="Q124" i="74"/>
  <c r="N124" i="74"/>
  <c r="Q123" i="74"/>
  <c r="N123" i="74"/>
  <c r="Q122" i="74"/>
  <c r="N122" i="74"/>
  <c r="O122" i="74" s="1"/>
  <c r="Q121" i="74"/>
  <c r="N121" i="74"/>
  <c r="Q120" i="74"/>
  <c r="N120" i="74"/>
  <c r="Q119" i="74"/>
  <c r="N119" i="74"/>
  <c r="Q118" i="74"/>
  <c r="N118" i="74"/>
  <c r="O118" i="74" s="1"/>
  <c r="Q117" i="74"/>
  <c r="N117" i="74"/>
  <c r="Q116" i="74"/>
  <c r="N116" i="74"/>
  <c r="Q115" i="74"/>
  <c r="N115" i="74"/>
  <c r="O115" i="74" s="1"/>
  <c r="Q114" i="74"/>
  <c r="N114" i="74"/>
  <c r="O114" i="74" s="1"/>
  <c r="P114" i="74" s="1"/>
  <c r="Q113" i="74"/>
  <c r="N113" i="74"/>
  <c r="O113" i="74" s="1"/>
  <c r="Q112" i="74"/>
  <c r="N112" i="74"/>
  <c r="Q111" i="74"/>
  <c r="N111" i="74"/>
  <c r="Q110" i="74"/>
  <c r="N110" i="74"/>
  <c r="Q109" i="74"/>
  <c r="N109" i="74"/>
  <c r="O109" i="74" s="1"/>
  <c r="P109" i="74" s="1"/>
  <c r="R109" i="74" s="1"/>
  <c r="Q108" i="74"/>
  <c r="N108" i="74"/>
  <c r="Q107" i="74"/>
  <c r="N107" i="74"/>
  <c r="Q106" i="74"/>
  <c r="N106" i="74"/>
  <c r="O106" i="74" s="1"/>
  <c r="Q105" i="74"/>
  <c r="N105" i="74"/>
  <c r="Q104" i="74"/>
  <c r="N104" i="74"/>
  <c r="Q103" i="74"/>
  <c r="N103" i="74"/>
  <c r="Q102" i="74"/>
  <c r="N102" i="74"/>
  <c r="O102" i="74" s="1"/>
  <c r="P102" i="74" s="1"/>
  <c r="Q101" i="74"/>
  <c r="N101" i="74"/>
  <c r="Q100" i="74"/>
  <c r="N100" i="74"/>
  <c r="Q99" i="74"/>
  <c r="N99" i="74"/>
  <c r="Q98" i="74"/>
  <c r="N98" i="74"/>
  <c r="Q97" i="74"/>
  <c r="N97" i="74"/>
  <c r="O97" i="74" s="1"/>
  <c r="P97" i="74" s="1"/>
  <c r="R97" i="74" s="1"/>
  <c r="Q96" i="74"/>
  <c r="N96" i="74"/>
  <c r="Q95" i="74"/>
  <c r="N95" i="74"/>
  <c r="Q94" i="74"/>
  <c r="N94" i="74"/>
  <c r="O94" i="74" s="1"/>
  <c r="Q93" i="74"/>
  <c r="N93" i="74"/>
  <c r="Q92" i="74"/>
  <c r="P92" i="74"/>
  <c r="N92" i="74"/>
  <c r="Q91" i="74"/>
  <c r="P91" i="74"/>
  <c r="N91" i="74"/>
  <c r="Q90" i="74"/>
  <c r="N90" i="74"/>
  <c r="Q89" i="74"/>
  <c r="N89" i="74"/>
  <c r="O89" i="74" s="1"/>
  <c r="P89" i="74" s="1"/>
  <c r="Q88" i="74"/>
  <c r="N88" i="74"/>
  <c r="Q87" i="74"/>
  <c r="N87" i="74"/>
  <c r="O87" i="74" s="1"/>
  <c r="Q86" i="74"/>
  <c r="N86" i="74"/>
  <c r="Q85" i="74"/>
  <c r="N85" i="74"/>
  <c r="Q84" i="74"/>
  <c r="N84" i="74"/>
  <c r="Q83" i="74"/>
  <c r="N83" i="74"/>
  <c r="Q82" i="74"/>
  <c r="N82" i="74"/>
  <c r="O82" i="74" s="1"/>
  <c r="P82" i="74" s="1"/>
  <c r="Q81" i="74"/>
  <c r="N81" i="74"/>
  <c r="Q80" i="74"/>
  <c r="N80" i="74"/>
  <c r="Q79" i="74"/>
  <c r="N79" i="74"/>
  <c r="O79" i="74" s="1"/>
  <c r="Q78" i="74"/>
  <c r="N78" i="74"/>
  <c r="Q77" i="74"/>
  <c r="N77" i="74"/>
  <c r="O77" i="74" s="1"/>
  <c r="P77" i="74" s="1"/>
  <c r="Q76" i="74"/>
  <c r="N76" i="74"/>
  <c r="Q75" i="74"/>
  <c r="N75" i="74"/>
  <c r="O75" i="74" s="1"/>
  <c r="Q74" i="74"/>
  <c r="P74" i="74"/>
  <c r="N74" i="74"/>
  <c r="O74" i="74" s="1"/>
  <c r="Q73" i="74"/>
  <c r="N73" i="74"/>
  <c r="O73" i="74" s="1"/>
  <c r="Q72" i="74"/>
  <c r="N72" i="74"/>
  <c r="Q71" i="74"/>
  <c r="N71" i="74"/>
  <c r="Q70" i="74"/>
  <c r="N70" i="74"/>
  <c r="O70" i="74" s="1"/>
  <c r="P70" i="74" s="1"/>
  <c r="Q69" i="74"/>
  <c r="P69" i="74"/>
  <c r="N69" i="74"/>
  <c r="Q68" i="74"/>
  <c r="N68" i="74"/>
  <c r="Q67" i="74"/>
  <c r="N67" i="74"/>
  <c r="Q66" i="74"/>
  <c r="N66" i="74"/>
  <c r="O66" i="74" s="1"/>
  <c r="P66" i="74" s="1"/>
  <c r="Q65" i="74"/>
  <c r="N65" i="74"/>
  <c r="O65" i="74" s="1"/>
  <c r="P65" i="74" s="1"/>
  <c r="Q64" i="74"/>
  <c r="P64" i="74"/>
  <c r="N64" i="74"/>
  <c r="O64" i="74" s="1"/>
  <c r="Q63" i="74"/>
  <c r="P63" i="74"/>
  <c r="N63" i="74"/>
  <c r="O63" i="74" s="1"/>
  <c r="Q62" i="74"/>
  <c r="N62" i="74"/>
  <c r="Q61" i="74"/>
  <c r="N61" i="74"/>
  <c r="Q60" i="74"/>
  <c r="P60" i="74"/>
  <c r="N60" i="74"/>
  <c r="O60" i="74" s="1"/>
  <c r="Q59" i="74"/>
  <c r="P59" i="74"/>
  <c r="N59" i="74"/>
  <c r="Q58" i="74"/>
  <c r="N58" i="74"/>
  <c r="O58" i="74" s="1"/>
  <c r="P58" i="74" s="1"/>
  <c r="Q57" i="74"/>
  <c r="P57" i="74"/>
  <c r="N57" i="74"/>
  <c r="Q56" i="74"/>
  <c r="P56" i="74"/>
  <c r="N56" i="74"/>
  <c r="Q55" i="74"/>
  <c r="N55" i="74"/>
  <c r="O55" i="74" s="1"/>
  <c r="Q54" i="74"/>
  <c r="N54" i="74"/>
  <c r="O54" i="74" s="1"/>
  <c r="P54" i="74" s="1"/>
  <c r="Q53" i="74"/>
  <c r="N53" i="74"/>
  <c r="O53" i="74" s="1"/>
  <c r="P53" i="74" s="1"/>
  <c r="Q52" i="74"/>
  <c r="N52" i="74"/>
  <c r="Q51" i="74"/>
  <c r="P51" i="74"/>
  <c r="N51" i="74"/>
  <c r="Q50" i="74"/>
  <c r="P50" i="74"/>
  <c r="N50" i="74"/>
  <c r="O50" i="74" s="1"/>
  <c r="Q49" i="74"/>
  <c r="N49" i="74"/>
  <c r="O49" i="74" s="1"/>
  <c r="Q48" i="74"/>
  <c r="N48" i="74"/>
  <c r="Q47" i="74"/>
  <c r="P47" i="74"/>
  <c r="N47" i="74"/>
  <c r="Q46" i="74"/>
  <c r="P46" i="74"/>
  <c r="N46" i="74"/>
  <c r="O46" i="74" s="1"/>
  <c r="N45" i="74"/>
  <c r="N44" i="74"/>
  <c r="Q43" i="74"/>
  <c r="P43" i="74"/>
  <c r="N43" i="74"/>
  <c r="Q42" i="74"/>
  <c r="N42" i="74"/>
  <c r="O42" i="74" s="1"/>
  <c r="P42" i="74" s="1"/>
  <c r="P41" i="74"/>
  <c r="N41" i="74"/>
  <c r="O41" i="74" s="1"/>
  <c r="Q41" i="74" s="1"/>
  <c r="P40" i="74"/>
  <c r="N40" i="74"/>
  <c r="O40" i="74" s="1"/>
  <c r="P39" i="74"/>
  <c r="N39" i="74"/>
  <c r="Q38" i="74"/>
  <c r="P38" i="74"/>
  <c r="N38" i="74"/>
  <c r="Q37" i="74"/>
  <c r="N37" i="74"/>
  <c r="O37" i="74" s="1"/>
  <c r="P37" i="74" s="1"/>
  <c r="R37" i="74" s="1"/>
  <c r="Q36" i="74"/>
  <c r="N36" i="74"/>
  <c r="Q35" i="74"/>
  <c r="N35" i="74"/>
  <c r="Q34" i="74"/>
  <c r="N34" i="74"/>
  <c r="Q33" i="74"/>
  <c r="N33" i="74"/>
  <c r="Q32" i="74"/>
  <c r="N32" i="74"/>
  <c r="L27" i="74"/>
  <c r="M27" i="74" s="1"/>
  <c r="K27" i="74"/>
  <c r="J27" i="74"/>
  <c r="G27" i="74"/>
  <c r="F27" i="74"/>
  <c r="E27" i="74"/>
  <c r="I27" i="74" s="1"/>
  <c r="D27" i="74"/>
  <c r="L26" i="74"/>
  <c r="M26" i="74" s="1"/>
  <c r="K26" i="74"/>
  <c r="J26" i="74"/>
  <c r="G26" i="74"/>
  <c r="F26" i="74"/>
  <c r="E26" i="74"/>
  <c r="D26" i="74"/>
  <c r="H26" i="74" s="1"/>
  <c r="L25" i="74"/>
  <c r="M25" i="74" s="1"/>
  <c r="K25" i="74"/>
  <c r="O25" i="74" s="1"/>
  <c r="J25" i="74"/>
  <c r="N25" i="74" s="1"/>
  <c r="G25" i="74"/>
  <c r="F25" i="74"/>
  <c r="E25" i="74"/>
  <c r="I25" i="74" s="1"/>
  <c r="D25" i="74"/>
  <c r="L24" i="74"/>
  <c r="M24" i="74" s="1"/>
  <c r="K24" i="74"/>
  <c r="J24" i="74"/>
  <c r="G24" i="74"/>
  <c r="F24" i="74"/>
  <c r="E24" i="74"/>
  <c r="D24" i="74"/>
  <c r="Q15" i="74"/>
  <c r="P15" i="74"/>
  <c r="O15" i="74"/>
  <c r="N15" i="74"/>
  <c r="M15" i="74"/>
  <c r="K15" i="74"/>
  <c r="J15" i="74"/>
  <c r="I15" i="74"/>
  <c r="H15" i="74"/>
  <c r="G15" i="74"/>
  <c r="F15" i="74"/>
  <c r="D15" i="74"/>
  <c r="Q14" i="74"/>
  <c r="P14" i="74"/>
  <c r="O14" i="74"/>
  <c r="N14" i="74"/>
  <c r="M14" i="74"/>
  <c r="K14" i="74"/>
  <c r="J14" i="74"/>
  <c r="I14" i="74"/>
  <c r="H14" i="74"/>
  <c r="G14" i="74"/>
  <c r="F14" i="74"/>
  <c r="D14" i="74"/>
  <c r="Q13" i="74"/>
  <c r="P13" i="74"/>
  <c r="O13" i="74"/>
  <c r="N13" i="74"/>
  <c r="M13" i="74"/>
  <c r="K13" i="74"/>
  <c r="J13" i="74"/>
  <c r="I13" i="74"/>
  <c r="H13" i="74"/>
  <c r="G13" i="74"/>
  <c r="F13" i="74"/>
  <c r="D13" i="74"/>
  <c r="K12" i="74"/>
  <c r="J12" i="74"/>
  <c r="I12" i="74"/>
  <c r="H12" i="74"/>
  <c r="G12" i="74"/>
  <c r="F12" i="74"/>
  <c r="D12" i="74"/>
  <c r="Q11" i="74"/>
  <c r="P11" i="74"/>
  <c r="O11" i="74"/>
  <c r="N11" i="74"/>
  <c r="M11" i="74"/>
  <c r="K11" i="74"/>
  <c r="J11" i="74"/>
  <c r="I11" i="74"/>
  <c r="H11" i="74"/>
  <c r="G11" i="74"/>
  <c r="F11" i="74"/>
  <c r="D11" i="74"/>
  <c r="K10" i="74"/>
  <c r="J10" i="74"/>
  <c r="I10" i="74"/>
  <c r="H10" i="74"/>
  <c r="G10" i="74"/>
  <c r="F10" i="74"/>
  <c r="D10" i="74"/>
  <c r="Q9" i="74"/>
  <c r="P9" i="74"/>
  <c r="O9" i="74"/>
  <c r="N9" i="74"/>
  <c r="M9" i="74"/>
  <c r="K9" i="74"/>
  <c r="J9" i="74"/>
  <c r="I9" i="74"/>
  <c r="H9" i="74"/>
  <c r="G9" i="74"/>
  <c r="F9" i="74"/>
  <c r="D9" i="74"/>
  <c r="K8" i="74"/>
  <c r="J8" i="74"/>
  <c r="I8" i="74"/>
  <c r="H8" i="74"/>
  <c r="G8" i="74"/>
  <c r="F8" i="74"/>
  <c r="D8" i="74"/>
  <c r="K7" i="74"/>
  <c r="J7" i="74"/>
  <c r="I7" i="74"/>
  <c r="H7" i="74"/>
  <c r="G7" i="74"/>
  <c r="F7" i="74"/>
  <c r="D7" i="74"/>
  <c r="Q6" i="74"/>
  <c r="P6" i="74"/>
  <c r="O6" i="74"/>
  <c r="N6" i="74"/>
  <c r="M6" i="74"/>
  <c r="K6" i="74"/>
  <c r="J6" i="74"/>
  <c r="I6" i="74"/>
  <c r="H6" i="74"/>
  <c r="G6" i="74"/>
  <c r="F6" i="74"/>
  <c r="D6" i="74"/>
  <c r="D16" i="74" s="1"/>
  <c r="Q5" i="74"/>
  <c r="P5" i="74"/>
  <c r="O5" i="74"/>
  <c r="N5" i="74"/>
  <c r="M5" i="74"/>
  <c r="E5" i="74"/>
  <c r="AW31" i="31"/>
  <c r="AW36" i="31"/>
  <c r="I16" i="74" l="1"/>
  <c r="N27" i="74"/>
  <c r="I26" i="74"/>
  <c r="N24" i="74"/>
  <c r="R64" i="74"/>
  <c r="E15" i="74"/>
  <c r="E10" i="74"/>
  <c r="R13" i="74"/>
  <c r="R15" i="74"/>
  <c r="O24" i="74"/>
  <c r="O26" i="74"/>
  <c r="O43" i="74"/>
  <c r="R43" i="74" s="1"/>
  <c r="O86" i="74"/>
  <c r="P86" i="74" s="1"/>
  <c r="O91" i="74"/>
  <c r="R91" i="74" s="1"/>
  <c r="O101" i="74"/>
  <c r="P101" i="74"/>
  <c r="O144" i="74"/>
  <c r="R144" i="74"/>
  <c r="O150" i="74"/>
  <c r="R150" i="74" s="1"/>
  <c r="O175" i="74"/>
  <c r="R175" i="74" s="1"/>
  <c r="O199" i="74"/>
  <c r="R199" i="74" s="1"/>
  <c r="R228" i="74"/>
  <c r="O235" i="74"/>
  <c r="R235" i="74" s="1"/>
  <c r="O252" i="74"/>
  <c r="R252" i="74" s="1"/>
  <c r="O283" i="74"/>
  <c r="R283" i="74" s="1"/>
  <c r="O307" i="74"/>
  <c r="R307" i="74" s="1"/>
  <c r="R319" i="74"/>
  <c r="R336" i="74"/>
  <c r="O343" i="74"/>
  <c r="R343" i="74" s="1"/>
  <c r="O27" i="74"/>
  <c r="P49" i="74"/>
  <c r="R49" i="74" s="1"/>
  <c r="P12" i="74"/>
  <c r="O61" i="74"/>
  <c r="P61" i="74" s="1"/>
  <c r="R61" i="74" s="1"/>
  <c r="P73" i="74"/>
  <c r="R73" i="74" s="1"/>
  <c r="O133" i="74"/>
  <c r="P133" i="74" s="1"/>
  <c r="R133" i="74" s="1"/>
  <c r="R139" i="74"/>
  <c r="R204" i="74"/>
  <c r="R217" i="74"/>
  <c r="R247" i="74"/>
  <c r="R268" i="74"/>
  <c r="R282" i="74"/>
  <c r="R302" i="74"/>
  <c r="R312" i="74"/>
  <c r="R325" i="74"/>
  <c r="R355" i="74"/>
  <c r="R374" i="74"/>
  <c r="R391" i="74"/>
  <c r="R193" i="74"/>
  <c r="R9" i="74"/>
  <c r="O103" i="74"/>
  <c r="P103" i="74" s="1"/>
  <c r="O121" i="74"/>
  <c r="P121" i="74" s="1"/>
  <c r="R121" i="74" s="1"/>
  <c r="P125" i="74"/>
  <c r="R125" i="74" s="1"/>
  <c r="O174" i="74"/>
  <c r="R174" i="74" s="1"/>
  <c r="R180" i="74"/>
  <c r="R184" i="74"/>
  <c r="O194" i="74"/>
  <c r="R194" i="74" s="1"/>
  <c r="R241" i="74"/>
  <c r="R288" i="74"/>
  <c r="R292" i="74"/>
  <c r="R349" i="74"/>
  <c r="R378" i="74"/>
  <c r="R385" i="74"/>
  <c r="E7" i="74"/>
  <c r="R14" i="74"/>
  <c r="R50" i="74"/>
  <c r="R74" i="74"/>
  <c r="O78" i="74"/>
  <c r="R157" i="74"/>
  <c r="R163" i="74"/>
  <c r="R198" i="74"/>
  <c r="R208" i="74"/>
  <c r="R218" i="74"/>
  <c r="R238" i="74"/>
  <c r="R265" i="74"/>
  <c r="R271" i="74"/>
  <c r="R306" i="74"/>
  <c r="R316" i="74"/>
  <c r="R326" i="74"/>
  <c r="R346" i="74"/>
  <c r="R360" i="74"/>
  <c r="R367" i="74"/>
  <c r="H25" i="74"/>
  <c r="N26" i="74"/>
  <c r="R130" i="74"/>
  <c r="P55" i="74"/>
  <c r="R55" i="74" s="1"/>
  <c r="O62" i="74"/>
  <c r="P62" i="74" s="1"/>
  <c r="P79" i="74"/>
  <c r="R79" i="74" s="1"/>
  <c r="P113" i="74"/>
  <c r="R113" i="74" s="1"/>
  <c r="O126" i="74"/>
  <c r="P126" i="74" s="1"/>
  <c r="O134" i="74"/>
  <c r="R134" i="74" s="1"/>
  <c r="R138" i="74"/>
  <c r="O151" i="74"/>
  <c r="R151" i="74" s="1"/>
  <c r="R158" i="74"/>
  <c r="R168" i="74"/>
  <c r="R181" i="74"/>
  <c r="O222" i="74"/>
  <c r="R222" i="74" s="1"/>
  <c r="R232" i="74"/>
  <c r="O242" i="74"/>
  <c r="R242" i="74" s="1"/>
  <c r="R246" i="74"/>
  <c r="O259" i="74"/>
  <c r="R259" i="74" s="1"/>
  <c r="R266" i="74"/>
  <c r="R276" i="74"/>
  <c r="R289" i="74"/>
  <c r="O330" i="74"/>
  <c r="R330" i="74" s="1"/>
  <c r="R340" i="74"/>
  <c r="O350" i="74"/>
  <c r="R350" i="74" s="1"/>
  <c r="R354" i="74"/>
  <c r="R364" i="74"/>
  <c r="R386" i="74"/>
  <c r="R205" i="74"/>
  <c r="R313" i="74"/>
  <c r="H27" i="74"/>
  <c r="O34" i="74"/>
  <c r="P34" i="74" s="1"/>
  <c r="R34" i="74" s="1"/>
  <c r="O38" i="74"/>
  <c r="R38" i="74" s="1"/>
  <c r="R114" i="74"/>
  <c r="P122" i="74"/>
  <c r="R122" i="74" s="1"/>
  <c r="P127" i="74"/>
  <c r="R162" i="74"/>
  <c r="R172" i="74"/>
  <c r="R182" i="74"/>
  <c r="R229" i="74"/>
  <c r="R270" i="74"/>
  <c r="R280" i="74"/>
  <c r="R290" i="74"/>
  <c r="R337" i="74"/>
  <c r="O390" i="74"/>
  <c r="R390" i="74" s="1"/>
  <c r="M12" i="74"/>
  <c r="O67" i="74"/>
  <c r="R192" i="74"/>
  <c r="R300" i="74"/>
  <c r="R361" i="74"/>
  <c r="H24" i="74"/>
  <c r="R60" i="74"/>
  <c r="O85" i="74"/>
  <c r="P85" i="74" s="1"/>
  <c r="R85" i="74" s="1"/>
  <c r="O110" i="74"/>
  <c r="R132" i="74"/>
  <c r="R145" i="74"/>
  <c r="O186" i="74"/>
  <c r="R186" i="74" s="1"/>
  <c r="R196" i="74"/>
  <c r="O206" i="74"/>
  <c r="R206" i="74" s="1"/>
  <c r="O223" i="74"/>
  <c r="R223" i="74" s="1"/>
  <c r="R240" i="74"/>
  <c r="R253" i="74"/>
  <c r="O294" i="74"/>
  <c r="R294" i="74" s="1"/>
  <c r="R304" i="74"/>
  <c r="O314" i="74"/>
  <c r="R314" i="74" s="1"/>
  <c r="O331" i="74"/>
  <c r="R331" i="74" s="1"/>
  <c r="R379" i="74"/>
  <c r="R11" i="74"/>
  <c r="I24" i="74"/>
  <c r="P10" i="74"/>
  <c r="R102" i="74"/>
  <c r="P110" i="74"/>
  <c r="R110" i="74" s="1"/>
  <c r="P115" i="74"/>
  <c r="R115" i="74" s="1"/>
  <c r="R127" i="74"/>
  <c r="R169" i="74"/>
  <c r="O210" i="74"/>
  <c r="R210" i="74" s="1"/>
  <c r="R216" i="74"/>
  <c r="R220" i="74"/>
  <c r="O230" i="74"/>
  <c r="R230" i="74" s="1"/>
  <c r="R277" i="74"/>
  <c r="O318" i="74"/>
  <c r="R318" i="74" s="1"/>
  <c r="R328" i="74"/>
  <c r="O338" i="74"/>
  <c r="R338" i="74" s="1"/>
  <c r="R362" i="74"/>
  <c r="R373" i="74"/>
  <c r="O398" i="74"/>
  <c r="R398" i="74" s="1"/>
  <c r="R301" i="74"/>
  <c r="R86" i="74"/>
  <c r="O90" i="74"/>
  <c r="P90" i="74" s="1"/>
  <c r="O98" i="74"/>
  <c r="P98" i="74" s="1"/>
  <c r="R98" i="74" s="1"/>
  <c r="O146" i="74"/>
  <c r="R146" i="74" s="1"/>
  <c r="R156" i="74"/>
  <c r="R170" i="74"/>
  <c r="O234" i="74"/>
  <c r="R234" i="74" s="1"/>
  <c r="O254" i="74"/>
  <c r="R254" i="74" s="1"/>
  <c r="R258" i="74"/>
  <c r="R264" i="74"/>
  <c r="R278" i="74"/>
  <c r="O342" i="74"/>
  <c r="R342" i="74" s="1"/>
  <c r="O366" i="74"/>
  <c r="R366" i="74" s="1"/>
  <c r="O176" i="74"/>
  <c r="R176" i="74" s="1"/>
  <c r="O212" i="74"/>
  <c r="R212" i="74" s="1"/>
  <c r="R63" i="74"/>
  <c r="R46" i="74"/>
  <c r="P94" i="74"/>
  <c r="P106" i="74"/>
  <c r="R106" i="74" s="1"/>
  <c r="P118" i="74"/>
  <c r="R118" i="74" s="1"/>
  <c r="O147" i="74"/>
  <c r="R147" i="74" s="1"/>
  <c r="O183" i="74"/>
  <c r="R183" i="74" s="1"/>
  <c r="O219" i="74"/>
  <c r="R219" i="74" s="1"/>
  <c r="O255" i="74"/>
  <c r="R255" i="74" s="1"/>
  <c r="O291" i="74"/>
  <c r="R291" i="74" s="1"/>
  <c r="O327" i="74"/>
  <c r="R327" i="74" s="1"/>
  <c r="R70" i="74"/>
  <c r="O140" i="74"/>
  <c r="R140" i="74" s="1"/>
  <c r="O248" i="74"/>
  <c r="R248" i="74" s="1"/>
  <c r="O284" i="74"/>
  <c r="R284" i="74" s="1"/>
  <c r="O320" i="74"/>
  <c r="R320" i="74" s="1"/>
  <c r="F16" i="74"/>
  <c r="G16" i="74"/>
  <c r="R42" i="74"/>
  <c r="M10" i="74"/>
  <c r="P75" i="74"/>
  <c r="R75" i="74" s="1"/>
  <c r="P87" i="74"/>
  <c r="R87" i="74" s="1"/>
  <c r="R154" i="74"/>
  <c r="R190" i="74"/>
  <c r="R226" i="74"/>
  <c r="R262" i="74"/>
  <c r="R298" i="74"/>
  <c r="R334" i="74"/>
  <c r="O375" i="74"/>
  <c r="R375" i="74" s="1"/>
  <c r="R82" i="74"/>
  <c r="R54" i="74"/>
  <c r="O164" i="74"/>
  <c r="R164" i="74" s="1"/>
  <c r="O200" i="74"/>
  <c r="R200" i="74" s="1"/>
  <c r="O236" i="74"/>
  <c r="R236" i="74" s="1"/>
  <c r="O272" i="74"/>
  <c r="R272" i="74" s="1"/>
  <c r="O308" i="74"/>
  <c r="R308" i="74" s="1"/>
  <c r="O44" i="74"/>
  <c r="P44" i="74" s="1"/>
  <c r="O68" i="74"/>
  <c r="P68" i="74" s="1"/>
  <c r="R68" i="74" s="1"/>
  <c r="M8" i="74"/>
  <c r="R348" i="74"/>
  <c r="O351" i="74"/>
  <c r="R351" i="74" s="1"/>
  <c r="R372" i="74"/>
  <c r="J16" i="74"/>
  <c r="R58" i="74"/>
  <c r="O80" i="74"/>
  <c r="P80" i="74" s="1"/>
  <c r="R80" i="74" s="1"/>
  <c r="O99" i="74"/>
  <c r="O111" i="74"/>
  <c r="O123" i="74"/>
  <c r="P123" i="74" s="1"/>
  <c r="R135" i="74"/>
  <c r="O171" i="74"/>
  <c r="R171" i="74" s="1"/>
  <c r="O207" i="74"/>
  <c r="R207" i="74" s="1"/>
  <c r="O243" i="74"/>
  <c r="R243" i="74" s="1"/>
  <c r="O279" i="74"/>
  <c r="R279" i="74" s="1"/>
  <c r="O315" i="74"/>
  <c r="R315" i="74" s="1"/>
  <c r="R394" i="74"/>
  <c r="H16" i="74"/>
  <c r="O92" i="74"/>
  <c r="R92" i="74" s="1"/>
  <c r="P8" i="74"/>
  <c r="O387" i="74"/>
  <c r="R387" i="74"/>
  <c r="K16" i="74"/>
  <c r="O39" i="74"/>
  <c r="Q39" i="74" s="1"/>
  <c r="O104" i="74"/>
  <c r="P104" i="74" s="1"/>
  <c r="R104" i="74" s="1"/>
  <c r="O116" i="74"/>
  <c r="P116" i="74" s="1"/>
  <c r="O128" i="74"/>
  <c r="P128" i="74" s="1"/>
  <c r="R128" i="74" s="1"/>
  <c r="O152" i="74"/>
  <c r="R152" i="74" s="1"/>
  <c r="O188" i="74"/>
  <c r="R188" i="74" s="1"/>
  <c r="O224" i="74"/>
  <c r="R224" i="74" s="1"/>
  <c r="O260" i="74"/>
  <c r="R260" i="74" s="1"/>
  <c r="O296" i="74"/>
  <c r="R296" i="74" s="1"/>
  <c r="O332" i="74"/>
  <c r="R332" i="74" s="1"/>
  <c r="O363" i="74"/>
  <c r="R363" i="74"/>
  <c r="O51" i="74"/>
  <c r="R51" i="74" s="1"/>
  <c r="R159" i="74"/>
  <c r="R195" i="74"/>
  <c r="R231" i="74"/>
  <c r="R267" i="74"/>
  <c r="R303" i="74"/>
  <c r="R339" i="74"/>
  <c r="R384" i="74"/>
  <c r="O56" i="74"/>
  <c r="R56" i="74" s="1"/>
  <c r="M7" i="74"/>
  <c r="O32" i="74"/>
  <c r="Q40" i="74"/>
  <c r="R40" i="74" s="1"/>
  <c r="R66" i="74"/>
  <c r="R41" i="74"/>
  <c r="R53" i="74"/>
  <c r="R65" i="74"/>
  <c r="R77" i="74"/>
  <c r="R89" i="74"/>
  <c r="R101" i="74"/>
  <c r="R137" i="74"/>
  <c r="R149" i="74"/>
  <c r="R161" i="74"/>
  <c r="R173" i="74"/>
  <c r="R185" i="74"/>
  <c r="R197" i="74"/>
  <c r="R209" i="74"/>
  <c r="R221" i="74"/>
  <c r="R233" i="74"/>
  <c r="R245" i="74"/>
  <c r="R257" i="74"/>
  <c r="R269" i="74"/>
  <c r="R281" i="74"/>
  <c r="R293" i="74"/>
  <c r="R305" i="74"/>
  <c r="R317" i="74"/>
  <c r="R329" i="74"/>
  <c r="R341" i="74"/>
  <c r="O344" i="74"/>
  <c r="R344" i="74" s="1"/>
  <c r="R353" i="74"/>
  <c r="O356" i="74"/>
  <c r="R356" i="74" s="1"/>
  <c r="R365" i="74"/>
  <c r="O368" i="74"/>
  <c r="R368" i="74" s="1"/>
  <c r="R377" i="74"/>
  <c r="O380" i="74"/>
  <c r="R380" i="74" s="1"/>
  <c r="R389" i="74"/>
  <c r="O392" i="74"/>
  <c r="R392" i="74" s="1"/>
  <c r="E11" i="74"/>
  <c r="E6" i="74"/>
  <c r="R6" i="74"/>
  <c r="E12" i="74"/>
  <c r="O35" i="74"/>
  <c r="O47" i="74"/>
  <c r="R47" i="74" s="1"/>
  <c r="O59" i="74"/>
  <c r="R59" i="74" s="1"/>
  <c r="O71" i="74"/>
  <c r="O83" i="74"/>
  <c r="O95" i="74"/>
  <c r="P95" i="74" s="1"/>
  <c r="O107" i="74"/>
  <c r="O119" i="74"/>
  <c r="O131" i="74"/>
  <c r="O143" i="74"/>
  <c r="R143" i="74" s="1"/>
  <c r="O155" i="74"/>
  <c r="R155" i="74" s="1"/>
  <c r="O167" i="74"/>
  <c r="R167" i="74" s="1"/>
  <c r="O179" i="74"/>
  <c r="R179" i="74" s="1"/>
  <c r="O191" i="74"/>
  <c r="R191" i="74" s="1"/>
  <c r="O203" i="74"/>
  <c r="R203" i="74" s="1"/>
  <c r="O215" i="74"/>
  <c r="R215" i="74" s="1"/>
  <c r="O227" i="74"/>
  <c r="R227" i="74" s="1"/>
  <c r="O239" i="74"/>
  <c r="R239" i="74" s="1"/>
  <c r="O251" i="74"/>
  <c r="R251" i="74" s="1"/>
  <c r="O263" i="74"/>
  <c r="R263" i="74" s="1"/>
  <c r="O275" i="74"/>
  <c r="R275" i="74" s="1"/>
  <c r="O287" i="74"/>
  <c r="R287" i="74" s="1"/>
  <c r="O299" i="74"/>
  <c r="R299" i="74" s="1"/>
  <c r="O311" i="74"/>
  <c r="R311" i="74" s="1"/>
  <c r="O323" i="74"/>
  <c r="R323" i="74" s="1"/>
  <c r="O335" i="74"/>
  <c r="R335" i="74" s="1"/>
  <c r="O347" i="74"/>
  <c r="R347" i="74" s="1"/>
  <c r="O359" i="74"/>
  <c r="R359" i="74" s="1"/>
  <c r="O371" i="74"/>
  <c r="R371" i="74" s="1"/>
  <c r="O383" i="74"/>
  <c r="R383" i="74" s="1"/>
  <c r="O395" i="74"/>
  <c r="R395" i="74" s="1"/>
  <c r="O52" i="74"/>
  <c r="P71" i="74"/>
  <c r="O76" i="74"/>
  <c r="P76" i="74" s="1"/>
  <c r="P83" i="74"/>
  <c r="O88" i="74"/>
  <c r="P88" i="74" s="1"/>
  <c r="O100" i="74"/>
  <c r="P100" i="74" s="1"/>
  <c r="P107" i="74"/>
  <c r="O112" i="74"/>
  <c r="P112" i="74" s="1"/>
  <c r="O124" i="74"/>
  <c r="P124" i="74" s="1"/>
  <c r="O136" i="74"/>
  <c r="E13" i="74"/>
  <c r="O33" i="74"/>
  <c r="P33" i="74" s="1"/>
  <c r="O45" i="74"/>
  <c r="O57" i="74"/>
  <c r="R57" i="74" s="1"/>
  <c r="O69" i="74"/>
  <c r="R69" i="74" s="1"/>
  <c r="O81" i="74"/>
  <c r="P81" i="74" s="1"/>
  <c r="O93" i="74"/>
  <c r="P93" i="74" s="1"/>
  <c r="O105" i="74"/>
  <c r="P105" i="74" s="1"/>
  <c r="O117" i="74"/>
  <c r="P117" i="74" s="1"/>
  <c r="O129" i="74"/>
  <c r="P129" i="74" s="1"/>
  <c r="O141" i="74"/>
  <c r="R141" i="74" s="1"/>
  <c r="O153" i="74"/>
  <c r="R153" i="74" s="1"/>
  <c r="O165" i="74"/>
  <c r="R165" i="74" s="1"/>
  <c r="O177" i="74"/>
  <c r="R177" i="74" s="1"/>
  <c r="O189" i="74"/>
  <c r="R189" i="74" s="1"/>
  <c r="O201" i="74"/>
  <c r="R201" i="74" s="1"/>
  <c r="O213" i="74"/>
  <c r="R213" i="74" s="1"/>
  <c r="O225" i="74"/>
  <c r="R225" i="74" s="1"/>
  <c r="O237" i="74"/>
  <c r="R237" i="74" s="1"/>
  <c r="O249" i="74"/>
  <c r="R249" i="74" s="1"/>
  <c r="O261" i="74"/>
  <c r="R261" i="74" s="1"/>
  <c r="O273" i="74"/>
  <c r="R273" i="74" s="1"/>
  <c r="O285" i="74"/>
  <c r="R285" i="74" s="1"/>
  <c r="O297" i="74"/>
  <c r="R297" i="74" s="1"/>
  <c r="O309" i="74"/>
  <c r="R309" i="74" s="1"/>
  <c r="O321" i="74"/>
  <c r="R321" i="74" s="1"/>
  <c r="O333" i="74"/>
  <c r="R333" i="74" s="1"/>
  <c r="O345" i="74"/>
  <c r="R345" i="74" s="1"/>
  <c r="O357" i="74"/>
  <c r="R357" i="74" s="1"/>
  <c r="O369" i="74"/>
  <c r="R369" i="74" s="1"/>
  <c r="O381" i="74"/>
  <c r="R381" i="74" s="1"/>
  <c r="O393" i="74"/>
  <c r="R393" i="74" s="1"/>
  <c r="E8" i="74"/>
  <c r="E14" i="74"/>
  <c r="O36" i="74"/>
  <c r="P36" i="74" s="1"/>
  <c r="O48" i="74"/>
  <c r="O72" i="74"/>
  <c r="O84" i="74"/>
  <c r="O96" i="74"/>
  <c r="P96" i="74" s="1"/>
  <c r="O108" i="74"/>
  <c r="O120" i="74"/>
  <c r="P120" i="74" s="1"/>
  <c r="E9" i="74"/>
  <c r="AO36" i="31"/>
  <c r="AW33" i="31"/>
  <c r="AW35" i="31"/>
  <c r="AW32" i="31"/>
  <c r="AW37" i="31"/>
  <c r="AW34" i="31"/>
  <c r="R107" i="74" l="1"/>
  <c r="P78" i="74"/>
  <c r="R78" i="74" s="1"/>
  <c r="R129" i="74"/>
  <c r="R90" i="74"/>
  <c r="R83" i="74"/>
  <c r="R105" i="74"/>
  <c r="P119" i="74"/>
  <c r="R119" i="74" s="1"/>
  <c r="R71" i="74"/>
  <c r="R93" i="74"/>
  <c r="P67" i="74"/>
  <c r="R67" i="74" s="1"/>
  <c r="R123" i="74"/>
  <c r="M16" i="74"/>
  <c r="P111" i="74"/>
  <c r="R111" i="74" s="1"/>
  <c r="R103" i="74"/>
  <c r="P99" i="74"/>
  <c r="R99" i="74" s="1"/>
  <c r="R126" i="74"/>
  <c r="R62" i="74"/>
  <c r="Q44" i="74"/>
  <c r="R44" i="74" s="1"/>
  <c r="R116" i="74"/>
  <c r="R39" i="74"/>
  <c r="N12" i="74"/>
  <c r="P131" i="74"/>
  <c r="R131" i="74" s="1"/>
  <c r="P35" i="74"/>
  <c r="R35" i="74" s="1"/>
  <c r="P108" i="74"/>
  <c r="R108" i="74" s="1"/>
  <c r="N10" i="74"/>
  <c r="R36" i="74"/>
  <c r="R124" i="74"/>
  <c r="R94" i="74"/>
  <c r="N8" i="74"/>
  <c r="R96" i="74"/>
  <c r="N7" i="74"/>
  <c r="R112" i="74"/>
  <c r="P32" i="74"/>
  <c r="R32" i="74" s="1"/>
  <c r="R95" i="74"/>
  <c r="E16" i="74"/>
  <c r="P84" i="74"/>
  <c r="R84" i="74" s="1"/>
  <c r="P45" i="74"/>
  <c r="R76" i="74"/>
  <c r="R100" i="74"/>
  <c r="R81" i="74"/>
  <c r="P72" i="74"/>
  <c r="O10" i="74" s="1"/>
  <c r="R10" i="74" s="1"/>
  <c r="R120" i="74"/>
  <c r="P136" i="74"/>
  <c r="R136" i="74" s="1"/>
  <c r="P48" i="74"/>
  <c r="R48" i="74" s="1"/>
  <c r="R88" i="74"/>
  <c r="R117" i="74"/>
  <c r="P52" i="74"/>
  <c r="R33" i="74"/>
  <c r="AO32" i="31"/>
  <c r="AO33" i="31"/>
  <c r="AO34" i="31"/>
  <c r="AO35" i="31"/>
  <c r="AO37" i="31"/>
  <c r="O12" i="74" l="1"/>
  <c r="R12" i="74" s="1"/>
  <c r="N16" i="74"/>
  <c r="R52" i="74"/>
  <c r="Q12" i="74" s="1"/>
  <c r="Q8" i="74"/>
  <c r="O8" i="74"/>
  <c r="R8" i="74" s="1"/>
  <c r="Q45" i="74"/>
  <c r="P7" i="74" s="1"/>
  <c r="P16" i="74" s="1"/>
  <c r="R72" i="74"/>
  <c r="Q10" i="74" s="1"/>
  <c r="O7" i="74"/>
  <c r="AO45" i="31"/>
  <c r="AO46" i="31"/>
  <c r="AO47" i="31"/>
  <c r="AO48" i="31"/>
  <c r="AO49" i="31"/>
  <c r="AO50" i="31"/>
  <c r="AO51" i="31"/>
  <c r="AO52" i="31"/>
  <c r="AO44" i="31"/>
  <c r="M45" i="31"/>
  <c r="M44" i="31"/>
  <c r="L44" i="31"/>
  <c r="L43" i="31"/>
  <c r="M42" i="31"/>
  <c r="M41" i="31"/>
  <c r="L41" i="31"/>
  <c r="K45" i="31"/>
  <c r="K43" i="31"/>
  <c r="K42" i="31"/>
  <c r="N32" i="48"/>
  <c r="N33" i="48"/>
  <c r="N34" i="48"/>
  <c r="N35" i="48"/>
  <c r="N36" i="48"/>
  <c r="N37" i="48"/>
  <c r="N38" i="48"/>
  <c r="N39" i="48"/>
  <c r="N40" i="48"/>
  <c r="N41" i="48"/>
  <c r="N42" i="48"/>
  <c r="N43" i="48"/>
  <c r="N44" i="48"/>
  <c r="N45" i="48"/>
  <c r="N46" i="48"/>
  <c r="N47" i="48"/>
  <c r="N48" i="48"/>
  <c r="N49" i="48"/>
  <c r="N50" i="48"/>
  <c r="N51" i="48"/>
  <c r="N52" i="48"/>
  <c r="N53" i="48"/>
  <c r="N54" i="48"/>
  <c r="N55" i="48"/>
  <c r="N56" i="48"/>
  <c r="N57" i="48"/>
  <c r="N58" i="48"/>
  <c r="N59" i="48"/>
  <c r="N60" i="48"/>
  <c r="N61" i="48"/>
  <c r="N62" i="48"/>
  <c r="N63" i="48"/>
  <c r="N64" i="48"/>
  <c r="N65" i="48"/>
  <c r="N66" i="48"/>
  <c r="N67" i="48"/>
  <c r="N68" i="48"/>
  <c r="N69" i="48"/>
  <c r="N70" i="48"/>
  <c r="N71" i="48"/>
  <c r="N72" i="48"/>
  <c r="N73" i="48"/>
  <c r="N74" i="48"/>
  <c r="N75" i="48"/>
  <c r="N76" i="48"/>
  <c r="N77" i="48"/>
  <c r="N78" i="48"/>
  <c r="N79" i="48"/>
  <c r="N80" i="48"/>
  <c r="N81" i="48"/>
  <c r="N82" i="48"/>
  <c r="N83" i="48"/>
  <c r="N84" i="48"/>
  <c r="N85" i="48"/>
  <c r="N86" i="48"/>
  <c r="N87" i="48"/>
  <c r="N88" i="48"/>
  <c r="N89" i="48"/>
  <c r="N90" i="48"/>
  <c r="N91" i="48"/>
  <c r="N92" i="48"/>
  <c r="N93" i="48"/>
  <c r="N94" i="48"/>
  <c r="N95" i="48"/>
  <c r="N96" i="48"/>
  <c r="N97" i="48"/>
  <c r="N98" i="48"/>
  <c r="N99" i="48"/>
  <c r="N100" i="48"/>
  <c r="N101" i="48"/>
  <c r="N102" i="48"/>
  <c r="N103" i="48"/>
  <c r="N104" i="48"/>
  <c r="N105" i="48"/>
  <c r="N106" i="48"/>
  <c r="N107" i="48"/>
  <c r="N108" i="48"/>
  <c r="N109" i="48"/>
  <c r="N110" i="48"/>
  <c r="N111" i="48"/>
  <c r="N112" i="48"/>
  <c r="N113" i="48"/>
  <c r="N114" i="48"/>
  <c r="N115" i="48"/>
  <c r="N116" i="48"/>
  <c r="N117" i="48"/>
  <c r="N118" i="48"/>
  <c r="N119" i="48"/>
  <c r="N120" i="48"/>
  <c r="N121" i="48"/>
  <c r="N122" i="48"/>
  <c r="N123" i="48"/>
  <c r="N124" i="48"/>
  <c r="N125" i="48"/>
  <c r="N126" i="48"/>
  <c r="N127" i="48"/>
  <c r="N128" i="48"/>
  <c r="N129" i="48"/>
  <c r="N130" i="48"/>
  <c r="N131" i="48"/>
  <c r="N132" i="48"/>
  <c r="N133" i="48"/>
  <c r="N134" i="48"/>
  <c r="N135" i="48"/>
  <c r="N136" i="48"/>
  <c r="N137" i="48"/>
  <c r="N138" i="48"/>
  <c r="N139" i="48"/>
  <c r="N140" i="48"/>
  <c r="N141" i="48"/>
  <c r="N142" i="48"/>
  <c r="N143" i="48"/>
  <c r="N144" i="48"/>
  <c r="N145" i="48"/>
  <c r="N146" i="48"/>
  <c r="N147" i="48"/>
  <c r="N148" i="48"/>
  <c r="N149" i="48"/>
  <c r="N150" i="48"/>
  <c r="N151" i="48"/>
  <c r="N152" i="48"/>
  <c r="N153" i="48"/>
  <c r="N154" i="48"/>
  <c r="N155" i="48"/>
  <c r="N156" i="48"/>
  <c r="N157" i="48"/>
  <c r="N158" i="48"/>
  <c r="N159" i="48"/>
  <c r="N160" i="48"/>
  <c r="N161" i="48"/>
  <c r="N162" i="48"/>
  <c r="N163" i="48"/>
  <c r="N164" i="48"/>
  <c r="N165" i="48"/>
  <c r="N166" i="48"/>
  <c r="N167" i="48"/>
  <c r="N168" i="48"/>
  <c r="N169" i="48"/>
  <c r="N170" i="48"/>
  <c r="N171" i="48"/>
  <c r="N172" i="48"/>
  <c r="N173" i="48"/>
  <c r="N174" i="48"/>
  <c r="N175" i="48"/>
  <c r="N176" i="48"/>
  <c r="N177" i="48"/>
  <c r="N178" i="48"/>
  <c r="N179" i="48"/>
  <c r="N180" i="48"/>
  <c r="N181" i="48"/>
  <c r="N182" i="48"/>
  <c r="N183" i="48"/>
  <c r="N184" i="48"/>
  <c r="N185" i="48"/>
  <c r="N186" i="48"/>
  <c r="N187" i="48"/>
  <c r="N188" i="48"/>
  <c r="N189" i="48"/>
  <c r="N190" i="48"/>
  <c r="N191" i="48"/>
  <c r="N192" i="48"/>
  <c r="N193" i="48"/>
  <c r="N194" i="48"/>
  <c r="N195" i="48"/>
  <c r="N196" i="48"/>
  <c r="N197" i="48"/>
  <c r="N198" i="48"/>
  <c r="N199" i="48"/>
  <c r="N200" i="48"/>
  <c r="N201" i="48"/>
  <c r="N202" i="48"/>
  <c r="N203" i="48"/>
  <c r="N204" i="48"/>
  <c r="N205" i="48"/>
  <c r="N206" i="48"/>
  <c r="N207" i="48"/>
  <c r="N208" i="48"/>
  <c r="N209" i="48"/>
  <c r="N210" i="48"/>
  <c r="N211" i="48"/>
  <c r="N212" i="48"/>
  <c r="N213" i="48"/>
  <c r="N214" i="48"/>
  <c r="N215" i="48"/>
  <c r="N216" i="48"/>
  <c r="N217" i="48"/>
  <c r="N218" i="48"/>
  <c r="N219" i="48"/>
  <c r="N220" i="48"/>
  <c r="N221" i="48"/>
  <c r="N222" i="48"/>
  <c r="N223" i="48"/>
  <c r="N224" i="48"/>
  <c r="N225" i="48"/>
  <c r="N226" i="48"/>
  <c r="N227" i="48"/>
  <c r="N228" i="48"/>
  <c r="N229" i="48"/>
  <c r="N230" i="48"/>
  <c r="N231" i="48"/>
  <c r="N232" i="48"/>
  <c r="N233" i="48"/>
  <c r="N234" i="48"/>
  <c r="N235" i="48"/>
  <c r="N236" i="48"/>
  <c r="N237" i="48"/>
  <c r="N238" i="48"/>
  <c r="N239" i="48"/>
  <c r="N240" i="48"/>
  <c r="N241" i="48"/>
  <c r="N242" i="48"/>
  <c r="N243" i="48"/>
  <c r="N244" i="48"/>
  <c r="N245" i="48"/>
  <c r="N246" i="48"/>
  <c r="N247" i="48"/>
  <c r="N248" i="48"/>
  <c r="N249" i="48"/>
  <c r="N250" i="48"/>
  <c r="N251" i="48"/>
  <c r="N252" i="48"/>
  <c r="N253" i="48"/>
  <c r="N254" i="48"/>
  <c r="N255" i="48"/>
  <c r="N256" i="48"/>
  <c r="N257" i="48"/>
  <c r="N258" i="48"/>
  <c r="N259" i="48"/>
  <c r="N260" i="48"/>
  <c r="N261" i="48"/>
  <c r="N262" i="48"/>
  <c r="N263" i="48"/>
  <c r="N264" i="48"/>
  <c r="N265" i="48"/>
  <c r="N266" i="48"/>
  <c r="N267" i="48"/>
  <c r="N268" i="48"/>
  <c r="N269" i="48"/>
  <c r="N270" i="48"/>
  <c r="N271" i="48"/>
  <c r="N272" i="48"/>
  <c r="N273" i="48"/>
  <c r="N274" i="48"/>
  <c r="N275" i="48"/>
  <c r="N276" i="48"/>
  <c r="N277" i="48"/>
  <c r="N278" i="48"/>
  <c r="N279" i="48"/>
  <c r="N280" i="48"/>
  <c r="N281" i="48"/>
  <c r="N282" i="48"/>
  <c r="N283" i="48"/>
  <c r="N284" i="48"/>
  <c r="N285" i="48"/>
  <c r="N286" i="48"/>
  <c r="N287" i="48"/>
  <c r="N288" i="48"/>
  <c r="N289" i="48"/>
  <c r="N290" i="48"/>
  <c r="N291" i="48"/>
  <c r="N292" i="48"/>
  <c r="N293" i="48"/>
  <c r="N294" i="48"/>
  <c r="N295" i="48"/>
  <c r="N296" i="48"/>
  <c r="N297" i="48"/>
  <c r="N298" i="48"/>
  <c r="N299" i="48"/>
  <c r="N300" i="48"/>
  <c r="N301" i="48"/>
  <c r="Q32" i="66"/>
  <c r="Q33" i="66"/>
  <c r="Q34" i="66"/>
  <c r="Q35" i="66"/>
  <c r="Q36" i="66"/>
  <c r="Q37" i="66"/>
  <c r="Q39" i="66"/>
  <c r="Q40" i="66"/>
  <c r="Q41" i="66"/>
  <c r="Q42" i="66"/>
  <c r="Q43" i="66"/>
  <c r="Q44" i="66"/>
  <c r="Q45" i="66"/>
  <c r="Q46" i="66"/>
  <c r="Q47" i="66"/>
  <c r="Q48" i="66"/>
  <c r="Q49" i="66"/>
  <c r="Q50" i="66"/>
  <c r="Q51" i="66"/>
  <c r="Q52" i="66"/>
  <c r="Q53" i="66"/>
  <c r="Q54" i="66"/>
  <c r="Q55" i="66"/>
  <c r="Q56" i="66"/>
  <c r="Q57" i="66"/>
  <c r="Q58" i="66"/>
  <c r="Q59" i="66"/>
  <c r="Q60" i="66"/>
  <c r="Q61" i="66"/>
  <c r="Q62" i="66"/>
  <c r="Q63" i="66"/>
  <c r="Q64" i="66"/>
  <c r="Q65" i="66"/>
  <c r="Q66" i="66"/>
  <c r="Q67" i="66"/>
  <c r="Q68" i="66"/>
  <c r="Q69" i="66"/>
  <c r="Q70" i="66"/>
  <c r="Q71" i="66"/>
  <c r="Q72" i="66"/>
  <c r="Q73" i="66"/>
  <c r="Q74" i="66"/>
  <c r="Q75" i="66"/>
  <c r="Q76" i="66"/>
  <c r="Q77" i="66"/>
  <c r="Q78" i="66"/>
  <c r="Q79" i="66"/>
  <c r="Q80" i="66"/>
  <c r="Q81" i="66"/>
  <c r="Q82" i="66"/>
  <c r="Q83" i="66"/>
  <c r="Q84" i="66"/>
  <c r="Q85" i="66"/>
  <c r="Q86" i="66"/>
  <c r="Q87" i="66"/>
  <c r="Q88" i="66"/>
  <c r="Q89" i="66"/>
  <c r="Q90" i="66"/>
  <c r="Q91" i="66"/>
  <c r="Q92" i="66"/>
  <c r="Q93" i="66"/>
  <c r="Q94" i="66"/>
  <c r="Q95" i="66"/>
  <c r="Q96" i="66"/>
  <c r="Q97" i="66"/>
  <c r="Q98" i="66"/>
  <c r="Q99" i="66"/>
  <c r="Q100" i="66"/>
  <c r="Q101" i="66"/>
  <c r="Q102" i="66"/>
  <c r="Q103" i="66"/>
  <c r="Q104" i="66"/>
  <c r="Q105" i="66"/>
  <c r="Q106" i="66"/>
  <c r="Q107" i="66"/>
  <c r="Q108" i="66"/>
  <c r="Q109" i="66"/>
  <c r="Q110" i="66"/>
  <c r="Q111" i="66"/>
  <c r="Q112" i="66"/>
  <c r="Q113" i="66"/>
  <c r="Q114" i="66"/>
  <c r="Q115" i="66"/>
  <c r="Q116" i="66"/>
  <c r="Q117" i="66"/>
  <c r="Q118" i="66"/>
  <c r="Q119" i="66"/>
  <c r="Q120" i="66"/>
  <c r="Q121" i="66"/>
  <c r="Q122" i="66"/>
  <c r="Q123" i="66"/>
  <c r="Q124" i="66"/>
  <c r="Q125" i="66"/>
  <c r="Q126" i="66"/>
  <c r="Q127" i="66"/>
  <c r="Q128" i="66"/>
  <c r="Q129" i="66"/>
  <c r="Q130" i="66"/>
  <c r="Q131" i="66"/>
  <c r="Q132" i="66"/>
  <c r="Q133" i="66"/>
  <c r="Q134" i="66"/>
  <c r="Q135" i="66"/>
  <c r="Q136" i="66"/>
  <c r="Q137" i="66"/>
  <c r="Q138" i="66"/>
  <c r="Q139" i="66"/>
  <c r="Q140" i="66"/>
  <c r="Q141" i="66"/>
  <c r="Q142" i="66"/>
  <c r="Q143" i="66"/>
  <c r="Q144" i="66"/>
  <c r="Q145" i="66"/>
  <c r="Q146" i="66"/>
  <c r="Q147" i="66"/>
  <c r="Q148" i="66"/>
  <c r="Q149" i="66"/>
  <c r="Q150" i="66"/>
  <c r="Q151" i="66"/>
  <c r="Q152" i="66"/>
  <c r="Q153" i="66"/>
  <c r="Q154" i="66"/>
  <c r="Q155" i="66"/>
  <c r="Q156" i="66"/>
  <c r="Q157" i="66"/>
  <c r="Q158" i="66"/>
  <c r="Q159" i="66"/>
  <c r="Q160" i="66"/>
  <c r="Q161" i="66"/>
  <c r="Q162" i="66"/>
  <c r="Q163" i="66"/>
  <c r="Q164" i="66"/>
  <c r="Q165" i="66"/>
  <c r="Q166" i="66"/>
  <c r="Q167" i="66"/>
  <c r="Q168" i="66"/>
  <c r="Q169" i="66"/>
  <c r="Q170" i="66"/>
  <c r="Q171" i="66"/>
  <c r="Q172" i="66"/>
  <c r="Q173" i="66"/>
  <c r="Q174" i="66"/>
  <c r="Q175" i="66"/>
  <c r="Q176" i="66"/>
  <c r="Q177" i="66"/>
  <c r="Q178" i="66"/>
  <c r="Q179" i="66"/>
  <c r="Q180" i="66"/>
  <c r="Q181" i="66"/>
  <c r="Q182" i="66"/>
  <c r="Q183" i="66"/>
  <c r="Q184" i="66"/>
  <c r="Q185" i="66"/>
  <c r="Q186" i="66"/>
  <c r="Q187" i="66"/>
  <c r="Q188" i="66"/>
  <c r="Q189" i="66"/>
  <c r="Q190" i="66"/>
  <c r="Q191" i="66"/>
  <c r="Q192" i="66"/>
  <c r="Q193" i="66"/>
  <c r="Q194" i="66"/>
  <c r="Q195" i="66"/>
  <c r="Q196" i="66"/>
  <c r="Q197" i="66"/>
  <c r="Q198" i="66"/>
  <c r="Q199" i="66"/>
  <c r="Q200" i="66"/>
  <c r="Q201" i="66"/>
  <c r="Q202" i="66"/>
  <c r="Q203" i="66"/>
  <c r="Q204" i="66"/>
  <c r="Q205" i="66"/>
  <c r="Q206" i="66"/>
  <c r="Q207" i="66"/>
  <c r="Q208" i="66"/>
  <c r="Q209" i="66"/>
  <c r="Q210" i="66"/>
  <c r="Q211" i="66"/>
  <c r="Q212" i="66"/>
  <c r="Q213" i="66"/>
  <c r="Q214" i="66"/>
  <c r="Q215" i="66"/>
  <c r="Q216" i="66"/>
  <c r="Q217" i="66"/>
  <c r="Q218" i="66"/>
  <c r="Q219" i="66"/>
  <c r="Q220" i="66"/>
  <c r="Q221" i="66"/>
  <c r="Q222" i="66"/>
  <c r="Q223" i="66"/>
  <c r="Q224" i="66"/>
  <c r="Q225" i="66"/>
  <c r="Q226" i="66"/>
  <c r="Q227" i="66"/>
  <c r="Q228" i="66"/>
  <c r="Q229" i="66"/>
  <c r="Q230" i="66"/>
  <c r="Q231" i="66"/>
  <c r="Q232" i="66"/>
  <c r="Q233" i="66"/>
  <c r="Q234" i="66"/>
  <c r="Q235" i="66"/>
  <c r="Q236" i="66"/>
  <c r="Q237" i="66"/>
  <c r="Q238" i="66"/>
  <c r="Q239" i="66"/>
  <c r="Q240" i="66"/>
  <c r="Q241" i="66"/>
  <c r="Q242" i="66"/>
  <c r="Q243" i="66"/>
  <c r="Q244" i="66"/>
  <c r="Q245" i="66"/>
  <c r="Q246" i="66"/>
  <c r="Q247" i="66"/>
  <c r="Q248" i="66"/>
  <c r="Q249" i="66"/>
  <c r="Q250" i="66"/>
  <c r="Q251" i="66"/>
  <c r="Q252" i="66"/>
  <c r="Q253" i="66"/>
  <c r="Q254" i="66"/>
  <c r="Q255" i="66"/>
  <c r="Q256" i="66"/>
  <c r="Q257" i="66"/>
  <c r="Q258" i="66"/>
  <c r="Q259" i="66"/>
  <c r="Q260" i="66"/>
  <c r="Q261" i="66"/>
  <c r="Q262" i="66"/>
  <c r="Q263" i="66"/>
  <c r="Q264" i="66"/>
  <c r="Q265" i="66"/>
  <c r="Q266" i="66"/>
  <c r="Q267" i="66"/>
  <c r="Q268" i="66"/>
  <c r="Q269" i="66"/>
  <c r="Q270" i="66"/>
  <c r="Q271" i="66"/>
  <c r="Q272" i="66"/>
  <c r="Q273" i="66"/>
  <c r="Q274" i="66"/>
  <c r="Q275" i="66"/>
  <c r="Q276" i="66"/>
  <c r="Q277" i="66"/>
  <c r="Q278" i="66"/>
  <c r="Q279" i="66"/>
  <c r="Q280" i="66"/>
  <c r="Q281" i="66"/>
  <c r="Q282" i="66"/>
  <c r="Q283" i="66"/>
  <c r="Q284" i="66"/>
  <c r="Q285" i="66"/>
  <c r="Q286" i="66"/>
  <c r="Q287" i="66"/>
  <c r="Q288" i="66"/>
  <c r="Q289" i="66"/>
  <c r="Q290" i="66"/>
  <c r="Q291" i="66"/>
  <c r="Q292" i="66"/>
  <c r="Q293" i="66"/>
  <c r="Q294" i="66"/>
  <c r="Q295" i="66"/>
  <c r="Q296" i="66"/>
  <c r="Q297" i="66"/>
  <c r="Q298" i="66"/>
  <c r="Q299" i="66"/>
  <c r="Q300" i="66"/>
  <c r="Q301" i="66"/>
  <c r="Q302" i="66"/>
  <c r="Q303" i="66"/>
  <c r="Q304" i="66"/>
  <c r="Q305" i="66"/>
  <c r="Q306" i="66"/>
  <c r="Q307" i="66"/>
  <c r="Q308" i="66"/>
  <c r="Q309" i="66"/>
  <c r="Q310" i="66"/>
  <c r="Q311" i="66"/>
  <c r="Q312" i="66"/>
  <c r="Q313" i="66"/>
  <c r="Q314" i="66"/>
  <c r="Q315" i="66"/>
  <c r="Q316" i="66"/>
  <c r="Q317" i="66"/>
  <c r="Q318" i="66"/>
  <c r="Q319" i="66"/>
  <c r="Q320" i="66"/>
  <c r="Q321" i="66"/>
  <c r="Q322" i="66"/>
  <c r="P65" i="66"/>
  <c r="P66" i="66"/>
  <c r="P69" i="66"/>
  <c r="P70" i="66"/>
  <c r="P73" i="66"/>
  <c r="P114" i="66"/>
  <c r="P116" i="66"/>
  <c r="P118" i="66"/>
  <c r="P119" i="66"/>
  <c r="P120" i="66"/>
  <c r="P121" i="66"/>
  <c r="P122" i="66"/>
  <c r="P123" i="66"/>
  <c r="P124" i="66"/>
  <c r="P125" i="66"/>
  <c r="P166" i="66"/>
  <c r="P182" i="66"/>
  <c r="P317" i="66"/>
  <c r="P318" i="66"/>
  <c r="P319" i="66"/>
  <c r="P320" i="66"/>
  <c r="P321" i="66"/>
  <c r="P322" i="66"/>
  <c r="N32" i="66"/>
  <c r="N33" i="66"/>
  <c r="N34" i="66"/>
  <c r="O34" i="66" s="1"/>
  <c r="N35" i="66"/>
  <c r="O35" i="66" s="1"/>
  <c r="N36" i="66"/>
  <c r="O36" i="66" s="1"/>
  <c r="N37" i="66"/>
  <c r="O37" i="66" s="1"/>
  <c r="P37" i="66" s="1"/>
  <c r="N38" i="66"/>
  <c r="N39" i="66"/>
  <c r="N40" i="66"/>
  <c r="N41" i="66"/>
  <c r="N42" i="66"/>
  <c r="N43" i="66"/>
  <c r="N44" i="66"/>
  <c r="N45" i="66"/>
  <c r="N46" i="66"/>
  <c r="O46" i="66" s="1"/>
  <c r="N47" i="66"/>
  <c r="O47" i="66" s="1"/>
  <c r="N48" i="66"/>
  <c r="O48" i="66" s="1"/>
  <c r="N49" i="66"/>
  <c r="O49" i="66" s="1"/>
  <c r="P49" i="66" s="1"/>
  <c r="N50" i="66"/>
  <c r="N51" i="66"/>
  <c r="N52" i="66"/>
  <c r="N53" i="66"/>
  <c r="N54" i="66"/>
  <c r="N55" i="66"/>
  <c r="N56" i="66"/>
  <c r="N57" i="66"/>
  <c r="N58" i="66"/>
  <c r="O58" i="66" s="1"/>
  <c r="N59" i="66"/>
  <c r="O59" i="66" s="1"/>
  <c r="N60" i="66"/>
  <c r="O60" i="66" s="1"/>
  <c r="N61" i="66"/>
  <c r="O61" i="66" s="1"/>
  <c r="P61" i="66" s="1"/>
  <c r="N62" i="66"/>
  <c r="N63" i="66"/>
  <c r="N64" i="66"/>
  <c r="N65" i="66"/>
  <c r="O65" i="66" s="1"/>
  <c r="N66" i="66"/>
  <c r="O66" i="66" s="1"/>
  <c r="N67" i="66"/>
  <c r="N68" i="66"/>
  <c r="N69" i="66"/>
  <c r="N70" i="66"/>
  <c r="N71" i="66"/>
  <c r="O71" i="66" s="1"/>
  <c r="N72" i="66"/>
  <c r="O72" i="66" s="1"/>
  <c r="N73" i="66"/>
  <c r="O73" i="66" s="1"/>
  <c r="N74" i="66"/>
  <c r="N75" i="66"/>
  <c r="N76" i="66"/>
  <c r="N77" i="66"/>
  <c r="N78" i="66"/>
  <c r="N79" i="66"/>
  <c r="N80" i="66"/>
  <c r="N81" i="66"/>
  <c r="N82" i="66"/>
  <c r="O82" i="66" s="1"/>
  <c r="N83" i="66"/>
  <c r="O83" i="66" s="1"/>
  <c r="N84" i="66"/>
  <c r="O84" i="66" s="1"/>
  <c r="N85" i="66"/>
  <c r="O85" i="66" s="1"/>
  <c r="P85" i="66" s="1"/>
  <c r="N86" i="66"/>
  <c r="N87" i="66"/>
  <c r="N88" i="66"/>
  <c r="N89" i="66"/>
  <c r="N90" i="66"/>
  <c r="N91" i="66"/>
  <c r="N92" i="66"/>
  <c r="N93" i="66"/>
  <c r="N94" i="66"/>
  <c r="O94" i="66" s="1"/>
  <c r="N95" i="66"/>
  <c r="O95" i="66" s="1"/>
  <c r="N96" i="66"/>
  <c r="O96" i="66" s="1"/>
  <c r="N97" i="66"/>
  <c r="O97" i="66" s="1"/>
  <c r="P97" i="66" s="1"/>
  <c r="N98" i="66"/>
  <c r="N99" i="66"/>
  <c r="N100" i="66"/>
  <c r="N101" i="66"/>
  <c r="N102" i="66"/>
  <c r="N103" i="66"/>
  <c r="N104" i="66"/>
  <c r="N105" i="66"/>
  <c r="N106" i="66"/>
  <c r="O106" i="66" s="1"/>
  <c r="N107" i="66"/>
  <c r="O107" i="66" s="1"/>
  <c r="N108" i="66"/>
  <c r="O108" i="66" s="1"/>
  <c r="N109" i="66"/>
  <c r="O109" i="66" s="1"/>
  <c r="P109" i="66" s="1"/>
  <c r="N110" i="66"/>
  <c r="N111" i="66"/>
  <c r="N112" i="66"/>
  <c r="N113" i="66"/>
  <c r="N114" i="66"/>
  <c r="O114" i="66" s="1"/>
  <c r="N115" i="66"/>
  <c r="N116" i="66"/>
  <c r="N117" i="66"/>
  <c r="N118" i="66"/>
  <c r="N119" i="66"/>
  <c r="O119" i="66" s="1"/>
  <c r="N120" i="66"/>
  <c r="O120" i="66" s="1"/>
  <c r="N121" i="66"/>
  <c r="O121" i="66" s="1"/>
  <c r="N122" i="66"/>
  <c r="O122" i="66" s="1"/>
  <c r="N123" i="66"/>
  <c r="O123" i="66" s="1"/>
  <c r="N124" i="66"/>
  <c r="O124" i="66" s="1"/>
  <c r="N125" i="66"/>
  <c r="O125" i="66" s="1"/>
  <c r="N126" i="66"/>
  <c r="N127" i="66"/>
  <c r="N128" i="66"/>
  <c r="N129" i="66"/>
  <c r="N130" i="66"/>
  <c r="O130" i="66" s="1"/>
  <c r="N131" i="66"/>
  <c r="O131" i="66" s="1"/>
  <c r="N132" i="66"/>
  <c r="O132" i="66" s="1"/>
  <c r="N133" i="66"/>
  <c r="O133" i="66" s="1"/>
  <c r="P133" i="66" s="1"/>
  <c r="N134" i="66"/>
  <c r="N135" i="66"/>
  <c r="N136" i="66"/>
  <c r="N137" i="66"/>
  <c r="N138" i="66"/>
  <c r="N139" i="66"/>
  <c r="N140" i="66"/>
  <c r="N141" i="66"/>
  <c r="N142" i="66"/>
  <c r="O142" i="66" s="1"/>
  <c r="N143" i="66"/>
  <c r="O143" i="66" s="1"/>
  <c r="N144" i="66"/>
  <c r="O144" i="66" s="1"/>
  <c r="N145" i="66"/>
  <c r="O145" i="66" s="1"/>
  <c r="P145" i="66" s="1"/>
  <c r="N146" i="66"/>
  <c r="N147" i="66"/>
  <c r="N148" i="66"/>
  <c r="N149" i="66"/>
  <c r="N150" i="66"/>
  <c r="N151" i="66"/>
  <c r="N152" i="66"/>
  <c r="N153" i="66"/>
  <c r="N154" i="66"/>
  <c r="O154" i="66" s="1"/>
  <c r="N155" i="66"/>
  <c r="O155" i="66" s="1"/>
  <c r="N156" i="66"/>
  <c r="O156" i="66" s="1"/>
  <c r="N157" i="66"/>
  <c r="O157" i="66" s="1"/>
  <c r="P157" i="66" s="1"/>
  <c r="N158" i="66"/>
  <c r="N159" i="66"/>
  <c r="N160" i="66"/>
  <c r="N161" i="66"/>
  <c r="N162" i="66"/>
  <c r="N163" i="66"/>
  <c r="N164" i="66"/>
  <c r="N165" i="66"/>
  <c r="N166" i="66"/>
  <c r="N167" i="66"/>
  <c r="O167" i="66" s="1"/>
  <c r="N168" i="66"/>
  <c r="O168" i="66" s="1"/>
  <c r="N169" i="66"/>
  <c r="O169" i="66" s="1"/>
  <c r="P169" i="66" s="1"/>
  <c r="N170" i="66"/>
  <c r="N171" i="66"/>
  <c r="N172" i="66"/>
  <c r="N173" i="66"/>
  <c r="N174" i="66"/>
  <c r="N175" i="66"/>
  <c r="N176" i="66"/>
  <c r="N177" i="66"/>
  <c r="N178" i="66"/>
  <c r="O178" i="66" s="1"/>
  <c r="N179" i="66"/>
  <c r="O179" i="66" s="1"/>
  <c r="N180" i="66"/>
  <c r="O180" i="66" s="1"/>
  <c r="N181" i="66"/>
  <c r="O181" i="66" s="1"/>
  <c r="P181" i="66" s="1"/>
  <c r="N182" i="66"/>
  <c r="O182" i="66" s="1"/>
  <c r="N183" i="66"/>
  <c r="N184" i="66"/>
  <c r="N185" i="66"/>
  <c r="N186" i="66"/>
  <c r="N187" i="66"/>
  <c r="N188" i="66"/>
  <c r="N189" i="66"/>
  <c r="N190" i="66"/>
  <c r="O190" i="66" s="1"/>
  <c r="N191" i="66"/>
  <c r="O191" i="66" s="1"/>
  <c r="N192" i="66"/>
  <c r="O192" i="66" s="1"/>
  <c r="N193" i="66"/>
  <c r="O193" i="66" s="1"/>
  <c r="P193" i="66" s="1"/>
  <c r="N194" i="66"/>
  <c r="N195" i="66"/>
  <c r="N196" i="66"/>
  <c r="N197" i="66"/>
  <c r="N198" i="66"/>
  <c r="N199" i="66"/>
  <c r="N200" i="66"/>
  <c r="N201" i="66"/>
  <c r="N202" i="66"/>
  <c r="O202" i="66" s="1"/>
  <c r="N203" i="66"/>
  <c r="O203" i="66" s="1"/>
  <c r="N204" i="66"/>
  <c r="O204" i="66" s="1"/>
  <c r="N205" i="66"/>
  <c r="O205" i="66" s="1"/>
  <c r="P205" i="66" s="1"/>
  <c r="N206" i="66"/>
  <c r="N207" i="66"/>
  <c r="N208" i="66"/>
  <c r="N209" i="66"/>
  <c r="N210" i="66"/>
  <c r="N211" i="66"/>
  <c r="N212" i="66"/>
  <c r="N213" i="66"/>
  <c r="N214" i="66"/>
  <c r="O214" i="66" s="1"/>
  <c r="N215" i="66"/>
  <c r="O215" i="66" s="1"/>
  <c r="N216" i="66"/>
  <c r="O216" i="66" s="1"/>
  <c r="N217" i="66"/>
  <c r="O217" i="66" s="1"/>
  <c r="P217" i="66" s="1"/>
  <c r="N218" i="66"/>
  <c r="N219" i="66"/>
  <c r="N220" i="66"/>
  <c r="N221" i="66"/>
  <c r="N222" i="66"/>
  <c r="N223" i="66"/>
  <c r="N224" i="66"/>
  <c r="N225" i="66"/>
  <c r="N226" i="66"/>
  <c r="O226" i="66" s="1"/>
  <c r="N227" i="66"/>
  <c r="O227" i="66" s="1"/>
  <c r="N228" i="66"/>
  <c r="O228" i="66" s="1"/>
  <c r="N229" i="66"/>
  <c r="O229" i="66" s="1"/>
  <c r="P229" i="66" s="1"/>
  <c r="N230" i="66"/>
  <c r="N231" i="66"/>
  <c r="N232" i="66"/>
  <c r="N233" i="66"/>
  <c r="N234" i="66"/>
  <c r="N235" i="66"/>
  <c r="N236" i="66"/>
  <c r="N237" i="66"/>
  <c r="N238" i="66"/>
  <c r="O238" i="66" s="1"/>
  <c r="N239" i="66"/>
  <c r="O239" i="66" s="1"/>
  <c r="N240" i="66"/>
  <c r="O240" i="66" s="1"/>
  <c r="N241" i="66"/>
  <c r="O241" i="66" s="1"/>
  <c r="P241" i="66" s="1"/>
  <c r="N242" i="66"/>
  <c r="N243" i="66"/>
  <c r="N244" i="66"/>
  <c r="N245" i="66"/>
  <c r="N246" i="66"/>
  <c r="N247" i="66"/>
  <c r="N248" i="66"/>
  <c r="N249" i="66"/>
  <c r="N250" i="66"/>
  <c r="O250" i="66" s="1"/>
  <c r="N251" i="66"/>
  <c r="O251" i="66" s="1"/>
  <c r="N252" i="66"/>
  <c r="O252" i="66" s="1"/>
  <c r="N253" i="66"/>
  <c r="O253" i="66" s="1"/>
  <c r="P253" i="66" s="1"/>
  <c r="N254" i="66"/>
  <c r="N255" i="66"/>
  <c r="N256" i="66"/>
  <c r="N257" i="66"/>
  <c r="N258" i="66"/>
  <c r="N259" i="66"/>
  <c r="N260" i="66"/>
  <c r="N261" i="66"/>
  <c r="N262" i="66"/>
  <c r="O262" i="66" s="1"/>
  <c r="N263" i="66"/>
  <c r="O263" i="66" s="1"/>
  <c r="N264" i="66"/>
  <c r="O264" i="66" s="1"/>
  <c r="N265" i="66"/>
  <c r="O265" i="66" s="1"/>
  <c r="P265" i="66" s="1"/>
  <c r="N266" i="66"/>
  <c r="N267" i="66"/>
  <c r="N268" i="66"/>
  <c r="N269" i="66"/>
  <c r="N270" i="66"/>
  <c r="N271" i="66"/>
  <c r="N272" i="66"/>
  <c r="N273" i="66"/>
  <c r="N274" i="66"/>
  <c r="O274" i="66" s="1"/>
  <c r="N275" i="66"/>
  <c r="O275" i="66" s="1"/>
  <c r="N276" i="66"/>
  <c r="O276" i="66" s="1"/>
  <c r="N277" i="66"/>
  <c r="O277" i="66" s="1"/>
  <c r="P277" i="66" s="1"/>
  <c r="N278" i="66"/>
  <c r="N279" i="66"/>
  <c r="N280" i="66"/>
  <c r="N281" i="66"/>
  <c r="N282" i="66"/>
  <c r="N283" i="66"/>
  <c r="N284" i="66"/>
  <c r="N285" i="66"/>
  <c r="N286" i="66"/>
  <c r="O286" i="66" s="1"/>
  <c r="N287" i="66"/>
  <c r="O287" i="66" s="1"/>
  <c r="N288" i="66"/>
  <c r="O288" i="66" s="1"/>
  <c r="N289" i="66"/>
  <c r="O289" i="66" s="1"/>
  <c r="P289" i="66" s="1"/>
  <c r="N290" i="66"/>
  <c r="N291" i="66"/>
  <c r="N292" i="66"/>
  <c r="N293" i="66"/>
  <c r="N294" i="66"/>
  <c r="N295" i="66"/>
  <c r="N296" i="66"/>
  <c r="N297" i="66"/>
  <c r="N298" i="66"/>
  <c r="O298" i="66" s="1"/>
  <c r="N299" i="66"/>
  <c r="O299" i="66" s="1"/>
  <c r="N300" i="66"/>
  <c r="O300" i="66" s="1"/>
  <c r="N301" i="66"/>
  <c r="O301" i="66" s="1"/>
  <c r="P301" i="66" s="1"/>
  <c r="N302" i="66"/>
  <c r="N303" i="66"/>
  <c r="N304" i="66"/>
  <c r="N305" i="66"/>
  <c r="N306" i="66"/>
  <c r="N307" i="66"/>
  <c r="N308" i="66"/>
  <c r="N309" i="66"/>
  <c r="N310" i="66"/>
  <c r="O310" i="66" s="1"/>
  <c r="N311" i="66"/>
  <c r="O311" i="66" s="1"/>
  <c r="N312" i="66"/>
  <c r="O312" i="66" s="1"/>
  <c r="N313" i="66"/>
  <c r="O313" i="66" s="1"/>
  <c r="P313" i="66" s="1"/>
  <c r="N314" i="66"/>
  <c r="N315" i="66"/>
  <c r="N316" i="66"/>
  <c r="N317" i="66"/>
  <c r="O317" i="66" s="1"/>
  <c r="N318" i="66"/>
  <c r="O318" i="66" s="1"/>
  <c r="N319" i="66"/>
  <c r="O319" i="66" s="1"/>
  <c r="N320" i="66"/>
  <c r="N321" i="66"/>
  <c r="N322" i="66"/>
  <c r="L27" i="66"/>
  <c r="M27" i="66" s="1"/>
  <c r="K27" i="66"/>
  <c r="J27" i="66"/>
  <c r="G27" i="66"/>
  <c r="F27" i="66"/>
  <c r="E27" i="66"/>
  <c r="D27" i="66"/>
  <c r="L26" i="66"/>
  <c r="M26" i="66" s="1"/>
  <c r="K26" i="66"/>
  <c r="J26" i="66"/>
  <c r="G26" i="66"/>
  <c r="F26" i="66"/>
  <c r="E26" i="66"/>
  <c r="D26" i="66"/>
  <c r="L25" i="66"/>
  <c r="M25" i="66" s="1"/>
  <c r="K25" i="66"/>
  <c r="J25" i="66"/>
  <c r="G25" i="66"/>
  <c r="F25" i="66"/>
  <c r="E25" i="66"/>
  <c r="D25" i="66"/>
  <c r="H25" i="66" s="1"/>
  <c r="L24" i="66"/>
  <c r="M24" i="66" s="1"/>
  <c r="K24" i="66"/>
  <c r="J24" i="66"/>
  <c r="G24" i="66"/>
  <c r="F24" i="66"/>
  <c r="E24" i="66"/>
  <c r="D24" i="66"/>
  <c r="V15" i="66"/>
  <c r="K15" i="66"/>
  <c r="J15" i="66"/>
  <c r="I15" i="66"/>
  <c r="H15" i="66"/>
  <c r="G15" i="66"/>
  <c r="F15" i="66"/>
  <c r="D15" i="66"/>
  <c r="V14" i="66"/>
  <c r="K14" i="66"/>
  <c r="J14" i="66"/>
  <c r="I14" i="66"/>
  <c r="H14" i="66"/>
  <c r="G14" i="66"/>
  <c r="F14" i="66"/>
  <c r="D14" i="66"/>
  <c r="V13" i="66"/>
  <c r="Q13" i="66"/>
  <c r="P13" i="66"/>
  <c r="O13" i="66"/>
  <c r="N13" i="66"/>
  <c r="M13" i="66"/>
  <c r="K13" i="66"/>
  <c r="J13" i="66"/>
  <c r="I13" i="66"/>
  <c r="H13" i="66"/>
  <c r="G13" i="66"/>
  <c r="F13" i="66"/>
  <c r="D13" i="66"/>
  <c r="V12" i="66"/>
  <c r="K12" i="66"/>
  <c r="J12" i="66"/>
  <c r="I12" i="66"/>
  <c r="H12" i="66"/>
  <c r="G12" i="66"/>
  <c r="F12" i="66"/>
  <c r="D12" i="66"/>
  <c r="V11" i="66"/>
  <c r="K11" i="66"/>
  <c r="J11" i="66"/>
  <c r="I11" i="66"/>
  <c r="H11" i="66"/>
  <c r="G11" i="66"/>
  <c r="F11" i="66"/>
  <c r="D11" i="66"/>
  <c r="V10" i="66"/>
  <c r="K10" i="66"/>
  <c r="J10" i="66"/>
  <c r="I10" i="66"/>
  <c r="H10" i="66"/>
  <c r="G10" i="66"/>
  <c r="F10" i="66"/>
  <c r="D10" i="66"/>
  <c r="V9" i="66"/>
  <c r="K9" i="66"/>
  <c r="J9" i="66"/>
  <c r="I9" i="66"/>
  <c r="H9" i="66"/>
  <c r="G9" i="66"/>
  <c r="F9" i="66"/>
  <c r="D9" i="66"/>
  <c r="V8" i="66"/>
  <c r="K8" i="66"/>
  <c r="J8" i="66"/>
  <c r="I8" i="66"/>
  <c r="H8" i="66"/>
  <c r="G8" i="66"/>
  <c r="F8" i="66"/>
  <c r="D8" i="66"/>
  <c r="V7" i="66"/>
  <c r="K7" i="66"/>
  <c r="J7" i="66"/>
  <c r="I7" i="66"/>
  <c r="H7" i="66"/>
  <c r="G7" i="66"/>
  <c r="F7" i="66"/>
  <c r="D7" i="66"/>
  <c r="V6" i="66"/>
  <c r="K6" i="66"/>
  <c r="J6" i="66"/>
  <c r="I6" i="66"/>
  <c r="H6" i="66"/>
  <c r="G6" i="66"/>
  <c r="F6" i="66"/>
  <c r="D6" i="66"/>
  <c r="Q5" i="66"/>
  <c r="P5" i="66"/>
  <c r="O5" i="66"/>
  <c r="N5" i="66"/>
  <c r="M5" i="66"/>
  <c r="E5" i="66"/>
  <c r="E15" i="66" s="1"/>
  <c r="R45" i="74" l="1"/>
  <c r="Q7" i="74" s="1"/>
  <c r="Q16" i="74" s="1"/>
  <c r="R7" i="74"/>
  <c r="O16" i="74"/>
  <c r="N27" i="66"/>
  <c r="H27" i="66"/>
  <c r="H24" i="66"/>
  <c r="P8" i="66"/>
  <c r="P6" i="66"/>
  <c r="U13" i="66"/>
  <c r="N25" i="66"/>
  <c r="U10" i="66"/>
  <c r="I27" i="66"/>
  <c r="G16" i="66"/>
  <c r="U15" i="66"/>
  <c r="M15" i="66"/>
  <c r="E7" i="66"/>
  <c r="P15" i="66"/>
  <c r="P9" i="66"/>
  <c r="P14" i="66"/>
  <c r="P10" i="66"/>
  <c r="P12" i="66"/>
  <c r="P11" i="66"/>
  <c r="U11" i="66"/>
  <c r="N26" i="66"/>
  <c r="E6" i="66"/>
  <c r="O26" i="66"/>
  <c r="E9" i="66"/>
  <c r="I26" i="66"/>
  <c r="U8" i="66"/>
  <c r="O70" i="66"/>
  <c r="R70" i="66" s="1"/>
  <c r="J16" i="66"/>
  <c r="K16" i="66"/>
  <c r="U14" i="66"/>
  <c r="O322" i="66"/>
  <c r="R322" i="66" s="1"/>
  <c r="O166" i="66"/>
  <c r="R166" i="66" s="1"/>
  <c r="U6" i="66"/>
  <c r="D16" i="66"/>
  <c r="O118" i="66"/>
  <c r="R118" i="66" s="1"/>
  <c r="U12" i="66"/>
  <c r="N24" i="66"/>
  <c r="M8" i="66"/>
  <c r="M12" i="66"/>
  <c r="R319" i="66"/>
  <c r="U7" i="66"/>
  <c r="O321" i="66"/>
  <c r="R321" i="66" s="1"/>
  <c r="O309" i="66"/>
  <c r="P309" i="66" s="1"/>
  <c r="O297" i="66"/>
  <c r="O285" i="66"/>
  <c r="O273" i="66"/>
  <c r="P273" i="66" s="1"/>
  <c r="O261" i="66"/>
  <c r="P261" i="66" s="1"/>
  <c r="O249" i="66"/>
  <c r="P249" i="66" s="1"/>
  <c r="O237" i="66"/>
  <c r="P237" i="66" s="1"/>
  <c r="O225" i="66"/>
  <c r="O213" i="66"/>
  <c r="P213" i="66" s="1"/>
  <c r="O201" i="66"/>
  <c r="O189" i="66"/>
  <c r="O177" i="66"/>
  <c r="P177" i="66" s="1"/>
  <c r="O165" i="66"/>
  <c r="P165" i="66" s="1"/>
  <c r="O153" i="66"/>
  <c r="P153" i="66" s="1"/>
  <c r="O141" i="66"/>
  <c r="P141" i="66" s="1"/>
  <c r="O129" i="66"/>
  <c r="O117" i="66"/>
  <c r="P117" i="66" s="1"/>
  <c r="O105" i="66"/>
  <c r="P105" i="66" s="1"/>
  <c r="O93" i="66"/>
  <c r="P93" i="66" s="1"/>
  <c r="O81" i="66"/>
  <c r="O69" i="66"/>
  <c r="R69" i="66" s="1"/>
  <c r="O57" i="66"/>
  <c r="O45" i="66"/>
  <c r="O33" i="66"/>
  <c r="P33" i="66" s="1"/>
  <c r="R33" i="66" s="1"/>
  <c r="P312" i="66"/>
  <c r="P300" i="66"/>
  <c r="R300" i="66" s="1"/>
  <c r="P288" i="66"/>
  <c r="R288" i="66" s="1"/>
  <c r="P276" i="66"/>
  <c r="P264" i="66"/>
  <c r="R264" i="66" s="1"/>
  <c r="P252" i="66"/>
  <c r="R252" i="66" s="1"/>
  <c r="P240" i="66"/>
  <c r="R240" i="66" s="1"/>
  <c r="P228" i="66"/>
  <c r="R228" i="66" s="1"/>
  <c r="P216" i="66"/>
  <c r="R216" i="66" s="1"/>
  <c r="P204" i="66"/>
  <c r="R204" i="66" s="1"/>
  <c r="P192" i="66"/>
  <c r="R192" i="66" s="1"/>
  <c r="P180" i="66"/>
  <c r="R180" i="66" s="1"/>
  <c r="P168" i="66"/>
  <c r="R168" i="66" s="1"/>
  <c r="P156" i="66"/>
  <c r="R156" i="66" s="1"/>
  <c r="P144" i="66"/>
  <c r="R144" i="66" s="1"/>
  <c r="P132" i="66"/>
  <c r="P108" i="66"/>
  <c r="R108" i="66" s="1"/>
  <c r="P96" i="66"/>
  <c r="R96" i="66" s="1"/>
  <c r="P84" i="66"/>
  <c r="R84" i="66" s="1"/>
  <c r="P72" i="66"/>
  <c r="R72" i="66" s="1"/>
  <c r="P60" i="66"/>
  <c r="R60" i="66" s="1"/>
  <c r="P48" i="66"/>
  <c r="R48" i="66" s="1"/>
  <c r="P36" i="66"/>
  <c r="R36" i="66" s="1"/>
  <c r="R318" i="66"/>
  <c r="R114" i="66"/>
  <c r="R66" i="66"/>
  <c r="O320" i="66"/>
  <c r="R320" i="66" s="1"/>
  <c r="O308" i="66"/>
  <c r="P308" i="66" s="1"/>
  <c r="O296" i="66"/>
  <c r="O284" i="66"/>
  <c r="P284" i="66" s="1"/>
  <c r="O272" i="66"/>
  <c r="O260" i="66"/>
  <c r="P260" i="66" s="1"/>
  <c r="O248" i="66"/>
  <c r="P248" i="66" s="1"/>
  <c r="O236" i="66"/>
  <c r="P236" i="66" s="1"/>
  <c r="O224" i="66"/>
  <c r="P224" i="66" s="1"/>
  <c r="O212" i="66"/>
  <c r="P212" i="66" s="1"/>
  <c r="O200" i="66"/>
  <c r="P200" i="66" s="1"/>
  <c r="O188" i="66"/>
  <c r="P188" i="66" s="1"/>
  <c r="O176" i="66"/>
  <c r="P176" i="66" s="1"/>
  <c r="O164" i="66"/>
  <c r="P164" i="66" s="1"/>
  <c r="O152" i="66"/>
  <c r="P152" i="66" s="1"/>
  <c r="O140" i="66"/>
  <c r="P140" i="66" s="1"/>
  <c r="O128" i="66"/>
  <c r="O116" i="66"/>
  <c r="R116" i="66" s="1"/>
  <c r="O104" i="66"/>
  <c r="P104" i="66" s="1"/>
  <c r="O92" i="66"/>
  <c r="P92" i="66" s="1"/>
  <c r="O80" i="66"/>
  <c r="P80" i="66" s="1"/>
  <c r="O68" i="66"/>
  <c r="P68" i="66" s="1"/>
  <c r="O56" i="66"/>
  <c r="P56" i="66" s="1"/>
  <c r="O44" i="66"/>
  <c r="P44" i="66" s="1"/>
  <c r="O32" i="66"/>
  <c r="P32" i="66" s="1"/>
  <c r="P311" i="66"/>
  <c r="R311" i="66" s="1"/>
  <c r="P299" i="66"/>
  <c r="R299" i="66" s="1"/>
  <c r="P287" i="66"/>
  <c r="R287" i="66" s="1"/>
  <c r="P275" i="66"/>
  <c r="R275" i="66" s="1"/>
  <c r="P263" i="66"/>
  <c r="R263" i="66" s="1"/>
  <c r="P251" i="66"/>
  <c r="R251" i="66" s="1"/>
  <c r="P239" i="66"/>
  <c r="R239" i="66" s="1"/>
  <c r="P227" i="66"/>
  <c r="R227" i="66" s="1"/>
  <c r="P215" i="66"/>
  <c r="R215" i="66" s="1"/>
  <c r="P203" i="66"/>
  <c r="R203" i="66" s="1"/>
  <c r="P191" i="66"/>
  <c r="R191" i="66" s="1"/>
  <c r="P179" i="66"/>
  <c r="R179" i="66" s="1"/>
  <c r="P167" i="66"/>
  <c r="R167" i="66" s="1"/>
  <c r="P155" i="66"/>
  <c r="R155" i="66" s="1"/>
  <c r="P143" i="66"/>
  <c r="R143" i="66" s="1"/>
  <c r="P131" i="66"/>
  <c r="R131" i="66" s="1"/>
  <c r="P107" i="66"/>
  <c r="R107" i="66" s="1"/>
  <c r="P95" i="66"/>
  <c r="R95" i="66" s="1"/>
  <c r="P83" i="66"/>
  <c r="R83" i="66" s="1"/>
  <c r="P71" i="66"/>
  <c r="R71" i="66" s="1"/>
  <c r="P59" i="66"/>
  <c r="R59" i="66" s="1"/>
  <c r="P47" i="66"/>
  <c r="R47" i="66" s="1"/>
  <c r="P35" i="66"/>
  <c r="R35" i="66" s="1"/>
  <c r="R317" i="66"/>
  <c r="R125" i="66"/>
  <c r="R65" i="66"/>
  <c r="H16" i="66"/>
  <c r="I25" i="66"/>
  <c r="O307" i="66"/>
  <c r="P307" i="66" s="1"/>
  <c r="O295" i="66"/>
  <c r="P295" i="66" s="1"/>
  <c r="O283" i="66"/>
  <c r="P283" i="66" s="1"/>
  <c r="O271" i="66"/>
  <c r="P271" i="66" s="1"/>
  <c r="O259" i="66"/>
  <c r="P259" i="66" s="1"/>
  <c r="O247" i="66"/>
  <c r="P247" i="66" s="1"/>
  <c r="O235" i="66"/>
  <c r="P235" i="66" s="1"/>
  <c r="O223" i="66"/>
  <c r="P223" i="66" s="1"/>
  <c r="O211" i="66"/>
  <c r="P211" i="66" s="1"/>
  <c r="O199" i="66"/>
  <c r="P199" i="66" s="1"/>
  <c r="R199" i="66" s="1"/>
  <c r="O187" i="66"/>
  <c r="P187" i="66" s="1"/>
  <c r="R187" i="66" s="1"/>
  <c r="O175" i="66"/>
  <c r="O163" i="66"/>
  <c r="P163" i="66" s="1"/>
  <c r="O151" i="66"/>
  <c r="O139" i="66"/>
  <c r="P139" i="66" s="1"/>
  <c r="O127" i="66"/>
  <c r="P127" i="66" s="1"/>
  <c r="O115" i="66"/>
  <c r="P115" i="66" s="1"/>
  <c r="O103" i="66"/>
  <c r="P103" i="66" s="1"/>
  <c r="O91" i="66"/>
  <c r="P91" i="66" s="1"/>
  <c r="O79" i="66"/>
  <c r="P79" i="66" s="1"/>
  <c r="O67" i="66"/>
  <c r="P67" i="66" s="1"/>
  <c r="R67" i="66" s="1"/>
  <c r="O55" i="66"/>
  <c r="P55" i="66" s="1"/>
  <c r="O43" i="66"/>
  <c r="P43" i="66" s="1"/>
  <c r="P310" i="66"/>
  <c r="R310" i="66" s="1"/>
  <c r="P298" i="66"/>
  <c r="R298" i="66" s="1"/>
  <c r="P286" i="66"/>
  <c r="R286" i="66" s="1"/>
  <c r="P274" i="66"/>
  <c r="R274" i="66" s="1"/>
  <c r="P262" i="66"/>
  <c r="R262" i="66" s="1"/>
  <c r="P250" i="66"/>
  <c r="R250" i="66" s="1"/>
  <c r="P238" i="66"/>
  <c r="R238" i="66" s="1"/>
  <c r="P226" i="66"/>
  <c r="R226" i="66" s="1"/>
  <c r="P214" i="66"/>
  <c r="R214" i="66" s="1"/>
  <c r="P202" i="66"/>
  <c r="R202" i="66" s="1"/>
  <c r="P190" i="66"/>
  <c r="R190" i="66" s="1"/>
  <c r="P178" i="66"/>
  <c r="R178" i="66" s="1"/>
  <c r="P154" i="66"/>
  <c r="R154" i="66" s="1"/>
  <c r="P142" i="66"/>
  <c r="R142" i="66" s="1"/>
  <c r="P130" i="66"/>
  <c r="R130" i="66" s="1"/>
  <c r="P106" i="66"/>
  <c r="R106" i="66" s="1"/>
  <c r="P94" i="66"/>
  <c r="R94" i="66" s="1"/>
  <c r="P82" i="66"/>
  <c r="R82" i="66" s="1"/>
  <c r="P58" i="66"/>
  <c r="R58" i="66" s="1"/>
  <c r="P46" i="66"/>
  <c r="R46" i="66" s="1"/>
  <c r="P34" i="66"/>
  <c r="R34" i="66" s="1"/>
  <c r="R124" i="66"/>
  <c r="O306" i="66"/>
  <c r="P306" i="66" s="1"/>
  <c r="O294" i="66"/>
  <c r="P294" i="66" s="1"/>
  <c r="O282" i="66"/>
  <c r="P282" i="66" s="1"/>
  <c r="O270" i="66"/>
  <c r="P270" i="66" s="1"/>
  <c r="R270" i="66" s="1"/>
  <c r="O258" i="66"/>
  <c r="P258" i="66" s="1"/>
  <c r="R258" i="66" s="1"/>
  <c r="O246" i="66"/>
  <c r="P246" i="66" s="1"/>
  <c r="O234" i="66"/>
  <c r="P234" i="66" s="1"/>
  <c r="R234" i="66" s="1"/>
  <c r="O222" i="66"/>
  <c r="O210" i="66"/>
  <c r="O198" i="66"/>
  <c r="P198" i="66" s="1"/>
  <c r="O186" i="66"/>
  <c r="P186" i="66" s="1"/>
  <c r="O174" i="66"/>
  <c r="P174" i="66" s="1"/>
  <c r="O162" i="66"/>
  <c r="P162" i="66" s="1"/>
  <c r="O150" i="66"/>
  <c r="P150" i="66" s="1"/>
  <c r="O138" i="66"/>
  <c r="P138" i="66" s="1"/>
  <c r="O126" i="66"/>
  <c r="P126" i="66" s="1"/>
  <c r="R126" i="66" s="1"/>
  <c r="O102" i="66"/>
  <c r="P102" i="66" s="1"/>
  <c r="R102" i="66" s="1"/>
  <c r="O90" i="66"/>
  <c r="P90" i="66" s="1"/>
  <c r="R90" i="66" s="1"/>
  <c r="O78" i="66"/>
  <c r="P78" i="66" s="1"/>
  <c r="R78" i="66" s="1"/>
  <c r="O54" i="66"/>
  <c r="P54" i="66" s="1"/>
  <c r="O42" i="66"/>
  <c r="P42" i="66" s="1"/>
  <c r="P297" i="66"/>
  <c r="P285" i="66"/>
  <c r="R123" i="66"/>
  <c r="I16" i="66"/>
  <c r="M6" i="66"/>
  <c r="O305" i="66"/>
  <c r="O293" i="66"/>
  <c r="O281" i="66"/>
  <c r="P281" i="66" s="1"/>
  <c r="O269" i="66"/>
  <c r="O257" i="66"/>
  <c r="P257" i="66" s="1"/>
  <c r="O245" i="66"/>
  <c r="P245" i="66" s="1"/>
  <c r="R245" i="66" s="1"/>
  <c r="O233" i="66"/>
  <c r="P233" i="66" s="1"/>
  <c r="R233" i="66" s="1"/>
  <c r="O221" i="66"/>
  <c r="P221" i="66" s="1"/>
  <c r="R221" i="66" s="1"/>
  <c r="O209" i="66"/>
  <c r="O197" i="66"/>
  <c r="P197" i="66" s="1"/>
  <c r="R197" i="66" s="1"/>
  <c r="O185" i="66"/>
  <c r="P185" i="66" s="1"/>
  <c r="O173" i="66"/>
  <c r="O161" i="66"/>
  <c r="O149" i="66"/>
  <c r="P149" i="66" s="1"/>
  <c r="O137" i="66"/>
  <c r="P137" i="66" s="1"/>
  <c r="O113" i="66"/>
  <c r="P113" i="66" s="1"/>
  <c r="O101" i="66"/>
  <c r="P101" i="66" s="1"/>
  <c r="O89" i="66"/>
  <c r="P89" i="66" s="1"/>
  <c r="R89" i="66" s="1"/>
  <c r="O77" i="66"/>
  <c r="P77" i="66" s="1"/>
  <c r="R77" i="66" s="1"/>
  <c r="O53" i="66"/>
  <c r="P53" i="66" s="1"/>
  <c r="R53" i="66" s="1"/>
  <c r="O41" i="66"/>
  <c r="P41" i="66" s="1"/>
  <c r="R182" i="66"/>
  <c r="R122" i="66"/>
  <c r="O316" i="66"/>
  <c r="O304" i="66"/>
  <c r="O292" i="66"/>
  <c r="P292" i="66" s="1"/>
  <c r="O280" i="66"/>
  <c r="O268" i="66"/>
  <c r="P268" i="66" s="1"/>
  <c r="O256" i="66"/>
  <c r="P256" i="66" s="1"/>
  <c r="O244" i="66"/>
  <c r="P244" i="66" s="1"/>
  <c r="O232" i="66"/>
  <c r="P232" i="66" s="1"/>
  <c r="O220" i="66"/>
  <c r="P220" i="66" s="1"/>
  <c r="O208" i="66"/>
  <c r="P208" i="66" s="1"/>
  <c r="R208" i="66" s="1"/>
  <c r="O196" i="66"/>
  <c r="P196" i="66" s="1"/>
  <c r="R196" i="66" s="1"/>
  <c r="O184" i="66"/>
  <c r="P184" i="66" s="1"/>
  <c r="R184" i="66" s="1"/>
  <c r="O172" i="66"/>
  <c r="P172" i="66" s="1"/>
  <c r="O160" i="66"/>
  <c r="O148" i="66"/>
  <c r="P148" i="66" s="1"/>
  <c r="O136" i="66"/>
  <c r="O112" i="66"/>
  <c r="P112" i="66" s="1"/>
  <c r="R112" i="66" s="1"/>
  <c r="O100" i="66"/>
  <c r="P100" i="66" s="1"/>
  <c r="O88" i="66"/>
  <c r="P88" i="66" s="1"/>
  <c r="O76" i="66"/>
  <c r="P76" i="66" s="1"/>
  <c r="O64" i="66"/>
  <c r="P64" i="66" s="1"/>
  <c r="R64" i="66" s="1"/>
  <c r="O52" i="66"/>
  <c r="P52" i="66" s="1"/>
  <c r="R52" i="66" s="1"/>
  <c r="O40" i="66"/>
  <c r="P40" i="66" s="1"/>
  <c r="R40" i="66" s="1"/>
  <c r="R313" i="66"/>
  <c r="R301" i="66"/>
  <c r="R289" i="66"/>
  <c r="R277" i="66"/>
  <c r="R265" i="66"/>
  <c r="R253" i="66"/>
  <c r="R241" i="66"/>
  <c r="R229" i="66"/>
  <c r="R217" i="66"/>
  <c r="R205" i="66"/>
  <c r="R193" i="66"/>
  <c r="R181" i="66"/>
  <c r="R169" i="66"/>
  <c r="R157" i="66"/>
  <c r="R145" i="66"/>
  <c r="R133" i="66"/>
  <c r="R121" i="66"/>
  <c r="R109" i="66"/>
  <c r="R97" i="66"/>
  <c r="R85" i="66"/>
  <c r="R73" i="66"/>
  <c r="R61" i="66"/>
  <c r="R49" i="66"/>
  <c r="R37" i="66"/>
  <c r="M9" i="66"/>
  <c r="O315" i="66"/>
  <c r="O303" i="66"/>
  <c r="O291" i="66"/>
  <c r="O279" i="66"/>
  <c r="O267" i="66"/>
  <c r="P267" i="66" s="1"/>
  <c r="O255" i="66"/>
  <c r="O243" i="66"/>
  <c r="O231" i="66"/>
  <c r="O219" i="66"/>
  <c r="O207" i="66"/>
  <c r="O195" i="66"/>
  <c r="O183" i="66"/>
  <c r="O171" i="66"/>
  <c r="O159" i="66"/>
  <c r="O147" i="66"/>
  <c r="O135" i="66"/>
  <c r="P135" i="66" s="1"/>
  <c r="O111" i="66"/>
  <c r="P111" i="66" s="1"/>
  <c r="O99" i="66"/>
  <c r="P99" i="66" s="1"/>
  <c r="O87" i="66"/>
  <c r="P87" i="66" s="1"/>
  <c r="O75" i="66"/>
  <c r="P75" i="66" s="1"/>
  <c r="O63" i="66"/>
  <c r="P63" i="66" s="1"/>
  <c r="O51" i="66"/>
  <c r="P51" i="66" s="1"/>
  <c r="O39" i="66"/>
  <c r="P39" i="66" s="1"/>
  <c r="R312" i="66"/>
  <c r="R276" i="66"/>
  <c r="R132" i="66"/>
  <c r="R120" i="66"/>
  <c r="U9" i="66"/>
  <c r="I24" i="66"/>
  <c r="O314" i="66"/>
  <c r="P314" i="66" s="1"/>
  <c r="O302" i="66"/>
  <c r="P302" i="66" s="1"/>
  <c r="O290" i="66"/>
  <c r="P290" i="66" s="1"/>
  <c r="O278" i="66"/>
  <c r="O266" i="66"/>
  <c r="P266" i="66" s="1"/>
  <c r="O254" i="66"/>
  <c r="O242" i="66"/>
  <c r="P242" i="66" s="1"/>
  <c r="R242" i="66" s="1"/>
  <c r="O230" i="66"/>
  <c r="P230" i="66" s="1"/>
  <c r="R230" i="66" s="1"/>
  <c r="O218" i="66"/>
  <c r="P218" i="66" s="1"/>
  <c r="R218" i="66" s="1"/>
  <c r="O206" i="66"/>
  <c r="P206" i="66" s="1"/>
  <c r="O194" i="66"/>
  <c r="P194" i="66" s="1"/>
  <c r="R194" i="66" s="1"/>
  <c r="O170" i="66"/>
  <c r="P170" i="66" s="1"/>
  <c r="O158" i="66"/>
  <c r="P158" i="66" s="1"/>
  <c r="O146" i="66"/>
  <c r="P146" i="66" s="1"/>
  <c r="O134" i="66"/>
  <c r="P134" i="66" s="1"/>
  <c r="O110" i="66"/>
  <c r="O98" i="66"/>
  <c r="P98" i="66" s="1"/>
  <c r="R98" i="66" s="1"/>
  <c r="O86" i="66"/>
  <c r="O74" i="66"/>
  <c r="O62" i="66"/>
  <c r="O50" i="66"/>
  <c r="O38" i="66"/>
  <c r="R119" i="66"/>
  <c r="H26" i="66"/>
  <c r="F16" i="66"/>
  <c r="M10" i="66"/>
  <c r="M11" i="66"/>
  <c r="M7" i="66"/>
  <c r="M14" i="66"/>
  <c r="R13" i="66"/>
  <c r="O24" i="66"/>
  <c r="O25" i="66"/>
  <c r="O27" i="66"/>
  <c r="E10" i="66"/>
  <c r="E13" i="66"/>
  <c r="V16" i="66"/>
  <c r="E8" i="66"/>
  <c r="E11" i="66"/>
  <c r="E14" i="66"/>
  <c r="E12" i="66"/>
  <c r="N15" i="66" l="1"/>
  <c r="M16" i="66"/>
  <c r="N9" i="66"/>
  <c r="U16" i="66"/>
  <c r="R43" i="66"/>
  <c r="N12" i="66"/>
  <c r="R308" i="66"/>
  <c r="R260" i="66"/>
  <c r="P175" i="66"/>
  <c r="R175" i="66" s="1"/>
  <c r="E16" i="66"/>
  <c r="R213" i="66"/>
  <c r="R211" i="66"/>
  <c r="P209" i="66"/>
  <c r="R209" i="66" s="1"/>
  <c r="P296" i="66"/>
  <c r="R296" i="66" s="1"/>
  <c r="R140" i="66"/>
  <c r="R284" i="66"/>
  <c r="P38" i="66"/>
  <c r="Q38" i="66" s="1"/>
  <c r="R268" i="66"/>
  <c r="P173" i="66"/>
  <c r="R173" i="66" s="1"/>
  <c r="P50" i="66"/>
  <c r="R50" i="66" s="1"/>
  <c r="R152" i="66"/>
  <c r="R249" i="66"/>
  <c r="R32" i="66"/>
  <c r="R176" i="66"/>
  <c r="R117" i="66"/>
  <c r="R261" i="66"/>
  <c r="R164" i="66"/>
  <c r="R104" i="66"/>
  <c r="R248" i="66"/>
  <c r="R42" i="66"/>
  <c r="R44" i="66"/>
  <c r="R188" i="66"/>
  <c r="R54" i="66"/>
  <c r="R273" i="66"/>
  <c r="R135" i="66"/>
  <c r="R105" i="66"/>
  <c r="R141" i="66"/>
  <c r="R285" i="66"/>
  <c r="P210" i="66"/>
  <c r="R210" i="66" s="1"/>
  <c r="P279" i="66"/>
  <c r="R279" i="66" s="1"/>
  <c r="R68" i="66"/>
  <c r="R153" i="66"/>
  <c r="R297" i="66"/>
  <c r="P222" i="66"/>
  <c r="R222" i="66" s="1"/>
  <c r="R165" i="66"/>
  <c r="R309" i="66"/>
  <c r="P316" i="66"/>
  <c r="R316" i="66" s="1"/>
  <c r="P293" i="66"/>
  <c r="R293" i="66" s="1"/>
  <c r="P189" i="66"/>
  <c r="R189" i="66" s="1"/>
  <c r="R92" i="66"/>
  <c r="R236" i="66"/>
  <c r="R177" i="66"/>
  <c r="R55" i="66"/>
  <c r="R76" i="66"/>
  <c r="R220" i="66"/>
  <c r="R101" i="66"/>
  <c r="R79" i="66"/>
  <c r="R223" i="66"/>
  <c r="P269" i="66"/>
  <c r="R269" i="66" s="1"/>
  <c r="R93" i="66"/>
  <c r="R237" i="66"/>
  <c r="P280" i="66"/>
  <c r="R280" i="66" s="1"/>
  <c r="P147" i="66"/>
  <c r="R147" i="66" s="1"/>
  <c r="P291" i="66"/>
  <c r="R291" i="66" s="1"/>
  <c r="R266" i="66"/>
  <c r="P128" i="66"/>
  <c r="R128" i="66" s="1"/>
  <c r="P272" i="66"/>
  <c r="R272" i="66" s="1"/>
  <c r="R88" i="66"/>
  <c r="R232" i="66"/>
  <c r="R113" i="66"/>
  <c r="R257" i="66"/>
  <c r="R246" i="66"/>
  <c r="R91" i="66"/>
  <c r="R235" i="66"/>
  <c r="P305" i="66"/>
  <c r="R305" i="66" s="1"/>
  <c r="P62" i="66"/>
  <c r="R62" i="66" s="1"/>
  <c r="P159" i="66"/>
  <c r="R159" i="66" s="1"/>
  <c r="P303" i="66"/>
  <c r="R303" i="66" s="1"/>
  <c r="P201" i="66"/>
  <c r="R201" i="66" s="1"/>
  <c r="R100" i="66"/>
  <c r="R244" i="66"/>
  <c r="R103" i="66"/>
  <c r="R247" i="66"/>
  <c r="N6" i="66"/>
  <c r="P74" i="66"/>
  <c r="R74" i="66" s="1"/>
  <c r="P254" i="66"/>
  <c r="R254" i="66" s="1"/>
  <c r="P161" i="66"/>
  <c r="R161" i="66" s="1"/>
  <c r="P171" i="66"/>
  <c r="R171" i="66" s="1"/>
  <c r="P315" i="66"/>
  <c r="R315" i="66" s="1"/>
  <c r="N10" i="66"/>
  <c r="R115" i="66"/>
  <c r="R259" i="66"/>
  <c r="R56" i="66"/>
  <c r="R200" i="66"/>
  <c r="P129" i="66"/>
  <c r="P136" i="66"/>
  <c r="R136" i="66" s="1"/>
  <c r="P86" i="66"/>
  <c r="R86" i="66" s="1"/>
  <c r="P183" i="66"/>
  <c r="R183" i="66" s="1"/>
  <c r="R158" i="66"/>
  <c r="R302" i="66"/>
  <c r="R39" i="66"/>
  <c r="P57" i="66"/>
  <c r="R57" i="66" s="1"/>
  <c r="P225" i="66"/>
  <c r="R225" i="66" s="1"/>
  <c r="R149" i="66"/>
  <c r="R138" i="66"/>
  <c r="R282" i="66"/>
  <c r="R127" i="66"/>
  <c r="R271" i="66"/>
  <c r="R212" i="66"/>
  <c r="P110" i="66"/>
  <c r="R110" i="66" s="1"/>
  <c r="P278" i="66"/>
  <c r="R278" i="66" s="1"/>
  <c r="P195" i="66"/>
  <c r="R195" i="66" s="1"/>
  <c r="R267" i="66"/>
  <c r="R134" i="66"/>
  <c r="R146" i="66"/>
  <c r="R290" i="66"/>
  <c r="R256" i="66"/>
  <c r="R137" i="66"/>
  <c r="R281" i="66"/>
  <c r="R170" i="66"/>
  <c r="R314" i="66"/>
  <c r="R51" i="66"/>
  <c r="P81" i="66"/>
  <c r="R81" i="66" s="1"/>
  <c r="R150" i="66"/>
  <c r="R294" i="66"/>
  <c r="R139" i="66"/>
  <c r="R283" i="66"/>
  <c r="R80" i="66"/>
  <c r="R224" i="66"/>
  <c r="P304" i="66"/>
  <c r="R304" i="66" s="1"/>
  <c r="P207" i="66"/>
  <c r="R207" i="66" s="1"/>
  <c r="P160" i="66"/>
  <c r="P151" i="66"/>
  <c r="R151" i="66" s="1"/>
  <c r="R63" i="66"/>
  <c r="R148" i="66"/>
  <c r="R292" i="66"/>
  <c r="R162" i="66"/>
  <c r="R306" i="66"/>
  <c r="R295" i="66"/>
  <c r="P219" i="66"/>
  <c r="R219" i="66" s="1"/>
  <c r="R75" i="66"/>
  <c r="N8" i="66"/>
  <c r="R41" i="66"/>
  <c r="R185" i="66"/>
  <c r="N7" i="66"/>
  <c r="R174" i="66"/>
  <c r="R163" i="66"/>
  <c r="R307" i="66"/>
  <c r="P231" i="66"/>
  <c r="R231" i="66" s="1"/>
  <c r="R206" i="66"/>
  <c r="R87" i="66"/>
  <c r="R172" i="66"/>
  <c r="R186" i="66"/>
  <c r="N11" i="66"/>
  <c r="P45" i="66"/>
  <c r="R45" i="66" s="1"/>
  <c r="P243" i="66"/>
  <c r="R243" i="66" s="1"/>
  <c r="R99" i="66"/>
  <c r="R198" i="66"/>
  <c r="P255" i="66"/>
  <c r="R255" i="66" s="1"/>
  <c r="R111" i="66"/>
  <c r="N14" i="66"/>
  <c r="M90" i="24"/>
  <c r="Y90" i="24" s="1"/>
  <c r="M18" i="24"/>
  <c r="M18" i="11"/>
  <c r="AH38" i="24"/>
  <c r="G38" i="24"/>
  <c r="AC38" i="11"/>
  <c r="AB38" i="24"/>
  <c r="H18" i="24"/>
  <c r="H38" i="24"/>
  <c r="AC38" i="24"/>
  <c r="AF38" i="24"/>
  <c r="G18" i="24"/>
  <c r="R18" i="11"/>
  <c r="F18" i="11"/>
  <c r="AF38" i="11"/>
  <c r="B38" i="24"/>
  <c r="Q18" i="24"/>
  <c r="D38" i="11"/>
  <c r="F18" i="24"/>
  <c r="F38" i="24"/>
  <c r="R18" i="24"/>
  <c r="W18" i="11"/>
  <c r="AB38" i="11"/>
  <c r="K18" i="11"/>
  <c r="C38" i="24"/>
  <c r="B38" i="11"/>
  <c r="V18" i="24"/>
  <c r="B18" i="11"/>
  <c r="N38" i="11"/>
  <c r="W18" i="24"/>
  <c r="J18" i="24"/>
  <c r="D38" i="24"/>
  <c r="S18" i="11"/>
  <c r="K38" i="24"/>
  <c r="AE38" i="11"/>
  <c r="D18" i="11"/>
  <c r="E38" i="24"/>
  <c r="T38" i="24"/>
  <c r="AA38" i="24"/>
  <c r="N18" i="11"/>
  <c r="AI38" i="24"/>
  <c r="Z38" i="11"/>
  <c r="E38" i="11"/>
  <c r="S18" i="24"/>
  <c r="AD38" i="24"/>
  <c r="V18" i="11"/>
  <c r="G18" i="11"/>
  <c r="O18" i="24"/>
  <c r="P38" i="24"/>
  <c r="AE38" i="24"/>
  <c r="C18" i="24"/>
  <c r="W38" i="24"/>
  <c r="J38" i="11"/>
  <c r="H18" i="11"/>
  <c r="Q38" i="24"/>
  <c r="G38" i="11"/>
  <c r="O38" i="24"/>
  <c r="AD38" i="11"/>
  <c r="T18" i="24"/>
  <c r="T18" i="11"/>
  <c r="AH38" i="11"/>
  <c r="P38" i="11"/>
  <c r="P18" i="24"/>
  <c r="T38" i="11"/>
  <c r="Q18" i="11"/>
  <c r="H38" i="11"/>
  <c r="R38" i="24"/>
  <c r="K18" i="24"/>
  <c r="J38" i="24"/>
  <c r="V38" i="24"/>
  <c r="K38" i="11"/>
  <c r="Z38" i="24"/>
  <c r="E18" i="11"/>
  <c r="Q38" i="11"/>
  <c r="N38" i="24"/>
  <c r="B18" i="24"/>
  <c r="E18" i="24"/>
  <c r="S38" i="24"/>
  <c r="W38" i="11"/>
  <c r="AI38" i="11"/>
  <c r="S38" i="11"/>
  <c r="F38" i="11"/>
  <c r="D18" i="24"/>
  <c r="J18" i="11"/>
  <c r="P18" i="11"/>
  <c r="V38" i="11"/>
  <c r="R38" i="11"/>
  <c r="N18" i="24"/>
  <c r="O7" i="66" l="1"/>
  <c r="R7" i="66" s="1"/>
  <c r="O6" i="66"/>
  <c r="R6" i="66" s="1"/>
  <c r="O8" i="66"/>
  <c r="R8" i="66" s="1"/>
  <c r="O9" i="66"/>
  <c r="R9" i="66" s="1"/>
  <c r="O11" i="66"/>
  <c r="R11" i="66" s="1"/>
  <c r="P7" i="66"/>
  <c r="P16" i="66" s="1"/>
  <c r="R38" i="66"/>
  <c r="Q7" i="66" s="1"/>
  <c r="Q6" i="66"/>
  <c r="Q12" i="66"/>
  <c r="Q9" i="66"/>
  <c r="O14" i="66"/>
  <c r="R14" i="66" s="1"/>
  <c r="N16" i="66"/>
  <c r="Q15" i="66"/>
  <c r="O10" i="66"/>
  <c r="R10" i="66" s="1"/>
  <c r="R129" i="66"/>
  <c r="Q10" i="66" s="1"/>
  <c r="O15" i="66"/>
  <c r="R15" i="66" s="1"/>
  <c r="Q11" i="66"/>
  <c r="R160" i="66"/>
  <c r="Q8" i="66" s="1"/>
  <c r="Q14" i="66"/>
  <c r="O12" i="66"/>
  <c r="R12" i="66" s="1"/>
  <c r="K90" i="24"/>
  <c r="J90" i="24"/>
  <c r="H90" i="24"/>
  <c r="G90" i="24"/>
  <c r="F90" i="24"/>
  <c r="E90" i="24"/>
  <c r="D90" i="24"/>
  <c r="C90" i="24"/>
  <c r="B90" i="24"/>
  <c r="W76" i="24"/>
  <c r="K76" i="24" s="1"/>
  <c r="V76" i="24"/>
  <c r="J76" i="24" s="1"/>
  <c r="T76" i="24"/>
  <c r="H76" i="24" s="1"/>
  <c r="S76" i="24"/>
  <c r="G76" i="24" s="1"/>
  <c r="R76" i="24"/>
  <c r="F76" i="24" s="1"/>
  <c r="Q76" i="24"/>
  <c r="E76" i="24" s="1"/>
  <c r="P76" i="24"/>
  <c r="D76" i="24" s="1"/>
  <c r="O76" i="24"/>
  <c r="C76" i="24" s="1"/>
  <c r="N76" i="24"/>
  <c r="B76" i="24" s="1"/>
  <c r="W76" i="11"/>
  <c r="K76" i="11" s="1"/>
  <c r="V76" i="11"/>
  <c r="J76" i="11" s="1"/>
  <c r="T76" i="11"/>
  <c r="H76" i="11" s="1"/>
  <c r="S76" i="11"/>
  <c r="G76" i="11" s="1"/>
  <c r="R76" i="11"/>
  <c r="F76" i="11" s="1"/>
  <c r="Q76" i="11"/>
  <c r="E76" i="11" s="1"/>
  <c r="P76" i="11"/>
  <c r="D76" i="11" s="1"/>
  <c r="N76" i="11"/>
  <c r="B76" i="11" s="1"/>
  <c r="AI70" i="11"/>
  <c r="AH70" i="11"/>
  <c r="AF70" i="11"/>
  <c r="AD70" i="11"/>
  <c r="AE70" i="11"/>
  <c r="AC70" i="11"/>
  <c r="AB70" i="11"/>
  <c r="Z70" i="11"/>
  <c r="C18" i="11"/>
  <c r="AL38" i="24"/>
  <c r="AO38" i="24"/>
  <c r="AP38" i="24"/>
  <c r="O38" i="11"/>
  <c r="AR38" i="24"/>
  <c r="AM38" i="24"/>
  <c r="AQ38" i="24"/>
  <c r="AN38" i="24"/>
  <c r="AT38" i="24"/>
  <c r="AU38" i="24"/>
  <c r="C63" i="31" l="1"/>
  <c r="F63" i="51"/>
  <c r="Q16" i="66"/>
  <c r="O16" i="66"/>
  <c r="H104" i="24"/>
  <c r="AR104" i="24" s="1"/>
  <c r="K104" i="24"/>
  <c r="AU104" i="24" s="1"/>
  <c r="O76" i="11"/>
  <c r="C104" i="24"/>
  <c r="AM104" i="24" s="1"/>
  <c r="E104" i="24"/>
  <c r="AO104" i="24" s="1"/>
  <c r="B104" i="24"/>
  <c r="AL104" i="24" s="1"/>
  <c r="J104" i="24"/>
  <c r="AT104" i="24" s="1"/>
  <c r="G104" i="24"/>
  <c r="AQ104" i="24" s="1"/>
  <c r="D104" i="24"/>
  <c r="AN104" i="24" s="1"/>
  <c r="F104" i="24"/>
  <c r="AP104" i="24" s="1"/>
  <c r="C38" i="11"/>
  <c r="O18" i="11"/>
  <c r="AA70" i="11" l="1"/>
  <c r="C76" i="11"/>
  <c r="AA38" i="11"/>
  <c r="D38" i="31" l="1"/>
  <c r="D38" i="51"/>
  <c r="M17" i="24"/>
  <c r="A122" i="24"/>
  <c r="M122" i="24" s="1"/>
  <c r="Y122" i="24" s="1"/>
  <c r="J37" i="24"/>
  <c r="B37" i="24"/>
  <c r="C17" i="24"/>
  <c r="T17" i="24"/>
  <c r="O17" i="24"/>
  <c r="S37" i="24"/>
  <c r="O37" i="24"/>
  <c r="P37" i="24"/>
  <c r="F17" i="24"/>
  <c r="Z37" i="24"/>
  <c r="AF37" i="24"/>
  <c r="N37" i="24"/>
  <c r="AB37" i="24"/>
  <c r="E37" i="24"/>
  <c r="P17" i="24"/>
  <c r="AH37" i="24"/>
  <c r="N17" i="24"/>
  <c r="G17" i="24"/>
  <c r="C37" i="24"/>
  <c r="F37" i="24"/>
  <c r="AA37" i="24"/>
  <c r="B17" i="24"/>
  <c r="H17" i="24"/>
  <c r="R17" i="24"/>
  <c r="AE37" i="24"/>
  <c r="AD37" i="24"/>
  <c r="V37" i="24"/>
  <c r="K37" i="24"/>
  <c r="Q37" i="24"/>
  <c r="G37" i="24"/>
  <c r="K17" i="24"/>
  <c r="AC37" i="24"/>
  <c r="W17" i="24"/>
  <c r="V17" i="24"/>
  <c r="S17" i="24"/>
  <c r="D37" i="24"/>
  <c r="R37" i="24"/>
  <c r="AI37" i="24"/>
  <c r="W37" i="24"/>
  <c r="J17" i="24"/>
  <c r="Q17" i="24"/>
  <c r="D17" i="24"/>
  <c r="H37" i="24"/>
  <c r="T37" i="24"/>
  <c r="E17" i="24"/>
  <c r="W75" i="24" l="1"/>
  <c r="K75" i="24" s="1"/>
  <c r="V75" i="24"/>
  <c r="J75" i="24" s="1"/>
  <c r="T75" i="24"/>
  <c r="H75" i="24" s="1"/>
  <c r="S75" i="24"/>
  <c r="G75" i="24" s="1"/>
  <c r="R75" i="24"/>
  <c r="F75" i="24" s="1"/>
  <c r="Q75" i="24"/>
  <c r="E75" i="24" s="1"/>
  <c r="P75" i="24"/>
  <c r="D75" i="24" s="1"/>
  <c r="O75" i="24"/>
  <c r="C75" i="24" s="1"/>
  <c r="N75" i="24"/>
  <c r="B75" i="24" s="1"/>
  <c r="K89" i="24"/>
  <c r="J89" i="24"/>
  <c r="H89" i="24"/>
  <c r="G89" i="24"/>
  <c r="F89" i="24"/>
  <c r="E89" i="24"/>
  <c r="D89" i="24"/>
  <c r="C89" i="24"/>
  <c r="F62" i="51" s="1"/>
  <c r="B89" i="24"/>
  <c r="AU37" i="24"/>
  <c r="AT37" i="24"/>
  <c r="AP37" i="24"/>
  <c r="AR37" i="24"/>
  <c r="AL37" i="24"/>
  <c r="AM37" i="24"/>
  <c r="AN37" i="24"/>
  <c r="AQ37" i="24"/>
  <c r="AO37" i="24"/>
  <c r="J103" i="24" l="1"/>
  <c r="AT103" i="24" s="1"/>
  <c r="B103" i="24"/>
  <c r="AL103" i="24" s="1"/>
  <c r="G103" i="24"/>
  <c r="AQ103" i="24" s="1"/>
  <c r="D103" i="24"/>
  <c r="AN103" i="24" s="1"/>
  <c r="K103" i="24"/>
  <c r="AU103" i="24" s="1"/>
  <c r="H103" i="24"/>
  <c r="AR103" i="24" s="1"/>
  <c r="F103" i="24"/>
  <c r="AP103" i="24" s="1"/>
  <c r="E103" i="24"/>
  <c r="AO103" i="24" s="1"/>
  <c r="C103" i="24"/>
  <c r="AM103" i="24" s="1"/>
  <c r="R30" i="31" l="1"/>
  <c r="R31" i="31"/>
  <c r="R32" i="31"/>
  <c r="BC32" i="31" l="1"/>
  <c r="BC33" i="31" s="1"/>
  <c r="BC34" i="31" s="1"/>
  <c r="BC35" i="31" s="1"/>
  <c r="BC36" i="31" s="1"/>
  <c r="P31" i="31"/>
  <c r="P32" i="31"/>
  <c r="P33" i="31"/>
  <c r="P34" i="31"/>
  <c r="P35" i="31"/>
  <c r="P36" i="31"/>
  <c r="P37" i="31"/>
  <c r="P38" i="31"/>
  <c r="P39" i="31"/>
  <c r="P40" i="31"/>
  <c r="P30" i="31"/>
  <c r="O76" i="48"/>
  <c r="P76" i="48" s="1"/>
  <c r="O64" i="48"/>
  <c r="P64" i="48" s="1"/>
  <c r="O67" i="48"/>
  <c r="P67" i="48" s="1"/>
  <c r="O70" i="48"/>
  <c r="O73" i="48"/>
  <c r="P73" i="48" s="1"/>
  <c r="O46" i="48"/>
  <c r="O34" i="48"/>
  <c r="P34" i="48" s="1"/>
  <c r="O37" i="48"/>
  <c r="O40" i="48"/>
  <c r="P40" i="48" s="1"/>
  <c r="O43" i="48"/>
  <c r="P43" i="48" s="1"/>
  <c r="O61" i="48"/>
  <c r="P61" i="48" s="1"/>
  <c r="O49" i="48"/>
  <c r="P49" i="48" s="1"/>
  <c r="O52" i="48"/>
  <c r="P52" i="48" s="1"/>
  <c r="O55" i="48"/>
  <c r="P55" i="48" s="1"/>
  <c r="O58" i="48"/>
  <c r="P58" i="48" s="1"/>
  <c r="O211" i="48"/>
  <c r="O199" i="48"/>
  <c r="O202" i="48"/>
  <c r="O205" i="48"/>
  <c r="O208" i="48"/>
  <c r="O181" i="48"/>
  <c r="P181" i="48" s="1"/>
  <c r="O169" i="48"/>
  <c r="P169" i="48" s="1"/>
  <c r="O172" i="48"/>
  <c r="O175" i="48"/>
  <c r="P175" i="48" s="1"/>
  <c r="O178" i="48"/>
  <c r="P178" i="48" s="1"/>
  <c r="O196" i="48"/>
  <c r="P196" i="48" s="1"/>
  <c r="O184" i="48"/>
  <c r="P184" i="48" s="1"/>
  <c r="O187" i="48"/>
  <c r="P187" i="48" s="1"/>
  <c r="O190" i="48"/>
  <c r="O193" i="48"/>
  <c r="O166" i="48"/>
  <c r="O154" i="48"/>
  <c r="O157" i="48"/>
  <c r="O160" i="48"/>
  <c r="O163" i="48"/>
  <c r="O124" i="48"/>
  <c r="P124" i="48" s="1"/>
  <c r="O127" i="48"/>
  <c r="P127" i="48" s="1"/>
  <c r="O130" i="48"/>
  <c r="P130" i="48" s="1"/>
  <c r="O133" i="48"/>
  <c r="P133" i="48" s="1"/>
  <c r="O151" i="48"/>
  <c r="P151" i="48" s="1"/>
  <c r="O139" i="48"/>
  <c r="O142" i="48"/>
  <c r="P142" i="48" s="1"/>
  <c r="O145" i="48"/>
  <c r="P145" i="48" s="1"/>
  <c r="O148" i="48"/>
  <c r="P148" i="48" s="1"/>
  <c r="O301" i="48"/>
  <c r="O289" i="48"/>
  <c r="O292" i="48"/>
  <c r="O295" i="48"/>
  <c r="O298" i="48"/>
  <c r="O271" i="48"/>
  <c r="P271" i="48" s="1"/>
  <c r="O259" i="48"/>
  <c r="P259" i="48" s="1"/>
  <c r="Q259" i="48" s="1"/>
  <c r="R259" i="48" s="1"/>
  <c r="O262" i="48"/>
  <c r="P262" i="48" s="1"/>
  <c r="O265" i="48"/>
  <c r="O268" i="48"/>
  <c r="P268" i="48" s="1"/>
  <c r="Q268" i="48" s="1"/>
  <c r="O286" i="48"/>
  <c r="P286" i="48" s="1"/>
  <c r="Q286" i="48" s="1"/>
  <c r="O274" i="48"/>
  <c r="P274" i="48" s="1"/>
  <c r="O277" i="48"/>
  <c r="O280" i="48"/>
  <c r="O283" i="48"/>
  <c r="O256" i="48"/>
  <c r="O244" i="48"/>
  <c r="O247" i="48"/>
  <c r="O250" i="48"/>
  <c r="O253" i="48"/>
  <c r="O226" i="48"/>
  <c r="O214" i="48"/>
  <c r="P214" i="48" s="1"/>
  <c r="O217" i="48"/>
  <c r="P217" i="48" s="1"/>
  <c r="O220" i="48"/>
  <c r="P220" i="48" s="1"/>
  <c r="O223" i="48"/>
  <c r="O241" i="48"/>
  <c r="P241" i="48" s="1"/>
  <c r="O229" i="48"/>
  <c r="O232" i="48"/>
  <c r="O235" i="48"/>
  <c r="O238" i="48"/>
  <c r="P238" i="48" s="1"/>
  <c r="P211" i="48"/>
  <c r="P199" i="48"/>
  <c r="P202" i="48"/>
  <c r="P205" i="48"/>
  <c r="P208" i="48"/>
  <c r="P166" i="48"/>
  <c r="P154" i="48"/>
  <c r="P157" i="48"/>
  <c r="P160" i="48"/>
  <c r="P163" i="48"/>
  <c r="P301" i="48"/>
  <c r="P289" i="48"/>
  <c r="P292" i="48"/>
  <c r="P295" i="48"/>
  <c r="P298" i="48"/>
  <c r="P256" i="48"/>
  <c r="P244" i="48"/>
  <c r="P247" i="48"/>
  <c r="P250" i="48"/>
  <c r="P253" i="48"/>
  <c r="Q76" i="48"/>
  <c r="Q64" i="48"/>
  <c r="Q67" i="48"/>
  <c r="Q70" i="48"/>
  <c r="Q73" i="48"/>
  <c r="Q46" i="48"/>
  <c r="Q34" i="48"/>
  <c r="Q37" i="48"/>
  <c r="Q40" i="48"/>
  <c r="Q43" i="48"/>
  <c r="Q61" i="48"/>
  <c r="Q49" i="48"/>
  <c r="Q52" i="48"/>
  <c r="Q55" i="48"/>
  <c r="Q58" i="48"/>
  <c r="Q211" i="48"/>
  <c r="Q199" i="48"/>
  <c r="Q202" i="48"/>
  <c r="Q205" i="48"/>
  <c r="Q208" i="48"/>
  <c r="Q181" i="48"/>
  <c r="Q169" i="48"/>
  <c r="Q172" i="48"/>
  <c r="Q175" i="48"/>
  <c r="Q178" i="48"/>
  <c r="Q196" i="48"/>
  <c r="Q184" i="48"/>
  <c r="Q187" i="48"/>
  <c r="Q190" i="48"/>
  <c r="Q193" i="48"/>
  <c r="Q166" i="48"/>
  <c r="Q154" i="48"/>
  <c r="Q157" i="48"/>
  <c r="Q160" i="48"/>
  <c r="Q163" i="48"/>
  <c r="Q136" i="48"/>
  <c r="Q124" i="48"/>
  <c r="Q127" i="48"/>
  <c r="Q130" i="48"/>
  <c r="Q133" i="48"/>
  <c r="Q151" i="48"/>
  <c r="Q139" i="48"/>
  <c r="Q142" i="48"/>
  <c r="Q145" i="48"/>
  <c r="Q148" i="48"/>
  <c r="O79" i="48"/>
  <c r="O82" i="48"/>
  <c r="O85" i="48"/>
  <c r="O88" i="48"/>
  <c r="O106" i="48"/>
  <c r="P106" i="48" s="1"/>
  <c r="O97" i="48"/>
  <c r="O100" i="48"/>
  <c r="O103" i="48"/>
  <c r="Q79" i="48"/>
  <c r="Q82" i="48"/>
  <c r="Q85" i="48"/>
  <c r="Q88" i="48"/>
  <c r="Q106" i="48"/>
  <c r="Q94" i="48"/>
  <c r="Q97" i="48"/>
  <c r="Q100" i="48"/>
  <c r="Q103" i="48"/>
  <c r="Q244" i="57"/>
  <c r="P244" i="57"/>
  <c r="N244" i="57"/>
  <c r="Q243" i="57"/>
  <c r="P243" i="57"/>
  <c r="N243" i="57"/>
  <c r="Q242" i="57"/>
  <c r="P242" i="57"/>
  <c r="N242" i="57"/>
  <c r="O242" i="57" s="1"/>
  <c r="Q241" i="57"/>
  <c r="P241" i="57"/>
  <c r="N241" i="57"/>
  <c r="O241" i="57" s="1"/>
  <c r="Q240" i="57"/>
  <c r="N240" i="57"/>
  <c r="O240" i="57" s="1"/>
  <c r="Q239" i="57"/>
  <c r="N239" i="57"/>
  <c r="Q238" i="57"/>
  <c r="N238" i="57"/>
  <c r="Q237" i="57"/>
  <c r="N237" i="57"/>
  <c r="O237" i="57" s="1"/>
  <c r="Q236" i="57"/>
  <c r="N236" i="57"/>
  <c r="O236" i="57" s="1"/>
  <c r="P236" i="57" s="1"/>
  <c r="Q235" i="57"/>
  <c r="N235" i="57"/>
  <c r="O235" i="57" s="1"/>
  <c r="P235" i="57" s="1"/>
  <c r="Q234" i="57"/>
  <c r="N234" i="57"/>
  <c r="Q233" i="57"/>
  <c r="N233" i="57"/>
  <c r="Q232" i="57"/>
  <c r="N232" i="57"/>
  <c r="O232" i="57" s="1"/>
  <c r="P232" i="57" s="1"/>
  <c r="Q231" i="57"/>
  <c r="N231" i="57"/>
  <c r="Q230" i="57"/>
  <c r="N230" i="57"/>
  <c r="Q229" i="57"/>
  <c r="N229" i="57"/>
  <c r="O229" i="57" s="1"/>
  <c r="Q228" i="57"/>
  <c r="N228" i="57"/>
  <c r="O228" i="57" s="1"/>
  <c r="Q227" i="57"/>
  <c r="N227" i="57"/>
  <c r="Q226" i="57"/>
  <c r="N226" i="57"/>
  <c r="O226" i="57" s="1"/>
  <c r="Q225" i="57"/>
  <c r="N225" i="57"/>
  <c r="O225" i="57" s="1"/>
  <c r="Q224" i="57"/>
  <c r="N224" i="57"/>
  <c r="Q223" i="57"/>
  <c r="N223" i="57"/>
  <c r="O223" i="57" s="1"/>
  <c r="P223" i="57" s="1"/>
  <c r="Q222" i="57"/>
  <c r="N222" i="57"/>
  <c r="Q221" i="57"/>
  <c r="N221" i="57"/>
  <c r="Q220" i="57"/>
  <c r="N220" i="57"/>
  <c r="O220" i="57" s="1"/>
  <c r="P220" i="57" s="1"/>
  <c r="Q219" i="57"/>
  <c r="N219" i="57"/>
  <c r="Q218" i="57"/>
  <c r="N218" i="57"/>
  <c r="Q217" i="57"/>
  <c r="N217" i="57"/>
  <c r="O217" i="57" s="1"/>
  <c r="Q216" i="57"/>
  <c r="N216" i="57"/>
  <c r="O216" i="57" s="1"/>
  <c r="Q215" i="57"/>
  <c r="N215" i="57"/>
  <c r="Q214" i="57"/>
  <c r="N214" i="57"/>
  <c r="Q213" i="57"/>
  <c r="N213" i="57"/>
  <c r="O213" i="57" s="1"/>
  <c r="Q212" i="57"/>
  <c r="N212" i="57"/>
  <c r="Q211" i="57"/>
  <c r="N211" i="57"/>
  <c r="O211" i="57" s="1"/>
  <c r="P211" i="57" s="1"/>
  <c r="Q210" i="57"/>
  <c r="N210" i="57"/>
  <c r="Q209" i="57"/>
  <c r="N209" i="57"/>
  <c r="Q208" i="57"/>
  <c r="N208" i="57"/>
  <c r="Q207" i="57"/>
  <c r="N207" i="57"/>
  <c r="Q206" i="57"/>
  <c r="N206" i="57"/>
  <c r="Q205" i="57"/>
  <c r="N205" i="57"/>
  <c r="O205" i="57" s="1"/>
  <c r="Q204" i="57"/>
  <c r="N204" i="57"/>
  <c r="O204" i="57" s="1"/>
  <c r="Q203" i="57"/>
  <c r="N203" i="57"/>
  <c r="O203" i="57" s="1"/>
  <c r="Q202" i="57"/>
  <c r="N202" i="57"/>
  <c r="O202" i="57" s="1"/>
  <c r="Q201" i="57"/>
  <c r="N201" i="57"/>
  <c r="O201" i="57" s="1"/>
  <c r="Q200" i="57"/>
  <c r="N200" i="57"/>
  <c r="O200" i="57" s="1"/>
  <c r="P200" i="57" s="1"/>
  <c r="Q199" i="57"/>
  <c r="N199" i="57"/>
  <c r="O199" i="57" s="1"/>
  <c r="P199" i="57" s="1"/>
  <c r="Q198" i="57"/>
  <c r="N198" i="57"/>
  <c r="Q197" i="57"/>
  <c r="N197" i="57"/>
  <c r="Q196" i="57"/>
  <c r="N196" i="57"/>
  <c r="O196" i="57" s="1"/>
  <c r="P196" i="57" s="1"/>
  <c r="Q195" i="57"/>
  <c r="N195" i="57"/>
  <c r="Q194" i="57"/>
  <c r="N194" i="57"/>
  <c r="Q193" i="57"/>
  <c r="N193" i="57"/>
  <c r="O193" i="57" s="1"/>
  <c r="Q192" i="57"/>
  <c r="N192" i="57"/>
  <c r="O192" i="57" s="1"/>
  <c r="Q191" i="57"/>
  <c r="N191" i="57"/>
  <c r="Q190" i="57"/>
  <c r="N190" i="57"/>
  <c r="Q189" i="57"/>
  <c r="N189" i="57"/>
  <c r="O189" i="57" s="1"/>
  <c r="Q188" i="57"/>
  <c r="N188" i="57"/>
  <c r="O188" i="57" s="1"/>
  <c r="P188" i="57" s="1"/>
  <c r="Q187" i="57"/>
  <c r="N187" i="57"/>
  <c r="O187" i="57" s="1"/>
  <c r="P187" i="57" s="1"/>
  <c r="Q186" i="57"/>
  <c r="N186" i="57"/>
  <c r="Q185" i="57"/>
  <c r="N185" i="57"/>
  <c r="Q184" i="57"/>
  <c r="N184" i="57"/>
  <c r="O184" i="57" s="1"/>
  <c r="Q183" i="57"/>
  <c r="N183" i="57"/>
  <c r="Q182" i="57"/>
  <c r="N182" i="57"/>
  <c r="Q181" i="57"/>
  <c r="N181" i="57"/>
  <c r="O181" i="57" s="1"/>
  <c r="Q180" i="57"/>
  <c r="N180" i="57"/>
  <c r="O180" i="57" s="1"/>
  <c r="Q179" i="57"/>
  <c r="N179" i="57"/>
  <c r="O179" i="57" s="1"/>
  <c r="P179" i="57" s="1"/>
  <c r="Q178" i="57"/>
  <c r="N178" i="57"/>
  <c r="Q177" i="57"/>
  <c r="N177" i="57"/>
  <c r="O177" i="57" s="1"/>
  <c r="Q176" i="57"/>
  <c r="N176" i="57"/>
  <c r="O176" i="57" s="1"/>
  <c r="P176" i="57" s="1"/>
  <c r="Q175" i="57"/>
  <c r="N175" i="57"/>
  <c r="O175" i="57" s="1"/>
  <c r="P175" i="57" s="1"/>
  <c r="Q174" i="57"/>
  <c r="N174" i="57"/>
  <c r="Q173" i="57"/>
  <c r="N173" i="57"/>
  <c r="Q172" i="57"/>
  <c r="N172" i="57"/>
  <c r="Q171" i="57"/>
  <c r="P171" i="57"/>
  <c r="N171" i="57"/>
  <c r="Q170" i="57"/>
  <c r="N170" i="57"/>
  <c r="Q169" i="57"/>
  <c r="N169" i="57"/>
  <c r="O169" i="57" s="1"/>
  <c r="Q168" i="57"/>
  <c r="N168" i="57"/>
  <c r="O168" i="57" s="1"/>
  <c r="Q167" i="57"/>
  <c r="N167" i="57"/>
  <c r="Q166" i="57"/>
  <c r="N166" i="57"/>
  <c r="Q165" i="57"/>
  <c r="N165" i="57"/>
  <c r="O165" i="57" s="1"/>
  <c r="Q164" i="57"/>
  <c r="N164" i="57"/>
  <c r="Q163" i="57"/>
  <c r="N163" i="57"/>
  <c r="O163" i="57" s="1"/>
  <c r="P163" i="57" s="1"/>
  <c r="Q162" i="57"/>
  <c r="N162" i="57"/>
  <c r="Q161" i="57"/>
  <c r="N161" i="57"/>
  <c r="Q160" i="57"/>
  <c r="N160" i="57"/>
  <c r="Q159" i="57"/>
  <c r="P159" i="57"/>
  <c r="N159" i="57"/>
  <c r="Q158" i="57"/>
  <c r="N158" i="57"/>
  <c r="Q157" i="57"/>
  <c r="N157" i="57"/>
  <c r="O157" i="57" s="1"/>
  <c r="Q156" i="57"/>
  <c r="N156" i="57"/>
  <c r="O156" i="57" s="1"/>
  <c r="Q155" i="57"/>
  <c r="P155" i="57"/>
  <c r="N155" i="57"/>
  <c r="O155" i="57" s="1"/>
  <c r="Q154" i="57"/>
  <c r="N154" i="57"/>
  <c r="O154" i="57" s="1"/>
  <c r="Q153" i="57"/>
  <c r="N153" i="57"/>
  <c r="O153" i="57" s="1"/>
  <c r="Q152" i="57"/>
  <c r="N152" i="57"/>
  <c r="Q151" i="57"/>
  <c r="N151" i="57"/>
  <c r="O151" i="57" s="1"/>
  <c r="P151" i="57" s="1"/>
  <c r="Q150" i="57"/>
  <c r="N150" i="57"/>
  <c r="Q149" i="57"/>
  <c r="N149" i="57"/>
  <c r="Q148" i="57"/>
  <c r="N148" i="57"/>
  <c r="Q147" i="57"/>
  <c r="N147" i="57"/>
  <c r="Q146" i="57"/>
  <c r="N146" i="57"/>
  <c r="Q145" i="57"/>
  <c r="N145" i="57"/>
  <c r="O145" i="57" s="1"/>
  <c r="Q144" i="57"/>
  <c r="N144" i="57"/>
  <c r="O144" i="57" s="1"/>
  <c r="Q143" i="57"/>
  <c r="N143" i="57"/>
  <c r="Q142" i="57"/>
  <c r="N142" i="57"/>
  <c r="Q141" i="57"/>
  <c r="N141" i="57"/>
  <c r="O141" i="57" s="1"/>
  <c r="Q140" i="57"/>
  <c r="N140" i="57"/>
  <c r="Q139" i="57"/>
  <c r="P139" i="57"/>
  <c r="N139" i="57"/>
  <c r="Q138" i="57"/>
  <c r="N138" i="57"/>
  <c r="Q137" i="57"/>
  <c r="N137" i="57"/>
  <c r="Q136" i="57"/>
  <c r="P136" i="57"/>
  <c r="N136" i="57"/>
  <c r="O136" i="57" s="1"/>
  <c r="Q135" i="57"/>
  <c r="P135" i="57"/>
  <c r="N135" i="57"/>
  <c r="Q134" i="57"/>
  <c r="P134" i="57"/>
  <c r="N134" i="57"/>
  <c r="O134" i="57" s="1"/>
  <c r="Q133" i="57"/>
  <c r="P133" i="57"/>
  <c r="N133" i="57"/>
  <c r="O133" i="57" s="1"/>
  <c r="Q132" i="57"/>
  <c r="P132" i="57"/>
  <c r="N132" i="57"/>
  <c r="O132" i="57" s="1"/>
  <c r="Q131" i="57"/>
  <c r="P131" i="57"/>
  <c r="N131" i="57"/>
  <c r="Q130" i="57"/>
  <c r="P130" i="57"/>
  <c r="N130" i="57"/>
  <c r="O130" i="57" s="1"/>
  <c r="Q129" i="57"/>
  <c r="P129" i="57"/>
  <c r="N129" i="57"/>
  <c r="Q128" i="57"/>
  <c r="P128" i="57"/>
  <c r="N128" i="57"/>
  <c r="O128" i="57" s="1"/>
  <c r="Q127" i="57"/>
  <c r="N127" i="57"/>
  <c r="O127" i="57" s="1"/>
  <c r="P127" i="57" s="1"/>
  <c r="Q126" i="57"/>
  <c r="N126" i="57"/>
  <c r="Q125" i="57"/>
  <c r="N125" i="57"/>
  <c r="Q124" i="57"/>
  <c r="N124" i="57"/>
  <c r="Q123" i="57"/>
  <c r="N123" i="57"/>
  <c r="Q122" i="57"/>
  <c r="N122" i="57"/>
  <c r="Q121" i="57"/>
  <c r="N121" i="57"/>
  <c r="O121" i="57" s="1"/>
  <c r="Q120" i="57"/>
  <c r="N120" i="57"/>
  <c r="O120" i="57" s="1"/>
  <c r="Q119" i="57"/>
  <c r="N119" i="57"/>
  <c r="O119" i="57" s="1"/>
  <c r="P119" i="57" s="1"/>
  <c r="Q118" i="57"/>
  <c r="N118" i="57"/>
  <c r="Q117" i="57"/>
  <c r="N117" i="57"/>
  <c r="O117" i="57" s="1"/>
  <c r="Q116" i="57"/>
  <c r="N116" i="57"/>
  <c r="O116" i="57" s="1"/>
  <c r="P116" i="57" s="1"/>
  <c r="Q115" i="57"/>
  <c r="N115" i="57"/>
  <c r="O115" i="57" s="1"/>
  <c r="P115" i="57" s="1"/>
  <c r="Q114" i="57"/>
  <c r="N114" i="57"/>
  <c r="Q113" i="57"/>
  <c r="N113" i="57"/>
  <c r="Q112" i="57"/>
  <c r="N112" i="57"/>
  <c r="Q111" i="57"/>
  <c r="N111" i="57"/>
  <c r="Q110" i="57"/>
  <c r="N110" i="57"/>
  <c r="Q109" i="57"/>
  <c r="N109" i="57"/>
  <c r="O109" i="57" s="1"/>
  <c r="Q108" i="57"/>
  <c r="N108" i="57"/>
  <c r="O108" i="57" s="1"/>
  <c r="Q107" i="57"/>
  <c r="N107" i="57"/>
  <c r="O107" i="57" s="1"/>
  <c r="P107" i="57" s="1"/>
  <c r="Q106" i="57"/>
  <c r="N106" i="57"/>
  <c r="O106" i="57" s="1"/>
  <c r="Q105" i="57"/>
  <c r="P105" i="57"/>
  <c r="N105" i="57"/>
  <c r="Q104" i="57"/>
  <c r="N104" i="57"/>
  <c r="Q103" i="57"/>
  <c r="N103" i="57"/>
  <c r="O103" i="57" s="1"/>
  <c r="P103" i="57" s="1"/>
  <c r="Q102" i="57"/>
  <c r="N102" i="57"/>
  <c r="Q101" i="57"/>
  <c r="N101" i="57"/>
  <c r="Q100" i="57"/>
  <c r="N100" i="57"/>
  <c r="Q99" i="57"/>
  <c r="N99" i="57"/>
  <c r="Q98" i="57"/>
  <c r="N98" i="57"/>
  <c r="Q97" i="57"/>
  <c r="N97" i="57"/>
  <c r="O97" i="57" s="1"/>
  <c r="Q96" i="57"/>
  <c r="N96" i="57"/>
  <c r="O96" i="57" s="1"/>
  <c r="Q95" i="57"/>
  <c r="N95" i="57"/>
  <c r="O95" i="57" s="1"/>
  <c r="P95" i="57" s="1"/>
  <c r="Q94" i="57"/>
  <c r="N94" i="57"/>
  <c r="O94" i="57" s="1"/>
  <c r="Q93" i="57"/>
  <c r="N93" i="57"/>
  <c r="O93" i="57" s="1"/>
  <c r="Q92" i="57"/>
  <c r="N92" i="57"/>
  <c r="O92" i="57" s="1"/>
  <c r="P92" i="57" s="1"/>
  <c r="Q91" i="57"/>
  <c r="N91" i="57"/>
  <c r="O91" i="57" s="1"/>
  <c r="P91" i="57" s="1"/>
  <c r="Q90" i="57"/>
  <c r="N90" i="57"/>
  <c r="Q89" i="57"/>
  <c r="N89" i="57"/>
  <c r="Q88" i="57"/>
  <c r="N88" i="57"/>
  <c r="Q87" i="57"/>
  <c r="N87" i="57"/>
  <c r="Q86" i="57"/>
  <c r="N86" i="57"/>
  <c r="Q85" i="57"/>
  <c r="N85" i="57"/>
  <c r="O85" i="57" s="1"/>
  <c r="Q84" i="57"/>
  <c r="N84" i="57"/>
  <c r="O84" i="57" s="1"/>
  <c r="Q83" i="57"/>
  <c r="N83" i="57"/>
  <c r="O83" i="57" s="1"/>
  <c r="P83" i="57" s="1"/>
  <c r="Q82" i="57"/>
  <c r="N82" i="57"/>
  <c r="O82" i="57" s="1"/>
  <c r="Q81" i="57"/>
  <c r="N81" i="57"/>
  <c r="O81" i="57" s="1"/>
  <c r="Q80" i="57"/>
  <c r="N80" i="57"/>
  <c r="Q79" i="57"/>
  <c r="N79" i="57"/>
  <c r="O79" i="57" s="1"/>
  <c r="P79" i="57" s="1"/>
  <c r="Q78" i="57"/>
  <c r="N78" i="57"/>
  <c r="Q77" i="57"/>
  <c r="N77" i="57"/>
  <c r="Q76" i="57"/>
  <c r="N76" i="57"/>
  <c r="Q75" i="57"/>
  <c r="N75" i="57"/>
  <c r="Q74" i="57"/>
  <c r="N74" i="57"/>
  <c r="Q73" i="57"/>
  <c r="N73" i="57"/>
  <c r="O73" i="57" s="1"/>
  <c r="Q72" i="57"/>
  <c r="N72" i="57"/>
  <c r="O72" i="57" s="1"/>
  <c r="Q71" i="57"/>
  <c r="N71" i="57"/>
  <c r="O71" i="57" s="1"/>
  <c r="P71" i="57" s="1"/>
  <c r="Q70" i="57"/>
  <c r="N70" i="57"/>
  <c r="O70" i="57" s="1"/>
  <c r="Q69" i="57"/>
  <c r="N69" i="57"/>
  <c r="O69" i="57" s="1"/>
  <c r="Q68" i="57"/>
  <c r="N68" i="57"/>
  <c r="Q67" i="57"/>
  <c r="N67" i="57"/>
  <c r="O67" i="57" s="1"/>
  <c r="P67" i="57" s="1"/>
  <c r="Q66" i="57"/>
  <c r="N66" i="57"/>
  <c r="Q65" i="57"/>
  <c r="N65" i="57"/>
  <c r="Q64" i="57"/>
  <c r="N64" i="57"/>
  <c r="Q63" i="57"/>
  <c r="N63" i="57"/>
  <c r="Q62" i="57"/>
  <c r="N62" i="57"/>
  <c r="Q61" i="57"/>
  <c r="N61" i="57"/>
  <c r="O61" i="57" s="1"/>
  <c r="Q60" i="57"/>
  <c r="N60" i="57"/>
  <c r="O60" i="57" s="1"/>
  <c r="Q59" i="57"/>
  <c r="N59" i="57"/>
  <c r="Q58" i="57"/>
  <c r="N58" i="57"/>
  <c r="Q57" i="57"/>
  <c r="N57" i="57"/>
  <c r="O57" i="57" s="1"/>
  <c r="Q56" i="57"/>
  <c r="N56" i="57"/>
  <c r="Q55" i="57"/>
  <c r="N55" i="57"/>
  <c r="O55" i="57" s="1"/>
  <c r="P55" i="57" s="1"/>
  <c r="Q54" i="57"/>
  <c r="N54" i="57"/>
  <c r="Q53" i="57"/>
  <c r="N53" i="57"/>
  <c r="Q52" i="57"/>
  <c r="N52" i="57"/>
  <c r="Q51" i="57"/>
  <c r="N51" i="57"/>
  <c r="P50" i="57"/>
  <c r="N50" i="57"/>
  <c r="P49" i="57"/>
  <c r="N49" i="57"/>
  <c r="P48" i="57"/>
  <c r="N48" i="57"/>
  <c r="O48" i="57" s="1"/>
  <c r="Q47" i="57"/>
  <c r="N47" i="57"/>
  <c r="O47" i="57" s="1"/>
  <c r="P47" i="57" s="1"/>
  <c r="Q46" i="57"/>
  <c r="N46" i="57"/>
  <c r="Q45" i="57"/>
  <c r="N45" i="57"/>
  <c r="O45" i="57" s="1"/>
  <c r="Q44" i="57"/>
  <c r="N44" i="57"/>
  <c r="Q43" i="57"/>
  <c r="N43" i="57"/>
  <c r="O43" i="57" s="1"/>
  <c r="P43" i="57" s="1"/>
  <c r="Q42" i="57"/>
  <c r="N42" i="57"/>
  <c r="O42" i="57" s="1"/>
  <c r="Q41" i="57"/>
  <c r="N41" i="57"/>
  <c r="Q40" i="57"/>
  <c r="N40" i="57"/>
  <c r="Q39" i="57"/>
  <c r="N39" i="57"/>
  <c r="Q38" i="57"/>
  <c r="N38" i="57"/>
  <c r="Q37" i="57"/>
  <c r="N37" i="57"/>
  <c r="O37" i="57" s="1"/>
  <c r="Q36" i="57"/>
  <c r="N36" i="57"/>
  <c r="O36" i="57" s="1"/>
  <c r="Q35" i="57"/>
  <c r="N35" i="57"/>
  <c r="O35" i="57" s="1"/>
  <c r="P35" i="57" s="1"/>
  <c r="Q34" i="57"/>
  <c r="N34" i="57"/>
  <c r="O34" i="57" s="1"/>
  <c r="Q33" i="57"/>
  <c r="N33" i="57"/>
  <c r="O33" i="57" s="1"/>
  <c r="Q32" i="57"/>
  <c r="N32" i="57"/>
  <c r="L27" i="57"/>
  <c r="M27" i="57" s="1"/>
  <c r="K27" i="57"/>
  <c r="J27" i="57"/>
  <c r="G27" i="57"/>
  <c r="F27" i="57"/>
  <c r="E27" i="57"/>
  <c r="D27" i="57"/>
  <c r="L26" i="57"/>
  <c r="M26" i="57" s="1"/>
  <c r="K26" i="57"/>
  <c r="J26" i="57"/>
  <c r="G26" i="57"/>
  <c r="F26" i="57"/>
  <c r="E26" i="57"/>
  <c r="D26" i="57"/>
  <c r="L25" i="57"/>
  <c r="M25" i="57" s="1"/>
  <c r="K25" i="57"/>
  <c r="J25" i="57"/>
  <c r="G25" i="57"/>
  <c r="F25" i="57"/>
  <c r="E25" i="57"/>
  <c r="D25" i="57"/>
  <c r="L24" i="57"/>
  <c r="M24" i="57" s="1"/>
  <c r="K24" i="57"/>
  <c r="J24" i="57"/>
  <c r="G24" i="57"/>
  <c r="F24" i="57"/>
  <c r="E24" i="57"/>
  <c r="D24" i="57"/>
  <c r="K15" i="57"/>
  <c r="J15" i="57"/>
  <c r="I15" i="57"/>
  <c r="H15" i="57"/>
  <c r="G15" i="57"/>
  <c r="F15" i="57"/>
  <c r="D15" i="57"/>
  <c r="K14" i="57"/>
  <c r="J14" i="57"/>
  <c r="I14" i="57"/>
  <c r="H14" i="57"/>
  <c r="G14" i="57"/>
  <c r="F14" i="57"/>
  <c r="D14" i="57"/>
  <c r="Q13" i="57"/>
  <c r="P13" i="57"/>
  <c r="O13" i="57"/>
  <c r="N13" i="57"/>
  <c r="M13" i="57"/>
  <c r="K13" i="57"/>
  <c r="J13" i="57"/>
  <c r="I13" i="57"/>
  <c r="H13" i="57"/>
  <c r="G13" i="57"/>
  <c r="F13" i="57"/>
  <c r="D13" i="57"/>
  <c r="K12" i="57"/>
  <c r="J12" i="57"/>
  <c r="I12" i="57"/>
  <c r="H12" i="57"/>
  <c r="G12" i="57"/>
  <c r="F12" i="57"/>
  <c r="D12" i="57"/>
  <c r="K11" i="57"/>
  <c r="J11" i="57"/>
  <c r="I11" i="57"/>
  <c r="H11" i="57"/>
  <c r="G11" i="57"/>
  <c r="F11" i="57"/>
  <c r="D11" i="57"/>
  <c r="K10" i="57"/>
  <c r="J10" i="57"/>
  <c r="I10" i="57"/>
  <c r="H10" i="57"/>
  <c r="G10" i="57"/>
  <c r="F10" i="57"/>
  <c r="D10" i="57"/>
  <c r="K9" i="57"/>
  <c r="J9" i="57"/>
  <c r="I9" i="57"/>
  <c r="H9" i="57"/>
  <c r="G9" i="57"/>
  <c r="F9" i="57"/>
  <c r="D9" i="57"/>
  <c r="K8" i="57"/>
  <c r="J8" i="57"/>
  <c r="I8" i="57"/>
  <c r="H8" i="57"/>
  <c r="G8" i="57"/>
  <c r="F8" i="57"/>
  <c r="D8" i="57"/>
  <c r="K7" i="57"/>
  <c r="J7" i="57"/>
  <c r="I7" i="57"/>
  <c r="H7" i="57"/>
  <c r="G7" i="57"/>
  <c r="F7" i="57"/>
  <c r="D7" i="57"/>
  <c r="K6" i="57"/>
  <c r="J6" i="57"/>
  <c r="I6" i="57"/>
  <c r="H6" i="57"/>
  <c r="G6" i="57"/>
  <c r="F6" i="57"/>
  <c r="D6" i="57"/>
  <c r="Q5" i="57"/>
  <c r="P5" i="57"/>
  <c r="O5" i="57"/>
  <c r="N5" i="57"/>
  <c r="M5" i="57"/>
  <c r="E5" i="57"/>
  <c r="E14" i="57" s="1"/>
  <c r="A56" i="51"/>
  <c r="A57" i="51"/>
  <c r="A58" i="51"/>
  <c r="A59" i="51"/>
  <c r="A60" i="51"/>
  <c r="A61" i="51"/>
  <c r="A62" i="51"/>
  <c r="A63" i="51"/>
  <c r="A64" i="51"/>
  <c r="A65" i="51"/>
  <c r="A55" i="51"/>
  <c r="M17" i="11"/>
  <c r="AE37" i="11"/>
  <c r="F17" i="11"/>
  <c r="Q17" i="11"/>
  <c r="S17" i="11"/>
  <c r="AI37" i="11"/>
  <c r="Q37" i="11"/>
  <c r="V17" i="11"/>
  <c r="G37" i="11"/>
  <c r="N37" i="11"/>
  <c r="D17" i="11"/>
  <c r="P37" i="11"/>
  <c r="P17" i="11"/>
  <c r="H17" i="11"/>
  <c r="D37" i="11"/>
  <c r="AC37" i="11"/>
  <c r="E37" i="11"/>
  <c r="K37" i="11"/>
  <c r="F37" i="11"/>
  <c r="B37" i="11"/>
  <c r="K17" i="11"/>
  <c r="W37" i="11"/>
  <c r="AH37" i="11"/>
  <c r="AF37" i="11"/>
  <c r="T17" i="11"/>
  <c r="Z37" i="11"/>
  <c r="E17" i="11"/>
  <c r="V37" i="11"/>
  <c r="S37" i="11"/>
  <c r="N17" i="11"/>
  <c r="W17" i="11"/>
  <c r="G17" i="11"/>
  <c r="R17" i="11"/>
  <c r="AB37" i="11"/>
  <c r="H37" i="11"/>
  <c r="J37" i="11"/>
  <c r="T37" i="11"/>
  <c r="B17" i="11"/>
  <c r="R37" i="11"/>
  <c r="J17" i="11"/>
  <c r="AD37" i="11"/>
  <c r="H26" i="57" l="1"/>
  <c r="R176" i="57"/>
  <c r="P11" i="57"/>
  <c r="P9" i="57"/>
  <c r="R103" i="57"/>
  <c r="I26" i="57"/>
  <c r="R223" i="57"/>
  <c r="R236" i="57"/>
  <c r="M7" i="57"/>
  <c r="M12" i="57"/>
  <c r="M14" i="57"/>
  <c r="R79" i="57"/>
  <c r="R91" i="57"/>
  <c r="R116" i="57"/>
  <c r="R92" i="57"/>
  <c r="R151" i="57"/>
  <c r="H25" i="57"/>
  <c r="R187" i="57"/>
  <c r="P14" i="57"/>
  <c r="R188" i="57"/>
  <c r="R241" i="57"/>
  <c r="N27" i="57"/>
  <c r="O27" i="57"/>
  <c r="R67" i="57"/>
  <c r="R220" i="57"/>
  <c r="P10" i="57"/>
  <c r="R43" i="57"/>
  <c r="P6" i="57"/>
  <c r="R199" i="57"/>
  <c r="P15" i="57"/>
  <c r="R232" i="57"/>
  <c r="R200" i="57"/>
  <c r="P8" i="57"/>
  <c r="M15" i="57"/>
  <c r="M11" i="57"/>
  <c r="H27" i="57"/>
  <c r="O80" i="57"/>
  <c r="P80" i="57" s="1"/>
  <c r="R80" i="57" s="1"/>
  <c r="R163" i="57"/>
  <c r="P12" i="57"/>
  <c r="R235" i="57"/>
  <c r="M10" i="57"/>
  <c r="M9" i="57"/>
  <c r="M6" i="57"/>
  <c r="Q289" i="48"/>
  <c r="R289" i="48" s="1"/>
  <c r="R106" i="48"/>
  <c r="R52" i="48"/>
  <c r="Q217" i="48"/>
  <c r="R217" i="48" s="1"/>
  <c r="Q298" i="48"/>
  <c r="R298" i="48" s="1"/>
  <c r="P139" i="48"/>
  <c r="R139" i="48" s="1"/>
  <c r="R175" i="48"/>
  <c r="R202" i="48"/>
  <c r="R49" i="48"/>
  <c r="R133" i="48"/>
  <c r="R61" i="48"/>
  <c r="R163" i="48"/>
  <c r="R199" i="48"/>
  <c r="R64" i="48"/>
  <c r="Q301" i="48"/>
  <c r="R301" i="48" s="1"/>
  <c r="R76" i="48"/>
  <c r="Q250" i="48"/>
  <c r="R250" i="48" s="1"/>
  <c r="P277" i="48"/>
  <c r="Q277" i="48" s="1"/>
  <c r="R160" i="48"/>
  <c r="R127" i="48"/>
  <c r="R208" i="48"/>
  <c r="R205" i="48"/>
  <c r="R196" i="48"/>
  <c r="R145" i="48"/>
  <c r="R55" i="48"/>
  <c r="R34" i="48"/>
  <c r="Q295" i="48"/>
  <c r="R295" i="48" s="1"/>
  <c r="Q256" i="48"/>
  <c r="R256" i="48" s="1"/>
  <c r="R142" i="48"/>
  <c r="P235" i="48"/>
  <c r="Q235" i="48" s="1"/>
  <c r="R235" i="48" s="1"/>
  <c r="P232" i="48"/>
  <c r="Q232" i="48" s="1"/>
  <c r="R232" i="48" s="1"/>
  <c r="Q241" i="48"/>
  <c r="R241" i="48" s="1"/>
  <c r="P223" i="48"/>
  <c r="Q247" i="48"/>
  <c r="R247" i="48" s="1"/>
  <c r="Q244" i="48"/>
  <c r="R244" i="48" s="1"/>
  <c r="P280" i="48"/>
  <c r="Q280" i="48" s="1"/>
  <c r="R268" i="48"/>
  <c r="R151" i="48"/>
  <c r="R124" i="48"/>
  <c r="O136" i="48"/>
  <c r="R157" i="48"/>
  <c r="R154" i="48"/>
  <c r="R166" i="48"/>
  <c r="P193" i="48"/>
  <c r="R193" i="48" s="1"/>
  <c r="P190" i="48"/>
  <c r="R190" i="48" s="1"/>
  <c r="R187" i="48"/>
  <c r="R178" i="48"/>
  <c r="P172" i="48"/>
  <c r="R172" i="48" s="1"/>
  <c r="R169" i="48"/>
  <c r="R211" i="48"/>
  <c r="R43" i="48"/>
  <c r="P37" i="48"/>
  <c r="R37" i="48" s="1"/>
  <c r="P46" i="48"/>
  <c r="R46" i="48" s="1"/>
  <c r="R73" i="48"/>
  <c r="P70" i="48"/>
  <c r="R70" i="48" s="1"/>
  <c r="Q262" i="48"/>
  <c r="R262" i="48" s="1"/>
  <c r="R130" i="48"/>
  <c r="R67" i="48"/>
  <c r="R148" i="48"/>
  <c r="R40" i="48"/>
  <c r="R58" i="48"/>
  <c r="R181" i="48"/>
  <c r="R286" i="48"/>
  <c r="Q214" i="48"/>
  <c r="R214" i="48" s="1"/>
  <c r="Q253" i="48"/>
  <c r="R253" i="48" s="1"/>
  <c r="R184" i="48"/>
  <c r="P79" i="48"/>
  <c r="R79" i="48" s="1"/>
  <c r="P229" i="48"/>
  <c r="Q229" i="48" s="1"/>
  <c r="P226" i="48"/>
  <c r="Q226" i="48" s="1"/>
  <c r="R226" i="48" s="1"/>
  <c r="Q292" i="48"/>
  <c r="R292" i="48" s="1"/>
  <c r="P283" i="48"/>
  <c r="Q283" i="48" s="1"/>
  <c r="R283" i="48" s="1"/>
  <c r="P265" i="48"/>
  <c r="Q265" i="48" s="1"/>
  <c r="R265" i="48" s="1"/>
  <c r="Q220" i="48"/>
  <c r="R220" i="48" s="1"/>
  <c r="P88" i="48"/>
  <c r="R88" i="48" s="1"/>
  <c r="Q238" i="48"/>
  <c r="R238" i="48" s="1"/>
  <c r="Q271" i="48"/>
  <c r="R271" i="48" s="1"/>
  <c r="Q274" i="48"/>
  <c r="R274" i="48" s="1"/>
  <c r="P103" i="48"/>
  <c r="R103" i="48" s="1"/>
  <c r="P85" i="48"/>
  <c r="R85" i="48" s="1"/>
  <c r="P100" i="48"/>
  <c r="R100" i="48" s="1"/>
  <c r="P82" i="48"/>
  <c r="R82" i="48" s="1"/>
  <c r="P97" i="48"/>
  <c r="R97" i="48" s="1"/>
  <c r="O94" i="48"/>
  <c r="P94" i="48" s="1"/>
  <c r="R94" i="48" s="1"/>
  <c r="O44" i="57"/>
  <c r="P44" i="57" s="1"/>
  <c r="O59" i="57"/>
  <c r="P59" i="57" s="1"/>
  <c r="O56" i="57"/>
  <c r="P56" i="57" s="1"/>
  <c r="R56" i="57" s="1"/>
  <c r="R127" i="57"/>
  <c r="O212" i="57"/>
  <c r="P212" i="57" s="1"/>
  <c r="R212" i="57" s="1"/>
  <c r="D16" i="57"/>
  <c r="M8" i="57"/>
  <c r="O104" i="57"/>
  <c r="P104" i="57" s="1"/>
  <c r="R104" i="57" s="1"/>
  <c r="Q48" i="57"/>
  <c r="R48" i="57" s="1"/>
  <c r="R133" i="57"/>
  <c r="P184" i="57"/>
  <c r="R184" i="57" s="1"/>
  <c r="F16" i="57"/>
  <c r="N24" i="57"/>
  <c r="O32" i="57"/>
  <c r="O49" i="57"/>
  <c r="Q49" i="57" s="1"/>
  <c r="O58" i="57"/>
  <c r="O68" i="57"/>
  <c r="P68" i="57" s="1"/>
  <c r="R68" i="57" s="1"/>
  <c r="O118" i="57"/>
  <c r="P118" i="57" s="1"/>
  <c r="O131" i="57"/>
  <c r="R131" i="57" s="1"/>
  <c r="O164" i="57"/>
  <c r="P164" i="57" s="1"/>
  <c r="R164" i="57" s="1"/>
  <c r="O172" i="57"/>
  <c r="P172" i="57" s="1"/>
  <c r="O214" i="57"/>
  <c r="P214" i="57" s="1"/>
  <c r="N26" i="57"/>
  <c r="P82" i="57"/>
  <c r="R82" i="57" s="1"/>
  <c r="O105" i="57"/>
  <c r="R105" i="57" s="1"/>
  <c r="R128" i="57"/>
  <c r="O139" i="57"/>
  <c r="R139" i="57" s="1"/>
  <c r="O142" i="57"/>
  <c r="P142" i="57" s="1"/>
  <c r="O152" i="57"/>
  <c r="P152" i="57" s="1"/>
  <c r="R152" i="57" s="1"/>
  <c r="O160" i="57"/>
  <c r="P160" i="57" s="1"/>
  <c r="P202" i="57"/>
  <c r="R202" i="57" s="1"/>
  <c r="O224" i="57"/>
  <c r="P224" i="57" s="1"/>
  <c r="R224" i="57" s="1"/>
  <c r="R55" i="57"/>
  <c r="R115" i="57"/>
  <c r="R211" i="57"/>
  <c r="O46" i="57"/>
  <c r="P46" i="57" s="1"/>
  <c r="R46" i="57" s="1"/>
  <c r="R83" i="57"/>
  <c r="P106" i="57"/>
  <c r="R106" i="57" s="1"/>
  <c r="O129" i="57"/>
  <c r="R129" i="57" s="1"/>
  <c r="R136" i="57"/>
  <c r="O143" i="57"/>
  <c r="P143" i="57" s="1"/>
  <c r="O190" i="57"/>
  <c r="P190" i="57" s="1"/>
  <c r="R190" i="57" s="1"/>
  <c r="O238" i="57"/>
  <c r="P238" i="57" s="1"/>
  <c r="R238" i="57" s="1"/>
  <c r="P70" i="57"/>
  <c r="R70" i="57" s="1"/>
  <c r="O140" i="57"/>
  <c r="P140" i="57" s="1"/>
  <c r="R140" i="57" s="1"/>
  <c r="O178" i="57"/>
  <c r="P178" i="57" s="1"/>
  <c r="P203" i="57"/>
  <c r="R203" i="57" s="1"/>
  <c r="O208" i="57"/>
  <c r="P208" i="57" s="1"/>
  <c r="H24" i="57"/>
  <c r="O25" i="57"/>
  <c r="P34" i="57"/>
  <c r="R34" i="57" s="1"/>
  <c r="P154" i="57"/>
  <c r="R154" i="57" s="1"/>
  <c r="O166" i="57"/>
  <c r="P166" i="57" s="1"/>
  <c r="R166" i="57" s="1"/>
  <c r="O191" i="57"/>
  <c r="P191" i="57" s="1"/>
  <c r="P226" i="57"/>
  <c r="R226" i="57" s="1"/>
  <c r="E7" i="57"/>
  <c r="P94" i="57"/>
  <c r="R94" i="57" s="1"/>
  <c r="R130" i="57"/>
  <c r="R175" i="57"/>
  <c r="R179" i="57"/>
  <c r="R196" i="57"/>
  <c r="R35" i="57"/>
  <c r="R155" i="57"/>
  <c r="O167" i="57"/>
  <c r="P167" i="57" s="1"/>
  <c r="G16" i="57"/>
  <c r="J16" i="57"/>
  <c r="I27" i="57"/>
  <c r="H16" i="57"/>
  <c r="I16" i="57"/>
  <c r="I25" i="57"/>
  <c r="K16" i="57"/>
  <c r="N25" i="57"/>
  <c r="I24" i="57"/>
  <c r="R13" i="57"/>
  <c r="R95" i="57"/>
  <c r="O24" i="57"/>
  <c r="O26" i="57"/>
  <c r="P42" i="57"/>
  <c r="R42" i="57" s="1"/>
  <c r="R119" i="57"/>
  <c r="R47" i="57"/>
  <c r="R107" i="57"/>
  <c r="R71" i="57"/>
  <c r="E9" i="57"/>
  <c r="E15" i="57"/>
  <c r="P36" i="57"/>
  <c r="O41" i="57"/>
  <c r="P41" i="57" s="1"/>
  <c r="O53" i="57"/>
  <c r="P53" i="57" s="1"/>
  <c r="P60" i="57"/>
  <c r="R60" i="57" s="1"/>
  <c r="O65" i="57"/>
  <c r="P65" i="57" s="1"/>
  <c r="P72" i="57"/>
  <c r="R72" i="57" s="1"/>
  <c r="O77" i="57"/>
  <c r="P77" i="57" s="1"/>
  <c r="P84" i="57"/>
  <c r="R84" i="57" s="1"/>
  <c r="O89" i="57"/>
  <c r="P89" i="57" s="1"/>
  <c r="P96" i="57"/>
  <c r="R96" i="57" s="1"/>
  <c r="O101" i="57"/>
  <c r="P101" i="57" s="1"/>
  <c r="P108" i="57"/>
  <c r="R108" i="57" s="1"/>
  <c r="O113" i="57"/>
  <c r="P113" i="57" s="1"/>
  <c r="P120" i="57"/>
  <c r="R120" i="57" s="1"/>
  <c r="O125" i="57"/>
  <c r="P125" i="57" s="1"/>
  <c r="R134" i="57"/>
  <c r="O137" i="57"/>
  <c r="P144" i="57"/>
  <c r="R144" i="57" s="1"/>
  <c r="O149" i="57"/>
  <c r="P149" i="57" s="1"/>
  <c r="P156" i="57"/>
  <c r="R156" i="57" s="1"/>
  <c r="O161" i="57"/>
  <c r="P161" i="57" s="1"/>
  <c r="P168" i="57"/>
  <c r="R168" i="57" s="1"/>
  <c r="O173" i="57"/>
  <c r="P173" i="57" s="1"/>
  <c r="P180" i="57"/>
  <c r="R180" i="57" s="1"/>
  <c r="O185" i="57"/>
  <c r="P185" i="57" s="1"/>
  <c r="P192" i="57"/>
  <c r="R192" i="57" s="1"/>
  <c r="O197" i="57"/>
  <c r="P197" i="57" s="1"/>
  <c r="P204" i="57"/>
  <c r="R204" i="57" s="1"/>
  <c r="O209" i="57"/>
  <c r="P209" i="57" s="1"/>
  <c r="P216" i="57"/>
  <c r="R216" i="57" s="1"/>
  <c r="O221" i="57"/>
  <c r="P221" i="57" s="1"/>
  <c r="P228" i="57"/>
  <c r="R228" i="57" s="1"/>
  <c r="O233" i="57"/>
  <c r="P233" i="57" s="1"/>
  <c r="P240" i="57"/>
  <c r="R240" i="57" s="1"/>
  <c r="R242" i="57"/>
  <c r="E10" i="57"/>
  <c r="R36" i="57"/>
  <c r="O39" i="57"/>
  <c r="O51" i="57"/>
  <c r="O63" i="57"/>
  <c r="P63" i="57" s="1"/>
  <c r="O75" i="57"/>
  <c r="P75" i="57" s="1"/>
  <c r="O87" i="57"/>
  <c r="O99" i="57"/>
  <c r="O111" i="57"/>
  <c r="O123" i="57"/>
  <c r="P123" i="57" s="1"/>
  <c r="R132" i="57"/>
  <c r="O135" i="57"/>
  <c r="R135" i="57" s="1"/>
  <c r="O147" i="57"/>
  <c r="P147" i="57" s="1"/>
  <c r="O159" i="57"/>
  <c r="R159" i="57" s="1"/>
  <c r="O171" i="57"/>
  <c r="R171" i="57" s="1"/>
  <c r="O183" i="57"/>
  <c r="O195" i="57"/>
  <c r="O207" i="57"/>
  <c r="O219" i="57"/>
  <c r="O231" i="57"/>
  <c r="P231" i="57" s="1"/>
  <c r="O243" i="57"/>
  <c r="R243" i="57" s="1"/>
  <c r="E11" i="57"/>
  <c r="P37" i="57"/>
  <c r="R37" i="57" s="1"/>
  <c r="O54" i="57"/>
  <c r="P61" i="57"/>
  <c r="R61" i="57" s="1"/>
  <c r="O66" i="57"/>
  <c r="P66" i="57" s="1"/>
  <c r="P73" i="57"/>
  <c r="R73" i="57" s="1"/>
  <c r="O78" i="57"/>
  <c r="P78" i="57" s="1"/>
  <c r="P85" i="57"/>
  <c r="R85" i="57" s="1"/>
  <c r="O90" i="57"/>
  <c r="P90" i="57" s="1"/>
  <c r="P97" i="57"/>
  <c r="R97" i="57" s="1"/>
  <c r="O102" i="57"/>
  <c r="P109" i="57"/>
  <c r="R109" i="57" s="1"/>
  <c r="O114" i="57"/>
  <c r="P114" i="57" s="1"/>
  <c r="P121" i="57"/>
  <c r="R121" i="57" s="1"/>
  <c r="O126" i="57"/>
  <c r="P126" i="57" s="1"/>
  <c r="O138" i="57"/>
  <c r="P138" i="57" s="1"/>
  <c r="P145" i="57"/>
  <c r="R145" i="57" s="1"/>
  <c r="O150" i="57"/>
  <c r="P157" i="57"/>
  <c r="R157" i="57" s="1"/>
  <c r="O162" i="57"/>
  <c r="P169" i="57"/>
  <c r="R169" i="57" s="1"/>
  <c r="O174" i="57"/>
  <c r="P181" i="57"/>
  <c r="R181" i="57" s="1"/>
  <c r="O186" i="57"/>
  <c r="P186" i="57" s="1"/>
  <c r="P193" i="57"/>
  <c r="O198" i="57"/>
  <c r="P205" i="57"/>
  <c r="R205" i="57" s="1"/>
  <c r="O210" i="57"/>
  <c r="P217" i="57"/>
  <c r="R217" i="57" s="1"/>
  <c r="O222" i="57"/>
  <c r="P222" i="57" s="1"/>
  <c r="P229" i="57"/>
  <c r="R229" i="57" s="1"/>
  <c r="O234" i="57"/>
  <c r="P234" i="57" s="1"/>
  <c r="E6" i="57"/>
  <c r="E12" i="57"/>
  <c r="O215" i="57"/>
  <c r="P215" i="57" s="1"/>
  <c r="O227" i="57"/>
  <c r="P227" i="57" s="1"/>
  <c r="O239" i="57"/>
  <c r="P239" i="57" s="1"/>
  <c r="O40" i="57"/>
  <c r="P40" i="57" s="1"/>
  <c r="O52" i="57"/>
  <c r="P52" i="57" s="1"/>
  <c r="O64" i="57"/>
  <c r="P64" i="57" s="1"/>
  <c r="O76" i="57"/>
  <c r="P76" i="57" s="1"/>
  <c r="O88" i="57"/>
  <c r="P88" i="57" s="1"/>
  <c r="O100" i="57"/>
  <c r="P100" i="57" s="1"/>
  <c r="O112" i="57"/>
  <c r="P112" i="57" s="1"/>
  <c r="O124" i="57"/>
  <c r="P124" i="57" s="1"/>
  <c r="O148" i="57"/>
  <c r="P148" i="57" s="1"/>
  <c r="O244" i="57"/>
  <c r="R244" i="57" s="1"/>
  <c r="E13" i="57"/>
  <c r="P33" i="57"/>
  <c r="O38" i="57"/>
  <c r="P38" i="57" s="1"/>
  <c r="P45" i="57"/>
  <c r="R45" i="57" s="1"/>
  <c r="O50" i="57"/>
  <c r="Q50" i="57" s="1"/>
  <c r="P57" i="57"/>
  <c r="R57" i="57" s="1"/>
  <c r="O62" i="57"/>
  <c r="P62" i="57" s="1"/>
  <c r="P69" i="57"/>
  <c r="R69" i="57" s="1"/>
  <c r="O74" i="57"/>
  <c r="P74" i="57" s="1"/>
  <c r="P81" i="57"/>
  <c r="R81" i="57" s="1"/>
  <c r="O86" i="57"/>
  <c r="P93" i="57"/>
  <c r="R93" i="57" s="1"/>
  <c r="O98" i="57"/>
  <c r="P98" i="57" s="1"/>
  <c r="O110" i="57"/>
  <c r="P110" i="57" s="1"/>
  <c r="P117" i="57"/>
  <c r="R117" i="57" s="1"/>
  <c r="O122" i="57"/>
  <c r="P122" i="57" s="1"/>
  <c r="P141" i="57"/>
  <c r="R141" i="57" s="1"/>
  <c r="O146" i="57"/>
  <c r="P146" i="57" s="1"/>
  <c r="P153" i="57"/>
  <c r="R153" i="57" s="1"/>
  <c r="O158" i="57"/>
  <c r="P165" i="57"/>
  <c r="R165" i="57" s="1"/>
  <c r="O170" i="57"/>
  <c r="P177" i="57"/>
  <c r="R177" i="57" s="1"/>
  <c r="O182" i="57"/>
  <c r="P182" i="57" s="1"/>
  <c r="R182" i="57" s="1"/>
  <c r="P189" i="57"/>
  <c r="R189" i="57" s="1"/>
  <c r="O194" i="57"/>
  <c r="P201" i="57"/>
  <c r="R201" i="57" s="1"/>
  <c r="O206" i="57"/>
  <c r="P213" i="57"/>
  <c r="R213" i="57" s="1"/>
  <c r="O218" i="57"/>
  <c r="P225" i="57"/>
  <c r="R225" i="57" s="1"/>
  <c r="O230" i="57"/>
  <c r="P237" i="57"/>
  <c r="R237" i="57" s="1"/>
  <c r="E8" i="57"/>
  <c r="AI69" i="11"/>
  <c r="AH69" i="11"/>
  <c r="AF69" i="11"/>
  <c r="AE69" i="11"/>
  <c r="AD69" i="11"/>
  <c r="AC69" i="11"/>
  <c r="AB69" i="11"/>
  <c r="Z69" i="11"/>
  <c r="V75" i="11"/>
  <c r="J75" i="11" s="1"/>
  <c r="V93" i="11" s="1"/>
  <c r="T75" i="11"/>
  <c r="H75" i="11" s="1"/>
  <c r="T93" i="11" s="1"/>
  <c r="W75" i="11"/>
  <c r="K75" i="11" s="1"/>
  <c r="W93" i="11" s="1"/>
  <c r="S75" i="11"/>
  <c r="G75" i="11" s="1"/>
  <c r="S93" i="11" s="1"/>
  <c r="R75" i="11"/>
  <c r="F75" i="11" s="1"/>
  <c r="R93" i="11" s="1"/>
  <c r="Q75" i="11"/>
  <c r="E75" i="11" s="1"/>
  <c r="Q93" i="11" s="1"/>
  <c r="P75" i="11"/>
  <c r="D75" i="11" s="1"/>
  <c r="P93" i="11" s="1"/>
  <c r="N75" i="11"/>
  <c r="B75" i="11" s="1"/>
  <c r="N93" i="11" s="1"/>
  <c r="O37" i="11"/>
  <c r="C37" i="11"/>
  <c r="C17" i="11"/>
  <c r="J112" i="11" l="1"/>
  <c r="D112" i="11"/>
  <c r="B112" i="11"/>
  <c r="E112" i="11"/>
  <c r="G112" i="11"/>
  <c r="K112" i="11"/>
  <c r="F112" i="11"/>
  <c r="H112" i="11"/>
  <c r="N11" i="57"/>
  <c r="R59" i="57"/>
  <c r="R44" i="57"/>
  <c r="M16" i="57"/>
  <c r="R41" i="57"/>
  <c r="R277" i="48"/>
  <c r="Q223" i="48"/>
  <c r="R223" i="48" s="1"/>
  <c r="R280" i="48"/>
  <c r="P136" i="48"/>
  <c r="R136" i="48" s="1"/>
  <c r="R229" i="48"/>
  <c r="R160" i="57"/>
  <c r="N15" i="57"/>
  <c r="R63" i="57"/>
  <c r="N8" i="57"/>
  <c r="P32" i="57"/>
  <c r="R32" i="57" s="1"/>
  <c r="AA69" i="11"/>
  <c r="N10" i="57"/>
  <c r="R49" i="57"/>
  <c r="R100" i="57"/>
  <c r="R143" i="57"/>
  <c r="R231" i="57"/>
  <c r="R214" i="57"/>
  <c r="N9" i="57"/>
  <c r="R142" i="57"/>
  <c r="R172" i="57"/>
  <c r="P158" i="57"/>
  <c r="R158" i="57" s="1"/>
  <c r="R208" i="57"/>
  <c r="R167" i="57"/>
  <c r="P58" i="57"/>
  <c r="R58" i="57" s="1"/>
  <c r="P230" i="57"/>
  <c r="R230" i="57" s="1"/>
  <c r="R191" i="57"/>
  <c r="P207" i="57"/>
  <c r="R207" i="57" s="1"/>
  <c r="R75" i="57"/>
  <c r="R178" i="57"/>
  <c r="R118" i="57"/>
  <c r="P111" i="57"/>
  <c r="R111" i="57" s="1"/>
  <c r="R233" i="57"/>
  <c r="P87" i="57"/>
  <c r="R87" i="57" s="1"/>
  <c r="R185" i="57"/>
  <c r="P7" i="57"/>
  <c r="P16" i="57" s="1"/>
  <c r="R50" i="57"/>
  <c r="E16" i="57"/>
  <c r="R90" i="57"/>
  <c r="P195" i="57"/>
  <c r="R195" i="57" s="1"/>
  <c r="R146" i="57"/>
  <c r="R209" i="57"/>
  <c r="P170" i="57"/>
  <c r="R170" i="57" s="1"/>
  <c r="N7" i="57"/>
  <c r="R33" i="57"/>
  <c r="R197" i="57"/>
  <c r="R98" i="57"/>
  <c r="P218" i="57"/>
  <c r="R218" i="57" s="1"/>
  <c r="R239" i="57"/>
  <c r="P183" i="57"/>
  <c r="R183" i="57" s="1"/>
  <c r="R38" i="57"/>
  <c r="P162" i="57"/>
  <c r="R162" i="57" s="1"/>
  <c r="P174" i="57"/>
  <c r="R174" i="57" s="1"/>
  <c r="R147" i="57"/>
  <c r="R234" i="57"/>
  <c r="O12" i="57"/>
  <c r="R12" i="57" s="1"/>
  <c r="R78" i="57"/>
  <c r="N14" i="57"/>
  <c r="P137" i="57"/>
  <c r="R215" i="57"/>
  <c r="R123" i="57"/>
  <c r="R222" i="57"/>
  <c r="R89" i="57"/>
  <c r="R149" i="57"/>
  <c r="R101" i="57"/>
  <c r="P86" i="57"/>
  <c r="R86" i="57" s="1"/>
  <c r="R113" i="57"/>
  <c r="P150" i="57"/>
  <c r="R150" i="57" s="1"/>
  <c r="P194" i="57"/>
  <c r="R194" i="57" s="1"/>
  <c r="R124" i="57"/>
  <c r="N12" i="57"/>
  <c r="R66" i="57"/>
  <c r="R138" i="57"/>
  <c r="P99" i="57"/>
  <c r="R99" i="57" s="1"/>
  <c r="R122" i="57"/>
  <c r="R74" i="57"/>
  <c r="R227" i="57"/>
  <c r="R112" i="57"/>
  <c r="R161" i="57"/>
  <c r="R77" i="57"/>
  <c r="R126" i="57"/>
  <c r="P54" i="57"/>
  <c r="R54" i="57" s="1"/>
  <c r="O11" i="57"/>
  <c r="R11" i="57" s="1"/>
  <c r="R76" i="57"/>
  <c r="O6" i="57"/>
  <c r="R125" i="57"/>
  <c r="R173" i="57"/>
  <c r="P206" i="57"/>
  <c r="R206" i="57" s="1"/>
  <c r="R110" i="57"/>
  <c r="R62" i="57"/>
  <c r="R88" i="57"/>
  <c r="R64" i="57"/>
  <c r="P198" i="57"/>
  <c r="R198" i="57" s="1"/>
  <c r="R114" i="57"/>
  <c r="R186" i="57"/>
  <c r="P51" i="57"/>
  <c r="N6" i="57"/>
  <c r="R53" i="57"/>
  <c r="R65" i="57"/>
  <c r="R148" i="57"/>
  <c r="R193" i="57"/>
  <c r="P219" i="57"/>
  <c r="O9" i="57" s="1"/>
  <c r="R9" i="57" s="1"/>
  <c r="P39" i="57"/>
  <c r="R39" i="57" s="1"/>
  <c r="R52" i="57"/>
  <c r="R221" i="57"/>
  <c r="P102" i="57"/>
  <c r="R102" i="57" s="1"/>
  <c r="P210" i="57"/>
  <c r="R210" i="57" s="1"/>
  <c r="R40" i="57"/>
  <c r="O75" i="11"/>
  <c r="AA37" i="11"/>
  <c r="O17" i="11"/>
  <c r="D37" i="31" l="1"/>
  <c r="D37" i="51"/>
  <c r="O10" i="57"/>
  <c r="R10" i="57" s="1"/>
  <c r="C75" i="11"/>
  <c r="Q6" i="57"/>
  <c r="Q11" i="57"/>
  <c r="R219" i="57"/>
  <c r="Q9" i="57" s="1"/>
  <c r="Q8" i="57"/>
  <c r="Q12" i="57"/>
  <c r="N16" i="57"/>
  <c r="O15" i="57"/>
  <c r="R15" i="57" s="1"/>
  <c r="Q7" i="57"/>
  <c r="R6" i="57"/>
  <c r="P245" i="57"/>
  <c r="O7" i="57"/>
  <c r="R7" i="57" s="1"/>
  <c r="O8" i="57"/>
  <c r="R8" i="57" s="1"/>
  <c r="Q15" i="57"/>
  <c r="R51" i="57"/>
  <c r="Q10" i="57" s="1"/>
  <c r="O14" i="57"/>
  <c r="R14" i="57" s="1"/>
  <c r="R137" i="57"/>
  <c r="Q14" i="57" s="1"/>
  <c r="L37" i="31" l="1"/>
  <c r="O93" i="11"/>
  <c r="C112" i="11"/>
  <c r="Q16" i="57"/>
  <c r="O16" i="57"/>
  <c r="A121" i="24"/>
  <c r="M121" i="24" s="1"/>
  <c r="Y121" i="24" s="1"/>
  <c r="V36" i="11"/>
  <c r="S36" i="11"/>
  <c r="P36" i="11"/>
  <c r="W36" i="11"/>
  <c r="Q36" i="11"/>
  <c r="E16" i="11"/>
  <c r="F16" i="11"/>
  <c r="Q74" i="11" l="1"/>
  <c r="R36" i="11"/>
  <c r="T36" i="11"/>
  <c r="J16" i="11"/>
  <c r="Q16" i="11"/>
  <c r="K16" i="11"/>
  <c r="D16" i="11"/>
  <c r="G16" i="11"/>
  <c r="H16" i="11"/>
  <c r="C16" i="11"/>
  <c r="B16" i="11"/>
  <c r="N36" i="11"/>
  <c r="P16" i="11"/>
  <c r="S74" i="11" l="1"/>
  <c r="W74" i="11"/>
  <c r="R74" i="11"/>
  <c r="N74" i="11"/>
  <c r="T74" i="11"/>
  <c r="P74" i="11"/>
  <c r="D74" i="11" s="1"/>
  <c r="D111" i="11" s="1"/>
  <c r="V74" i="11"/>
  <c r="E74" i="11"/>
  <c r="E111" i="11" s="1"/>
  <c r="R16" i="11"/>
  <c r="N16" i="11"/>
  <c r="O16" i="11"/>
  <c r="T16" i="11"/>
  <c r="G36" i="11"/>
  <c r="F36" i="11"/>
  <c r="W16" i="11"/>
  <c r="S16" i="11"/>
  <c r="O36" i="11"/>
  <c r="V16" i="11"/>
  <c r="K36" i="11"/>
  <c r="C36" i="11"/>
  <c r="AU130" i="11" l="1"/>
  <c r="AQ130" i="11"/>
  <c r="AM130" i="11"/>
  <c r="AP130" i="11"/>
  <c r="H74" i="11"/>
  <c r="H111" i="11" s="1"/>
  <c r="F74" i="11"/>
  <c r="F111" i="11" s="1"/>
  <c r="G74" i="11"/>
  <c r="G111" i="11" s="1"/>
  <c r="O74" i="11"/>
  <c r="AE68" i="11"/>
  <c r="AD68" i="11"/>
  <c r="B74" i="11"/>
  <c r="B111" i="11" s="1"/>
  <c r="AI68" i="11"/>
  <c r="K74" i="11"/>
  <c r="K111" i="11" s="1"/>
  <c r="J74" i="11"/>
  <c r="J111" i="11" s="1"/>
  <c r="AI36" i="11"/>
  <c r="B36" i="11"/>
  <c r="H36" i="11"/>
  <c r="AB36" i="11"/>
  <c r="AF36" i="11"/>
  <c r="J36" i="11"/>
  <c r="AC36" i="11"/>
  <c r="E36" i="11"/>
  <c r="AE36" i="11"/>
  <c r="AD36" i="11"/>
  <c r="Z36" i="11"/>
  <c r="AA36" i="11"/>
  <c r="D36" i="11"/>
  <c r="AH36" i="11"/>
  <c r="AN130" i="11" l="1"/>
  <c r="AR130" i="11"/>
  <c r="AT130" i="11"/>
  <c r="AO130" i="11"/>
  <c r="AL130" i="11"/>
  <c r="W92" i="11"/>
  <c r="S92" i="11"/>
  <c r="R92" i="11"/>
  <c r="N92" i="11"/>
  <c r="V92" i="11"/>
  <c r="P92" i="11"/>
  <c r="Q92" i="11"/>
  <c r="T92" i="11"/>
  <c r="AC68" i="11"/>
  <c r="AF68" i="11"/>
  <c r="Z68" i="11"/>
  <c r="AH68" i="11"/>
  <c r="AB68" i="11"/>
  <c r="Z5" i="10" l="1"/>
  <c r="Z5" i="13"/>
  <c r="Z5" i="14"/>
  <c r="Z5" i="15"/>
  <c r="Z5" i="16"/>
  <c r="A97" i="24"/>
  <c r="M97" i="24" s="1"/>
  <c r="Y97" i="24" s="1"/>
  <c r="AK97" i="24" s="1"/>
  <c r="A98" i="24"/>
  <c r="M98" i="24" s="1"/>
  <c r="Y98" i="24" s="1"/>
  <c r="AK98" i="24" s="1"/>
  <c r="A99" i="24"/>
  <c r="M99" i="24" s="1"/>
  <c r="Y99" i="24" s="1"/>
  <c r="AK99" i="24" s="1"/>
  <c r="A100" i="24"/>
  <c r="M100" i="24" s="1"/>
  <c r="Y100" i="24" s="1"/>
  <c r="AK100" i="24" s="1"/>
  <c r="A101" i="24"/>
  <c r="M101" i="24" s="1"/>
  <c r="Y101" i="24" s="1"/>
  <c r="AK101" i="24" s="1"/>
  <c r="A102" i="24"/>
  <c r="M102" i="24" s="1"/>
  <c r="Y102" i="24" s="1"/>
  <c r="AK102" i="24" s="1"/>
  <c r="A103" i="24"/>
  <c r="M103" i="24" s="1"/>
  <c r="Y103" i="24" s="1"/>
  <c r="AK103" i="24" s="1"/>
  <c r="A104" i="24"/>
  <c r="M104" i="24" s="1"/>
  <c r="Y104" i="24" s="1"/>
  <c r="AK104" i="24" s="1"/>
  <c r="A105" i="24"/>
  <c r="M105" i="24" s="1"/>
  <c r="Y105" i="24" s="1"/>
  <c r="AK105" i="24" s="1"/>
  <c r="A106" i="24"/>
  <c r="M106" i="24" s="1"/>
  <c r="Y106" i="24" s="1"/>
  <c r="AK106" i="24" s="1"/>
  <c r="A96" i="24"/>
  <c r="M96" i="24" s="1"/>
  <c r="Y96" i="24" s="1"/>
  <c r="AK96" i="24" s="1"/>
  <c r="C23" i="24"/>
  <c r="D23" i="24"/>
  <c r="E23" i="24"/>
  <c r="F23" i="24"/>
  <c r="F43" i="24" s="1"/>
  <c r="G23" i="24"/>
  <c r="H23" i="24"/>
  <c r="T23" i="24" s="1"/>
  <c r="AF23" i="24" s="1"/>
  <c r="AR23" i="24" s="1"/>
  <c r="I23" i="24"/>
  <c r="U23" i="24" s="1"/>
  <c r="AG23" i="24" s="1"/>
  <c r="AS23" i="24" s="1"/>
  <c r="J23" i="24"/>
  <c r="K23" i="24"/>
  <c r="W23" i="24" s="1"/>
  <c r="AI23" i="24" s="1"/>
  <c r="AU23" i="24" s="1"/>
  <c r="B23" i="24"/>
  <c r="O3" i="24"/>
  <c r="P3" i="24"/>
  <c r="Q3" i="24"/>
  <c r="R3" i="24"/>
  <c r="S3" i="24"/>
  <c r="T3" i="24"/>
  <c r="U3" i="24"/>
  <c r="V3" i="24"/>
  <c r="W3" i="24"/>
  <c r="N3" i="24"/>
  <c r="A65" i="31"/>
  <c r="A64" i="31"/>
  <c r="A63" i="31"/>
  <c r="A62" i="31"/>
  <c r="A61" i="31"/>
  <c r="A60" i="31"/>
  <c r="A59" i="31"/>
  <c r="A58" i="31"/>
  <c r="A57" i="31"/>
  <c r="A56" i="31"/>
  <c r="A55" i="31"/>
  <c r="M16" i="24"/>
  <c r="N23" i="24" l="1"/>
  <c r="Z23" i="24" s="1"/>
  <c r="AL23" i="24" s="1"/>
  <c r="B43" i="24"/>
  <c r="N43" i="24" s="1"/>
  <c r="Z43" i="24" s="1"/>
  <c r="V23" i="24"/>
  <c r="AH23" i="24" s="1"/>
  <c r="AT23" i="24" s="1"/>
  <c r="J43" i="24"/>
  <c r="S23" i="24"/>
  <c r="AE23" i="24" s="1"/>
  <c r="AQ23" i="24" s="1"/>
  <c r="G43" i="24"/>
  <c r="G61" i="24" s="1"/>
  <c r="S61" i="24" s="1"/>
  <c r="Q23" i="24"/>
  <c r="AC23" i="24" s="1"/>
  <c r="AO23" i="24" s="1"/>
  <c r="E43" i="24"/>
  <c r="D43" i="24"/>
  <c r="P43" i="24" s="1"/>
  <c r="AB43" i="24" s="1"/>
  <c r="P23" i="24"/>
  <c r="AB23" i="24" s="1"/>
  <c r="AN23" i="24" s="1"/>
  <c r="O23" i="24"/>
  <c r="AA23" i="24" s="1"/>
  <c r="AM23" i="24" s="1"/>
  <c r="C43" i="24"/>
  <c r="O43" i="24" s="1"/>
  <c r="AA43" i="24" s="1"/>
  <c r="Z6" i="16"/>
  <c r="Z7" i="16"/>
  <c r="Z8" i="16"/>
  <c r="Z9" i="16"/>
  <c r="Z10" i="16"/>
  <c r="Z11" i="16"/>
  <c r="Z12" i="16"/>
  <c r="Z13" i="16"/>
  <c r="Z14" i="16"/>
  <c r="Z15" i="16"/>
  <c r="Z7" i="15"/>
  <c r="Z8" i="15"/>
  <c r="Z9" i="15"/>
  <c r="Z10" i="15"/>
  <c r="Z11" i="15"/>
  <c r="Z12" i="15"/>
  <c r="Z13" i="15"/>
  <c r="Z14" i="15"/>
  <c r="Z15" i="15"/>
  <c r="Z6" i="15"/>
  <c r="Z7" i="14"/>
  <c r="Z8" i="14"/>
  <c r="Z9" i="14"/>
  <c r="Z10" i="14"/>
  <c r="Z11" i="14"/>
  <c r="Z12" i="14"/>
  <c r="Z13" i="14"/>
  <c r="Z14" i="14"/>
  <c r="Z15" i="14"/>
  <c r="Z6" i="14"/>
  <c r="Z7" i="13"/>
  <c r="Z8" i="13"/>
  <c r="Z9" i="13"/>
  <c r="Z10" i="13"/>
  <c r="Z11" i="13"/>
  <c r="Z12" i="13"/>
  <c r="Z13" i="13"/>
  <c r="Z14" i="13"/>
  <c r="Z15" i="13"/>
  <c r="Z6" i="13"/>
  <c r="Z7" i="10"/>
  <c r="Z8" i="10"/>
  <c r="Z9" i="10"/>
  <c r="Z10" i="10"/>
  <c r="Z11" i="10"/>
  <c r="Z12" i="10"/>
  <c r="Z13" i="10"/>
  <c r="Z14" i="10"/>
  <c r="Z15" i="10"/>
  <c r="Z6" i="10"/>
  <c r="G81" i="24"/>
  <c r="G95" i="24" s="1"/>
  <c r="S95" i="24" s="1"/>
  <c r="AE95" i="24" s="1"/>
  <c r="AQ95" i="24" s="1"/>
  <c r="R43" i="24"/>
  <c r="AD43" i="24" s="1"/>
  <c r="F61" i="24"/>
  <c r="H43" i="24"/>
  <c r="K43" i="24"/>
  <c r="S43" i="24"/>
  <c r="AE43" i="24" s="1"/>
  <c r="I43" i="24"/>
  <c r="R23" i="24"/>
  <c r="AD23" i="24" s="1"/>
  <c r="AP23" i="24" s="1"/>
  <c r="B61" i="24"/>
  <c r="A125" i="24"/>
  <c r="M125" i="24" s="1"/>
  <c r="Y125" i="24" s="1"/>
  <c r="A116" i="24"/>
  <c r="M116" i="24" s="1"/>
  <c r="Y116" i="24" s="1"/>
  <c r="A117" i="24"/>
  <c r="M117" i="24" s="1"/>
  <c r="Y117" i="24" s="1"/>
  <c r="A118" i="24"/>
  <c r="M118" i="24" s="1"/>
  <c r="Y118" i="24" s="1"/>
  <c r="A119" i="24"/>
  <c r="M119" i="24" s="1"/>
  <c r="Y119" i="24" s="1"/>
  <c r="A120" i="24"/>
  <c r="M120" i="24" s="1"/>
  <c r="Y120" i="24" s="1"/>
  <c r="A123" i="24"/>
  <c r="M123" i="24" s="1"/>
  <c r="Y123" i="24" s="1"/>
  <c r="A124" i="24"/>
  <c r="M124" i="24" s="1"/>
  <c r="Y124" i="24" s="1"/>
  <c r="A115" i="24"/>
  <c r="M115" i="24" s="1"/>
  <c r="Y115" i="24" s="1"/>
  <c r="M83" i="24"/>
  <c r="Y83" i="24" s="1"/>
  <c r="M84" i="24"/>
  <c r="Y84" i="24" s="1"/>
  <c r="M85" i="24"/>
  <c r="Y85" i="24" s="1"/>
  <c r="M86" i="24"/>
  <c r="Y86" i="24" s="1"/>
  <c r="M87" i="24"/>
  <c r="Y87" i="24" s="1"/>
  <c r="M88" i="24"/>
  <c r="Y88" i="24" s="1"/>
  <c r="M89" i="24"/>
  <c r="Y89" i="24" s="1"/>
  <c r="M91" i="24"/>
  <c r="Y91" i="24" s="1"/>
  <c r="M92" i="24"/>
  <c r="Y92" i="24" s="1"/>
  <c r="M82" i="24"/>
  <c r="Y82" i="24" s="1"/>
  <c r="B16" i="24"/>
  <c r="AM28" i="24"/>
  <c r="P16" i="24"/>
  <c r="E36" i="24"/>
  <c r="AO28" i="24"/>
  <c r="Q16" i="24"/>
  <c r="AM24" i="24"/>
  <c r="AB36" i="24"/>
  <c r="Q36" i="24"/>
  <c r="AL26" i="24"/>
  <c r="G36" i="24"/>
  <c r="K36" i="24"/>
  <c r="AM27" i="24"/>
  <c r="AO27" i="24"/>
  <c r="AP28" i="24"/>
  <c r="AQ24" i="24"/>
  <c r="AT24" i="24"/>
  <c r="AU24" i="24"/>
  <c r="F16" i="24"/>
  <c r="AT27" i="24"/>
  <c r="N16" i="24"/>
  <c r="AN24" i="24"/>
  <c r="D36" i="24"/>
  <c r="AA36" i="24"/>
  <c r="AT26" i="24"/>
  <c r="K16" i="24"/>
  <c r="Z36" i="24"/>
  <c r="AN26" i="24"/>
  <c r="AT36" i="24"/>
  <c r="AT25" i="24"/>
  <c r="W36" i="24"/>
  <c r="S16" i="24"/>
  <c r="AR26" i="24"/>
  <c r="AI36" i="24"/>
  <c r="C36" i="24"/>
  <c r="AN25" i="24"/>
  <c r="J16" i="24"/>
  <c r="AF36" i="24"/>
  <c r="H16" i="24"/>
  <c r="AU28" i="24"/>
  <c r="B36" i="24"/>
  <c r="N36" i="24"/>
  <c r="T36" i="24"/>
  <c r="G16" i="24"/>
  <c r="AP24" i="24"/>
  <c r="AQ26" i="24"/>
  <c r="H36" i="24"/>
  <c r="AM26" i="24"/>
  <c r="T16" i="24"/>
  <c r="AU26" i="24"/>
  <c r="D16" i="24"/>
  <c r="AQ28" i="24"/>
  <c r="AO26" i="24"/>
  <c r="AO24" i="24"/>
  <c r="AL27" i="24"/>
  <c r="AO25" i="24"/>
  <c r="AR28" i="24"/>
  <c r="AP26" i="24"/>
  <c r="AH36" i="24"/>
  <c r="O36" i="24"/>
  <c r="AU25" i="24"/>
  <c r="C16" i="24"/>
  <c r="AR24" i="24"/>
  <c r="S36" i="24"/>
  <c r="AQ27" i="24"/>
  <c r="R36" i="24"/>
  <c r="AR27" i="24"/>
  <c r="F36" i="24"/>
  <c r="AC36" i="24"/>
  <c r="AP25" i="24"/>
  <c r="AU27" i="24"/>
  <c r="AL28" i="24"/>
  <c r="P36" i="24"/>
  <c r="V16" i="24"/>
  <c r="AN28" i="24"/>
  <c r="AD36" i="24"/>
  <c r="AT28" i="24"/>
  <c r="AL25" i="24"/>
  <c r="W16" i="24"/>
  <c r="J36" i="24"/>
  <c r="AM25" i="24"/>
  <c r="AP27" i="24"/>
  <c r="E16" i="24"/>
  <c r="AN27" i="24"/>
  <c r="AR25" i="24"/>
  <c r="O16" i="24"/>
  <c r="AQ25" i="24"/>
  <c r="AL24" i="24"/>
  <c r="AE36" i="24"/>
  <c r="V36" i="24"/>
  <c r="R16" i="24"/>
  <c r="J102" i="24" l="1"/>
  <c r="B88" i="24"/>
  <c r="E88" i="24"/>
  <c r="H88" i="24"/>
  <c r="G88" i="24"/>
  <c r="J88" i="24"/>
  <c r="K88" i="24"/>
  <c r="F88" i="24"/>
  <c r="D88" i="24"/>
  <c r="C88" i="24"/>
  <c r="F61" i="51" s="1"/>
  <c r="C61" i="24"/>
  <c r="C81" i="24" s="1"/>
  <c r="D61" i="24"/>
  <c r="D81" i="24" s="1"/>
  <c r="D95" i="24" s="1"/>
  <c r="P95" i="24" s="1"/>
  <c r="AB95" i="24" s="1"/>
  <c r="AN95" i="24" s="1"/>
  <c r="H96" i="24"/>
  <c r="D97" i="24"/>
  <c r="G96" i="24"/>
  <c r="C97" i="24"/>
  <c r="F96" i="24"/>
  <c r="E96" i="24"/>
  <c r="D96" i="24"/>
  <c r="B97" i="24"/>
  <c r="C96" i="24"/>
  <c r="O96" i="24" s="1"/>
  <c r="K97" i="24"/>
  <c r="J97" i="24"/>
  <c r="B96" i="24"/>
  <c r="H97" i="24"/>
  <c r="K96" i="24"/>
  <c r="G97" i="24"/>
  <c r="J96" i="24"/>
  <c r="F97" i="24"/>
  <c r="E97" i="24"/>
  <c r="Q43" i="24"/>
  <c r="AC43" i="24" s="1"/>
  <c r="E61" i="24"/>
  <c r="V43" i="24"/>
  <c r="AH43" i="24" s="1"/>
  <c r="J61" i="24"/>
  <c r="H61" i="24"/>
  <c r="T43" i="24"/>
  <c r="AF43" i="24" s="1"/>
  <c r="R61" i="24"/>
  <c r="F81" i="24"/>
  <c r="F95" i="24" s="1"/>
  <c r="R95" i="24" s="1"/>
  <c r="AD95" i="24" s="1"/>
  <c r="AP95" i="24" s="1"/>
  <c r="N61" i="24"/>
  <c r="B81" i="24"/>
  <c r="I61" i="24"/>
  <c r="U43" i="24"/>
  <c r="AG43" i="24" s="1"/>
  <c r="S81" i="24"/>
  <c r="AE81" i="24" s="1"/>
  <c r="G114" i="24"/>
  <c r="S114" i="24" s="1"/>
  <c r="AE114" i="24" s="1"/>
  <c r="K61" i="24"/>
  <c r="W43" i="24"/>
  <c r="AI43" i="24" s="1"/>
  <c r="N74" i="24"/>
  <c r="B74" i="24" s="1"/>
  <c r="P74" i="24"/>
  <c r="D74" i="24" s="1"/>
  <c r="Q74" i="24"/>
  <c r="E74" i="24" s="1"/>
  <c r="R74" i="24"/>
  <c r="F74" i="24" s="1"/>
  <c r="S74" i="24"/>
  <c r="G74" i="24" s="1"/>
  <c r="T74" i="24"/>
  <c r="H74" i="24" s="1"/>
  <c r="V74" i="24"/>
  <c r="J74" i="24" s="1"/>
  <c r="W74" i="24"/>
  <c r="K74" i="24" s="1"/>
  <c r="AQ36" i="24"/>
  <c r="AO36" i="24"/>
  <c r="AR36" i="24"/>
  <c r="AM36" i="24"/>
  <c r="AP36" i="24"/>
  <c r="AN36" i="24"/>
  <c r="AU36" i="24"/>
  <c r="AL36" i="24"/>
  <c r="C95" i="24" l="1"/>
  <c r="O95" i="24" s="1"/>
  <c r="AA95" i="24" s="1"/>
  <c r="AM95" i="24" s="1"/>
  <c r="F54" i="51"/>
  <c r="G61" i="51"/>
  <c r="B102" i="24"/>
  <c r="D102" i="24"/>
  <c r="F102" i="24"/>
  <c r="K102" i="24"/>
  <c r="E102" i="24"/>
  <c r="G102" i="24"/>
  <c r="H102" i="24"/>
  <c r="C102" i="24"/>
  <c r="P61" i="24"/>
  <c r="O61" i="24"/>
  <c r="W96" i="24"/>
  <c r="V96" i="24"/>
  <c r="AB96" i="24"/>
  <c r="R96" i="24"/>
  <c r="S96" i="24"/>
  <c r="AC96" i="24"/>
  <c r="T96" i="24"/>
  <c r="Z96" i="24"/>
  <c r="Q96" i="24"/>
  <c r="AF97" i="24"/>
  <c r="P97" i="24"/>
  <c r="O97" i="24"/>
  <c r="AA96" i="24"/>
  <c r="AC97" i="24"/>
  <c r="AH97" i="24"/>
  <c r="AD96" i="24"/>
  <c r="AH96" i="24"/>
  <c r="R97" i="24"/>
  <c r="P96" i="24"/>
  <c r="AF96" i="24"/>
  <c r="AA97" i="24"/>
  <c r="N97" i="24"/>
  <c r="N96" i="24"/>
  <c r="AE97" i="24"/>
  <c r="T97" i="24"/>
  <c r="S97" i="24"/>
  <c r="AI97" i="24"/>
  <c r="Z97" i="24"/>
  <c r="AE96" i="24"/>
  <c r="AB97" i="24"/>
  <c r="AI96" i="24"/>
  <c r="W97" i="24"/>
  <c r="AD97" i="24"/>
  <c r="V97" i="24"/>
  <c r="Q97" i="24"/>
  <c r="B114" i="24"/>
  <c r="N114" i="24" s="1"/>
  <c r="Z114" i="24" s="1"/>
  <c r="B95" i="24"/>
  <c r="N95" i="24" s="1"/>
  <c r="Z95" i="24" s="1"/>
  <c r="AL95" i="24" s="1"/>
  <c r="J81" i="24"/>
  <c r="V61" i="24"/>
  <c r="E81" i="24"/>
  <c r="Q61" i="24"/>
  <c r="D114" i="24"/>
  <c r="P114" i="24" s="1"/>
  <c r="AB114" i="24" s="1"/>
  <c r="P81" i="24"/>
  <c r="AB81" i="24" s="1"/>
  <c r="T61" i="24"/>
  <c r="H81" i="24"/>
  <c r="H95" i="24" s="1"/>
  <c r="T95" i="24" s="1"/>
  <c r="AF95" i="24" s="1"/>
  <c r="AR95" i="24" s="1"/>
  <c r="C114" i="24"/>
  <c r="O114" i="24" s="1"/>
  <c r="AA114" i="24" s="1"/>
  <c r="O81" i="24"/>
  <c r="AA81" i="24" s="1"/>
  <c r="W61" i="24"/>
  <c r="K81" i="24"/>
  <c r="K95" i="24" s="1"/>
  <c r="W95" i="24" s="1"/>
  <c r="AI95" i="24" s="1"/>
  <c r="AU95" i="24" s="1"/>
  <c r="I81" i="24"/>
  <c r="I95" i="24" s="1"/>
  <c r="U95" i="24" s="1"/>
  <c r="AG95" i="24" s="1"/>
  <c r="AS95" i="24" s="1"/>
  <c r="U61" i="24"/>
  <c r="N81" i="24"/>
  <c r="Z81" i="24" s="1"/>
  <c r="R81" i="24"/>
  <c r="AD81" i="24" s="1"/>
  <c r="F114" i="24"/>
  <c r="R114" i="24" s="1"/>
  <c r="AD114" i="24" s="1"/>
  <c r="O115" i="24" l="1"/>
  <c r="R115" i="24"/>
  <c r="S115" i="24"/>
  <c r="W115" i="24"/>
  <c r="V115" i="24"/>
  <c r="N115" i="24"/>
  <c r="Q115" i="24"/>
  <c r="T115" i="24"/>
  <c r="P115" i="24"/>
  <c r="P116" i="24"/>
  <c r="T116" i="24"/>
  <c r="O116" i="24"/>
  <c r="V116" i="24"/>
  <c r="Q116" i="24"/>
  <c r="R116" i="24"/>
  <c r="N116" i="24"/>
  <c r="S116" i="24"/>
  <c r="W116" i="24"/>
  <c r="E95" i="24"/>
  <c r="Q95" i="24" s="1"/>
  <c r="AC95" i="24" s="1"/>
  <c r="AO95" i="24" s="1"/>
  <c r="E114" i="24"/>
  <c r="Q114" i="24" s="1"/>
  <c r="AC114" i="24" s="1"/>
  <c r="Q81" i="24"/>
  <c r="AC81" i="24" s="1"/>
  <c r="J95" i="24"/>
  <c r="V95" i="24" s="1"/>
  <c r="AH95" i="24" s="1"/>
  <c r="AT95" i="24" s="1"/>
  <c r="V81" i="24"/>
  <c r="AH81" i="24" s="1"/>
  <c r="J114" i="24"/>
  <c r="V114" i="24" s="1"/>
  <c r="AH114" i="24" s="1"/>
  <c r="T81" i="24"/>
  <c r="AF81" i="24" s="1"/>
  <c r="H114" i="24"/>
  <c r="T114" i="24" s="1"/>
  <c r="AF114" i="24" s="1"/>
  <c r="U81" i="24"/>
  <c r="AG81" i="24" s="1"/>
  <c r="I114" i="24"/>
  <c r="U114" i="24" s="1"/>
  <c r="AG114" i="24" s="1"/>
  <c r="K114" i="24"/>
  <c r="W114" i="24" s="1"/>
  <c r="AI114" i="24" s="1"/>
  <c r="W81" i="24"/>
  <c r="AI81" i="24" s="1"/>
  <c r="A29" i="51" l="1"/>
  <c r="A28" i="51"/>
  <c r="A27" i="51"/>
  <c r="G15" i="51"/>
  <c r="F15" i="51"/>
  <c r="E15" i="51"/>
  <c r="D15" i="51"/>
  <c r="C15" i="51"/>
  <c r="B15" i="51"/>
  <c r="A7" i="51"/>
  <c r="A9" i="51" s="1"/>
  <c r="G5" i="51"/>
  <c r="F5" i="51"/>
  <c r="E5" i="51"/>
  <c r="D5" i="51"/>
  <c r="C5" i="51"/>
  <c r="B5" i="51"/>
  <c r="F7" i="51" l="1"/>
  <c r="G7" i="51"/>
  <c r="D7" i="51"/>
  <c r="C7" i="51"/>
  <c r="B7" i="51"/>
  <c r="E7" i="51"/>
  <c r="D9" i="51"/>
  <c r="F9" i="51"/>
  <c r="C9" i="51"/>
  <c r="A11" i="51"/>
  <c r="B9" i="51"/>
  <c r="E9" i="51"/>
  <c r="G9" i="51"/>
  <c r="B2" i="51"/>
  <c r="D2" i="51"/>
  <c r="E2" i="51"/>
  <c r="C2" i="51"/>
  <c r="B4" i="51"/>
  <c r="F2" i="51"/>
  <c r="AB3" i="51" l="1"/>
  <c r="AD3" i="51"/>
  <c r="AE3" i="51"/>
  <c r="AA3" i="51"/>
  <c r="AC3" i="51"/>
  <c r="G11" i="51"/>
  <c r="E11" i="51"/>
  <c r="F11" i="51"/>
  <c r="C11" i="51"/>
  <c r="A13" i="51"/>
  <c r="B11" i="51"/>
  <c r="D11" i="51"/>
  <c r="F13" i="51" l="1"/>
  <c r="E13" i="51"/>
  <c r="C13" i="51"/>
  <c r="D13" i="51"/>
  <c r="B13" i="51"/>
  <c r="G13" i="51"/>
  <c r="A78" i="24"/>
  <c r="M78" i="24" s="1"/>
  <c r="A58" i="24"/>
  <c r="M58" i="24" s="1"/>
  <c r="Y58" i="24" s="1"/>
  <c r="A40" i="24"/>
  <c r="M40" i="24" s="1"/>
  <c r="Y40" i="24" s="1"/>
  <c r="AK40" i="24" s="1"/>
  <c r="M20" i="24"/>
  <c r="A152" i="11"/>
  <c r="A96" i="11"/>
  <c r="M96" i="11" s="1"/>
  <c r="A78" i="11"/>
  <c r="M78" i="11" s="1"/>
  <c r="Y72" i="11" s="1"/>
  <c r="A58" i="11"/>
  <c r="M58" i="11" s="1"/>
  <c r="Y58" i="11" s="1"/>
  <c r="A40" i="11"/>
  <c r="M40" i="11" s="1"/>
  <c r="Y40" i="11" s="1"/>
  <c r="M20" i="11"/>
  <c r="H7" i="48"/>
  <c r="O109" i="48"/>
  <c r="O112" i="48"/>
  <c r="P112" i="48" s="1"/>
  <c r="O115" i="48"/>
  <c r="P115" i="48" s="1"/>
  <c r="O118" i="48"/>
  <c r="O91" i="48"/>
  <c r="Q121" i="48"/>
  <c r="Q109" i="48"/>
  <c r="Q112" i="48"/>
  <c r="Q115" i="48"/>
  <c r="Q118" i="48"/>
  <c r="Q91" i="48"/>
  <c r="P91" i="48" l="1"/>
  <c r="R91" i="48" s="1"/>
  <c r="P109" i="48"/>
  <c r="R109" i="48" s="1"/>
  <c r="P118" i="48"/>
  <c r="R118" i="48" s="1"/>
  <c r="R115" i="48"/>
  <c r="R112" i="48"/>
  <c r="A115" i="11"/>
  <c r="O121" i="48"/>
  <c r="P121" i="48" l="1"/>
  <c r="R121" i="48" s="1"/>
  <c r="M115" i="11"/>
  <c r="A133" i="11"/>
  <c r="M133" i="11" s="1"/>
  <c r="Y133" i="11" s="1"/>
  <c r="O119" i="48" l="1"/>
  <c r="O108" i="48"/>
  <c r="P108" i="48" s="1"/>
  <c r="O110" i="48"/>
  <c r="O111" i="48"/>
  <c r="O113" i="48"/>
  <c r="O114" i="48"/>
  <c r="O90" i="48"/>
  <c r="O77" i="48"/>
  <c r="O81" i="48"/>
  <c r="O83" i="48"/>
  <c r="O86" i="48"/>
  <c r="O87" i="48"/>
  <c r="O93" i="48"/>
  <c r="O95" i="48"/>
  <c r="O99" i="48"/>
  <c r="O101" i="48"/>
  <c r="O102" i="48"/>
  <c r="P102" i="48" s="1"/>
  <c r="O75" i="48"/>
  <c r="O63" i="48"/>
  <c r="P63" i="48" s="1"/>
  <c r="O66" i="48"/>
  <c r="O68" i="48"/>
  <c r="O72" i="48"/>
  <c r="O44" i="48"/>
  <c r="O32" i="48"/>
  <c r="O33" i="48"/>
  <c r="O39" i="48"/>
  <c r="O41" i="48"/>
  <c r="O60" i="48"/>
  <c r="P60" i="48" s="1"/>
  <c r="O47" i="48"/>
  <c r="O50" i="48"/>
  <c r="O51" i="48"/>
  <c r="O53" i="48"/>
  <c r="P53" i="48" s="1"/>
  <c r="O57" i="48"/>
  <c r="O209" i="48"/>
  <c r="O198" i="48"/>
  <c r="O200" i="48"/>
  <c r="O201" i="48"/>
  <c r="O204" i="48"/>
  <c r="O207" i="48"/>
  <c r="P207" i="48" s="1"/>
  <c r="O180" i="48"/>
  <c r="O167" i="48"/>
  <c r="O171" i="48"/>
  <c r="P171" i="48" s="1"/>
  <c r="O173" i="48"/>
  <c r="O176" i="48"/>
  <c r="O177" i="48"/>
  <c r="P177" i="48" s="1"/>
  <c r="O183" i="48"/>
  <c r="P183" i="48" s="1"/>
  <c r="Q183" i="48" s="1"/>
  <c r="O185" i="48"/>
  <c r="O189" i="48"/>
  <c r="O191" i="48"/>
  <c r="O192" i="48"/>
  <c r="O164" i="48"/>
  <c r="O165" i="48"/>
  <c r="P165" i="48" s="1"/>
  <c r="O152" i="48"/>
  <c r="O153" i="48"/>
  <c r="P153" i="48" s="1"/>
  <c r="Q153" i="48" s="1"/>
  <c r="O156" i="48"/>
  <c r="O158" i="48"/>
  <c r="O162" i="48"/>
  <c r="O134" i="48"/>
  <c r="O123" i="48"/>
  <c r="O126" i="48"/>
  <c r="O129" i="48"/>
  <c r="O131" i="48"/>
  <c r="O150" i="48"/>
  <c r="O137" i="48"/>
  <c r="O140" i="48"/>
  <c r="O141" i="48"/>
  <c r="P141" i="48" s="1"/>
  <c r="Q141" i="48" s="1"/>
  <c r="O147" i="48"/>
  <c r="O299" i="48"/>
  <c r="O288" i="48"/>
  <c r="O290" i="48"/>
  <c r="O291" i="48"/>
  <c r="O293" i="48"/>
  <c r="O294" i="48"/>
  <c r="O296" i="48"/>
  <c r="P296" i="48" s="1"/>
  <c r="Q296" i="48" s="1"/>
  <c r="O297" i="48"/>
  <c r="P297" i="48" s="1"/>
  <c r="Q297" i="48" s="1"/>
  <c r="O270" i="48"/>
  <c r="O257" i="48"/>
  <c r="O261" i="48"/>
  <c r="O263" i="48"/>
  <c r="O267" i="48"/>
  <c r="P267" i="48" s="1"/>
  <c r="O273" i="48"/>
  <c r="P273" i="48" s="1"/>
  <c r="Q273" i="48" s="1"/>
  <c r="O275" i="48"/>
  <c r="O279" i="48"/>
  <c r="P279" i="48" s="1"/>
  <c r="Q279" i="48" s="1"/>
  <c r="O281" i="48"/>
  <c r="O254" i="48"/>
  <c r="P254" i="48" s="1"/>
  <c r="O255" i="48"/>
  <c r="O242" i="48"/>
  <c r="O246" i="48"/>
  <c r="O248" i="48"/>
  <c r="O252" i="48"/>
  <c r="O224" i="48"/>
  <c r="P224" i="48" s="1"/>
  <c r="Q224" i="48" s="1"/>
  <c r="O225" i="48"/>
  <c r="P225" i="48" s="1"/>
  <c r="Q225" i="48" s="1"/>
  <c r="O213" i="48"/>
  <c r="P213" i="48" s="1"/>
  <c r="Q213" i="48" s="1"/>
  <c r="O216" i="48"/>
  <c r="O219" i="48"/>
  <c r="O221" i="48"/>
  <c r="P221" i="48" s="1"/>
  <c r="Q221" i="48" s="1"/>
  <c r="O239" i="48"/>
  <c r="O240" i="48"/>
  <c r="O227" i="48"/>
  <c r="P227" i="48" s="1"/>
  <c r="O228" i="48"/>
  <c r="O230" i="48"/>
  <c r="O231" i="48"/>
  <c r="P231" i="48" s="1"/>
  <c r="Q231" i="48" s="1"/>
  <c r="R231" i="48" s="1"/>
  <c r="O234" i="48"/>
  <c r="P234" i="48" s="1"/>
  <c r="Q234" i="48" s="1"/>
  <c r="P252" i="48"/>
  <c r="P246" i="48"/>
  <c r="P255" i="48"/>
  <c r="P294" i="48"/>
  <c r="P290" i="48"/>
  <c r="P288" i="48"/>
  <c r="P299" i="48"/>
  <c r="Q126" i="48"/>
  <c r="Q165" i="48"/>
  <c r="Q164" i="48"/>
  <c r="Q189" i="48"/>
  <c r="Q177" i="48"/>
  <c r="Q176" i="48"/>
  <c r="Q174" i="48"/>
  <c r="Q173" i="48"/>
  <c r="Q171" i="48"/>
  <c r="Q170" i="48"/>
  <c r="Q168" i="48"/>
  <c r="Q167" i="48"/>
  <c r="Q180" i="48"/>
  <c r="Q179" i="48"/>
  <c r="Q207" i="48"/>
  <c r="Q206" i="48"/>
  <c r="Q204" i="48"/>
  <c r="Q203" i="48"/>
  <c r="Q201" i="48"/>
  <c r="Q200" i="48"/>
  <c r="Q198" i="48"/>
  <c r="Q197" i="48"/>
  <c r="Q210" i="48"/>
  <c r="Q209" i="48"/>
  <c r="Q57" i="48"/>
  <c r="Q56" i="48"/>
  <c r="Q54" i="48"/>
  <c r="Q53" i="48"/>
  <c r="Q51" i="48"/>
  <c r="Q50" i="48"/>
  <c r="Q48" i="48"/>
  <c r="Q47" i="48"/>
  <c r="Q60" i="48"/>
  <c r="Q59" i="48"/>
  <c r="Q42" i="48"/>
  <c r="Q41" i="48"/>
  <c r="Q39" i="48"/>
  <c r="Q38" i="48"/>
  <c r="Q36" i="48"/>
  <c r="Q35" i="48"/>
  <c r="Q33" i="48"/>
  <c r="Q32" i="48"/>
  <c r="Q45" i="48"/>
  <c r="Q44" i="48"/>
  <c r="Q72" i="48"/>
  <c r="Q71" i="48"/>
  <c r="Q69" i="48"/>
  <c r="Q68" i="48"/>
  <c r="Q66" i="48"/>
  <c r="Q65" i="48"/>
  <c r="Q63" i="48"/>
  <c r="Q62" i="48"/>
  <c r="Q75" i="48"/>
  <c r="Q74" i="48"/>
  <c r="Q102" i="48"/>
  <c r="Q101" i="48"/>
  <c r="Q99" i="48"/>
  <c r="Q98" i="48"/>
  <c r="Q96" i="48"/>
  <c r="Q95" i="48"/>
  <c r="Q93" i="48"/>
  <c r="Q92" i="48"/>
  <c r="Q105" i="48"/>
  <c r="Q104" i="48"/>
  <c r="Q87" i="48"/>
  <c r="Q86" i="48"/>
  <c r="Q84" i="48"/>
  <c r="Q83" i="48"/>
  <c r="Q81" i="48"/>
  <c r="Q80" i="48"/>
  <c r="Q78" i="48"/>
  <c r="Q77" i="48"/>
  <c r="Q90" i="48"/>
  <c r="Q89" i="48"/>
  <c r="Q117" i="48"/>
  <c r="Q116" i="48"/>
  <c r="Q114" i="48"/>
  <c r="Q113" i="48"/>
  <c r="Q111" i="48"/>
  <c r="Q110" i="48"/>
  <c r="Q108" i="48"/>
  <c r="Q107" i="48"/>
  <c r="Q120" i="48"/>
  <c r="Q119" i="48"/>
  <c r="L27" i="48"/>
  <c r="M27" i="48" s="1"/>
  <c r="K27" i="48"/>
  <c r="J27" i="48"/>
  <c r="G27" i="48"/>
  <c r="F27" i="48"/>
  <c r="E27" i="48"/>
  <c r="D27" i="48"/>
  <c r="L26" i="48"/>
  <c r="M26" i="48" s="1"/>
  <c r="K26" i="48"/>
  <c r="J26" i="48"/>
  <c r="G26" i="48"/>
  <c r="F26" i="48"/>
  <c r="E26" i="48"/>
  <c r="D26" i="48"/>
  <c r="L25" i="48"/>
  <c r="M25" i="48" s="1"/>
  <c r="K25" i="48"/>
  <c r="J25" i="48"/>
  <c r="G25" i="48"/>
  <c r="F25" i="48"/>
  <c r="E25" i="48"/>
  <c r="D25" i="48"/>
  <c r="L24" i="48"/>
  <c r="M24" i="48" s="1"/>
  <c r="K24" i="48"/>
  <c r="J24" i="48"/>
  <c r="G24" i="48"/>
  <c r="F24" i="48"/>
  <c r="E24" i="48"/>
  <c r="D24" i="48"/>
  <c r="K15" i="48"/>
  <c r="J15" i="48"/>
  <c r="I15" i="48"/>
  <c r="H15" i="48"/>
  <c r="G15" i="48"/>
  <c r="F15" i="48"/>
  <c r="D15" i="48"/>
  <c r="K14" i="48"/>
  <c r="J14" i="48"/>
  <c r="I14" i="48"/>
  <c r="H14" i="48"/>
  <c r="G14" i="48"/>
  <c r="F14" i="48"/>
  <c r="D14" i="48"/>
  <c r="K13" i="48"/>
  <c r="J13" i="48"/>
  <c r="I13" i="48"/>
  <c r="H13" i="48"/>
  <c r="G13" i="48"/>
  <c r="F13" i="48"/>
  <c r="D13" i="48"/>
  <c r="K12" i="48"/>
  <c r="J12" i="48"/>
  <c r="I12" i="48"/>
  <c r="H12" i="48"/>
  <c r="G12" i="48"/>
  <c r="F12" i="48"/>
  <c r="D12" i="48"/>
  <c r="K11" i="48"/>
  <c r="J11" i="48"/>
  <c r="I11" i="48"/>
  <c r="H11" i="48"/>
  <c r="G11" i="48"/>
  <c r="F11" i="48"/>
  <c r="D11" i="48"/>
  <c r="K10" i="48"/>
  <c r="J10" i="48"/>
  <c r="I10" i="48"/>
  <c r="H10" i="48"/>
  <c r="G10" i="48"/>
  <c r="F10" i="48"/>
  <c r="D10" i="48"/>
  <c r="K9" i="48"/>
  <c r="J9" i="48"/>
  <c r="I9" i="48"/>
  <c r="H9" i="48"/>
  <c r="G9" i="48"/>
  <c r="F9" i="48"/>
  <c r="D9" i="48"/>
  <c r="K8" i="48"/>
  <c r="J8" i="48"/>
  <c r="I8" i="48"/>
  <c r="H8" i="48"/>
  <c r="G8" i="48"/>
  <c r="F8" i="48"/>
  <c r="D8" i="48"/>
  <c r="K7" i="48"/>
  <c r="J7" i="48"/>
  <c r="I7" i="48"/>
  <c r="G7" i="48"/>
  <c r="F7" i="48"/>
  <c r="D7" i="48"/>
  <c r="K6" i="48"/>
  <c r="J6" i="48"/>
  <c r="I6" i="48"/>
  <c r="H6" i="48"/>
  <c r="G6" i="48"/>
  <c r="F6" i="48"/>
  <c r="D6" i="48"/>
  <c r="Q5" i="48"/>
  <c r="P5" i="48"/>
  <c r="O5" i="48"/>
  <c r="N5" i="48"/>
  <c r="M5" i="48"/>
  <c r="E5" i="48"/>
  <c r="E14" i="48" s="1"/>
  <c r="M13" i="48" l="1"/>
  <c r="M15" i="48"/>
  <c r="M10" i="48"/>
  <c r="M8" i="48"/>
  <c r="M12" i="48"/>
  <c r="M14" i="48"/>
  <c r="M11" i="48"/>
  <c r="M6" i="48"/>
  <c r="Q246" i="48"/>
  <c r="R246" i="48" s="1"/>
  <c r="P216" i="48"/>
  <c r="Q216" i="48" s="1"/>
  <c r="Q299" i="48"/>
  <c r="R299" i="48" s="1"/>
  <c r="Q255" i="48"/>
  <c r="R255" i="48" s="1"/>
  <c r="O236" i="48"/>
  <c r="P236" i="48" s="1"/>
  <c r="Q288" i="48"/>
  <c r="R288" i="48" s="1"/>
  <c r="O233" i="48"/>
  <c r="P233" i="48" s="1"/>
  <c r="Q233" i="48" s="1"/>
  <c r="R233" i="48" s="1"/>
  <c r="P230" i="48"/>
  <c r="Q230" i="48" s="1"/>
  <c r="Q294" i="48"/>
  <c r="R294" i="48" s="1"/>
  <c r="Q267" i="48"/>
  <c r="R267" i="48" s="1"/>
  <c r="Q252" i="48"/>
  <c r="R252" i="48" s="1"/>
  <c r="Q254" i="48"/>
  <c r="R254" i="48" s="1"/>
  <c r="Q290" i="48"/>
  <c r="R290" i="48" s="1"/>
  <c r="R234" i="48"/>
  <c r="Q227" i="48"/>
  <c r="R227" i="48" s="1"/>
  <c r="P240" i="48"/>
  <c r="Q240" i="48" s="1"/>
  <c r="P228" i="48"/>
  <c r="P239" i="48"/>
  <c r="P257" i="48"/>
  <c r="P263" i="48"/>
  <c r="Q263" i="48" s="1"/>
  <c r="P291" i="48"/>
  <c r="P275" i="48"/>
  <c r="P281" i="48"/>
  <c r="Q281" i="48" s="1"/>
  <c r="P242" i="48"/>
  <c r="Q242" i="48" s="1"/>
  <c r="P248" i="48"/>
  <c r="O237" i="48"/>
  <c r="O285" i="48"/>
  <c r="P285" i="48" s="1"/>
  <c r="R225" i="48"/>
  <c r="P219" i="48"/>
  <c r="Q219" i="48" s="1"/>
  <c r="P293" i="48"/>
  <c r="P270" i="48"/>
  <c r="P261" i="48"/>
  <c r="Q261" i="48" s="1"/>
  <c r="P147" i="48"/>
  <c r="Q147" i="48" s="1"/>
  <c r="P164" i="48"/>
  <c r="R164" i="48" s="1"/>
  <c r="P189" i="48"/>
  <c r="R189" i="48" s="1"/>
  <c r="P126" i="48"/>
  <c r="R126" i="48" s="1"/>
  <c r="P33" i="48"/>
  <c r="R33" i="48" s="1"/>
  <c r="P50" i="48"/>
  <c r="R50" i="48" s="1"/>
  <c r="P51" i="48"/>
  <c r="R51" i="48" s="1"/>
  <c r="P39" i="48"/>
  <c r="R39" i="48" s="1"/>
  <c r="P158" i="48"/>
  <c r="Q158" i="48" s="1"/>
  <c r="P134" i="48"/>
  <c r="Q134" i="48" s="1"/>
  <c r="P131" i="48"/>
  <c r="P137" i="48"/>
  <c r="Q137" i="48" s="1"/>
  <c r="O143" i="48"/>
  <c r="P143" i="48" s="1"/>
  <c r="Q143" i="48" s="1"/>
  <c r="P152" i="48"/>
  <c r="Q152" i="48" s="1"/>
  <c r="P192" i="48"/>
  <c r="P185" i="48"/>
  <c r="Q185" i="48" s="1"/>
  <c r="P140" i="48"/>
  <c r="Q140" i="48" s="1"/>
  <c r="P191" i="48"/>
  <c r="Q191" i="48" s="1"/>
  <c r="P156" i="48"/>
  <c r="Q156" i="48" s="1"/>
  <c r="P162" i="48"/>
  <c r="Q162" i="48" s="1"/>
  <c r="P123" i="48"/>
  <c r="Q123" i="48" s="1"/>
  <c r="P129" i="48"/>
  <c r="P150" i="48"/>
  <c r="Q150" i="48" s="1"/>
  <c r="O48" i="48"/>
  <c r="P167" i="48"/>
  <c r="R167" i="48" s="1"/>
  <c r="P201" i="48"/>
  <c r="R201" i="48" s="1"/>
  <c r="P32" i="48"/>
  <c r="P200" i="48"/>
  <c r="R200" i="48" s="1"/>
  <c r="P173" i="48"/>
  <c r="R173" i="48" s="1"/>
  <c r="P176" i="48"/>
  <c r="R176" i="48" s="1"/>
  <c r="P209" i="48"/>
  <c r="R209" i="48" s="1"/>
  <c r="P57" i="48"/>
  <c r="P198" i="48"/>
  <c r="R198" i="48" s="1"/>
  <c r="P204" i="48"/>
  <c r="R204" i="48" s="1"/>
  <c r="P180" i="48"/>
  <c r="R180" i="48" s="1"/>
  <c r="P44" i="48"/>
  <c r="R44" i="48" s="1"/>
  <c r="P41" i="48"/>
  <c r="R41" i="48" s="1"/>
  <c r="P47" i="48"/>
  <c r="R47" i="48" s="1"/>
  <c r="P75" i="48"/>
  <c r="R75" i="48" s="1"/>
  <c r="P68" i="48"/>
  <c r="R68" i="48" s="1"/>
  <c r="O104" i="48"/>
  <c r="P104" i="48" s="1"/>
  <c r="P93" i="48"/>
  <c r="R93" i="48" s="1"/>
  <c r="P99" i="48"/>
  <c r="R99" i="48" s="1"/>
  <c r="P66" i="48"/>
  <c r="P72" i="48"/>
  <c r="R72" i="48" s="1"/>
  <c r="P95" i="48"/>
  <c r="R95" i="48" s="1"/>
  <c r="P101" i="48"/>
  <c r="R101" i="48" s="1"/>
  <c r="P111" i="48"/>
  <c r="R111" i="48" s="1"/>
  <c r="P114" i="48"/>
  <c r="R114" i="48" s="1"/>
  <c r="M9" i="48"/>
  <c r="P110" i="48"/>
  <c r="R110" i="48" s="1"/>
  <c r="O116" i="48"/>
  <c r="P116" i="48" s="1"/>
  <c r="R116" i="48" s="1"/>
  <c r="E9" i="48"/>
  <c r="P119" i="48"/>
  <c r="O264" i="48"/>
  <c r="P81" i="48"/>
  <c r="R81" i="48" s="1"/>
  <c r="R221" i="48"/>
  <c r="P113" i="48"/>
  <c r="R113" i="48" s="1"/>
  <c r="R102" i="48"/>
  <c r="O135" i="48"/>
  <c r="R108" i="48"/>
  <c r="P90" i="48"/>
  <c r="R90" i="48" s="1"/>
  <c r="N24" i="48"/>
  <c r="P87" i="48"/>
  <c r="R87" i="48" s="1"/>
  <c r="P77" i="48"/>
  <c r="R77" i="48" s="1"/>
  <c r="P83" i="48"/>
  <c r="R83" i="48" s="1"/>
  <c r="D16" i="48"/>
  <c r="G16" i="48"/>
  <c r="O84" i="48"/>
  <c r="P86" i="48"/>
  <c r="R86" i="48" s="1"/>
  <c r="I26" i="48"/>
  <c r="E15" i="48"/>
  <c r="H24" i="48"/>
  <c r="N25" i="48"/>
  <c r="I24" i="48"/>
  <c r="O25" i="48"/>
  <c r="O62" i="48"/>
  <c r="O36" i="48"/>
  <c r="O206" i="48"/>
  <c r="R171" i="48"/>
  <c r="O195" i="48"/>
  <c r="O125" i="48"/>
  <c r="P125" i="48" s="1"/>
  <c r="Q125" i="48" s="1"/>
  <c r="O144" i="48"/>
  <c r="O284" i="48"/>
  <c r="R279" i="48"/>
  <c r="O243" i="48"/>
  <c r="R165" i="48"/>
  <c r="O74" i="48"/>
  <c r="R63" i="48"/>
  <c r="R53" i="48"/>
  <c r="O203" i="48"/>
  <c r="R207" i="48"/>
  <c r="O122" i="48"/>
  <c r="R296" i="48"/>
  <c r="O266" i="48"/>
  <c r="P266" i="48" s="1"/>
  <c r="Q266" i="48" s="1"/>
  <c r="O215" i="48"/>
  <c r="F16" i="48"/>
  <c r="O45" i="48"/>
  <c r="O174" i="48"/>
  <c r="P174" i="48" s="1"/>
  <c r="R177" i="48"/>
  <c r="O138" i="48"/>
  <c r="R141" i="48"/>
  <c r="O282" i="48"/>
  <c r="R153" i="48"/>
  <c r="R297" i="48"/>
  <c r="O212" i="48"/>
  <c r="K16" i="48"/>
  <c r="O105" i="48"/>
  <c r="O35" i="48"/>
  <c r="R60" i="48"/>
  <c r="O54" i="48"/>
  <c r="O194" i="48"/>
  <c r="R213" i="48"/>
  <c r="O117" i="48"/>
  <c r="P117" i="48" s="1"/>
  <c r="N27" i="48"/>
  <c r="H25" i="48"/>
  <c r="N26" i="48"/>
  <c r="I25" i="48"/>
  <c r="I27" i="48"/>
  <c r="H16" i="48"/>
  <c r="J16" i="48"/>
  <c r="I16" i="48"/>
  <c r="O26" i="48"/>
  <c r="H27" i="48"/>
  <c r="H26" i="48"/>
  <c r="O24" i="48"/>
  <c r="O27" i="48"/>
  <c r="O107" i="48"/>
  <c r="O80" i="48"/>
  <c r="O98" i="48"/>
  <c r="O71" i="48"/>
  <c r="O59" i="48"/>
  <c r="O197" i="48"/>
  <c r="O170" i="48"/>
  <c r="R183" i="48"/>
  <c r="O188" i="48"/>
  <c r="P188" i="48" s="1"/>
  <c r="Q188" i="48" s="1"/>
  <c r="O161" i="48"/>
  <c r="O149" i="48"/>
  <c r="P149" i="48" s="1"/>
  <c r="Q149" i="48" s="1"/>
  <c r="O287" i="48"/>
  <c r="P287" i="48" s="1"/>
  <c r="Q287" i="48" s="1"/>
  <c r="O260" i="48"/>
  <c r="R273" i="48"/>
  <c r="O278" i="48"/>
  <c r="O251" i="48"/>
  <c r="P251" i="48" s="1"/>
  <c r="Q251" i="48" s="1"/>
  <c r="E10" i="48"/>
  <c r="R224" i="48"/>
  <c r="M7" i="48"/>
  <c r="E11" i="48"/>
  <c r="O89" i="48"/>
  <c r="O92" i="48"/>
  <c r="O65" i="48"/>
  <c r="O38" i="48"/>
  <c r="P38" i="48" s="1"/>
  <c r="O56" i="48"/>
  <c r="P56" i="48" s="1"/>
  <c r="O179" i="48"/>
  <c r="P179" i="48" s="1"/>
  <c r="O182" i="48"/>
  <c r="P182" i="48" s="1"/>
  <c r="Q182" i="48" s="1"/>
  <c r="O155" i="48"/>
  <c r="P155" i="48" s="1"/>
  <c r="Q155" i="48" s="1"/>
  <c r="O128" i="48"/>
  <c r="P128" i="48" s="1"/>
  <c r="Q128" i="48" s="1"/>
  <c r="O146" i="48"/>
  <c r="P146" i="48" s="1"/>
  <c r="Q146" i="48" s="1"/>
  <c r="O269" i="48"/>
  <c r="O272" i="48"/>
  <c r="P272" i="48" s="1"/>
  <c r="Q272" i="48" s="1"/>
  <c r="O245" i="48"/>
  <c r="O218" i="48"/>
  <c r="E6" i="48"/>
  <c r="E12" i="48"/>
  <c r="E7" i="48"/>
  <c r="E13" i="48"/>
  <c r="O120" i="48"/>
  <c r="P120" i="48" s="1"/>
  <c r="R120" i="48" s="1"/>
  <c r="O78" i="48"/>
  <c r="O96" i="48"/>
  <c r="O69" i="48"/>
  <c r="P69" i="48" s="1"/>
  <c r="O42" i="48"/>
  <c r="P42" i="48" s="1"/>
  <c r="O210" i="48"/>
  <c r="O168" i="48"/>
  <c r="O186" i="48"/>
  <c r="O159" i="48"/>
  <c r="O132" i="48"/>
  <c r="O300" i="48"/>
  <c r="O258" i="48"/>
  <c r="O276" i="48"/>
  <c r="O249" i="48"/>
  <c r="O222" i="48"/>
  <c r="E8" i="48"/>
  <c r="R216" i="48" l="1"/>
  <c r="R66" i="48"/>
  <c r="N13" i="48"/>
  <c r="N12" i="48"/>
  <c r="P48" i="48"/>
  <c r="N15" i="48"/>
  <c r="P36" i="48"/>
  <c r="R36" i="48" s="1"/>
  <c r="N14" i="48"/>
  <c r="N11" i="48"/>
  <c r="R119" i="48"/>
  <c r="P65" i="48"/>
  <c r="N10" i="48"/>
  <c r="N8" i="48"/>
  <c r="R57" i="48"/>
  <c r="R32" i="48"/>
  <c r="P35" i="48"/>
  <c r="R35" i="48" s="1"/>
  <c r="N6" i="48"/>
  <c r="R150" i="48"/>
  <c r="R137" i="48"/>
  <c r="R242" i="48"/>
  <c r="R147" i="48"/>
  <c r="R230" i="48"/>
  <c r="Q236" i="48"/>
  <c r="R236" i="48" s="1"/>
  <c r="Q291" i="48"/>
  <c r="R291" i="48" s="1"/>
  <c r="Q270" i="48"/>
  <c r="R270" i="48" s="1"/>
  <c r="Q257" i="48"/>
  <c r="R257" i="48" s="1"/>
  <c r="Q293" i="48"/>
  <c r="R293" i="48" s="1"/>
  <c r="Q239" i="48"/>
  <c r="R239" i="48" s="1"/>
  <c r="R281" i="48"/>
  <c r="Q228" i="48"/>
  <c r="R228" i="48" s="1"/>
  <c r="R263" i="48"/>
  <c r="R251" i="48"/>
  <c r="R261" i="48"/>
  <c r="R240" i="48"/>
  <c r="Q248" i="48"/>
  <c r="R248" i="48" s="1"/>
  <c r="Q285" i="48"/>
  <c r="R285" i="48" s="1"/>
  <c r="R219" i="48"/>
  <c r="Q275" i="48"/>
  <c r="R275" i="48" s="1"/>
  <c r="P245" i="48"/>
  <c r="R266" i="48"/>
  <c r="P243" i="48"/>
  <c r="P282" i="48"/>
  <c r="Q282" i="48" s="1"/>
  <c r="P222" i="48"/>
  <c r="P278" i="48"/>
  <c r="Q278" i="48" s="1"/>
  <c r="P249" i="48"/>
  <c r="Q249" i="48" s="1"/>
  <c r="P237" i="48"/>
  <c r="Q237" i="48" s="1"/>
  <c r="P260" i="48"/>
  <c r="R287" i="48"/>
  <c r="P300" i="48"/>
  <c r="P258" i="48"/>
  <c r="P269" i="48"/>
  <c r="Q269" i="48" s="1"/>
  <c r="P212" i="48"/>
  <c r="R134" i="48"/>
  <c r="P284" i="48"/>
  <c r="Q284" i="48" s="1"/>
  <c r="R272" i="48"/>
  <c r="P264" i="48"/>
  <c r="Q264" i="48" s="1"/>
  <c r="P215" i="48"/>
  <c r="P218" i="48"/>
  <c r="P276" i="48"/>
  <c r="Q276" i="48" s="1"/>
  <c r="R156" i="48"/>
  <c r="R152" i="48"/>
  <c r="R162" i="48"/>
  <c r="R140" i="48"/>
  <c r="R191" i="48"/>
  <c r="R123" i="48"/>
  <c r="R158" i="48"/>
  <c r="R185" i="48"/>
  <c r="Q192" i="48"/>
  <c r="R192" i="48" s="1"/>
  <c r="Q129" i="48"/>
  <c r="Q131" i="48"/>
  <c r="P132" i="48"/>
  <c r="P159" i="48"/>
  <c r="R143" i="48"/>
  <c r="P144" i="48"/>
  <c r="Q144" i="48" s="1"/>
  <c r="R125" i="48"/>
  <c r="P135" i="48"/>
  <c r="P195" i="48"/>
  <c r="R149" i="48"/>
  <c r="R182" i="48"/>
  <c r="R146" i="48"/>
  <c r="R188" i="48"/>
  <c r="R128" i="48"/>
  <c r="P138" i="48"/>
  <c r="P186" i="48"/>
  <c r="Q186" i="48" s="1"/>
  <c r="P194" i="48"/>
  <c r="R155" i="48"/>
  <c r="P161" i="48"/>
  <c r="P122" i="48"/>
  <c r="R38" i="48"/>
  <c r="R174" i="48"/>
  <c r="R56" i="48"/>
  <c r="P54" i="48"/>
  <c r="R54" i="48" s="1"/>
  <c r="R179" i="48"/>
  <c r="P59" i="48"/>
  <c r="R59" i="48" s="1"/>
  <c r="P168" i="48"/>
  <c r="R168" i="48" s="1"/>
  <c r="P170" i="48"/>
  <c r="R170" i="48" s="1"/>
  <c r="P206" i="48"/>
  <c r="R206" i="48" s="1"/>
  <c r="R48" i="48"/>
  <c r="R42" i="48"/>
  <c r="P203" i="48"/>
  <c r="R203" i="48" s="1"/>
  <c r="P197" i="48"/>
  <c r="R197" i="48" s="1"/>
  <c r="P210" i="48"/>
  <c r="R210" i="48" s="1"/>
  <c r="P45" i="48"/>
  <c r="R45" i="48" s="1"/>
  <c r="R104" i="48"/>
  <c r="P74" i="48"/>
  <c r="R74" i="48" s="1"/>
  <c r="R69" i="48"/>
  <c r="R65" i="48"/>
  <c r="P71" i="48"/>
  <c r="R71" i="48" s="1"/>
  <c r="P92" i="48"/>
  <c r="R92" i="48" s="1"/>
  <c r="P105" i="48"/>
  <c r="R105" i="48" s="1"/>
  <c r="P98" i="48"/>
  <c r="R98" i="48" s="1"/>
  <c r="P62" i="48"/>
  <c r="R62" i="48" s="1"/>
  <c r="P96" i="48"/>
  <c r="R96" i="48" s="1"/>
  <c r="M16" i="48"/>
  <c r="N9" i="48"/>
  <c r="P80" i="48"/>
  <c r="R80" i="48" s="1"/>
  <c r="P89" i="48"/>
  <c r="P84" i="48"/>
  <c r="R84" i="48" s="1"/>
  <c r="P78" i="48"/>
  <c r="R78" i="48" s="1"/>
  <c r="N7" i="48"/>
  <c r="R117" i="48"/>
  <c r="P107" i="48"/>
  <c r="E16" i="48"/>
  <c r="R129" i="48" l="1"/>
  <c r="O13" i="48"/>
  <c r="R13" i="48" s="1"/>
  <c r="O15" i="48"/>
  <c r="R15" i="48" s="1"/>
  <c r="O14" i="48"/>
  <c r="R14" i="48" s="1"/>
  <c r="O12" i="48"/>
  <c r="R12" i="48" s="1"/>
  <c r="R131" i="48"/>
  <c r="O11" i="48"/>
  <c r="R11" i="48" s="1"/>
  <c r="O8" i="48"/>
  <c r="R8" i="48" s="1"/>
  <c r="O10" i="48"/>
  <c r="R10" i="48" s="1"/>
  <c r="O7" i="48"/>
  <c r="R7" i="48" s="1"/>
  <c r="O6" i="48"/>
  <c r="R6" i="48" s="1"/>
  <c r="R237" i="48"/>
  <c r="R264" i="48"/>
  <c r="R249" i="48"/>
  <c r="Q215" i="48"/>
  <c r="R215" i="48" s="1"/>
  <c r="Q222" i="48"/>
  <c r="R222" i="48" s="1"/>
  <c r="Q212" i="48"/>
  <c r="R284" i="48"/>
  <c r="R269" i="48"/>
  <c r="Q258" i="48"/>
  <c r="R278" i="48"/>
  <c r="R276" i="48"/>
  <c r="Q260" i="48"/>
  <c r="R260" i="48" s="1"/>
  <c r="Q300" i="48"/>
  <c r="R300" i="48" s="1"/>
  <c r="Q243" i="48"/>
  <c r="R243" i="48" s="1"/>
  <c r="Q218" i="48"/>
  <c r="R218" i="48" s="1"/>
  <c r="Q245" i="48"/>
  <c r="R245" i="48" s="1"/>
  <c r="R282" i="48"/>
  <c r="Q159" i="48"/>
  <c r="R159" i="48" s="1"/>
  <c r="Q132" i="48"/>
  <c r="R132" i="48" s="1"/>
  <c r="R144" i="48"/>
  <c r="Q195" i="48"/>
  <c r="Q122" i="48"/>
  <c r="Q138" i="48"/>
  <c r="Q161" i="48"/>
  <c r="R161" i="48" s="1"/>
  <c r="R186" i="48"/>
  <c r="Q135" i="48"/>
  <c r="R135" i="48" s="1"/>
  <c r="Q194" i="48"/>
  <c r="N16" i="48"/>
  <c r="R89" i="48"/>
  <c r="O9" i="48"/>
  <c r="R9" i="48" s="1"/>
  <c r="R107" i="48"/>
  <c r="Q13" i="48" l="1"/>
  <c r="Q9" i="48"/>
  <c r="P9" i="48"/>
  <c r="P13" i="48"/>
  <c r="P14" i="48"/>
  <c r="R212" i="48"/>
  <c r="P15" i="48"/>
  <c r="P11" i="48"/>
  <c r="R138" i="48"/>
  <c r="Q12" i="48" s="1"/>
  <c r="P12" i="48"/>
  <c r="R258" i="48"/>
  <c r="Q10" i="48" s="1"/>
  <c r="P10" i="48"/>
  <c r="R195" i="48"/>
  <c r="Q8" i="48" s="1"/>
  <c r="P8" i="48"/>
  <c r="R194" i="48"/>
  <c r="Q7" i="48" s="1"/>
  <c r="P7" i="48"/>
  <c r="R122" i="48"/>
  <c r="Q15" i="48" s="1"/>
  <c r="P6" i="48"/>
  <c r="O16" i="48"/>
  <c r="A148" i="11"/>
  <c r="A149" i="11"/>
  <c r="A150" i="11"/>
  <c r="A151" i="11"/>
  <c r="Q11" i="48" l="1"/>
  <c r="Q6" i="48"/>
  <c r="Q14" i="48"/>
  <c r="P16" i="48"/>
  <c r="O74" i="24"/>
  <c r="C74" i="24" s="1"/>
  <c r="Q16" i="48" l="1"/>
  <c r="M15" i="24"/>
  <c r="A92" i="11"/>
  <c r="M92" i="11" s="1"/>
  <c r="A93" i="11"/>
  <c r="M93" i="11" s="1"/>
  <c r="A94" i="11"/>
  <c r="M94" i="11" s="1"/>
  <c r="A95" i="11"/>
  <c r="M95" i="11" s="1"/>
  <c r="A147" i="11"/>
  <c r="A73" i="11"/>
  <c r="M73" i="11" s="1"/>
  <c r="A53" i="11"/>
  <c r="M53" i="11" s="1"/>
  <c r="Y53" i="11" s="1"/>
  <c r="P203" i="41"/>
  <c r="O203" i="41"/>
  <c r="Q203" i="41" s="1"/>
  <c r="M203" i="41"/>
  <c r="N203" i="41" s="1"/>
  <c r="P202" i="41"/>
  <c r="O202" i="41"/>
  <c r="Q202" i="41" s="1"/>
  <c r="M202" i="41"/>
  <c r="N202" i="41" s="1"/>
  <c r="P201" i="41"/>
  <c r="O201" i="41"/>
  <c r="Q201" i="41" s="1"/>
  <c r="M201" i="41"/>
  <c r="N201" i="41" s="1"/>
  <c r="P200" i="41"/>
  <c r="O200" i="41"/>
  <c r="Q200" i="41" s="1"/>
  <c r="M200" i="41"/>
  <c r="N200" i="41" s="1"/>
  <c r="P199" i="41"/>
  <c r="O199" i="41"/>
  <c r="Q199" i="41" s="1"/>
  <c r="M199" i="41"/>
  <c r="N199" i="41" s="1"/>
  <c r="P198" i="41"/>
  <c r="O198" i="41"/>
  <c r="Q198" i="41" s="1"/>
  <c r="M198" i="41"/>
  <c r="N198" i="41" s="1"/>
  <c r="P197" i="41"/>
  <c r="O197" i="41"/>
  <c r="Q197" i="41" s="1"/>
  <c r="M197" i="41"/>
  <c r="N197" i="41" s="1"/>
  <c r="P196" i="41"/>
  <c r="O196" i="41"/>
  <c r="Q196" i="41" s="1"/>
  <c r="M196" i="41"/>
  <c r="N196" i="41" s="1"/>
  <c r="P195" i="41"/>
  <c r="O195" i="41"/>
  <c r="Q195" i="41" s="1"/>
  <c r="M195" i="41"/>
  <c r="N195" i="41" s="1"/>
  <c r="P194" i="41"/>
  <c r="O194" i="41"/>
  <c r="Q194" i="41" s="1"/>
  <c r="M194" i="41"/>
  <c r="N194" i="41" s="1"/>
  <c r="P193" i="41"/>
  <c r="O193" i="41"/>
  <c r="Q193" i="41" s="1"/>
  <c r="M193" i="41"/>
  <c r="N193" i="41" s="1"/>
  <c r="P192" i="41"/>
  <c r="O192" i="41"/>
  <c r="Q192" i="41" s="1"/>
  <c r="M192" i="41"/>
  <c r="N192" i="41" s="1"/>
  <c r="P191" i="41"/>
  <c r="O191" i="41"/>
  <c r="Q191" i="41" s="1"/>
  <c r="M191" i="41"/>
  <c r="N191" i="41" s="1"/>
  <c r="P190" i="41"/>
  <c r="O190" i="41"/>
  <c r="Q190" i="41" s="1"/>
  <c r="M190" i="41"/>
  <c r="N190" i="41" s="1"/>
  <c r="P189" i="41"/>
  <c r="O189" i="41"/>
  <c r="Q189" i="41" s="1"/>
  <c r="M189" i="41"/>
  <c r="N189" i="41" s="1"/>
  <c r="P188" i="41"/>
  <c r="O188" i="41"/>
  <c r="Q188" i="41" s="1"/>
  <c r="M188" i="41"/>
  <c r="N188" i="41" s="1"/>
  <c r="P187" i="41"/>
  <c r="O187" i="41"/>
  <c r="Q187" i="41" s="1"/>
  <c r="M187" i="41"/>
  <c r="N187" i="41" s="1"/>
  <c r="P186" i="41"/>
  <c r="O186" i="41"/>
  <c r="Q186" i="41" s="1"/>
  <c r="M186" i="41"/>
  <c r="N186" i="41" s="1"/>
  <c r="P185" i="41"/>
  <c r="O185" i="41"/>
  <c r="Q185" i="41" s="1"/>
  <c r="M185" i="41"/>
  <c r="N185" i="41" s="1"/>
  <c r="P184" i="41"/>
  <c r="O184" i="41"/>
  <c r="Q184" i="41" s="1"/>
  <c r="M184" i="41"/>
  <c r="N184" i="41" s="1"/>
  <c r="P183" i="41"/>
  <c r="O183" i="41"/>
  <c r="Q183" i="41" s="1"/>
  <c r="M183" i="41"/>
  <c r="N183" i="41" s="1"/>
  <c r="P182" i="41"/>
  <c r="O182" i="41"/>
  <c r="Q182" i="41" s="1"/>
  <c r="M182" i="41"/>
  <c r="N182" i="41" s="1"/>
  <c r="P181" i="41"/>
  <c r="O181" i="41"/>
  <c r="Q181" i="41" s="1"/>
  <c r="M181" i="41"/>
  <c r="N181" i="41" s="1"/>
  <c r="P180" i="41"/>
  <c r="O180" i="41"/>
  <c r="Q180" i="41" s="1"/>
  <c r="M180" i="41"/>
  <c r="N180" i="41" s="1"/>
  <c r="P179" i="41"/>
  <c r="O179" i="41"/>
  <c r="Q179" i="41" s="1"/>
  <c r="M179" i="41"/>
  <c r="N179" i="41" s="1"/>
  <c r="P178" i="41"/>
  <c r="O178" i="41"/>
  <c r="Q178" i="41" s="1"/>
  <c r="M178" i="41"/>
  <c r="N178" i="41" s="1"/>
  <c r="P177" i="41"/>
  <c r="O177" i="41"/>
  <c r="Q177" i="41" s="1"/>
  <c r="M177" i="41"/>
  <c r="N177" i="41" s="1"/>
  <c r="P176" i="41"/>
  <c r="O176" i="41"/>
  <c r="Q176" i="41" s="1"/>
  <c r="M176" i="41"/>
  <c r="N176" i="41" s="1"/>
  <c r="P175" i="41"/>
  <c r="O175" i="41"/>
  <c r="Q175" i="41" s="1"/>
  <c r="M175" i="41"/>
  <c r="N175" i="41" s="1"/>
  <c r="P174" i="41"/>
  <c r="O174" i="41"/>
  <c r="Q174" i="41" s="1"/>
  <c r="M174" i="41"/>
  <c r="N174" i="41" s="1"/>
  <c r="P173" i="41"/>
  <c r="O173" i="41"/>
  <c r="Q173" i="41" s="1"/>
  <c r="M173" i="41"/>
  <c r="N173" i="41" s="1"/>
  <c r="P172" i="41"/>
  <c r="O172" i="41"/>
  <c r="Q172" i="41" s="1"/>
  <c r="M172" i="41"/>
  <c r="N172" i="41" s="1"/>
  <c r="P171" i="41"/>
  <c r="O171" i="41"/>
  <c r="Q171" i="41" s="1"/>
  <c r="M171" i="41"/>
  <c r="N171" i="41" s="1"/>
  <c r="P170" i="41"/>
  <c r="O170" i="41"/>
  <c r="Q170" i="41" s="1"/>
  <c r="M170" i="41"/>
  <c r="N170" i="41" s="1"/>
  <c r="P169" i="41"/>
  <c r="O169" i="41"/>
  <c r="Q169" i="41" s="1"/>
  <c r="M169" i="41"/>
  <c r="N169" i="41" s="1"/>
  <c r="P168" i="41"/>
  <c r="O168" i="41"/>
  <c r="Q168" i="41" s="1"/>
  <c r="M168" i="41"/>
  <c r="N168" i="41" s="1"/>
  <c r="P167" i="41"/>
  <c r="O167" i="41"/>
  <c r="Q167" i="41" s="1"/>
  <c r="M167" i="41"/>
  <c r="N167" i="41" s="1"/>
  <c r="P166" i="41"/>
  <c r="O166" i="41"/>
  <c r="Q166" i="41" s="1"/>
  <c r="M166" i="41"/>
  <c r="N166" i="41" s="1"/>
  <c r="P165" i="41"/>
  <c r="O165" i="41"/>
  <c r="Q165" i="41" s="1"/>
  <c r="M165" i="41"/>
  <c r="N165" i="41" s="1"/>
  <c r="P164" i="41"/>
  <c r="O164" i="41"/>
  <c r="Q164" i="41" s="1"/>
  <c r="M164" i="41"/>
  <c r="N164" i="41" s="1"/>
  <c r="P163" i="41"/>
  <c r="O163" i="41"/>
  <c r="Q163" i="41" s="1"/>
  <c r="M163" i="41"/>
  <c r="N163" i="41" s="1"/>
  <c r="P162" i="41"/>
  <c r="O162" i="41"/>
  <c r="Q162" i="41" s="1"/>
  <c r="M162" i="41"/>
  <c r="N162" i="41" s="1"/>
  <c r="P161" i="41"/>
  <c r="O161" i="41"/>
  <c r="Q161" i="41" s="1"/>
  <c r="M161" i="41"/>
  <c r="N161" i="41" s="1"/>
  <c r="P160" i="41"/>
  <c r="O160" i="41"/>
  <c r="Q160" i="41" s="1"/>
  <c r="M160" i="41"/>
  <c r="N160" i="41" s="1"/>
  <c r="P159" i="41"/>
  <c r="O159" i="41"/>
  <c r="Q159" i="41" s="1"/>
  <c r="M159" i="41"/>
  <c r="N159" i="41" s="1"/>
  <c r="P158" i="41"/>
  <c r="O158" i="41"/>
  <c r="Q158" i="41" s="1"/>
  <c r="M158" i="41"/>
  <c r="N158" i="41" s="1"/>
  <c r="P157" i="41"/>
  <c r="O157" i="41"/>
  <c r="Q157" i="41" s="1"/>
  <c r="M157" i="41"/>
  <c r="N157" i="41" s="1"/>
  <c r="P156" i="41"/>
  <c r="O156" i="41"/>
  <c r="Q156" i="41" s="1"/>
  <c r="M156" i="41"/>
  <c r="N156" i="41" s="1"/>
  <c r="P155" i="41"/>
  <c r="O155" i="41"/>
  <c r="Q155" i="41" s="1"/>
  <c r="M155" i="41"/>
  <c r="N155" i="41" s="1"/>
  <c r="P154" i="41"/>
  <c r="O154" i="41"/>
  <c r="Q154" i="41" s="1"/>
  <c r="M154" i="41"/>
  <c r="N154" i="41" s="1"/>
  <c r="P153" i="41"/>
  <c r="O153" i="41"/>
  <c r="Q153" i="41" s="1"/>
  <c r="M153" i="41"/>
  <c r="N153" i="41" s="1"/>
  <c r="P152" i="41"/>
  <c r="O152" i="41"/>
  <c r="Q152" i="41" s="1"/>
  <c r="M152" i="41"/>
  <c r="N152" i="41" s="1"/>
  <c r="P151" i="41"/>
  <c r="O151" i="41"/>
  <c r="Q151" i="41" s="1"/>
  <c r="M151" i="41"/>
  <c r="N151" i="41" s="1"/>
  <c r="P150" i="41"/>
  <c r="O150" i="41"/>
  <c r="Q150" i="41" s="1"/>
  <c r="M150" i="41"/>
  <c r="N150" i="41" s="1"/>
  <c r="P149" i="41"/>
  <c r="O149" i="41"/>
  <c r="Q149" i="41" s="1"/>
  <c r="M149" i="41"/>
  <c r="N149" i="41" s="1"/>
  <c r="P148" i="41"/>
  <c r="O148" i="41"/>
  <c r="Q148" i="41" s="1"/>
  <c r="M148" i="41"/>
  <c r="N148" i="41" s="1"/>
  <c r="P147" i="41"/>
  <c r="O147" i="41"/>
  <c r="Q147" i="41" s="1"/>
  <c r="M147" i="41"/>
  <c r="N147" i="41" s="1"/>
  <c r="P146" i="41"/>
  <c r="O146" i="41"/>
  <c r="Q146" i="41" s="1"/>
  <c r="M146" i="41"/>
  <c r="N146" i="41" s="1"/>
  <c r="P145" i="41"/>
  <c r="O145" i="41"/>
  <c r="Q145" i="41" s="1"/>
  <c r="M145" i="41"/>
  <c r="N145" i="41" s="1"/>
  <c r="P144" i="41"/>
  <c r="O144" i="41"/>
  <c r="Q144" i="41" s="1"/>
  <c r="M144" i="41"/>
  <c r="N144" i="41" s="1"/>
  <c r="P143" i="41"/>
  <c r="O143" i="41"/>
  <c r="Q143" i="41" s="1"/>
  <c r="M143" i="41"/>
  <c r="N143" i="41" s="1"/>
  <c r="P142" i="41"/>
  <c r="O142" i="41"/>
  <c r="Q142" i="41" s="1"/>
  <c r="M142" i="41"/>
  <c r="N142" i="41" s="1"/>
  <c r="P141" i="41"/>
  <c r="O141" i="41"/>
  <c r="Q141" i="41" s="1"/>
  <c r="M141" i="41"/>
  <c r="N141" i="41" s="1"/>
  <c r="P140" i="41"/>
  <c r="O140" i="41"/>
  <c r="Q140" i="41" s="1"/>
  <c r="M140" i="41"/>
  <c r="N140" i="41" s="1"/>
  <c r="P139" i="41"/>
  <c r="O139" i="41"/>
  <c r="M139" i="41"/>
  <c r="N139" i="41" s="1"/>
  <c r="P138" i="41"/>
  <c r="O138" i="41"/>
  <c r="Q138" i="41" s="1"/>
  <c r="M138" i="41"/>
  <c r="N138" i="41" s="1"/>
  <c r="P137" i="41"/>
  <c r="O137" i="41"/>
  <c r="Q137" i="41" s="1"/>
  <c r="M137" i="41"/>
  <c r="P136" i="41"/>
  <c r="O136" i="41"/>
  <c r="Q136" i="41" s="1"/>
  <c r="M136" i="41"/>
  <c r="N136" i="41" s="1"/>
  <c r="P135" i="41"/>
  <c r="O135" i="41"/>
  <c r="Q135" i="41" s="1"/>
  <c r="M135" i="41"/>
  <c r="N135" i="41" s="1"/>
  <c r="P134" i="41"/>
  <c r="O134" i="41"/>
  <c r="Q134" i="41" s="1"/>
  <c r="M134" i="41"/>
  <c r="N134" i="41" s="1"/>
  <c r="P133" i="41"/>
  <c r="O133" i="41"/>
  <c r="Q133" i="41" s="1"/>
  <c r="M133" i="41"/>
  <c r="N133" i="41" s="1"/>
  <c r="P132" i="41"/>
  <c r="O132" i="41"/>
  <c r="Q132" i="41" s="1"/>
  <c r="M132" i="41"/>
  <c r="N132" i="41" s="1"/>
  <c r="P131" i="41"/>
  <c r="O131" i="41"/>
  <c r="Q131" i="41" s="1"/>
  <c r="M131" i="41"/>
  <c r="N131" i="41" s="1"/>
  <c r="P130" i="41"/>
  <c r="O130" i="41"/>
  <c r="Q130" i="41" s="1"/>
  <c r="M130" i="41"/>
  <c r="N130" i="41" s="1"/>
  <c r="P129" i="41"/>
  <c r="O129" i="41"/>
  <c r="Q129" i="41" s="1"/>
  <c r="M129" i="41"/>
  <c r="N129" i="41" s="1"/>
  <c r="P128" i="41"/>
  <c r="O128" i="41"/>
  <c r="Q128" i="41" s="1"/>
  <c r="M128" i="41"/>
  <c r="N128" i="41" s="1"/>
  <c r="P127" i="41"/>
  <c r="O127" i="41"/>
  <c r="Q127" i="41" s="1"/>
  <c r="M127" i="41"/>
  <c r="N127" i="41" s="1"/>
  <c r="P126" i="41"/>
  <c r="O126" i="41"/>
  <c r="Q126" i="41" s="1"/>
  <c r="M126" i="41"/>
  <c r="N126" i="41" s="1"/>
  <c r="P125" i="41"/>
  <c r="O125" i="41"/>
  <c r="Q125" i="41" s="1"/>
  <c r="M125" i="41"/>
  <c r="N125" i="41" s="1"/>
  <c r="P124" i="41"/>
  <c r="O124" i="41"/>
  <c r="Q124" i="41" s="1"/>
  <c r="M124" i="41"/>
  <c r="N124" i="41" s="1"/>
  <c r="P123" i="41"/>
  <c r="O123" i="41"/>
  <c r="Q123" i="41" s="1"/>
  <c r="M123" i="41"/>
  <c r="N123" i="41" s="1"/>
  <c r="P122" i="41"/>
  <c r="O122" i="41"/>
  <c r="Q122" i="41" s="1"/>
  <c r="M122" i="41"/>
  <c r="N122" i="41" s="1"/>
  <c r="P121" i="41"/>
  <c r="O121" i="41"/>
  <c r="Q121" i="41" s="1"/>
  <c r="M121" i="41"/>
  <c r="N121" i="41" s="1"/>
  <c r="P120" i="41"/>
  <c r="O120" i="41"/>
  <c r="Q120" i="41" s="1"/>
  <c r="M120" i="41"/>
  <c r="N120" i="41" s="1"/>
  <c r="P119" i="41"/>
  <c r="O119" i="41"/>
  <c r="Q119" i="41" s="1"/>
  <c r="M119" i="41"/>
  <c r="N119" i="41" s="1"/>
  <c r="P118" i="41"/>
  <c r="O118" i="41"/>
  <c r="Q118" i="41" s="1"/>
  <c r="M118" i="41"/>
  <c r="N118" i="41" s="1"/>
  <c r="P117" i="41"/>
  <c r="O117" i="41"/>
  <c r="Q117" i="41" s="1"/>
  <c r="M117" i="41"/>
  <c r="N117" i="41" s="1"/>
  <c r="P116" i="41"/>
  <c r="O116" i="41"/>
  <c r="Q116" i="41" s="1"/>
  <c r="M116" i="41"/>
  <c r="N116" i="41" s="1"/>
  <c r="P115" i="41"/>
  <c r="O115" i="41"/>
  <c r="Q115" i="41" s="1"/>
  <c r="M115" i="41"/>
  <c r="N115" i="41" s="1"/>
  <c r="P114" i="41"/>
  <c r="O114" i="41"/>
  <c r="M114" i="41"/>
  <c r="N114" i="41" s="1"/>
  <c r="P113" i="41"/>
  <c r="O113" i="41"/>
  <c r="Q113" i="41" s="1"/>
  <c r="M113" i="41"/>
  <c r="N113" i="41" s="1"/>
  <c r="P112" i="41"/>
  <c r="O112" i="41"/>
  <c r="Q112" i="41" s="1"/>
  <c r="M112" i="41"/>
  <c r="P111" i="41"/>
  <c r="O111" i="41"/>
  <c r="Q111" i="41" s="1"/>
  <c r="M111" i="41"/>
  <c r="N111" i="41" s="1"/>
  <c r="P110" i="41"/>
  <c r="O110" i="41"/>
  <c r="Q110" i="41" s="1"/>
  <c r="M110" i="41"/>
  <c r="N110" i="41" s="1"/>
  <c r="P109" i="41"/>
  <c r="O109" i="41"/>
  <c r="Q109" i="41" s="1"/>
  <c r="M109" i="41"/>
  <c r="N109" i="41" s="1"/>
  <c r="P108" i="41"/>
  <c r="O108" i="41"/>
  <c r="Q108" i="41" s="1"/>
  <c r="M108" i="41"/>
  <c r="N108" i="41" s="1"/>
  <c r="P107" i="41"/>
  <c r="O107" i="41"/>
  <c r="Q107" i="41" s="1"/>
  <c r="M107" i="41"/>
  <c r="N107" i="41" s="1"/>
  <c r="P106" i="41"/>
  <c r="O106" i="41"/>
  <c r="Q106" i="41" s="1"/>
  <c r="M106" i="41"/>
  <c r="N106" i="41" s="1"/>
  <c r="P105" i="41"/>
  <c r="O105" i="41"/>
  <c r="Q105" i="41" s="1"/>
  <c r="M105" i="41"/>
  <c r="N105" i="41" s="1"/>
  <c r="P104" i="41"/>
  <c r="O104" i="41"/>
  <c r="Q104" i="41" s="1"/>
  <c r="M104" i="41"/>
  <c r="N104" i="41" s="1"/>
  <c r="P103" i="41"/>
  <c r="O103" i="41"/>
  <c r="Q103" i="41" s="1"/>
  <c r="M103" i="41"/>
  <c r="N103" i="41" s="1"/>
  <c r="P102" i="41"/>
  <c r="O102" i="41"/>
  <c r="Q102" i="41" s="1"/>
  <c r="M102" i="41"/>
  <c r="N102" i="41" s="1"/>
  <c r="P101" i="41"/>
  <c r="O101" i="41"/>
  <c r="Q101" i="41" s="1"/>
  <c r="M101" i="41"/>
  <c r="N101" i="41" s="1"/>
  <c r="P100" i="41"/>
  <c r="O100" i="41"/>
  <c r="Q100" i="41" s="1"/>
  <c r="M100" i="41"/>
  <c r="N100" i="41" s="1"/>
  <c r="P99" i="41"/>
  <c r="O99" i="41"/>
  <c r="Q99" i="41" s="1"/>
  <c r="M99" i="41"/>
  <c r="N99" i="41" s="1"/>
  <c r="P98" i="41"/>
  <c r="O98" i="41"/>
  <c r="Q98" i="41" s="1"/>
  <c r="M98" i="41"/>
  <c r="N98" i="41" s="1"/>
  <c r="P97" i="41"/>
  <c r="O97" i="41"/>
  <c r="Q97" i="41" s="1"/>
  <c r="M97" i="41"/>
  <c r="N97" i="41" s="1"/>
  <c r="P96" i="41"/>
  <c r="O96" i="41"/>
  <c r="Q96" i="41" s="1"/>
  <c r="M96" i="41"/>
  <c r="N96" i="41" s="1"/>
  <c r="P95" i="41"/>
  <c r="O95" i="41"/>
  <c r="Q95" i="41" s="1"/>
  <c r="M95" i="41"/>
  <c r="N95" i="41" s="1"/>
  <c r="P94" i="41"/>
  <c r="O94" i="41"/>
  <c r="Q94" i="41" s="1"/>
  <c r="M94" i="41"/>
  <c r="N94" i="41" s="1"/>
  <c r="P93" i="41"/>
  <c r="O93" i="41"/>
  <c r="Q93" i="41" s="1"/>
  <c r="M93" i="41"/>
  <c r="N93" i="41" s="1"/>
  <c r="P92" i="41"/>
  <c r="O92" i="41"/>
  <c r="Q92" i="41" s="1"/>
  <c r="M92" i="41"/>
  <c r="N92" i="41" s="1"/>
  <c r="P91" i="41"/>
  <c r="O91" i="41"/>
  <c r="Q91" i="41" s="1"/>
  <c r="M91" i="41"/>
  <c r="N91" i="41" s="1"/>
  <c r="P90" i="41"/>
  <c r="O90" i="41"/>
  <c r="Q90" i="41" s="1"/>
  <c r="M90" i="41"/>
  <c r="N90" i="41" s="1"/>
  <c r="P89" i="41"/>
  <c r="O89" i="41"/>
  <c r="Q89" i="41" s="1"/>
  <c r="M89" i="41"/>
  <c r="N89" i="41" s="1"/>
  <c r="P88" i="41"/>
  <c r="O88" i="41"/>
  <c r="Q88" i="41" s="1"/>
  <c r="M88" i="41"/>
  <c r="N88" i="41" s="1"/>
  <c r="P87" i="41"/>
  <c r="O87" i="41"/>
  <c r="Q87" i="41" s="1"/>
  <c r="M87" i="41"/>
  <c r="N87" i="41" s="1"/>
  <c r="P86" i="41"/>
  <c r="O86" i="41"/>
  <c r="Q86" i="41" s="1"/>
  <c r="M86" i="41"/>
  <c r="N86" i="41" s="1"/>
  <c r="P85" i="41"/>
  <c r="O85" i="41"/>
  <c r="Q85" i="41" s="1"/>
  <c r="M85" i="41"/>
  <c r="N85" i="41" s="1"/>
  <c r="P84" i="41"/>
  <c r="O84" i="41"/>
  <c r="Q84" i="41" s="1"/>
  <c r="M84" i="41"/>
  <c r="N84" i="41" s="1"/>
  <c r="P83" i="41"/>
  <c r="O83" i="41"/>
  <c r="Q83" i="41" s="1"/>
  <c r="M83" i="41"/>
  <c r="N83" i="41" s="1"/>
  <c r="P82" i="41"/>
  <c r="O82" i="41"/>
  <c r="Q82" i="41" s="1"/>
  <c r="M82" i="41"/>
  <c r="N82" i="41" s="1"/>
  <c r="P81" i="41"/>
  <c r="O81" i="41"/>
  <c r="Q81" i="41" s="1"/>
  <c r="M81" i="41"/>
  <c r="N81" i="41" s="1"/>
  <c r="P80" i="41"/>
  <c r="O80" i="41"/>
  <c r="Q80" i="41" s="1"/>
  <c r="M80" i="41"/>
  <c r="N80" i="41" s="1"/>
  <c r="P79" i="41"/>
  <c r="O79" i="41"/>
  <c r="M79" i="41"/>
  <c r="N79" i="41" s="1"/>
  <c r="P78" i="41"/>
  <c r="O78" i="41"/>
  <c r="Q78" i="41" s="1"/>
  <c r="M78" i="41"/>
  <c r="N78" i="41" s="1"/>
  <c r="P77" i="41"/>
  <c r="O77" i="41"/>
  <c r="Q77" i="41" s="1"/>
  <c r="M77" i="41"/>
  <c r="P76" i="41"/>
  <c r="O76" i="41"/>
  <c r="Q76" i="41" s="1"/>
  <c r="M76" i="41"/>
  <c r="N76" i="41" s="1"/>
  <c r="P75" i="41"/>
  <c r="O75" i="41"/>
  <c r="Q75" i="41" s="1"/>
  <c r="M75" i="41"/>
  <c r="N75" i="41" s="1"/>
  <c r="P74" i="41"/>
  <c r="O74" i="41"/>
  <c r="Q74" i="41" s="1"/>
  <c r="M74" i="41"/>
  <c r="N74" i="41" s="1"/>
  <c r="P73" i="41"/>
  <c r="O73" i="41"/>
  <c r="Q73" i="41" s="1"/>
  <c r="M73" i="41"/>
  <c r="N73" i="41" s="1"/>
  <c r="P72" i="41"/>
  <c r="O72" i="41"/>
  <c r="Q72" i="41" s="1"/>
  <c r="M72" i="41"/>
  <c r="N72" i="41" s="1"/>
  <c r="P71" i="41"/>
  <c r="O71" i="41"/>
  <c r="Q71" i="41" s="1"/>
  <c r="M71" i="41"/>
  <c r="N71" i="41" s="1"/>
  <c r="P70" i="41"/>
  <c r="O70" i="41"/>
  <c r="Q70" i="41" s="1"/>
  <c r="M70" i="41"/>
  <c r="N70" i="41" s="1"/>
  <c r="Q69" i="41"/>
  <c r="P69" i="41"/>
  <c r="O69" i="41"/>
  <c r="M69" i="41"/>
  <c r="N69" i="41" s="1"/>
  <c r="P68" i="41"/>
  <c r="O68" i="41"/>
  <c r="Q68" i="41" s="1"/>
  <c r="M68" i="41"/>
  <c r="N68" i="41" s="1"/>
  <c r="P67" i="41"/>
  <c r="O67" i="41"/>
  <c r="Q67" i="41" s="1"/>
  <c r="M67" i="41"/>
  <c r="N67" i="41" s="1"/>
  <c r="P66" i="41"/>
  <c r="O66" i="41"/>
  <c r="Q66" i="41" s="1"/>
  <c r="M66" i="41"/>
  <c r="N66" i="41" s="1"/>
  <c r="P65" i="41"/>
  <c r="O65" i="41"/>
  <c r="Q65" i="41" s="1"/>
  <c r="M65" i="41"/>
  <c r="N65" i="41" s="1"/>
  <c r="P64" i="41"/>
  <c r="O64" i="41"/>
  <c r="Q64" i="41" s="1"/>
  <c r="M64" i="41"/>
  <c r="N64" i="41" s="1"/>
  <c r="P63" i="41"/>
  <c r="O63" i="41"/>
  <c r="Q63" i="41" s="1"/>
  <c r="M63" i="41"/>
  <c r="N63" i="41" s="1"/>
  <c r="P62" i="41"/>
  <c r="O62" i="41"/>
  <c r="Q62" i="41" s="1"/>
  <c r="M62" i="41"/>
  <c r="N62" i="41" s="1"/>
  <c r="P61" i="41"/>
  <c r="O61" i="41"/>
  <c r="Q61" i="41" s="1"/>
  <c r="M61" i="41"/>
  <c r="N61" i="41" s="1"/>
  <c r="P60" i="41"/>
  <c r="O60" i="41"/>
  <c r="Q60" i="41" s="1"/>
  <c r="M60" i="41"/>
  <c r="N60" i="41" s="1"/>
  <c r="P59" i="41"/>
  <c r="O59" i="41"/>
  <c r="Q59" i="41" s="1"/>
  <c r="M59" i="41"/>
  <c r="N59" i="41" s="1"/>
  <c r="P58" i="41"/>
  <c r="O58" i="41"/>
  <c r="Q58" i="41" s="1"/>
  <c r="M58" i="41"/>
  <c r="N58" i="41" s="1"/>
  <c r="P57" i="41"/>
  <c r="O57" i="41"/>
  <c r="Q57" i="41" s="1"/>
  <c r="M57" i="41"/>
  <c r="N57" i="41" s="1"/>
  <c r="P56" i="41"/>
  <c r="O56" i="41"/>
  <c r="Q56" i="41" s="1"/>
  <c r="M56" i="41"/>
  <c r="N56" i="41" s="1"/>
  <c r="P55" i="41"/>
  <c r="O55" i="41"/>
  <c r="Q55" i="41" s="1"/>
  <c r="M55" i="41"/>
  <c r="N55" i="41" s="1"/>
  <c r="P54" i="41"/>
  <c r="O54" i="41"/>
  <c r="Q54" i="41" s="1"/>
  <c r="M54" i="41"/>
  <c r="N54" i="41" s="1"/>
  <c r="P53" i="41"/>
  <c r="O53" i="41"/>
  <c r="Q53" i="41" s="1"/>
  <c r="M53" i="41"/>
  <c r="N53" i="41" s="1"/>
  <c r="P52" i="41"/>
  <c r="O52" i="41"/>
  <c r="Q52" i="41" s="1"/>
  <c r="M52" i="41"/>
  <c r="N52" i="41" s="1"/>
  <c r="P51" i="41"/>
  <c r="O51" i="41"/>
  <c r="Q51" i="41" s="1"/>
  <c r="M51" i="41"/>
  <c r="N51" i="41" s="1"/>
  <c r="P50" i="41"/>
  <c r="O50" i="41"/>
  <c r="Q50" i="41" s="1"/>
  <c r="M50" i="41"/>
  <c r="N50" i="41" s="1"/>
  <c r="P49" i="41"/>
  <c r="O49" i="41"/>
  <c r="Q49" i="41" s="1"/>
  <c r="M49" i="41"/>
  <c r="N49" i="41" s="1"/>
  <c r="P48" i="41"/>
  <c r="O48" i="41"/>
  <c r="Q48" i="41" s="1"/>
  <c r="M48" i="41"/>
  <c r="N48" i="41" s="1"/>
  <c r="P47" i="41"/>
  <c r="O47" i="41"/>
  <c r="Q47" i="41" s="1"/>
  <c r="M47" i="41"/>
  <c r="N47" i="41" s="1"/>
  <c r="P46" i="41"/>
  <c r="O46" i="41"/>
  <c r="Q46" i="41" s="1"/>
  <c r="M46" i="41"/>
  <c r="N46" i="41" s="1"/>
  <c r="P45" i="41"/>
  <c r="O45" i="41"/>
  <c r="Q45" i="41" s="1"/>
  <c r="M45" i="41"/>
  <c r="N45" i="41" s="1"/>
  <c r="P44" i="41"/>
  <c r="O44" i="41"/>
  <c r="Q44" i="41" s="1"/>
  <c r="M44" i="41"/>
  <c r="N44" i="41" s="1"/>
  <c r="P43" i="41"/>
  <c r="O43" i="41"/>
  <c r="Q43" i="41" s="1"/>
  <c r="M43" i="41"/>
  <c r="N43" i="41" s="1"/>
  <c r="P42" i="41"/>
  <c r="O42" i="41"/>
  <c r="Q42" i="41" s="1"/>
  <c r="M42" i="41"/>
  <c r="N42" i="41" s="1"/>
  <c r="P41" i="41"/>
  <c r="O41" i="41"/>
  <c r="Q41" i="41" s="1"/>
  <c r="M41" i="41"/>
  <c r="N41" i="41" s="1"/>
  <c r="P40" i="41"/>
  <c r="O40" i="41"/>
  <c r="Q40" i="41" s="1"/>
  <c r="M40" i="41"/>
  <c r="N40" i="41" s="1"/>
  <c r="P39" i="41"/>
  <c r="O39" i="41"/>
  <c r="Q39" i="41" s="1"/>
  <c r="M39" i="41"/>
  <c r="N39" i="41" s="1"/>
  <c r="P38" i="41"/>
  <c r="O38" i="41"/>
  <c r="Q38" i="41" s="1"/>
  <c r="M38" i="41"/>
  <c r="N38" i="41" s="1"/>
  <c r="P37" i="41"/>
  <c r="O37" i="41"/>
  <c r="Q37" i="41" s="1"/>
  <c r="M37" i="41"/>
  <c r="N37" i="41" s="1"/>
  <c r="P36" i="41"/>
  <c r="O36" i="41"/>
  <c r="Q36" i="41" s="1"/>
  <c r="M36" i="41"/>
  <c r="N36" i="41" s="1"/>
  <c r="P35" i="41"/>
  <c r="O35" i="41"/>
  <c r="Q35" i="41" s="1"/>
  <c r="M35" i="41"/>
  <c r="N35" i="41" s="1"/>
  <c r="P34" i="41"/>
  <c r="O34" i="41"/>
  <c r="Q34" i="41" s="1"/>
  <c r="M34" i="41"/>
  <c r="N34" i="41" s="1"/>
  <c r="P33" i="41"/>
  <c r="O33" i="41"/>
  <c r="Q33" i="41" s="1"/>
  <c r="M33" i="41"/>
  <c r="N33" i="41" s="1"/>
  <c r="P32" i="41"/>
  <c r="O32" i="41"/>
  <c r="Q32" i="41" s="1"/>
  <c r="M32" i="41"/>
  <c r="N32" i="41" s="1"/>
  <c r="L27" i="41"/>
  <c r="M27" i="41" s="1"/>
  <c r="K27" i="41"/>
  <c r="J27" i="41"/>
  <c r="G27" i="41"/>
  <c r="F27" i="41"/>
  <c r="E27" i="41"/>
  <c r="D27" i="41"/>
  <c r="L26" i="41"/>
  <c r="M26" i="41" s="1"/>
  <c r="K26" i="41"/>
  <c r="J26" i="41"/>
  <c r="G26" i="41"/>
  <c r="F26" i="41"/>
  <c r="E26" i="41"/>
  <c r="D26" i="41"/>
  <c r="L25" i="41"/>
  <c r="M25" i="41" s="1"/>
  <c r="K25" i="41"/>
  <c r="J25" i="41"/>
  <c r="G25" i="41"/>
  <c r="F25" i="41"/>
  <c r="E25" i="41"/>
  <c r="D25" i="41"/>
  <c r="L24" i="41"/>
  <c r="M24" i="41" s="1"/>
  <c r="K24" i="41"/>
  <c r="J24" i="41"/>
  <c r="G24" i="41"/>
  <c r="F24" i="41"/>
  <c r="E24" i="41"/>
  <c r="D24" i="41"/>
  <c r="K15" i="41"/>
  <c r="J15" i="41"/>
  <c r="I15" i="41"/>
  <c r="H15" i="41"/>
  <c r="G15" i="41"/>
  <c r="F15" i="41"/>
  <c r="D15" i="41"/>
  <c r="K14" i="41"/>
  <c r="J14" i="41"/>
  <c r="I14" i="41"/>
  <c r="H14" i="41"/>
  <c r="G14" i="41"/>
  <c r="F14" i="41"/>
  <c r="D14" i="41"/>
  <c r="Q13" i="41"/>
  <c r="P13" i="41"/>
  <c r="O13" i="41"/>
  <c r="N13" i="41"/>
  <c r="M13" i="41"/>
  <c r="K13" i="41"/>
  <c r="J13" i="41"/>
  <c r="I13" i="41"/>
  <c r="H13" i="41"/>
  <c r="G13" i="41"/>
  <c r="F13" i="41"/>
  <c r="D13" i="41"/>
  <c r="K12" i="41"/>
  <c r="J12" i="41"/>
  <c r="I12" i="41"/>
  <c r="H12" i="41"/>
  <c r="G12" i="41"/>
  <c r="F12" i="41"/>
  <c r="D12" i="41"/>
  <c r="K11" i="41"/>
  <c r="J11" i="41"/>
  <c r="I11" i="41"/>
  <c r="H11" i="41"/>
  <c r="G11" i="41"/>
  <c r="F11" i="41"/>
  <c r="D11" i="41"/>
  <c r="K10" i="41"/>
  <c r="J10" i="41"/>
  <c r="I10" i="41"/>
  <c r="H10" i="41"/>
  <c r="G10" i="41"/>
  <c r="F10" i="41"/>
  <c r="D10" i="41"/>
  <c r="K9" i="41"/>
  <c r="J9" i="41"/>
  <c r="I9" i="41"/>
  <c r="H9" i="41"/>
  <c r="G9" i="41"/>
  <c r="F9" i="41"/>
  <c r="D9" i="41"/>
  <c r="K8" i="41"/>
  <c r="J8" i="41"/>
  <c r="I8" i="41"/>
  <c r="H8" i="41"/>
  <c r="G8" i="41"/>
  <c r="F8" i="41"/>
  <c r="D8" i="41"/>
  <c r="K7" i="41"/>
  <c r="J7" i="41"/>
  <c r="I7" i="41"/>
  <c r="H7" i="41"/>
  <c r="G7" i="41"/>
  <c r="F7" i="41"/>
  <c r="D7" i="41"/>
  <c r="K6" i="41"/>
  <c r="J6" i="41"/>
  <c r="I6" i="41"/>
  <c r="H6" i="41"/>
  <c r="G6" i="41"/>
  <c r="F6" i="41"/>
  <c r="D6" i="41"/>
  <c r="P5" i="41"/>
  <c r="E5" i="41"/>
  <c r="E13" i="41" s="1"/>
  <c r="AE35" i="24"/>
  <c r="P15" i="24"/>
  <c r="N15" i="24"/>
  <c r="P35" i="24"/>
  <c r="W35" i="24"/>
  <c r="J35" i="24"/>
  <c r="D15" i="24"/>
  <c r="AD35" i="24"/>
  <c r="S35" i="24"/>
  <c r="E15" i="24"/>
  <c r="B15" i="24"/>
  <c r="G35" i="24"/>
  <c r="F15" i="24"/>
  <c r="AH35" i="24"/>
  <c r="Z35" i="24"/>
  <c r="G15" i="24"/>
  <c r="S15" i="24"/>
  <c r="F35" i="24"/>
  <c r="N35" i="24"/>
  <c r="E35" i="24"/>
  <c r="Q15" i="24"/>
  <c r="O35" i="24"/>
  <c r="AA35" i="24"/>
  <c r="R15" i="24"/>
  <c r="AF35" i="24"/>
  <c r="H35" i="24"/>
  <c r="W15" i="24"/>
  <c r="AB35" i="24"/>
  <c r="V35" i="24"/>
  <c r="C35" i="24"/>
  <c r="V15" i="24"/>
  <c r="R35" i="24"/>
  <c r="D35" i="24"/>
  <c r="T35" i="24"/>
  <c r="J15" i="24"/>
  <c r="K15" i="24"/>
  <c r="H15" i="24"/>
  <c r="C15" i="24"/>
  <c r="T15" i="24"/>
  <c r="O15" i="24"/>
  <c r="I26" i="41" l="1"/>
  <c r="C61" i="31"/>
  <c r="AA68" i="11"/>
  <c r="D36" i="51" s="1"/>
  <c r="O9" i="41"/>
  <c r="H24" i="41"/>
  <c r="M8" i="41"/>
  <c r="H25" i="41"/>
  <c r="M10" i="41"/>
  <c r="I27" i="41"/>
  <c r="M6" i="41"/>
  <c r="N25" i="41"/>
  <c r="G16" i="41"/>
  <c r="N26" i="41"/>
  <c r="M12" i="41"/>
  <c r="H27" i="41"/>
  <c r="O6" i="41"/>
  <c r="N112" i="41"/>
  <c r="P6" i="41"/>
  <c r="O10" i="41"/>
  <c r="J16" i="41"/>
  <c r="P8" i="41"/>
  <c r="M7" i="41"/>
  <c r="D16" i="41"/>
  <c r="M9" i="41"/>
  <c r="O27" i="41"/>
  <c r="M14" i="41"/>
  <c r="P11" i="41"/>
  <c r="F16" i="41"/>
  <c r="R13" i="41"/>
  <c r="P12" i="41"/>
  <c r="O8" i="41"/>
  <c r="O12" i="41"/>
  <c r="I25" i="41"/>
  <c r="O26" i="41"/>
  <c r="P14" i="41"/>
  <c r="H16" i="41"/>
  <c r="I16" i="41"/>
  <c r="Q114" i="41"/>
  <c r="Q10" i="41" s="1"/>
  <c r="O15" i="41"/>
  <c r="P7" i="41"/>
  <c r="K16" i="41"/>
  <c r="O7" i="41"/>
  <c r="M11" i="41"/>
  <c r="I24" i="41"/>
  <c r="O25" i="41"/>
  <c r="M15" i="41"/>
  <c r="P15" i="41"/>
  <c r="A114" i="11"/>
  <c r="O14" i="41"/>
  <c r="N24" i="41"/>
  <c r="H26" i="41"/>
  <c r="P9" i="41"/>
  <c r="O24" i="41"/>
  <c r="N27" i="41"/>
  <c r="P10" i="41"/>
  <c r="P73" i="24"/>
  <c r="D73" i="24" s="1"/>
  <c r="O73" i="24"/>
  <c r="C73" i="24" s="1"/>
  <c r="N73" i="24"/>
  <c r="B73" i="24" s="1"/>
  <c r="W73" i="24"/>
  <c r="K73" i="24" s="1"/>
  <c r="V73" i="24"/>
  <c r="J73" i="24" s="1"/>
  <c r="T73" i="24"/>
  <c r="H73" i="24" s="1"/>
  <c r="R73" i="24"/>
  <c r="F73" i="24" s="1"/>
  <c r="S73" i="24"/>
  <c r="G73" i="24" s="1"/>
  <c r="A113" i="11"/>
  <c r="A112" i="11"/>
  <c r="A111" i="11"/>
  <c r="N12" i="41"/>
  <c r="Q8" i="41"/>
  <c r="N11" i="41"/>
  <c r="N6" i="41"/>
  <c r="Q7" i="41"/>
  <c r="N8" i="41"/>
  <c r="N7" i="41"/>
  <c r="Q6" i="41"/>
  <c r="Q12" i="41"/>
  <c r="Q11" i="41"/>
  <c r="N9" i="41"/>
  <c r="N10" i="41"/>
  <c r="Q9" i="41"/>
  <c r="E8" i="41"/>
  <c r="E14" i="41"/>
  <c r="E9" i="41"/>
  <c r="E15" i="41"/>
  <c r="N77" i="41"/>
  <c r="N14" i="41" s="1"/>
  <c r="N137" i="41"/>
  <c r="N15" i="41" s="1"/>
  <c r="O11" i="41"/>
  <c r="Q79" i="41"/>
  <c r="Q14" i="41" s="1"/>
  <c r="Q139" i="41"/>
  <c r="Q15" i="41" s="1"/>
  <c r="E10" i="41"/>
  <c r="E11" i="41"/>
  <c r="E6" i="41"/>
  <c r="E12" i="41"/>
  <c r="E7" i="41"/>
  <c r="K139" i="11"/>
  <c r="J139" i="11"/>
  <c r="I139" i="11"/>
  <c r="H139" i="11"/>
  <c r="G139" i="11"/>
  <c r="F139" i="11"/>
  <c r="E139" i="11"/>
  <c r="D139" i="11"/>
  <c r="C139" i="11"/>
  <c r="B139" i="11"/>
  <c r="K120" i="11"/>
  <c r="W120" i="11" s="1"/>
  <c r="AI120" i="11" s="1"/>
  <c r="AU120" i="11" s="1"/>
  <c r="BG120" i="11" s="1"/>
  <c r="J120" i="11"/>
  <c r="V120" i="11" s="1"/>
  <c r="AH120" i="11" s="1"/>
  <c r="AT120" i="11" s="1"/>
  <c r="BF120" i="11" s="1"/>
  <c r="I120" i="11"/>
  <c r="U120" i="11" s="1"/>
  <c r="AG120" i="11" s="1"/>
  <c r="AS120" i="11" s="1"/>
  <c r="BE120" i="11" s="1"/>
  <c r="H120" i="11"/>
  <c r="T120" i="11" s="1"/>
  <c r="AF120" i="11" s="1"/>
  <c r="AR120" i="11" s="1"/>
  <c r="BD120" i="11" s="1"/>
  <c r="G120" i="11"/>
  <c r="S120" i="11" s="1"/>
  <c r="AE120" i="11" s="1"/>
  <c r="AQ120" i="11" s="1"/>
  <c r="BC120" i="11" s="1"/>
  <c r="F120" i="11"/>
  <c r="R120" i="11" s="1"/>
  <c r="AD120" i="11" s="1"/>
  <c r="AP120" i="11" s="1"/>
  <c r="BB120" i="11" s="1"/>
  <c r="E120" i="11"/>
  <c r="Q120" i="11" s="1"/>
  <c r="AC120" i="11" s="1"/>
  <c r="AO120" i="11" s="1"/>
  <c r="BA120" i="11" s="1"/>
  <c r="D120" i="11"/>
  <c r="P120" i="11" s="1"/>
  <c r="AB120" i="11" s="1"/>
  <c r="AN120" i="11" s="1"/>
  <c r="AZ120" i="11" s="1"/>
  <c r="C120" i="11"/>
  <c r="O120" i="11" s="1"/>
  <c r="AA120" i="11" s="1"/>
  <c r="AM120" i="11" s="1"/>
  <c r="AY120" i="11" s="1"/>
  <c r="B120" i="11"/>
  <c r="N120" i="11" s="1"/>
  <c r="Z120" i="11" s="1"/>
  <c r="AL120" i="11" s="1"/>
  <c r="AX120" i="11" s="1"/>
  <c r="K102" i="11"/>
  <c r="W102" i="11" s="1"/>
  <c r="J102" i="11"/>
  <c r="V102" i="11" s="1"/>
  <c r="I102" i="11"/>
  <c r="U102" i="11" s="1"/>
  <c r="H102" i="11"/>
  <c r="T102" i="11" s="1"/>
  <c r="G102" i="11"/>
  <c r="S102" i="11" s="1"/>
  <c r="F102" i="11"/>
  <c r="R102" i="11" s="1"/>
  <c r="E102" i="11"/>
  <c r="Q102" i="11" s="1"/>
  <c r="D102" i="11"/>
  <c r="P102" i="11" s="1"/>
  <c r="C102" i="11"/>
  <c r="O102" i="11" s="1"/>
  <c r="B102" i="11"/>
  <c r="N102" i="11" s="1"/>
  <c r="K61" i="11"/>
  <c r="J61" i="11"/>
  <c r="I61" i="11"/>
  <c r="H61" i="11"/>
  <c r="G61" i="11"/>
  <c r="F61" i="11"/>
  <c r="E61" i="11"/>
  <c r="D61" i="11"/>
  <c r="C61" i="11"/>
  <c r="B61" i="11"/>
  <c r="K43" i="11"/>
  <c r="W43" i="11" s="1"/>
  <c r="AI43" i="11" s="1"/>
  <c r="J43" i="11"/>
  <c r="I43" i="11"/>
  <c r="H43" i="11"/>
  <c r="G43" i="11"/>
  <c r="F43" i="11"/>
  <c r="R43" i="11" s="1"/>
  <c r="AD43" i="11" s="1"/>
  <c r="E43" i="11"/>
  <c r="D43" i="11"/>
  <c r="P43" i="11" s="1"/>
  <c r="AB43" i="11" s="1"/>
  <c r="C43" i="11"/>
  <c r="B43" i="11"/>
  <c r="N43" i="11" s="1"/>
  <c r="Z43" i="11" s="1"/>
  <c r="K23" i="11"/>
  <c r="J23" i="11"/>
  <c r="I23" i="11"/>
  <c r="U23" i="11" s="1"/>
  <c r="AG23" i="11" s="1"/>
  <c r="H23" i="11"/>
  <c r="T23" i="11" s="1"/>
  <c r="AF23" i="11" s="1"/>
  <c r="G23" i="11"/>
  <c r="S23" i="11" s="1"/>
  <c r="AE23" i="11" s="1"/>
  <c r="F23" i="11"/>
  <c r="R23" i="11" s="1"/>
  <c r="AD23" i="11" s="1"/>
  <c r="E23" i="11"/>
  <c r="Q23" i="11" s="1"/>
  <c r="AC23" i="11" s="1"/>
  <c r="D23" i="11"/>
  <c r="P23" i="11" s="1"/>
  <c r="AB23" i="11" s="1"/>
  <c r="C23" i="11"/>
  <c r="B23" i="11"/>
  <c r="N23" i="11" s="1"/>
  <c r="Z23" i="11" s="1"/>
  <c r="O3" i="11"/>
  <c r="P3" i="11"/>
  <c r="Q3" i="11"/>
  <c r="R3" i="11"/>
  <c r="S3" i="11"/>
  <c r="T3" i="11"/>
  <c r="U3" i="11"/>
  <c r="V3" i="11"/>
  <c r="W3" i="11"/>
  <c r="N3" i="11"/>
  <c r="A26" i="31"/>
  <c r="AI35" i="24"/>
  <c r="G35" i="11"/>
  <c r="S15" i="11"/>
  <c r="AN35" i="24"/>
  <c r="D35" i="11"/>
  <c r="AH35" i="11"/>
  <c r="R15" i="11"/>
  <c r="R35" i="11"/>
  <c r="Q35" i="24"/>
  <c r="Q35" i="11"/>
  <c r="AM35" i="24"/>
  <c r="E15" i="11"/>
  <c r="K15" i="11"/>
  <c r="AT35" i="24"/>
  <c r="O35" i="11"/>
  <c r="J15" i="11"/>
  <c r="AD35" i="11"/>
  <c r="C35" i="11"/>
  <c r="O15" i="11"/>
  <c r="Z35" i="11"/>
  <c r="T15" i="11"/>
  <c r="H35" i="11"/>
  <c r="G15" i="11"/>
  <c r="AE35" i="11"/>
  <c r="K35" i="24"/>
  <c r="AP35" i="24"/>
  <c r="C15" i="11"/>
  <c r="P15" i="11"/>
  <c r="AQ35" i="24"/>
  <c r="AO35" i="24"/>
  <c r="AI35" i="11"/>
  <c r="E35" i="11"/>
  <c r="AA35" i="11"/>
  <c r="AC35" i="24"/>
  <c r="B15" i="11"/>
  <c r="AC35" i="11"/>
  <c r="N15" i="11"/>
  <c r="K35" i="11"/>
  <c r="B35" i="11"/>
  <c r="F35" i="11"/>
  <c r="W35" i="11"/>
  <c r="AB35" i="11"/>
  <c r="AU35" i="24"/>
  <c r="AL35" i="24"/>
  <c r="V15" i="11"/>
  <c r="S35" i="11"/>
  <c r="W15" i="11"/>
  <c r="T35" i="11"/>
  <c r="D15" i="11"/>
  <c r="P35" i="11"/>
  <c r="AR35" i="24"/>
  <c r="Q15" i="11"/>
  <c r="V35" i="11"/>
  <c r="AF35" i="11"/>
  <c r="H15" i="11"/>
  <c r="B35" i="24"/>
  <c r="F15" i="11"/>
  <c r="AD130" i="11" l="1"/>
  <c r="AF130" i="11"/>
  <c r="AB130" i="11"/>
  <c r="AE130" i="11"/>
  <c r="AI130" i="11"/>
  <c r="AA130" i="11"/>
  <c r="AC130" i="11"/>
  <c r="Z130" i="11"/>
  <c r="R130" i="11"/>
  <c r="T130" i="11"/>
  <c r="P130" i="11"/>
  <c r="S130" i="11"/>
  <c r="W130" i="11"/>
  <c r="O130" i="11"/>
  <c r="Q130" i="11"/>
  <c r="N130" i="11"/>
  <c r="F130" i="11"/>
  <c r="H130" i="11"/>
  <c r="D130" i="11"/>
  <c r="G130" i="11"/>
  <c r="K130" i="11"/>
  <c r="C130" i="11"/>
  <c r="E130" i="11"/>
  <c r="B130" i="11"/>
  <c r="D36" i="31"/>
  <c r="AR129" i="11"/>
  <c r="AO129" i="11"/>
  <c r="AQ129" i="11"/>
  <c r="AP129" i="11"/>
  <c r="AL129" i="11"/>
  <c r="AM129" i="11"/>
  <c r="AN129" i="11"/>
  <c r="AU129" i="11"/>
  <c r="C74" i="11"/>
  <c r="AP102" i="24"/>
  <c r="AQ102" i="24"/>
  <c r="AN102" i="24"/>
  <c r="AT102" i="24"/>
  <c r="AM102" i="24"/>
  <c r="AO102" i="24"/>
  <c r="AR102" i="24"/>
  <c r="Q73" i="24"/>
  <c r="E73" i="24" s="1"/>
  <c r="R9" i="41"/>
  <c r="R6" i="41"/>
  <c r="R15" i="41"/>
  <c r="R14" i="41"/>
  <c r="P73" i="11"/>
  <c r="D73" i="11" s="1"/>
  <c r="P91" i="11" s="1"/>
  <c r="M16" i="41"/>
  <c r="R10" i="41"/>
  <c r="S73" i="11"/>
  <c r="G73" i="11" s="1"/>
  <c r="S91" i="11" s="1"/>
  <c r="T73" i="11"/>
  <c r="H73" i="11" s="1"/>
  <c r="T91" i="11" s="1"/>
  <c r="V73" i="11"/>
  <c r="J73" i="11" s="1"/>
  <c r="J110" i="11" s="1"/>
  <c r="Q73" i="11"/>
  <c r="E73" i="11" s="1"/>
  <c r="Q91" i="11" s="1"/>
  <c r="W73" i="11"/>
  <c r="K73" i="11" s="1"/>
  <c r="W91" i="11" s="1"/>
  <c r="R73" i="11"/>
  <c r="F73" i="11" s="1"/>
  <c r="R91" i="11" s="1"/>
  <c r="O73" i="11"/>
  <c r="C73" i="11" s="1"/>
  <c r="O91" i="11" s="1"/>
  <c r="R8" i="41"/>
  <c r="W23" i="11"/>
  <c r="AI23" i="11" s="1"/>
  <c r="A132" i="11"/>
  <c r="M132" i="11" s="1"/>
  <c r="Y132" i="11" s="1"/>
  <c r="AK132" i="11" s="1"/>
  <c r="AW132" i="11" s="1"/>
  <c r="M114" i="11"/>
  <c r="O23" i="11"/>
  <c r="AA23" i="11" s="1"/>
  <c r="M111" i="11"/>
  <c r="A129" i="11"/>
  <c r="M129" i="11" s="1"/>
  <c r="Y129" i="11" s="1"/>
  <c r="AK129" i="11" s="1"/>
  <c r="AW129" i="11" s="1"/>
  <c r="P16" i="41"/>
  <c r="M112" i="11"/>
  <c r="A130" i="11"/>
  <c r="M130" i="11" s="1"/>
  <c r="Y130" i="11" s="1"/>
  <c r="AK130" i="11" s="1"/>
  <c r="AW130" i="11" s="1"/>
  <c r="M113" i="11"/>
  <c r="A131" i="11"/>
  <c r="M131" i="11" s="1"/>
  <c r="Y131" i="11" s="1"/>
  <c r="AK131" i="11" s="1"/>
  <c r="AW131" i="11" s="1"/>
  <c r="R11" i="41"/>
  <c r="R12" i="41"/>
  <c r="R7" i="41"/>
  <c r="Q16" i="41"/>
  <c r="O16" i="41"/>
  <c r="E16" i="41"/>
  <c r="N16" i="41"/>
  <c r="Q43" i="11"/>
  <c r="AC43" i="11" s="1"/>
  <c r="O43" i="11"/>
  <c r="AA43" i="11" s="1"/>
  <c r="T43" i="11"/>
  <c r="AF43" i="11" s="1"/>
  <c r="V43" i="11"/>
  <c r="AH43" i="11" s="1"/>
  <c r="V23" i="11"/>
  <c r="AH23" i="11" s="1"/>
  <c r="S43" i="11"/>
  <c r="AE43" i="11" s="1"/>
  <c r="AZ36" i="31"/>
  <c r="N35" i="11"/>
  <c r="J35" i="11"/>
  <c r="G14" i="51"/>
  <c r="K36" i="31" l="1"/>
  <c r="AH130" i="11"/>
  <c r="V130" i="11"/>
  <c r="J130" i="11"/>
  <c r="AF9" i="51"/>
  <c r="AT129" i="11"/>
  <c r="O92" i="11"/>
  <c r="C111" i="11"/>
  <c r="AU102" i="24"/>
  <c r="AL102" i="24"/>
  <c r="N73" i="11"/>
  <c r="B73" i="11" s="1"/>
  <c r="B110" i="11" s="1"/>
  <c r="H110" i="11"/>
  <c r="F110" i="11"/>
  <c r="V91" i="11"/>
  <c r="C110" i="11"/>
  <c r="K110" i="11"/>
  <c r="E110" i="11"/>
  <c r="G110" i="11"/>
  <c r="D110" i="11"/>
  <c r="U43" i="11"/>
  <c r="AG43" i="11" s="1"/>
  <c r="M33" i="36"/>
  <c r="N33" i="36" s="1"/>
  <c r="O33" i="36"/>
  <c r="Q33" i="36" s="1"/>
  <c r="P33" i="36"/>
  <c r="M34" i="36"/>
  <c r="N34" i="36" s="1"/>
  <c r="O34" i="36"/>
  <c r="Q34" i="36" s="1"/>
  <c r="P34" i="36"/>
  <c r="M35" i="36"/>
  <c r="N35" i="36" s="1"/>
  <c r="O35" i="36"/>
  <c r="Q35" i="36" s="1"/>
  <c r="P35" i="36"/>
  <c r="M36" i="36"/>
  <c r="N36" i="36" s="1"/>
  <c r="O36" i="36"/>
  <c r="Q36" i="36" s="1"/>
  <c r="P36" i="36"/>
  <c r="M37" i="36"/>
  <c r="N37" i="36" s="1"/>
  <c r="O37" i="36"/>
  <c r="Q37" i="36" s="1"/>
  <c r="P37" i="36"/>
  <c r="M38" i="36"/>
  <c r="N38" i="36" s="1"/>
  <c r="O38" i="36"/>
  <c r="Q38" i="36" s="1"/>
  <c r="P38" i="36"/>
  <c r="M39" i="36"/>
  <c r="N39" i="36" s="1"/>
  <c r="O39" i="36"/>
  <c r="Q39" i="36" s="1"/>
  <c r="P39" i="36"/>
  <c r="M40" i="36"/>
  <c r="N40" i="36" s="1"/>
  <c r="O40" i="36"/>
  <c r="Q40" i="36" s="1"/>
  <c r="P40" i="36"/>
  <c r="M41" i="36"/>
  <c r="N41" i="36" s="1"/>
  <c r="O41" i="36"/>
  <c r="Q41" i="36" s="1"/>
  <c r="P41" i="36"/>
  <c r="M42" i="36"/>
  <c r="N42" i="36" s="1"/>
  <c r="O42" i="36"/>
  <c r="Q42" i="36" s="1"/>
  <c r="P42" i="36"/>
  <c r="M43" i="36"/>
  <c r="N43" i="36" s="1"/>
  <c r="O43" i="36"/>
  <c r="Q43" i="36" s="1"/>
  <c r="P43" i="36"/>
  <c r="M44" i="36"/>
  <c r="N44" i="36" s="1"/>
  <c r="O44" i="36"/>
  <c r="Q44" i="36" s="1"/>
  <c r="P44" i="36"/>
  <c r="M45" i="36"/>
  <c r="N45" i="36" s="1"/>
  <c r="O45" i="36"/>
  <c r="Q45" i="36" s="1"/>
  <c r="P45" i="36"/>
  <c r="M46" i="36"/>
  <c r="N46" i="36" s="1"/>
  <c r="O46" i="36"/>
  <c r="Q46" i="36" s="1"/>
  <c r="P46" i="36"/>
  <c r="M47" i="36"/>
  <c r="N47" i="36" s="1"/>
  <c r="O47" i="36"/>
  <c r="Q47" i="36" s="1"/>
  <c r="P47" i="36"/>
  <c r="M48" i="36"/>
  <c r="N48" i="36" s="1"/>
  <c r="O48" i="36"/>
  <c r="Q48" i="36" s="1"/>
  <c r="P48" i="36"/>
  <c r="M49" i="36"/>
  <c r="N49" i="36" s="1"/>
  <c r="O49" i="36"/>
  <c r="Q49" i="36" s="1"/>
  <c r="P49" i="36"/>
  <c r="M50" i="36"/>
  <c r="N50" i="36" s="1"/>
  <c r="O50" i="36"/>
  <c r="Q50" i="36" s="1"/>
  <c r="P50" i="36"/>
  <c r="M51" i="36"/>
  <c r="N51" i="36" s="1"/>
  <c r="O51" i="36"/>
  <c r="Q51" i="36" s="1"/>
  <c r="P51" i="36"/>
  <c r="M52" i="36"/>
  <c r="N52" i="36" s="1"/>
  <c r="O52" i="36"/>
  <c r="Q52" i="36" s="1"/>
  <c r="P52" i="36"/>
  <c r="M53" i="36"/>
  <c r="N53" i="36" s="1"/>
  <c r="O53" i="36"/>
  <c r="Q53" i="36" s="1"/>
  <c r="P53" i="36"/>
  <c r="M54" i="36"/>
  <c r="N54" i="36" s="1"/>
  <c r="O54" i="36"/>
  <c r="Q54" i="36" s="1"/>
  <c r="P54" i="36"/>
  <c r="M55" i="36"/>
  <c r="N55" i="36" s="1"/>
  <c r="O55" i="36"/>
  <c r="Q55" i="36" s="1"/>
  <c r="P55" i="36"/>
  <c r="M56" i="36"/>
  <c r="N56" i="36" s="1"/>
  <c r="O56" i="36"/>
  <c r="Q56" i="36" s="1"/>
  <c r="P56" i="36"/>
  <c r="M57" i="36"/>
  <c r="N57" i="36" s="1"/>
  <c r="O57" i="36"/>
  <c r="P57" i="36"/>
  <c r="Q57" i="36"/>
  <c r="M58" i="36"/>
  <c r="N58" i="36" s="1"/>
  <c r="O58" i="36"/>
  <c r="Q58" i="36" s="1"/>
  <c r="P58" i="36"/>
  <c r="M59" i="36"/>
  <c r="N59" i="36" s="1"/>
  <c r="O59" i="36"/>
  <c r="Q59" i="36" s="1"/>
  <c r="P59" i="36"/>
  <c r="M60" i="36"/>
  <c r="N60" i="36" s="1"/>
  <c r="O60" i="36"/>
  <c r="Q60" i="36" s="1"/>
  <c r="P60" i="36"/>
  <c r="M61" i="36"/>
  <c r="N61" i="36" s="1"/>
  <c r="O61" i="36"/>
  <c r="Q61" i="36" s="1"/>
  <c r="P61" i="36"/>
  <c r="M62" i="36"/>
  <c r="N62" i="36" s="1"/>
  <c r="O62" i="36"/>
  <c r="Q62" i="36" s="1"/>
  <c r="P62" i="36"/>
  <c r="M63" i="36"/>
  <c r="N63" i="36" s="1"/>
  <c r="O63" i="36"/>
  <c r="Q63" i="36" s="1"/>
  <c r="P63" i="36"/>
  <c r="M64" i="36"/>
  <c r="N64" i="36" s="1"/>
  <c r="O64" i="36"/>
  <c r="Q64" i="36" s="1"/>
  <c r="P64" i="36"/>
  <c r="M65" i="36"/>
  <c r="N65" i="36" s="1"/>
  <c r="O65" i="36"/>
  <c r="Q65" i="36" s="1"/>
  <c r="P65" i="36"/>
  <c r="M66" i="36"/>
  <c r="N66" i="36" s="1"/>
  <c r="O66" i="36"/>
  <c r="Q66" i="36" s="1"/>
  <c r="P66" i="36"/>
  <c r="M67" i="36"/>
  <c r="N67" i="36" s="1"/>
  <c r="O67" i="36"/>
  <c r="Q67" i="36" s="1"/>
  <c r="P67" i="36"/>
  <c r="M68" i="36"/>
  <c r="N68" i="36" s="1"/>
  <c r="O68" i="36"/>
  <c r="Q68" i="36" s="1"/>
  <c r="P68" i="36"/>
  <c r="M69" i="36"/>
  <c r="N69" i="36" s="1"/>
  <c r="O69" i="36"/>
  <c r="Q69" i="36" s="1"/>
  <c r="P69" i="36"/>
  <c r="M70" i="36"/>
  <c r="N70" i="36" s="1"/>
  <c r="O70" i="36"/>
  <c r="Q70" i="36" s="1"/>
  <c r="P70" i="36"/>
  <c r="M71" i="36"/>
  <c r="N71" i="36" s="1"/>
  <c r="O71" i="36"/>
  <c r="Q71" i="36" s="1"/>
  <c r="P71" i="36"/>
  <c r="M72" i="36"/>
  <c r="N72" i="36" s="1"/>
  <c r="O72" i="36"/>
  <c r="Q72" i="36" s="1"/>
  <c r="P72" i="36"/>
  <c r="M73" i="36"/>
  <c r="N73" i="36" s="1"/>
  <c r="O73" i="36"/>
  <c r="Q73" i="36" s="1"/>
  <c r="P73" i="36"/>
  <c r="M74" i="36"/>
  <c r="N74" i="36" s="1"/>
  <c r="O74" i="36"/>
  <c r="Q74" i="36" s="1"/>
  <c r="P74" i="36"/>
  <c r="M75" i="36"/>
  <c r="N75" i="36" s="1"/>
  <c r="O75" i="36"/>
  <c r="Q75" i="36" s="1"/>
  <c r="P75" i="36"/>
  <c r="M76" i="36"/>
  <c r="N76" i="36" s="1"/>
  <c r="O76" i="36"/>
  <c r="Q76" i="36" s="1"/>
  <c r="P76" i="36"/>
  <c r="M77" i="36"/>
  <c r="N77" i="36" s="1"/>
  <c r="O77" i="36"/>
  <c r="Q77" i="36" s="1"/>
  <c r="P77" i="36"/>
  <c r="M78" i="36"/>
  <c r="N78" i="36" s="1"/>
  <c r="O78" i="36"/>
  <c r="Q78" i="36" s="1"/>
  <c r="P78" i="36"/>
  <c r="M79" i="36"/>
  <c r="N79" i="36" s="1"/>
  <c r="O79" i="36"/>
  <c r="Q79" i="36" s="1"/>
  <c r="P79" i="36"/>
  <c r="M80" i="36"/>
  <c r="N80" i="36" s="1"/>
  <c r="O80" i="36"/>
  <c r="Q80" i="36" s="1"/>
  <c r="P80" i="36"/>
  <c r="M81" i="36"/>
  <c r="N81" i="36" s="1"/>
  <c r="O81" i="36"/>
  <c r="Q81" i="36" s="1"/>
  <c r="P81" i="36"/>
  <c r="M82" i="36"/>
  <c r="N82" i="36" s="1"/>
  <c r="O82" i="36"/>
  <c r="Q82" i="36" s="1"/>
  <c r="P82" i="36"/>
  <c r="M83" i="36"/>
  <c r="N83" i="36" s="1"/>
  <c r="O83" i="36"/>
  <c r="Q83" i="36" s="1"/>
  <c r="P83" i="36"/>
  <c r="M84" i="36"/>
  <c r="N84" i="36" s="1"/>
  <c r="O84" i="36"/>
  <c r="Q84" i="36" s="1"/>
  <c r="P84" i="36"/>
  <c r="M85" i="36"/>
  <c r="N85" i="36" s="1"/>
  <c r="O85" i="36"/>
  <c r="Q85" i="36" s="1"/>
  <c r="P85" i="36"/>
  <c r="M86" i="36"/>
  <c r="N86" i="36" s="1"/>
  <c r="O86" i="36"/>
  <c r="Q86" i="36" s="1"/>
  <c r="P86" i="36"/>
  <c r="M87" i="36"/>
  <c r="N87" i="36" s="1"/>
  <c r="O87" i="36"/>
  <c r="Q87" i="36" s="1"/>
  <c r="P87" i="36"/>
  <c r="M88" i="36"/>
  <c r="N88" i="36" s="1"/>
  <c r="O88" i="36"/>
  <c r="Q88" i="36" s="1"/>
  <c r="P88" i="36"/>
  <c r="M89" i="36"/>
  <c r="N89" i="36" s="1"/>
  <c r="O89" i="36"/>
  <c r="Q89" i="36" s="1"/>
  <c r="P89" i="36"/>
  <c r="M90" i="36"/>
  <c r="N90" i="36" s="1"/>
  <c r="O90" i="36"/>
  <c r="Q90" i="36" s="1"/>
  <c r="P90" i="36"/>
  <c r="M91" i="36"/>
  <c r="N91" i="36" s="1"/>
  <c r="O91" i="36"/>
  <c r="Q91" i="36" s="1"/>
  <c r="P91" i="36"/>
  <c r="M92" i="36"/>
  <c r="N92" i="36" s="1"/>
  <c r="O92" i="36"/>
  <c r="Q92" i="36" s="1"/>
  <c r="P92" i="36"/>
  <c r="M93" i="36"/>
  <c r="N93" i="36" s="1"/>
  <c r="O93" i="36"/>
  <c r="Q93" i="36" s="1"/>
  <c r="P93" i="36"/>
  <c r="M94" i="36"/>
  <c r="N94" i="36" s="1"/>
  <c r="O94" i="36"/>
  <c r="Q94" i="36" s="1"/>
  <c r="P94" i="36"/>
  <c r="M95" i="36"/>
  <c r="N95" i="36" s="1"/>
  <c r="O95" i="36"/>
  <c r="Q95" i="36" s="1"/>
  <c r="P95" i="36"/>
  <c r="M96" i="36"/>
  <c r="N96" i="36" s="1"/>
  <c r="O96" i="36"/>
  <c r="Q96" i="36" s="1"/>
  <c r="P96" i="36"/>
  <c r="M97" i="36"/>
  <c r="N97" i="36" s="1"/>
  <c r="O97" i="36"/>
  <c r="Q97" i="36" s="1"/>
  <c r="P97" i="36"/>
  <c r="M98" i="36"/>
  <c r="N98" i="36" s="1"/>
  <c r="O98" i="36"/>
  <c r="Q98" i="36" s="1"/>
  <c r="P98" i="36"/>
  <c r="M99" i="36"/>
  <c r="N99" i="36" s="1"/>
  <c r="O99" i="36"/>
  <c r="Q99" i="36" s="1"/>
  <c r="P99" i="36"/>
  <c r="M100" i="36"/>
  <c r="N100" i="36" s="1"/>
  <c r="O100" i="36"/>
  <c r="Q100" i="36" s="1"/>
  <c r="P100" i="36"/>
  <c r="M101" i="36"/>
  <c r="N101" i="36" s="1"/>
  <c r="O101" i="36"/>
  <c r="Q101" i="36" s="1"/>
  <c r="P101" i="36"/>
  <c r="M102" i="36"/>
  <c r="N102" i="36" s="1"/>
  <c r="O102" i="36"/>
  <c r="Q102" i="36" s="1"/>
  <c r="P102" i="36"/>
  <c r="M103" i="36"/>
  <c r="N103" i="36" s="1"/>
  <c r="O103" i="36"/>
  <c r="Q103" i="36" s="1"/>
  <c r="P103" i="36"/>
  <c r="M104" i="36"/>
  <c r="N104" i="36" s="1"/>
  <c r="O104" i="36"/>
  <c r="Q104" i="36" s="1"/>
  <c r="P104" i="36"/>
  <c r="M105" i="36"/>
  <c r="N105" i="36" s="1"/>
  <c r="O105" i="36"/>
  <c r="Q105" i="36" s="1"/>
  <c r="P105" i="36"/>
  <c r="M106" i="36"/>
  <c r="N106" i="36" s="1"/>
  <c r="O106" i="36"/>
  <c r="Q106" i="36" s="1"/>
  <c r="P106" i="36"/>
  <c r="M107" i="36"/>
  <c r="N107" i="36" s="1"/>
  <c r="O107" i="36"/>
  <c r="Q107" i="36" s="1"/>
  <c r="P107" i="36"/>
  <c r="M108" i="36"/>
  <c r="N108" i="36" s="1"/>
  <c r="O108" i="36"/>
  <c r="Q108" i="36" s="1"/>
  <c r="P108" i="36"/>
  <c r="M109" i="36"/>
  <c r="N109" i="36" s="1"/>
  <c r="O109" i="36"/>
  <c r="Q109" i="36" s="1"/>
  <c r="P109" i="36"/>
  <c r="M110" i="36"/>
  <c r="N110" i="36" s="1"/>
  <c r="O110" i="36"/>
  <c r="Q110" i="36" s="1"/>
  <c r="P110" i="36"/>
  <c r="M111" i="36"/>
  <c r="N111" i="36" s="1"/>
  <c r="O111" i="36"/>
  <c r="Q111" i="36" s="1"/>
  <c r="P111" i="36"/>
  <c r="M112" i="36"/>
  <c r="N112" i="36" s="1"/>
  <c r="O112" i="36"/>
  <c r="Q112" i="36" s="1"/>
  <c r="P112" i="36"/>
  <c r="M113" i="36"/>
  <c r="N113" i="36" s="1"/>
  <c r="O113" i="36"/>
  <c r="Q113" i="36" s="1"/>
  <c r="P113" i="36"/>
  <c r="M114" i="36"/>
  <c r="N114" i="36" s="1"/>
  <c r="O114" i="36"/>
  <c r="Q114" i="36" s="1"/>
  <c r="P114" i="36"/>
  <c r="M115" i="36"/>
  <c r="N115" i="36" s="1"/>
  <c r="O115" i="36"/>
  <c r="Q115" i="36" s="1"/>
  <c r="P115" i="36"/>
  <c r="M116" i="36"/>
  <c r="N116" i="36" s="1"/>
  <c r="O116" i="36"/>
  <c r="Q116" i="36" s="1"/>
  <c r="P116" i="36"/>
  <c r="M117" i="36"/>
  <c r="N117" i="36" s="1"/>
  <c r="O117" i="36"/>
  <c r="Q117" i="36" s="1"/>
  <c r="P117" i="36"/>
  <c r="M118" i="36"/>
  <c r="N118" i="36" s="1"/>
  <c r="O118" i="36"/>
  <c r="Q118" i="36" s="1"/>
  <c r="P118" i="36"/>
  <c r="M119" i="36"/>
  <c r="N119" i="36" s="1"/>
  <c r="O119" i="36"/>
  <c r="Q119" i="36" s="1"/>
  <c r="P119" i="36"/>
  <c r="M120" i="36"/>
  <c r="N120" i="36" s="1"/>
  <c r="O120" i="36"/>
  <c r="Q120" i="36" s="1"/>
  <c r="P120" i="36"/>
  <c r="M121" i="36"/>
  <c r="N121" i="36" s="1"/>
  <c r="O121" i="36"/>
  <c r="Q121" i="36" s="1"/>
  <c r="P121" i="36"/>
  <c r="M122" i="36"/>
  <c r="N122" i="36" s="1"/>
  <c r="O122" i="36"/>
  <c r="Q122" i="36" s="1"/>
  <c r="P122" i="36"/>
  <c r="M123" i="36"/>
  <c r="N123" i="36" s="1"/>
  <c r="O123" i="36"/>
  <c r="Q123" i="36" s="1"/>
  <c r="P123" i="36"/>
  <c r="M124" i="36"/>
  <c r="N124" i="36" s="1"/>
  <c r="O124" i="36"/>
  <c r="Q124" i="36" s="1"/>
  <c r="P124" i="36"/>
  <c r="M125" i="36"/>
  <c r="N125" i="36" s="1"/>
  <c r="O125" i="36"/>
  <c r="Q125" i="36" s="1"/>
  <c r="P125" i="36"/>
  <c r="M126" i="36"/>
  <c r="N126" i="36" s="1"/>
  <c r="O126" i="36"/>
  <c r="Q126" i="36" s="1"/>
  <c r="P126" i="36"/>
  <c r="M127" i="36"/>
  <c r="N127" i="36" s="1"/>
  <c r="O127" i="36"/>
  <c r="Q127" i="36" s="1"/>
  <c r="P127" i="36"/>
  <c r="M128" i="36"/>
  <c r="N128" i="36" s="1"/>
  <c r="O128" i="36"/>
  <c r="Q128" i="36" s="1"/>
  <c r="P128" i="36"/>
  <c r="M129" i="36"/>
  <c r="N129" i="36" s="1"/>
  <c r="O129" i="36"/>
  <c r="Q129" i="36" s="1"/>
  <c r="P129" i="36"/>
  <c r="M130" i="36"/>
  <c r="N130" i="36" s="1"/>
  <c r="O130" i="36"/>
  <c r="Q130" i="36" s="1"/>
  <c r="P130" i="36"/>
  <c r="M131" i="36"/>
  <c r="N131" i="36" s="1"/>
  <c r="O131" i="36"/>
  <c r="Q131" i="36" s="1"/>
  <c r="P131" i="36"/>
  <c r="M132" i="36"/>
  <c r="N132" i="36" s="1"/>
  <c r="O132" i="36"/>
  <c r="Q132" i="36" s="1"/>
  <c r="P132" i="36"/>
  <c r="M133" i="36"/>
  <c r="N133" i="36" s="1"/>
  <c r="O133" i="36"/>
  <c r="Q133" i="36" s="1"/>
  <c r="P133" i="36"/>
  <c r="M134" i="36"/>
  <c r="N134" i="36" s="1"/>
  <c r="O134" i="36"/>
  <c r="Q134" i="36" s="1"/>
  <c r="P134" i="36"/>
  <c r="M135" i="36"/>
  <c r="N135" i="36" s="1"/>
  <c r="O135" i="36"/>
  <c r="Q135" i="36" s="1"/>
  <c r="P135" i="36"/>
  <c r="M136" i="36"/>
  <c r="N136" i="36" s="1"/>
  <c r="O136" i="36"/>
  <c r="Q136" i="36" s="1"/>
  <c r="P136" i="36"/>
  <c r="M137" i="36"/>
  <c r="N137" i="36" s="1"/>
  <c r="O137" i="36"/>
  <c r="Q137" i="36" s="1"/>
  <c r="P137" i="36"/>
  <c r="M138" i="36"/>
  <c r="N138" i="36" s="1"/>
  <c r="O138" i="36"/>
  <c r="Q138" i="36" s="1"/>
  <c r="P138" i="36"/>
  <c r="M139" i="36"/>
  <c r="N139" i="36" s="1"/>
  <c r="O139" i="36"/>
  <c r="Q139" i="36" s="1"/>
  <c r="P139" i="36"/>
  <c r="M140" i="36"/>
  <c r="N140" i="36" s="1"/>
  <c r="O140" i="36"/>
  <c r="Q140" i="36" s="1"/>
  <c r="P140" i="36"/>
  <c r="M141" i="36"/>
  <c r="N141" i="36" s="1"/>
  <c r="O141" i="36"/>
  <c r="Q141" i="36" s="1"/>
  <c r="P141" i="36"/>
  <c r="M142" i="36"/>
  <c r="N142" i="36" s="1"/>
  <c r="O142" i="36"/>
  <c r="Q142" i="36" s="1"/>
  <c r="P142" i="36"/>
  <c r="M143" i="36"/>
  <c r="N143" i="36" s="1"/>
  <c r="O143" i="36"/>
  <c r="Q143" i="36" s="1"/>
  <c r="P143" i="36"/>
  <c r="M144" i="36"/>
  <c r="N144" i="36" s="1"/>
  <c r="O144" i="36"/>
  <c r="Q144" i="36" s="1"/>
  <c r="P144" i="36"/>
  <c r="M145" i="36"/>
  <c r="N145" i="36" s="1"/>
  <c r="O145" i="36"/>
  <c r="Q145" i="36" s="1"/>
  <c r="P145" i="36"/>
  <c r="M146" i="36"/>
  <c r="N146" i="36" s="1"/>
  <c r="O146" i="36"/>
  <c r="Q146" i="36" s="1"/>
  <c r="P146" i="36"/>
  <c r="M147" i="36"/>
  <c r="N147" i="36" s="1"/>
  <c r="O147" i="36"/>
  <c r="Q147" i="36" s="1"/>
  <c r="P147" i="36"/>
  <c r="M148" i="36"/>
  <c r="N148" i="36" s="1"/>
  <c r="O148" i="36"/>
  <c r="Q148" i="36" s="1"/>
  <c r="P148" i="36"/>
  <c r="M149" i="36"/>
  <c r="N149" i="36" s="1"/>
  <c r="O149" i="36"/>
  <c r="Q149" i="36" s="1"/>
  <c r="P149" i="36"/>
  <c r="M150" i="36"/>
  <c r="N150" i="36" s="1"/>
  <c r="O150" i="36"/>
  <c r="Q150" i="36" s="1"/>
  <c r="P150" i="36"/>
  <c r="M151" i="36"/>
  <c r="N151" i="36" s="1"/>
  <c r="O151" i="36"/>
  <c r="Q151" i="36" s="1"/>
  <c r="P151" i="36"/>
  <c r="M152" i="36"/>
  <c r="N152" i="36" s="1"/>
  <c r="O152" i="36"/>
  <c r="Q152" i="36" s="1"/>
  <c r="P152" i="36"/>
  <c r="M153" i="36"/>
  <c r="N153" i="36" s="1"/>
  <c r="O153" i="36"/>
  <c r="Q153" i="36" s="1"/>
  <c r="P153" i="36"/>
  <c r="M154" i="36"/>
  <c r="N154" i="36" s="1"/>
  <c r="O154" i="36"/>
  <c r="Q154" i="36" s="1"/>
  <c r="P154" i="36"/>
  <c r="M155" i="36"/>
  <c r="N155" i="36" s="1"/>
  <c r="O155" i="36"/>
  <c r="Q155" i="36" s="1"/>
  <c r="P155" i="36"/>
  <c r="M156" i="36"/>
  <c r="N156" i="36" s="1"/>
  <c r="O156" i="36"/>
  <c r="Q156" i="36" s="1"/>
  <c r="P156" i="36"/>
  <c r="M157" i="36"/>
  <c r="N157" i="36" s="1"/>
  <c r="O157" i="36"/>
  <c r="Q157" i="36" s="1"/>
  <c r="P157" i="36"/>
  <c r="M158" i="36"/>
  <c r="N158" i="36" s="1"/>
  <c r="O158" i="36"/>
  <c r="Q158" i="36" s="1"/>
  <c r="P158" i="36"/>
  <c r="M159" i="36"/>
  <c r="N159" i="36" s="1"/>
  <c r="O159" i="36"/>
  <c r="Q159" i="36" s="1"/>
  <c r="P159" i="36"/>
  <c r="M160" i="36"/>
  <c r="N160" i="36" s="1"/>
  <c r="O160" i="36"/>
  <c r="Q160" i="36" s="1"/>
  <c r="P160" i="36"/>
  <c r="M161" i="36"/>
  <c r="N161" i="36" s="1"/>
  <c r="O161" i="36"/>
  <c r="Q161" i="36" s="1"/>
  <c r="P161" i="36"/>
  <c r="M162" i="36"/>
  <c r="N162" i="36" s="1"/>
  <c r="O162" i="36"/>
  <c r="Q162" i="36" s="1"/>
  <c r="P162" i="36"/>
  <c r="M163" i="36"/>
  <c r="N163" i="36" s="1"/>
  <c r="O163" i="36"/>
  <c r="Q163" i="36" s="1"/>
  <c r="P163" i="36"/>
  <c r="M164" i="36"/>
  <c r="N164" i="36" s="1"/>
  <c r="O164" i="36"/>
  <c r="Q164" i="36" s="1"/>
  <c r="P164" i="36"/>
  <c r="M165" i="36"/>
  <c r="N165" i="36" s="1"/>
  <c r="O165" i="36"/>
  <c r="Q165" i="36" s="1"/>
  <c r="P165" i="36"/>
  <c r="M166" i="36"/>
  <c r="N166" i="36" s="1"/>
  <c r="O166" i="36"/>
  <c r="Q166" i="36" s="1"/>
  <c r="P166" i="36"/>
  <c r="M167" i="36"/>
  <c r="N167" i="36" s="1"/>
  <c r="O167" i="36"/>
  <c r="Q167" i="36" s="1"/>
  <c r="P167" i="36"/>
  <c r="M168" i="36"/>
  <c r="N168" i="36" s="1"/>
  <c r="O168" i="36"/>
  <c r="Q168" i="36" s="1"/>
  <c r="P168" i="36"/>
  <c r="M169" i="36"/>
  <c r="N169" i="36" s="1"/>
  <c r="O169" i="36"/>
  <c r="Q169" i="36" s="1"/>
  <c r="P169" i="36"/>
  <c r="M170" i="36"/>
  <c r="N170" i="36" s="1"/>
  <c r="O170" i="36"/>
  <c r="Q170" i="36" s="1"/>
  <c r="P170" i="36"/>
  <c r="M171" i="36"/>
  <c r="N171" i="36" s="1"/>
  <c r="O171" i="36"/>
  <c r="Q171" i="36" s="1"/>
  <c r="P171" i="36"/>
  <c r="M172" i="36"/>
  <c r="N172" i="36" s="1"/>
  <c r="O172" i="36"/>
  <c r="Q172" i="36" s="1"/>
  <c r="P172" i="36"/>
  <c r="M173" i="36"/>
  <c r="N173" i="36" s="1"/>
  <c r="O173" i="36"/>
  <c r="Q173" i="36" s="1"/>
  <c r="P173" i="36"/>
  <c r="M174" i="36"/>
  <c r="N174" i="36" s="1"/>
  <c r="O174" i="36"/>
  <c r="Q174" i="36" s="1"/>
  <c r="P174" i="36"/>
  <c r="M175" i="36"/>
  <c r="N175" i="36" s="1"/>
  <c r="O175" i="36"/>
  <c r="Q175" i="36" s="1"/>
  <c r="P175" i="36"/>
  <c r="M176" i="36"/>
  <c r="N176" i="36" s="1"/>
  <c r="O176" i="36"/>
  <c r="Q176" i="36" s="1"/>
  <c r="P176" i="36"/>
  <c r="M177" i="36"/>
  <c r="N177" i="36" s="1"/>
  <c r="O177" i="36"/>
  <c r="Q177" i="36" s="1"/>
  <c r="P177" i="36"/>
  <c r="M178" i="36"/>
  <c r="N178" i="36" s="1"/>
  <c r="O178" i="36"/>
  <c r="Q178" i="36" s="1"/>
  <c r="P178" i="36"/>
  <c r="M179" i="36"/>
  <c r="N179" i="36" s="1"/>
  <c r="O179" i="36"/>
  <c r="Q179" i="36" s="1"/>
  <c r="P179" i="36"/>
  <c r="M180" i="36"/>
  <c r="N180" i="36" s="1"/>
  <c r="O180" i="36"/>
  <c r="Q180" i="36" s="1"/>
  <c r="P180" i="36"/>
  <c r="M181" i="36"/>
  <c r="N181" i="36" s="1"/>
  <c r="O181" i="36"/>
  <c r="Q181" i="36" s="1"/>
  <c r="P181" i="36"/>
  <c r="M182" i="36"/>
  <c r="N182" i="36" s="1"/>
  <c r="O182" i="36"/>
  <c r="Q182" i="36" s="1"/>
  <c r="P182" i="36"/>
  <c r="M183" i="36"/>
  <c r="N183" i="36" s="1"/>
  <c r="O183" i="36"/>
  <c r="Q183" i="36" s="1"/>
  <c r="P183" i="36"/>
  <c r="M184" i="36"/>
  <c r="N184" i="36" s="1"/>
  <c r="O184" i="36"/>
  <c r="Q184" i="36" s="1"/>
  <c r="P184" i="36"/>
  <c r="M185" i="36"/>
  <c r="N185" i="36" s="1"/>
  <c r="O185" i="36"/>
  <c r="Q185" i="36" s="1"/>
  <c r="P185" i="36"/>
  <c r="M186" i="36"/>
  <c r="N186" i="36" s="1"/>
  <c r="O186" i="36"/>
  <c r="Q186" i="36" s="1"/>
  <c r="P186" i="36"/>
  <c r="M187" i="36"/>
  <c r="N187" i="36" s="1"/>
  <c r="O187" i="36"/>
  <c r="Q187" i="36" s="1"/>
  <c r="P187" i="36"/>
  <c r="M188" i="36"/>
  <c r="N188" i="36" s="1"/>
  <c r="O188" i="36"/>
  <c r="Q188" i="36" s="1"/>
  <c r="P188" i="36"/>
  <c r="M189" i="36"/>
  <c r="N189" i="36" s="1"/>
  <c r="O189" i="36"/>
  <c r="Q189" i="36" s="1"/>
  <c r="P189" i="36"/>
  <c r="M190" i="36"/>
  <c r="N190" i="36" s="1"/>
  <c r="O190" i="36"/>
  <c r="Q190" i="36" s="1"/>
  <c r="P190" i="36"/>
  <c r="M191" i="36"/>
  <c r="N191" i="36" s="1"/>
  <c r="O191" i="36"/>
  <c r="Q191" i="36" s="1"/>
  <c r="P191" i="36"/>
  <c r="M192" i="36"/>
  <c r="N192" i="36" s="1"/>
  <c r="O192" i="36"/>
  <c r="Q192" i="36" s="1"/>
  <c r="P192" i="36"/>
  <c r="M193" i="36"/>
  <c r="N193" i="36" s="1"/>
  <c r="O193" i="36"/>
  <c r="Q193" i="36" s="1"/>
  <c r="P193" i="36"/>
  <c r="M194" i="36"/>
  <c r="N194" i="36" s="1"/>
  <c r="O194" i="36"/>
  <c r="Q194" i="36" s="1"/>
  <c r="P194" i="36"/>
  <c r="M195" i="36"/>
  <c r="N195" i="36" s="1"/>
  <c r="O195" i="36"/>
  <c r="Q195" i="36" s="1"/>
  <c r="P195" i="36"/>
  <c r="M196" i="36"/>
  <c r="N196" i="36" s="1"/>
  <c r="O196" i="36"/>
  <c r="Q196" i="36" s="1"/>
  <c r="P196" i="36"/>
  <c r="M197" i="36"/>
  <c r="N197" i="36" s="1"/>
  <c r="O197" i="36"/>
  <c r="Q197" i="36" s="1"/>
  <c r="P197" i="36"/>
  <c r="M198" i="36"/>
  <c r="N198" i="36" s="1"/>
  <c r="O198" i="36"/>
  <c r="Q198" i="36" s="1"/>
  <c r="P198" i="36"/>
  <c r="M199" i="36"/>
  <c r="N199" i="36" s="1"/>
  <c r="O199" i="36"/>
  <c r="Q199" i="36" s="1"/>
  <c r="P199" i="36"/>
  <c r="M200" i="36"/>
  <c r="N200" i="36" s="1"/>
  <c r="O200" i="36"/>
  <c r="Q200" i="36" s="1"/>
  <c r="P200" i="36"/>
  <c r="M201" i="36"/>
  <c r="N201" i="36" s="1"/>
  <c r="O201" i="36"/>
  <c r="Q201" i="36" s="1"/>
  <c r="P201" i="36"/>
  <c r="M33" i="28"/>
  <c r="N33" i="28" s="1"/>
  <c r="O33" i="28"/>
  <c r="Q33" i="28" s="1"/>
  <c r="P33" i="28"/>
  <c r="M34" i="28"/>
  <c r="N34" i="28" s="1"/>
  <c r="O34" i="28"/>
  <c r="Q34" i="28" s="1"/>
  <c r="P34" i="28"/>
  <c r="M35" i="28"/>
  <c r="N35" i="28" s="1"/>
  <c r="O35" i="28"/>
  <c r="Q35" i="28" s="1"/>
  <c r="P35" i="28"/>
  <c r="M36" i="28"/>
  <c r="N36" i="28" s="1"/>
  <c r="O36" i="28"/>
  <c r="Q36" i="28" s="1"/>
  <c r="P36" i="28"/>
  <c r="M37" i="28"/>
  <c r="N37" i="28" s="1"/>
  <c r="O37" i="28"/>
  <c r="Q37" i="28" s="1"/>
  <c r="P37" i="28"/>
  <c r="M38" i="28"/>
  <c r="N38" i="28" s="1"/>
  <c r="O38" i="28"/>
  <c r="Q38" i="28" s="1"/>
  <c r="P38" i="28"/>
  <c r="M39" i="28"/>
  <c r="N39" i="28" s="1"/>
  <c r="O39" i="28"/>
  <c r="Q39" i="28" s="1"/>
  <c r="P39" i="28"/>
  <c r="M40" i="28"/>
  <c r="N40" i="28" s="1"/>
  <c r="O40" i="28"/>
  <c r="Q40" i="28" s="1"/>
  <c r="P40" i="28"/>
  <c r="M41" i="28"/>
  <c r="N41" i="28" s="1"/>
  <c r="O41" i="28"/>
  <c r="Q41" i="28" s="1"/>
  <c r="P41" i="28"/>
  <c r="M42" i="28"/>
  <c r="N42" i="28" s="1"/>
  <c r="O42" i="28"/>
  <c r="Q42" i="28" s="1"/>
  <c r="P42" i="28"/>
  <c r="M43" i="28"/>
  <c r="N43" i="28" s="1"/>
  <c r="O43" i="28"/>
  <c r="Q43" i="28" s="1"/>
  <c r="P43" i="28"/>
  <c r="M44" i="28"/>
  <c r="N44" i="28" s="1"/>
  <c r="O44" i="28"/>
  <c r="Q44" i="28" s="1"/>
  <c r="P44" i="28"/>
  <c r="M45" i="28"/>
  <c r="N45" i="28" s="1"/>
  <c r="O45" i="28"/>
  <c r="Q45" i="28" s="1"/>
  <c r="P45" i="28"/>
  <c r="M46" i="28"/>
  <c r="N46" i="28" s="1"/>
  <c r="O46" i="28"/>
  <c r="Q46" i="28" s="1"/>
  <c r="P46" i="28"/>
  <c r="M47" i="28"/>
  <c r="N47" i="28" s="1"/>
  <c r="O47" i="28"/>
  <c r="Q47" i="28" s="1"/>
  <c r="P47" i="28"/>
  <c r="M48" i="28"/>
  <c r="N48" i="28" s="1"/>
  <c r="O48" i="28"/>
  <c r="Q48" i="28" s="1"/>
  <c r="P48" i="28"/>
  <c r="M49" i="28"/>
  <c r="N49" i="28" s="1"/>
  <c r="O49" i="28"/>
  <c r="Q49" i="28" s="1"/>
  <c r="P49" i="28"/>
  <c r="M50" i="28"/>
  <c r="N50" i="28" s="1"/>
  <c r="O50" i="28"/>
  <c r="Q50" i="28" s="1"/>
  <c r="P50" i="28"/>
  <c r="M51" i="28"/>
  <c r="N51" i="28" s="1"/>
  <c r="O51" i="28"/>
  <c r="Q51" i="28" s="1"/>
  <c r="P51" i="28"/>
  <c r="M52" i="28"/>
  <c r="N52" i="28" s="1"/>
  <c r="O52" i="28"/>
  <c r="Q52" i="28" s="1"/>
  <c r="P52" i="28"/>
  <c r="M53" i="28"/>
  <c r="N53" i="28" s="1"/>
  <c r="O53" i="28"/>
  <c r="Q53" i="28" s="1"/>
  <c r="P53" i="28"/>
  <c r="M54" i="28"/>
  <c r="N54" i="28" s="1"/>
  <c r="O54" i="28"/>
  <c r="Q54" i="28" s="1"/>
  <c r="P54" i="28"/>
  <c r="M55" i="28"/>
  <c r="N55" i="28" s="1"/>
  <c r="O55" i="28"/>
  <c r="Q55" i="28" s="1"/>
  <c r="P55" i="28"/>
  <c r="M56" i="28"/>
  <c r="N56" i="28" s="1"/>
  <c r="O56" i="28"/>
  <c r="Q56" i="28" s="1"/>
  <c r="P56" i="28"/>
  <c r="M57" i="28"/>
  <c r="N57" i="28" s="1"/>
  <c r="O57" i="28"/>
  <c r="Q57" i="28" s="1"/>
  <c r="P57" i="28"/>
  <c r="M58" i="28"/>
  <c r="N58" i="28" s="1"/>
  <c r="O58" i="28"/>
  <c r="Q58" i="28" s="1"/>
  <c r="P58" i="28"/>
  <c r="M59" i="28"/>
  <c r="N59" i="28" s="1"/>
  <c r="O59" i="28"/>
  <c r="Q59" i="28" s="1"/>
  <c r="P59" i="28"/>
  <c r="M60" i="28"/>
  <c r="N60" i="28" s="1"/>
  <c r="O60" i="28"/>
  <c r="Q60" i="28" s="1"/>
  <c r="P60" i="28"/>
  <c r="M61" i="28"/>
  <c r="N61" i="28" s="1"/>
  <c r="O61" i="28"/>
  <c r="Q61" i="28" s="1"/>
  <c r="P61" i="28"/>
  <c r="M62" i="28"/>
  <c r="N62" i="28" s="1"/>
  <c r="O62" i="28"/>
  <c r="Q62" i="28" s="1"/>
  <c r="P62" i="28"/>
  <c r="M63" i="28"/>
  <c r="N63" i="28" s="1"/>
  <c r="O63" i="28"/>
  <c r="Q63" i="28" s="1"/>
  <c r="P63" i="28"/>
  <c r="M64" i="28"/>
  <c r="N64" i="28" s="1"/>
  <c r="O64" i="28"/>
  <c r="Q64" i="28" s="1"/>
  <c r="P64" i="28"/>
  <c r="M65" i="28"/>
  <c r="N65" i="28" s="1"/>
  <c r="O65" i="28"/>
  <c r="Q65" i="28" s="1"/>
  <c r="P65" i="28"/>
  <c r="M66" i="28"/>
  <c r="N66" i="28" s="1"/>
  <c r="O66" i="28"/>
  <c r="Q66" i="28" s="1"/>
  <c r="P66" i="28"/>
  <c r="M67" i="28"/>
  <c r="N67" i="28" s="1"/>
  <c r="O67" i="28"/>
  <c r="Q67" i="28" s="1"/>
  <c r="P67" i="28"/>
  <c r="M68" i="28"/>
  <c r="N68" i="28" s="1"/>
  <c r="O68" i="28"/>
  <c r="Q68" i="28" s="1"/>
  <c r="P68" i="28"/>
  <c r="M69" i="28"/>
  <c r="N69" i="28" s="1"/>
  <c r="O69" i="28"/>
  <c r="Q69" i="28" s="1"/>
  <c r="P69" i="28"/>
  <c r="M70" i="28"/>
  <c r="N70" i="28" s="1"/>
  <c r="O70" i="28"/>
  <c r="Q70" i="28" s="1"/>
  <c r="P70" i="28"/>
  <c r="M71" i="28"/>
  <c r="N71" i="28" s="1"/>
  <c r="O71" i="28"/>
  <c r="Q71" i="28" s="1"/>
  <c r="P71" i="28"/>
  <c r="M72" i="28"/>
  <c r="N72" i="28" s="1"/>
  <c r="O72" i="28"/>
  <c r="Q72" i="28" s="1"/>
  <c r="P72" i="28"/>
  <c r="M73" i="28"/>
  <c r="N73" i="28" s="1"/>
  <c r="O73" i="28"/>
  <c r="Q73" i="28" s="1"/>
  <c r="P73" i="28"/>
  <c r="M74" i="28"/>
  <c r="N74" i="28" s="1"/>
  <c r="O74" i="28"/>
  <c r="Q74" i="28" s="1"/>
  <c r="P74" i="28"/>
  <c r="M75" i="28"/>
  <c r="N75" i="28" s="1"/>
  <c r="O75" i="28"/>
  <c r="Q75" i="28" s="1"/>
  <c r="P75" i="28"/>
  <c r="M76" i="28"/>
  <c r="N76" i="28" s="1"/>
  <c r="O76" i="28"/>
  <c r="Q76" i="28" s="1"/>
  <c r="P76" i="28"/>
  <c r="M77" i="28"/>
  <c r="N77" i="28" s="1"/>
  <c r="O77" i="28"/>
  <c r="Q77" i="28" s="1"/>
  <c r="P77" i="28"/>
  <c r="M78" i="28"/>
  <c r="N78" i="28" s="1"/>
  <c r="O78" i="28"/>
  <c r="Q78" i="28" s="1"/>
  <c r="P78" i="28"/>
  <c r="M79" i="28"/>
  <c r="N79" i="28" s="1"/>
  <c r="O79" i="28"/>
  <c r="Q79" i="28" s="1"/>
  <c r="P79" i="28"/>
  <c r="M80" i="28"/>
  <c r="N80" i="28" s="1"/>
  <c r="O80" i="28"/>
  <c r="Q80" i="28" s="1"/>
  <c r="P80" i="28"/>
  <c r="M81" i="28"/>
  <c r="N81" i="28" s="1"/>
  <c r="O81" i="28"/>
  <c r="Q81" i="28" s="1"/>
  <c r="P81" i="28"/>
  <c r="M82" i="28"/>
  <c r="N82" i="28" s="1"/>
  <c r="O82" i="28"/>
  <c r="Q82" i="28" s="1"/>
  <c r="P82" i="28"/>
  <c r="M83" i="28"/>
  <c r="N83" i="28" s="1"/>
  <c r="O83" i="28"/>
  <c r="Q83" i="28" s="1"/>
  <c r="P83" i="28"/>
  <c r="M84" i="28"/>
  <c r="N84" i="28" s="1"/>
  <c r="O84" i="28"/>
  <c r="Q84" i="28" s="1"/>
  <c r="P84" i="28"/>
  <c r="M85" i="28"/>
  <c r="N85" i="28" s="1"/>
  <c r="O85" i="28"/>
  <c r="Q85" i="28" s="1"/>
  <c r="P85" i="28"/>
  <c r="M86" i="28"/>
  <c r="N86" i="28" s="1"/>
  <c r="O86" i="28"/>
  <c r="Q86" i="28" s="1"/>
  <c r="P86" i="28"/>
  <c r="M87" i="28"/>
  <c r="N87" i="28" s="1"/>
  <c r="O87" i="28"/>
  <c r="Q87" i="28" s="1"/>
  <c r="P87" i="28"/>
  <c r="M88" i="28"/>
  <c r="N88" i="28" s="1"/>
  <c r="O88" i="28"/>
  <c r="Q88" i="28" s="1"/>
  <c r="P88" i="28"/>
  <c r="M89" i="28"/>
  <c r="N89" i="28" s="1"/>
  <c r="O89" i="28"/>
  <c r="Q89" i="28" s="1"/>
  <c r="P89" i="28"/>
  <c r="M90" i="28"/>
  <c r="N90" i="28" s="1"/>
  <c r="O90" i="28"/>
  <c r="Q90" i="28" s="1"/>
  <c r="P90" i="28"/>
  <c r="M91" i="28"/>
  <c r="N91" i="28" s="1"/>
  <c r="O91" i="28"/>
  <c r="Q91" i="28" s="1"/>
  <c r="P91" i="28"/>
  <c r="M92" i="28"/>
  <c r="N92" i="28" s="1"/>
  <c r="O92" i="28"/>
  <c r="Q92" i="28" s="1"/>
  <c r="P92" i="28"/>
  <c r="M93" i="28"/>
  <c r="N93" i="28" s="1"/>
  <c r="O93" i="28"/>
  <c r="Q93" i="28" s="1"/>
  <c r="P93" i="28"/>
  <c r="M94" i="28"/>
  <c r="N94" i="28" s="1"/>
  <c r="O94" i="28"/>
  <c r="Q94" i="28" s="1"/>
  <c r="P94" i="28"/>
  <c r="M95" i="28"/>
  <c r="N95" i="28" s="1"/>
  <c r="O95" i="28"/>
  <c r="Q95" i="28" s="1"/>
  <c r="P95" i="28"/>
  <c r="M96" i="28"/>
  <c r="N96" i="28" s="1"/>
  <c r="O96" i="28"/>
  <c r="Q96" i="28" s="1"/>
  <c r="P96" i="28"/>
  <c r="M97" i="28"/>
  <c r="N97" i="28" s="1"/>
  <c r="O97" i="28"/>
  <c r="Q97" i="28" s="1"/>
  <c r="P97" i="28"/>
  <c r="M98" i="28"/>
  <c r="N98" i="28" s="1"/>
  <c r="O98" i="28"/>
  <c r="Q98" i="28" s="1"/>
  <c r="P98" i="28"/>
  <c r="M99" i="28"/>
  <c r="N99" i="28" s="1"/>
  <c r="O99" i="28"/>
  <c r="Q99" i="28" s="1"/>
  <c r="P99" i="28"/>
  <c r="M100" i="28"/>
  <c r="N100" i="28" s="1"/>
  <c r="O100" i="28"/>
  <c r="Q100" i="28" s="1"/>
  <c r="P100" i="28"/>
  <c r="M101" i="28"/>
  <c r="N101" i="28" s="1"/>
  <c r="O101" i="28"/>
  <c r="Q101" i="28" s="1"/>
  <c r="P101" i="28"/>
  <c r="M102" i="28"/>
  <c r="N102" i="28" s="1"/>
  <c r="O102" i="28"/>
  <c r="Q102" i="28" s="1"/>
  <c r="P102" i="28"/>
  <c r="M103" i="28"/>
  <c r="N103" i="28" s="1"/>
  <c r="O103" i="28"/>
  <c r="Q103" i="28" s="1"/>
  <c r="P103" i="28"/>
  <c r="M104" i="28"/>
  <c r="N104" i="28" s="1"/>
  <c r="O104" i="28"/>
  <c r="Q104" i="28" s="1"/>
  <c r="P104" i="28"/>
  <c r="M105" i="28"/>
  <c r="N105" i="28" s="1"/>
  <c r="O105" i="28"/>
  <c r="Q105" i="28" s="1"/>
  <c r="P105" i="28"/>
  <c r="M106" i="28"/>
  <c r="N106" i="28" s="1"/>
  <c r="O106" i="28"/>
  <c r="Q106" i="28" s="1"/>
  <c r="P106" i="28"/>
  <c r="M107" i="28"/>
  <c r="N107" i="28" s="1"/>
  <c r="O107" i="28"/>
  <c r="Q107" i="28" s="1"/>
  <c r="P107" i="28"/>
  <c r="M108" i="28"/>
  <c r="N108" i="28" s="1"/>
  <c r="O108" i="28"/>
  <c r="Q108" i="28" s="1"/>
  <c r="P108" i="28"/>
  <c r="M109" i="28"/>
  <c r="N109" i="28" s="1"/>
  <c r="O109" i="28"/>
  <c r="Q109" i="28" s="1"/>
  <c r="P109" i="28"/>
  <c r="M110" i="28"/>
  <c r="N110" i="28" s="1"/>
  <c r="O110" i="28"/>
  <c r="Q110" i="28" s="1"/>
  <c r="P110" i="28"/>
  <c r="M111" i="28"/>
  <c r="N111" i="28" s="1"/>
  <c r="O111" i="28"/>
  <c r="Q111" i="28" s="1"/>
  <c r="P111" i="28"/>
  <c r="M112" i="28"/>
  <c r="N112" i="28" s="1"/>
  <c r="O112" i="28"/>
  <c r="Q112" i="28" s="1"/>
  <c r="P112" i="28"/>
  <c r="M113" i="28"/>
  <c r="N113" i="28" s="1"/>
  <c r="O113" i="28"/>
  <c r="Q113" i="28" s="1"/>
  <c r="P113" i="28"/>
  <c r="M114" i="28"/>
  <c r="N114" i="28" s="1"/>
  <c r="O114" i="28"/>
  <c r="Q114" i="28" s="1"/>
  <c r="P114" i="28"/>
  <c r="M115" i="28"/>
  <c r="N115" i="28" s="1"/>
  <c r="O115" i="28"/>
  <c r="Q115" i="28" s="1"/>
  <c r="P115" i="28"/>
  <c r="M116" i="28"/>
  <c r="N116" i="28" s="1"/>
  <c r="O116" i="28"/>
  <c r="Q116" i="28" s="1"/>
  <c r="P116" i="28"/>
  <c r="M117" i="28"/>
  <c r="N117" i="28" s="1"/>
  <c r="O117" i="28"/>
  <c r="Q117" i="28" s="1"/>
  <c r="P117" i="28"/>
  <c r="M118" i="28"/>
  <c r="N118" i="28" s="1"/>
  <c r="O118" i="28"/>
  <c r="Q118" i="28" s="1"/>
  <c r="P118" i="28"/>
  <c r="M119" i="28"/>
  <c r="N119" i="28" s="1"/>
  <c r="O119" i="28"/>
  <c r="Q119" i="28" s="1"/>
  <c r="P119" i="28"/>
  <c r="M120" i="28"/>
  <c r="N120" i="28" s="1"/>
  <c r="O120" i="28"/>
  <c r="Q120" i="28" s="1"/>
  <c r="P120" i="28"/>
  <c r="M121" i="28"/>
  <c r="N121" i="28" s="1"/>
  <c r="O121" i="28"/>
  <c r="Q121" i="28" s="1"/>
  <c r="P121" i="28"/>
  <c r="M122" i="28"/>
  <c r="N122" i="28" s="1"/>
  <c r="O122" i="28"/>
  <c r="Q122" i="28" s="1"/>
  <c r="P122" i="28"/>
  <c r="M123" i="28"/>
  <c r="N123" i="28" s="1"/>
  <c r="O123" i="28"/>
  <c r="Q123" i="28" s="1"/>
  <c r="P123" i="28"/>
  <c r="M124" i="28"/>
  <c r="N124" i="28" s="1"/>
  <c r="O124" i="28"/>
  <c r="Q124" i="28" s="1"/>
  <c r="P124" i="28"/>
  <c r="M125" i="28"/>
  <c r="N125" i="28" s="1"/>
  <c r="O125" i="28"/>
  <c r="Q125" i="28" s="1"/>
  <c r="P125" i="28"/>
  <c r="M126" i="28"/>
  <c r="N126" i="28" s="1"/>
  <c r="O126" i="28"/>
  <c r="Q126" i="28" s="1"/>
  <c r="P126" i="28"/>
  <c r="M127" i="28"/>
  <c r="N127" i="28" s="1"/>
  <c r="O127" i="28"/>
  <c r="Q127" i="28" s="1"/>
  <c r="P127" i="28"/>
  <c r="M128" i="28"/>
  <c r="N128" i="28" s="1"/>
  <c r="O128" i="28"/>
  <c r="Q128" i="28" s="1"/>
  <c r="P128" i="28"/>
  <c r="M129" i="28"/>
  <c r="N129" i="28" s="1"/>
  <c r="O129" i="28"/>
  <c r="Q129" i="28" s="1"/>
  <c r="P129" i="28"/>
  <c r="M130" i="28"/>
  <c r="N130" i="28" s="1"/>
  <c r="O130" i="28"/>
  <c r="Q130" i="28" s="1"/>
  <c r="P130" i="28"/>
  <c r="M131" i="28"/>
  <c r="N131" i="28" s="1"/>
  <c r="O131" i="28"/>
  <c r="Q131" i="28" s="1"/>
  <c r="P131" i="28"/>
  <c r="M132" i="28"/>
  <c r="N132" i="28" s="1"/>
  <c r="O132" i="28"/>
  <c r="Q132" i="28" s="1"/>
  <c r="P132" i="28"/>
  <c r="M133" i="28"/>
  <c r="N133" i="28" s="1"/>
  <c r="O133" i="28"/>
  <c r="Q133" i="28" s="1"/>
  <c r="P133" i="28"/>
  <c r="M134" i="28"/>
  <c r="N134" i="28" s="1"/>
  <c r="O134" i="28"/>
  <c r="Q134" i="28" s="1"/>
  <c r="P134" i="28"/>
  <c r="M135" i="28"/>
  <c r="N135" i="28" s="1"/>
  <c r="O135" i="28"/>
  <c r="Q135" i="28" s="1"/>
  <c r="P135" i="28"/>
  <c r="M136" i="28"/>
  <c r="N136" i="28" s="1"/>
  <c r="O136" i="28"/>
  <c r="Q136" i="28" s="1"/>
  <c r="P136" i="28"/>
  <c r="M137" i="28"/>
  <c r="N137" i="28" s="1"/>
  <c r="O137" i="28"/>
  <c r="Q137" i="28" s="1"/>
  <c r="P137" i="28"/>
  <c r="M138" i="28"/>
  <c r="N138" i="28" s="1"/>
  <c r="O138" i="28"/>
  <c r="Q138" i="28" s="1"/>
  <c r="P138" i="28"/>
  <c r="M139" i="28"/>
  <c r="N139" i="28" s="1"/>
  <c r="O139" i="28"/>
  <c r="Q139" i="28" s="1"/>
  <c r="P139" i="28"/>
  <c r="M140" i="28"/>
  <c r="N140" i="28" s="1"/>
  <c r="O140" i="28"/>
  <c r="Q140" i="28" s="1"/>
  <c r="P140" i="28"/>
  <c r="M141" i="28"/>
  <c r="N141" i="28" s="1"/>
  <c r="O141" i="28"/>
  <c r="Q141" i="28" s="1"/>
  <c r="P141" i="28"/>
  <c r="M142" i="28"/>
  <c r="N142" i="28" s="1"/>
  <c r="O142" i="28"/>
  <c r="Q142" i="28" s="1"/>
  <c r="P142" i="28"/>
  <c r="M143" i="28"/>
  <c r="N143" i="28" s="1"/>
  <c r="O143" i="28"/>
  <c r="Q143" i="28" s="1"/>
  <c r="P143" i="28"/>
  <c r="M144" i="28"/>
  <c r="N144" i="28" s="1"/>
  <c r="O144" i="28"/>
  <c r="Q144" i="28" s="1"/>
  <c r="P144" i="28"/>
  <c r="M145" i="28"/>
  <c r="N145" i="28" s="1"/>
  <c r="O145" i="28"/>
  <c r="Q145" i="28" s="1"/>
  <c r="P145" i="28"/>
  <c r="M146" i="28"/>
  <c r="N146" i="28" s="1"/>
  <c r="O146" i="28"/>
  <c r="Q146" i="28" s="1"/>
  <c r="P146" i="28"/>
  <c r="M147" i="28"/>
  <c r="N147" i="28" s="1"/>
  <c r="O147" i="28"/>
  <c r="Q147" i="28" s="1"/>
  <c r="P147" i="28"/>
  <c r="M148" i="28"/>
  <c r="N148" i="28" s="1"/>
  <c r="O148" i="28"/>
  <c r="Q148" i="28" s="1"/>
  <c r="P148" i="28"/>
  <c r="M149" i="28"/>
  <c r="N149" i="28" s="1"/>
  <c r="O149" i="28"/>
  <c r="Q149" i="28" s="1"/>
  <c r="P149" i="28"/>
  <c r="M150" i="28"/>
  <c r="N150" i="28" s="1"/>
  <c r="O150" i="28"/>
  <c r="Q150" i="28" s="1"/>
  <c r="P150" i="28"/>
  <c r="M151" i="28"/>
  <c r="N151" i="28" s="1"/>
  <c r="O151" i="28"/>
  <c r="Q151" i="28" s="1"/>
  <c r="P151" i="28"/>
  <c r="M152" i="28"/>
  <c r="N152" i="28" s="1"/>
  <c r="O152" i="28"/>
  <c r="Q152" i="28" s="1"/>
  <c r="P152" i="28"/>
  <c r="M153" i="28"/>
  <c r="N153" i="28" s="1"/>
  <c r="O153" i="28"/>
  <c r="Q153" i="28" s="1"/>
  <c r="P153" i="28"/>
  <c r="M154" i="28"/>
  <c r="N154" i="28" s="1"/>
  <c r="O154" i="28"/>
  <c r="Q154" i="28" s="1"/>
  <c r="P154" i="28"/>
  <c r="M155" i="28"/>
  <c r="N155" i="28" s="1"/>
  <c r="O155" i="28"/>
  <c r="Q155" i="28" s="1"/>
  <c r="P155" i="28"/>
  <c r="M156" i="28"/>
  <c r="N156" i="28" s="1"/>
  <c r="O156" i="28"/>
  <c r="Q156" i="28" s="1"/>
  <c r="P156" i="28"/>
  <c r="M157" i="28"/>
  <c r="N157" i="28" s="1"/>
  <c r="O157" i="28"/>
  <c r="Q157" i="28" s="1"/>
  <c r="P157" i="28"/>
  <c r="M158" i="28"/>
  <c r="N158" i="28" s="1"/>
  <c r="O158" i="28"/>
  <c r="Q158" i="28" s="1"/>
  <c r="P158" i="28"/>
  <c r="M159" i="28"/>
  <c r="N159" i="28" s="1"/>
  <c r="O159" i="28"/>
  <c r="Q159" i="28" s="1"/>
  <c r="P159" i="28"/>
  <c r="M160" i="28"/>
  <c r="N160" i="28" s="1"/>
  <c r="O160" i="28"/>
  <c r="Q160" i="28" s="1"/>
  <c r="P160" i="28"/>
  <c r="M161" i="28"/>
  <c r="N161" i="28" s="1"/>
  <c r="O161" i="28"/>
  <c r="Q161" i="28" s="1"/>
  <c r="P161" i="28"/>
  <c r="M162" i="28"/>
  <c r="N162" i="28" s="1"/>
  <c r="O162" i="28"/>
  <c r="Q162" i="28" s="1"/>
  <c r="P162" i="28"/>
  <c r="M163" i="28"/>
  <c r="N163" i="28" s="1"/>
  <c r="O163" i="28"/>
  <c r="Q163" i="28" s="1"/>
  <c r="P163" i="28"/>
  <c r="M164" i="28"/>
  <c r="N164" i="28" s="1"/>
  <c r="O164" i="28"/>
  <c r="Q164" i="28" s="1"/>
  <c r="P164" i="28"/>
  <c r="M165" i="28"/>
  <c r="N165" i="28" s="1"/>
  <c r="O165" i="28"/>
  <c r="Q165" i="28" s="1"/>
  <c r="P165" i="28"/>
  <c r="M166" i="28"/>
  <c r="N166" i="28" s="1"/>
  <c r="O166" i="28"/>
  <c r="Q166" i="28" s="1"/>
  <c r="P166" i="28"/>
  <c r="M167" i="28"/>
  <c r="N167" i="28" s="1"/>
  <c r="O167" i="28"/>
  <c r="Q167" i="28" s="1"/>
  <c r="P167" i="28"/>
  <c r="M168" i="28"/>
  <c r="N168" i="28" s="1"/>
  <c r="O168" i="28"/>
  <c r="Q168" i="28" s="1"/>
  <c r="P168" i="28"/>
  <c r="M169" i="28"/>
  <c r="N169" i="28" s="1"/>
  <c r="O169" i="28"/>
  <c r="Q169" i="28" s="1"/>
  <c r="P169" i="28"/>
  <c r="M170" i="28"/>
  <c r="N170" i="28" s="1"/>
  <c r="O170" i="28"/>
  <c r="Q170" i="28" s="1"/>
  <c r="P170" i="28"/>
  <c r="M171" i="28"/>
  <c r="N171" i="28" s="1"/>
  <c r="O171" i="28"/>
  <c r="Q171" i="28" s="1"/>
  <c r="P171" i="28"/>
  <c r="M33" i="22"/>
  <c r="N33" i="22" s="1"/>
  <c r="O33" i="22"/>
  <c r="Q33" i="22" s="1"/>
  <c r="P33" i="22"/>
  <c r="M34" i="22"/>
  <c r="N34" i="22" s="1"/>
  <c r="O34" i="22"/>
  <c r="Q34" i="22" s="1"/>
  <c r="P34" i="22"/>
  <c r="M35" i="22"/>
  <c r="N35" i="22" s="1"/>
  <c r="O35" i="22"/>
  <c r="Q35" i="22" s="1"/>
  <c r="P35" i="22"/>
  <c r="M36" i="22"/>
  <c r="N36" i="22" s="1"/>
  <c r="O36" i="22"/>
  <c r="Q36" i="22" s="1"/>
  <c r="P36" i="22"/>
  <c r="M37" i="22"/>
  <c r="N37" i="22" s="1"/>
  <c r="O37" i="22"/>
  <c r="Q37" i="22" s="1"/>
  <c r="P37" i="22"/>
  <c r="M38" i="22"/>
  <c r="N38" i="22" s="1"/>
  <c r="O38" i="22"/>
  <c r="Q38" i="22" s="1"/>
  <c r="P38" i="22"/>
  <c r="M39" i="22"/>
  <c r="N39" i="22" s="1"/>
  <c r="O39" i="22"/>
  <c r="Q39" i="22" s="1"/>
  <c r="P39" i="22"/>
  <c r="M40" i="22"/>
  <c r="N40" i="22" s="1"/>
  <c r="O40" i="22"/>
  <c r="Q40" i="22" s="1"/>
  <c r="P40" i="22"/>
  <c r="M41" i="22"/>
  <c r="N41" i="22" s="1"/>
  <c r="O41" i="22"/>
  <c r="Q41" i="22" s="1"/>
  <c r="P41" i="22"/>
  <c r="M42" i="22"/>
  <c r="N42" i="22" s="1"/>
  <c r="O42" i="22"/>
  <c r="Q42" i="22" s="1"/>
  <c r="P42" i="22"/>
  <c r="M43" i="22"/>
  <c r="N43" i="22" s="1"/>
  <c r="O43" i="22"/>
  <c r="Q43" i="22" s="1"/>
  <c r="P43" i="22"/>
  <c r="M44" i="22"/>
  <c r="N44" i="22" s="1"/>
  <c r="O44" i="22"/>
  <c r="Q44" i="22" s="1"/>
  <c r="P44" i="22"/>
  <c r="M45" i="22"/>
  <c r="N45" i="22" s="1"/>
  <c r="O45" i="22"/>
  <c r="Q45" i="22" s="1"/>
  <c r="P45" i="22"/>
  <c r="M46" i="22"/>
  <c r="N46" i="22" s="1"/>
  <c r="O46" i="22"/>
  <c r="Q46" i="22" s="1"/>
  <c r="P46" i="22"/>
  <c r="M47" i="22"/>
  <c r="N47" i="22" s="1"/>
  <c r="O47" i="22"/>
  <c r="Q47" i="22" s="1"/>
  <c r="P47" i="22"/>
  <c r="M48" i="22"/>
  <c r="N48" i="22" s="1"/>
  <c r="O48" i="22"/>
  <c r="Q48" i="22" s="1"/>
  <c r="P48" i="22"/>
  <c r="M49" i="22"/>
  <c r="N49" i="22" s="1"/>
  <c r="O49" i="22"/>
  <c r="Q49" i="22" s="1"/>
  <c r="P49" i="22"/>
  <c r="M50" i="22"/>
  <c r="N50" i="22" s="1"/>
  <c r="O50" i="22"/>
  <c r="Q50" i="22" s="1"/>
  <c r="P50" i="22"/>
  <c r="M51" i="22"/>
  <c r="N51" i="22" s="1"/>
  <c r="O51" i="22"/>
  <c r="Q51" i="22" s="1"/>
  <c r="P51" i="22"/>
  <c r="M52" i="22"/>
  <c r="N52" i="22" s="1"/>
  <c r="O52" i="22"/>
  <c r="Q52" i="22" s="1"/>
  <c r="P52" i="22"/>
  <c r="M53" i="22"/>
  <c r="N53" i="22" s="1"/>
  <c r="O53" i="22"/>
  <c r="Q53" i="22" s="1"/>
  <c r="P53" i="22"/>
  <c r="M54" i="22"/>
  <c r="N54" i="22" s="1"/>
  <c r="O54" i="22"/>
  <c r="Q54" i="22" s="1"/>
  <c r="P54" i="22"/>
  <c r="M55" i="22"/>
  <c r="N55" i="22" s="1"/>
  <c r="O55" i="22"/>
  <c r="Q55" i="22" s="1"/>
  <c r="P55" i="22"/>
  <c r="M56" i="22"/>
  <c r="N56" i="22" s="1"/>
  <c r="O56" i="22"/>
  <c r="Q56" i="22" s="1"/>
  <c r="P56" i="22"/>
  <c r="M57" i="22"/>
  <c r="N57" i="22" s="1"/>
  <c r="O57" i="22"/>
  <c r="Q57" i="22" s="1"/>
  <c r="P57" i="22"/>
  <c r="M58" i="22"/>
  <c r="N58" i="22" s="1"/>
  <c r="O58" i="22"/>
  <c r="Q58" i="22" s="1"/>
  <c r="P58" i="22"/>
  <c r="M59" i="22"/>
  <c r="N59" i="22" s="1"/>
  <c r="O59" i="22"/>
  <c r="Q59" i="22" s="1"/>
  <c r="P59" i="22"/>
  <c r="M60" i="22"/>
  <c r="N60" i="22" s="1"/>
  <c r="O60" i="22"/>
  <c r="Q60" i="22" s="1"/>
  <c r="P60" i="22"/>
  <c r="M61" i="22"/>
  <c r="N61" i="22" s="1"/>
  <c r="O61" i="22"/>
  <c r="Q61" i="22" s="1"/>
  <c r="P61" i="22"/>
  <c r="M62" i="22"/>
  <c r="N62" i="22" s="1"/>
  <c r="O62" i="22"/>
  <c r="Q62" i="22" s="1"/>
  <c r="P62" i="22"/>
  <c r="M63" i="22"/>
  <c r="N63" i="22" s="1"/>
  <c r="O63" i="22"/>
  <c r="Q63" i="22" s="1"/>
  <c r="P63" i="22"/>
  <c r="M64" i="22"/>
  <c r="N64" i="22" s="1"/>
  <c r="O64" i="22"/>
  <c r="Q64" i="22" s="1"/>
  <c r="P64" i="22"/>
  <c r="M65" i="22"/>
  <c r="N65" i="22" s="1"/>
  <c r="O65" i="22"/>
  <c r="Q65" i="22" s="1"/>
  <c r="P65" i="22"/>
  <c r="M66" i="22"/>
  <c r="N66" i="22" s="1"/>
  <c r="O66" i="22"/>
  <c r="Q66" i="22" s="1"/>
  <c r="P66" i="22"/>
  <c r="M67" i="22"/>
  <c r="N67" i="22" s="1"/>
  <c r="O67" i="22"/>
  <c r="Q67" i="22" s="1"/>
  <c r="P67" i="22"/>
  <c r="M68" i="22"/>
  <c r="N68" i="22" s="1"/>
  <c r="O68" i="22"/>
  <c r="Q68" i="22" s="1"/>
  <c r="P68" i="22"/>
  <c r="M69" i="22"/>
  <c r="N69" i="22" s="1"/>
  <c r="O69" i="22"/>
  <c r="Q69" i="22" s="1"/>
  <c r="P69" i="22"/>
  <c r="M70" i="22"/>
  <c r="N70" i="22" s="1"/>
  <c r="O70" i="22"/>
  <c r="Q70" i="22" s="1"/>
  <c r="P70" i="22"/>
  <c r="M71" i="22"/>
  <c r="N71" i="22" s="1"/>
  <c r="O71" i="22"/>
  <c r="Q71" i="22" s="1"/>
  <c r="P71" i="22"/>
  <c r="M72" i="22"/>
  <c r="N72" i="22" s="1"/>
  <c r="O72" i="22"/>
  <c r="Q72" i="22" s="1"/>
  <c r="P72" i="22"/>
  <c r="M73" i="22"/>
  <c r="N73" i="22" s="1"/>
  <c r="O73" i="22"/>
  <c r="Q73" i="22" s="1"/>
  <c r="P73" i="22"/>
  <c r="M74" i="22"/>
  <c r="N74" i="22" s="1"/>
  <c r="O74" i="22"/>
  <c r="Q74" i="22" s="1"/>
  <c r="P74" i="22"/>
  <c r="M75" i="22"/>
  <c r="N75" i="22" s="1"/>
  <c r="O75" i="22"/>
  <c r="Q75" i="22" s="1"/>
  <c r="P75" i="22"/>
  <c r="M76" i="22"/>
  <c r="N76" i="22" s="1"/>
  <c r="O76" i="22"/>
  <c r="Q76" i="22" s="1"/>
  <c r="P76" i="22"/>
  <c r="M77" i="22"/>
  <c r="N77" i="22" s="1"/>
  <c r="O77" i="22"/>
  <c r="Q77" i="22" s="1"/>
  <c r="P77" i="22"/>
  <c r="M78" i="22"/>
  <c r="N78" i="22" s="1"/>
  <c r="O78" i="22"/>
  <c r="Q78" i="22" s="1"/>
  <c r="P78" i="22"/>
  <c r="M79" i="22"/>
  <c r="N79" i="22" s="1"/>
  <c r="O79" i="22"/>
  <c r="Q79" i="22" s="1"/>
  <c r="P79" i="22"/>
  <c r="M80" i="22"/>
  <c r="N80" i="22" s="1"/>
  <c r="O80" i="22"/>
  <c r="Q80" i="22" s="1"/>
  <c r="P80" i="22"/>
  <c r="M81" i="22"/>
  <c r="N81" i="22" s="1"/>
  <c r="O81" i="22"/>
  <c r="Q81" i="22" s="1"/>
  <c r="P81" i="22"/>
  <c r="M82" i="22"/>
  <c r="N82" i="22" s="1"/>
  <c r="O82" i="22"/>
  <c r="Q82" i="22" s="1"/>
  <c r="P82" i="22"/>
  <c r="M83" i="22"/>
  <c r="N83" i="22" s="1"/>
  <c r="O83" i="22"/>
  <c r="Q83" i="22" s="1"/>
  <c r="P83" i="22"/>
  <c r="M84" i="22"/>
  <c r="N84" i="22" s="1"/>
  <c r="O84" i="22"/>
  <c r="Q84" i="22" s="1"/>
  <c r="P84" i="22"/>
  <c r="M85" i="22"/>
  <c r="N85" i="22" s="1"/>
  <c r="O85" i="22"/>
  <c r="Q85" i="22" s="1"/>
  <c r="P85" i="22"/>
  <c r="M86" i="22"/>
  <c r="N86" i="22" s="1"/>
  <c r="O86" i="22"/>
  <c r="Q86" i="22" s="1"/>
  <c r="P86" i="22"/>
  <c r="M87" i="22"/>
  <c r="N87" i="22" s="1"/>
  <c r="O87" i="22"/>
  <c r="Q87" i="22" s="1"/>
  <c r="P87" i="22"/>
  <c r="M88" i="22"/>
  <c r="N88" i="22" s="1"/>
  <c r="O88" i="22"/>
  <c r="Q88" i="22" s="1"/>
  <c r="P88" i="22"/>
  <c r="M89" i="22"/>
  <c r="N89" i="22" s="1"/>
  <c r="O89" i="22"/>
  <c r="Q89" i="22" s="1"/>
  <c r="P89" i="22"/>
  <c r="M90" i="22"/>
  <c r="N90" i="22" s="1"/>
  <c r="O90" i="22"/>
  <c r="Q90" i="22" s="1"/>
  <c r="P90" i="22"/>
  <c r="M91" i="22"/>
  <c r="N91" i="22" s="1"/>
  <c r="O91" i="22"/>
  <c r="Q91" i="22" s="1"/>
  <c r="P91" i="22"/>
  <c r="M92" i="22"/>
  <c r="N92" i="22" s="1"/>
  <c r="O92" i="22"/>
  <c r="Q92" i="22" s="1"/>
  <c r="P92" i="22"/>
  <c r="M93" i="22"/>
  <c r="N93" i="22" s="1"/>
  <c r="O93" i="22"/>
  <c r="Q93" i="22" s="1"/>
  <c r="P93" i="22"/>
  <c r="M94" i="22"/>
  <c r="N94" i="22" s="1"/>
  <c r="O94" i="22"/>
  <c r="Q94" i="22" s="1"/>
  <c r="P94" i="22"/>
  <c r="M95" i="22"/>
  <c r="N95" i="22" s="1"/>
  <c r="O95" i="22"/>
  <c r="Q95" i="22" s="1"/>
  <c r="P95" i="22"/>
  <c r="M96" i="22"/>
  <c r="N96" i="22" s="1"/>
  <c r="O96" i="22"/>
  <c r="Q96" i="22" s="1"/>
  <c r="P96" i="22"/>
  <c r="M97" i="22"/>
  <c r="N97" i="22" s="1"/>
  <c r="O97" i="22"/>
  <c r="Q97" i="22" s="1"/>
  <c r="P97" i="22"/>
  <c r="M98" i="22"/>
  <c r="N98" i="22" s="1"/>
  <c r="O98" i="22"/>
  <c r="Q98" i="22" s="1"/>
  <c r="P98" i="22"/>
  <c r="M99" i="22"/>
  <c r="N99" i="22" s="1"/>
  <c r="O99" i="22"/>
  <c r="Q99" i="22" s="1"/>
  <c r="P99" i="22"/>
  <c r="M100" i="22"/>
  <c r="N100" i="22" s="1"/>
  <c r="O100" i="22"/>
  <c r="Q100" i="22" s="1"/>
  <c r="P100" i="22"/>
  <c r="M101" i="22"/>
  <c r="N101" i="22" s="1"/>
  <c r="O101" i="22"/>
  <c r="Q101" i="22" s="1"/>
  <c r="P101" i="22"/>
  <c r="M102" i="22"/>
  <c r="N102" i="22" s="1"/>
  <c r="O102" i="22"/>
  <c r="Q102" i="22" s="1"/>
  <c r="P102" i="22"/>
  <c r="M103" i="22"/>
  <c r="N103" i="22" s="1"/>
  <c r="O103" i="22"/>
  <c r="Q103" i="22" s="1"/>
  <c r="P103" i="22"/>
  <c r="M104" i="22"/>
  <c r="N104" i="22" s="1"/>
  <c r="O104" i="22"/>
  <c r="Q104" i="22" s="1"/>
  <c r="P104" i="22"/>
  <c r="M105" i="22"/>
  <c r="N105" i="22" s="1"/>
  <c r="O105" i="22"/>
  <c r="Q105" i="22" s="1"/>
  <c r="P105" i="22"/>
  <c r="M106" i="22"/>
  <c r="N106" i="22" s="1"/>
  <c r="O106" i="22"/>
  <c r="Q106" i="22" s="1"/>
  <c r="P106" i="22"/>
  <c r="M107" i="22"/>
  <c r="N107" i="22" s="1"/>
  <c r="O107" i="22"/>
  <c r="Q107" i="22" s="1"/>
  <c r="P107" i="22"/>
  <c r="M108" i="22"/>
  <c r="N108" i="22" s="1"/>
  <c r="O108" i="22"/>
  <c r="Q108" i="22" s="1"/>
  <c r="P108" i="22"/>
  <c r="M109" i="22"/>
  <c r="N109" i="22" s="1"/>
  <c r="O109" i="22"/>
  <c r="Q109" i="22" s="1"/>
  <c r="P109" i="22"/>
  <c r="M110" i="22"/>
  <c r="N110" i="22" s="1"/>
  <c r="O110" i="22"/>
  <c r="Q110" i="22" s="1"/>
  <c r="P110" i="22"/>
  <c r="M111" i="22"/>
  <c r="N111" i="22" s="1"/>
  <c r="O111" i="22"/>
  <c r="Q111" i="22" s="1"/>
  <c r="P111" i="22"/>
  <c r="M112" i="22"/>
  <c r="N112" i="22" s="1"/>
  <c r="O112" i="22"/>
  <c r="Q112" i="22" s="1"/>
  <c r="P112" i="22"/>
  <c r="M113" i="22"/>
  <c r="N113" i="22" s="1"/>
  <c r="O113" i="22"/>
  <c r="Q113" i="22" s="1"/>
  <c r="P113" i="22"/>
  <c r="M114" i="22"/>
  <c r="N114" i="22" s="1"/>
  <c r="O114" i="22"/>
  <c r="Q114" i="22" s="1"/>
  <c r="P114" i="22"/>
  <c r="M115" i="22"/>
  <c r="N115" i="22" s="1"/>
  <c r="O115" i="22"/>
  <c r="Q115" i="22" s="1"/>
  <c r="P115" i="22"/>
  <c r="M116" i="22"/>
  <c r="N116" i="22" s="1"/>
  <c r="O116" i="22"/>
  <c r="Q116" i="22" s="1"/>
  <c r="P116" i="22"/>
  <c r="M117" i="22"/>
  <c r="N117" i="22" s="1"/>
  <c r="O117" i="22"/>
  <c r="Q117" i="22" s="1"/>
  <c r="P117" i="22"/>
  <c r="M118" i="22"/>
  <c r="N118" i="22" s="1"/>
  <c r="O118" i="22"/>
  <c r="Q118" i="22" s="1"/>
  <c r="P118" i="22"/>
  <c r="M119" i="22"/>
  <c r="N119" i="22" s="1"/>
  <c r="O119" i="22"/>
  <c r="Q119" i="22" s="1"/>
  <c r="P119" i="22"/>
  <c r="M120" i="22"/>
  <c r="N120" i="22" s="1"/>
  <c r="O120" i="22"/>
  <c r="Q120" i="22" s="1"/>
  <c r="P120" i="22"/>
  <c r="M121" i="22"/>
  <c r="N121" i="22" s="1"/>
  <c r="O121" i="22"/>
  <c r="Q121" i="22" s="1"/>
  <c r="P121" i="22"/>
  <c r="M122" i="22"/>
  <c r="N122" i="22" s="1"/>
  <c r="O122" i="22"/>
  <c r="Q122" i="22" s="1"/>
  <c r="P122" i="22"/>
  <c r="M123" i="22"/>
  <c r="N123" i="22" s="1"/>
  <c r="O123" i="22"/>
  <c r="Q123" i="22" s="1"/>
  <c r="P123" i="22"/>
  <c r="M124" i="22"/>
  <c r="N124" i="22" s="1"/>
  <c r="O124" i="22"/>
  <c r="Q124" i="22" s="1"/>
  <c r="P124" i="22"/>
  <c r="M125" i="22"/>
  <c r="N125" i="22" s="1"/>
  <c r="O125" i="22"/>
  <c r="Q125" i="22" s="1"/>
  <c r="P125" i="22"/>
  <c r="M126" i="22"/>
  <c r="N126" i="22" s="1"/>
  <c r="O126" i="22"/>
  <c r="Q126" i="22" s="1"/>
  <c r="P126" i="22"/>
  <c r="M127" i="22"/>
  <c r="N127" i="22" s="1"/>
  <c r="O127" i="22"/>
  <c r="Q127" i="22" s="1"/>
  <c r="P127" i="22"/>
  <c r="M128" i="22"/>
  <c r="N128" i="22" s="1"/>
  <c r="O128" i="22"/>
  <c r="Q128" i="22" s="1"/>
  <c r="P128" i="22"/>
  <c r="M129" i="22"/>
  <c r="N129" i="22" s="1"/>
  <c r="O129" i="22"/>
  <c r="Q129" i="22" s="1"/>
  <c r="P129" i="22"/>
  <c r="M130" i="22"/>
  <c r="N130" i="22" s="1"/>
  <c r="O130" i="22"/>
  <c r="Q130" i="22" s="1"/>
  <c r="P130" i="22"/>
  <c r="M131" i="22"/>
  <c r="N131" i="22" s="1"/>
  <c r="O131" i="22"/>
  <c r="Q131" i="22" s="1"/>
  <c r="P131" i="22"/>
  <c r="M132" i="22"/>
  <c r="N132" i="22" s="1"/>
  <c r="O132" i="22"/>
  <c r="Q132" i="22" s="1"/>
  <c r="P132" i="22"/>
  <c r="M133" i="22"/>
  <c r="N133" i="22" s="1"/>
  <c r="O133" i="22"/>
  <c r="Q133" i="22" s="1"/>
  <c r="P133" i="22"/>
  <c r="M134" i="22"/>
  <c r="N134" i="22" s="1"/>
  <c r="O134" i="22"/>
  <c r="Q134" i="22" s="1"/>
  <c r="P134" i="22"/>
  <c r="M135" i="22"/>
  <c r="N135" i="22" s="1"/>
  <c r="O135" i="22"/>
  <c r="Q135" i="22" s="1"/>
  <c r="P135" i="22"/>
  <c r="M136" i="22"/>
  <c r="N136" i="22" s="1"/>
  <c r="O136" i="22"/>
  <c r="Q136" i="22" s="1"/>
  <c r="P136" i="22"/>
  <c r="M137" i="22"/>
  <c r="N137" i="22" s="1"/>
  <c r="O137" i="22"/>
  <c r="Q137" i="22" s="1"/>
  <c r="P137" i="22"/>
  <c r="M138" i="22"/>
  <c r="N138" i="22" s="1"/>
  <c r="O138" i="22"/>
  <c r="Q138" i="22" s="1"/>
  <c r="P138" i="22"/>
  <c r="M139" i="22"/>
  <c r="N139" i="22" s="1"/>
  <c r="O139" i="22"/>
  <c r="Q139" i="22" s="1"/>
  <c r="P139" i="22"/>
  <c r="M140" i="22"/>
  <c r="N140" i="22" s="1"/>
  <c r="O140" i="22"/>
  <c r="Q140" i="22" s="1"/>
  <c r="P140" i="22"/>
  <c r="M141" i="22"/>
  <c r="N141" i="22" s="1"/>
  <c r="O141" i="22"/>
  <c r="Q141" i="22" s="1"/>
  <c r="P141" i="22"/>
  <c r="M142" i="22"/>
  <c r="N142" i="22" s="1"/>
  <c r="O142" i="22"/>
  <c r="Q142" i="22" s="1"/>
  <c r="P142" i="22"/>
  <c r="M143" i="22"/>
  <c r="N143" i="22" s="1"/>
  <c r="O143" i="22"/>
  <c r="Q143" i="22" s="1"/>
  <c r="P143" i="22"/>
  <c r="M144" i="22"/>
  <c r="N144" i="22" s="1"/>
  <c r="O144" i="22"/>
  <c r="Q144" i="22" s="1"/>
  <c r="P144" i="22"/>
  <c r="M145" i="22"/>
  <c r="N145" i="22" s="1"/>
  <c r="O145" i="22"/>
  <c r="Q145" i="22" s="1"/>
  <c r="P145" i="22"/>
  <c r="M146" i="22"/>
  <c r="N146" i="22" s="1"/>
  <c r="O146" i="22"/>
  <c r="Q146" i="22" s="1"/>
  <c r="P146" i="22"/>
  <c r="M147" i="22"/>
  <c r="N147" i="22" s="1"/>
  <c r="O147" i="22"/>
  <c r="Q147" i="22" s="1"/>
  <c r="P147" i="22"/>
  <c r="M148" i="22"/>
  <c r="N148" i="22" s="1"/>
  <c r="O148" i="22"/>
  <c r="Q148" i="22" s="1"/>
  <c r="P148" i="22"/>
  <c r="M149" i="22"/>
  <c r="N149" i="22" s="1"/>
  <c r="O149" i="22"/>
  <c r="Q149" i="22" s="1"/>
  <c r="P149" i="22"/>
  <c r="M150" i="22"/>
  <c r="N150" i="22" s="1"/>
  <c r="O150" i="22"/>
  <c r="Q150" i="22" s="1"/>
  <c r="P150" i="22"/>
  <c r="M151" i="22"/>
  <c r="N151" i="22" s="1"/>
  <c r="O151" i="22"/>
  <c r="Q151" i="22" s="1"/>
  <c r="P151" i="22"/>
  <c r="M152" i="22"/>
  <c r="N152" i="22" s="1"/>
  <c r="O152" i="22"/>
  <c r="Q152" i="22" s="1"/>
  <c r="P152" i="22"/>
  <c r="M153" i="22"/>
  <c r="N153" i="22" s="1"/>
  <c r="O153" i="22"/>
  <c r="Q153" i="22" s="1"/>
  <c r="P153" i="22"/>
  <c r="M154" i="22"/>
  <c r="N154" i="22" s="1"/>
  <c r="O154" i="22"/>
  <c r="Q154" i="22" s="1"/>
  <c r="P154" i="22"/>
  <c r="M155" i="22"/>
  <c r="N155" i="22" s="1"/>
  <c r="O155" i="22"/>
  <c r="Q155" i="22" s="1"/>
  <c r="P155" i="22"/>
  <c r="M156" i="22"/>
  <c r="N156" i="22" s="1"/>
  <c r="O156" i="22"/>
  <c r="Q156" i="22" s="1"/>
  <c r="P156" i="22"/>
  <c r="M157" i="22"/>
  <c r="N157" i="22" s="1"/>
  <c r="O157" i="22"/>
  <c r="Q157" i="22" s="1"/>
  <c r="P157" i="22"/>
  <c r="M158" i="22"/>
  <c r="N158" i="22" s="1"/>
  <c r="O158" i="22"/>
  <c r="Q158" i="22" s="1"/>
  <c r="P158" i="22"/>
  <c r="M159" i="22"/>
  <c r="N159" i="22" s="1"/>
  <c r="O159" i="22"/>
  <c r="Q159" i="22" s="1"/>
  <c r="P159" i="22"/>
  <c r="M33" i="19"/>
  <c r="N33" i="19" s="1"/>
  <c r="O33" i="19"/>
  <c r="Q33" i="19" s="1"/>
  <c r="P33" i="19"/>
  <c r="M34" i="19"/>
  <c r="N34" i="19" s="1"/>
  <c r="O34" i="19"/>
  <c r="Q34" i="19" s="1"/>
  <c r="P34" i="19"/>
  <c r="M35" i="19"/>
  <c r="N35" i="19" s="1"/>
  <c r="O35" i="19"/>
  <c r="Q35" i="19" s="1"/>
  <c r="P35" i="19"/>
  <c r="M36" i="19"/>
  <c r="N36" i="19" s="1"/>
  <c r="O36" i="19"/>
  <c r="Q36" i="19" s="1"/>
  <c r="P36" i="19"/>
  <c r="M37" i="19"/>
  <c r="N37" i="19" s="1"/>
  <c r="O37" i="19"/>
  <c r="Q37" i="19" s="1"/>
  <c r="P37" i="19"/>
  <c r="M38" i="19"/>
  <c r="N38" i="19" s="1"/>
  <c r="O38" i="19"/>
  <c r="Q38" i="19" s="1"/>
  <c r="P38" i="19"/>
  <c r="M39" i="19"/>
  <c r="N39" i="19" s="1"/>
  <c r="O39" i="19"/>
  <c r="Q39" i="19" s="1"/>
  <c r="P39" i="19"/>
  <c r="M40" i="19"/>
  <c r="N40" i="19" s="1"/>
  <c r="O40" i="19"/>
  <c r="Q40" i="19" s="1"/>
  <c r="P40" i="19"/>
  <c r="M41" i="19"/>
  <c r="N41" i="19" s="1"/>
  <c r="O41" i="19"/>
  <c r="Q41" i="19" s="1"/>
  <c r="P41" i="19"/>
  <c r="M42" i="19"/>
  <c r="N42" i="19" s="1"/>
  <c r="O42" i="19"/>
  <c r="Q42" i="19" s="1"/>
  <c r="P42" i="19"/>
  <c r="M43" i="19"/>
  <c r="N43" i="19" s="1"/>
  <c r="O43" i="19"/>
  <c r="Q43" i="19" s="1"/>
  <c r="P43" i="19"/>
  <c r="M44" i="19"/>
  <c r="N44" i="19" s="1"/>
  <c r="O44" i="19"/>
  <c r="Q44" i="19" s="1"/>
  <c r="P44" i="19"/>
  <c r="M45" i="19"/>
  <c r="N45" i="19" s="1"/>
  <c r="O45" i="19"/>
  <c r="Q45" i="19" s="1"/>
  <c r="P45" i="19"/>
  <c r="M46" i="19"/>
  <c r="N46" i="19" s="1"/>
  <c r="O46" i="19"/>
  <c r="Q46" i="19" s="1"/>
  <c r="P46" i="19"/>
  <c r="M47" i="19"/>
  <c r="N47" i="19" s="1"/>
  <c r="O47" i="19"/>
  <c r="Q47" i="19" s="1"/>
  <c r="P47" i="19"/>
  <c r="M48" i="19"/>
  <c r="N48" i="19" s="1"/>
  <c r="O48" i="19"/>
  <c r="Q48" i="19" s="1"/>
  <c r="P48" i="19"/>
  <c r="M49" i="19"/>
  <c r="N49" i="19" s="1"/>
  <c r="O49" i="19"/>
  <c r="Q49" i="19" s="1"/>
  <c r="P49" i="19"/>
  <c r="M50" i="19"/>
  <c r="N50" i="19" s="1"/>
  <c r="O50" i="19"/>
  <c r="Q50" i="19" s="1"/>
  <c r="P50" i="19"/>
  <c r="M51" i="19"/>
  <c r="N51" i="19" s="1"/>
  <c r="O51" i="19"/>
  <c r="Q51" i="19" s="1"/>
  <c r="P51" i="19"/>
  <c r="M52" i="19"/>
  <c r="N52" i="19" s="1"/>
  <c r="O52" i="19"/>
  <c r="Q52" i="19" s="1"/>
  <c r="P52" i="19"/>
  <c r="M53" i="19"/>
  <c r="N53" i="19" s="1"/>
  <c r="O53" i="19"/>
  <c r="Q53" i="19" s="1"/>
  <c r="P53" i="19"/>
  <c r="M54" i="19"/>
  <c r="N54" i="19" s="1"/>
  <c r="O54" i="19"/>
  <c r="Q54" i="19" s="1"/>
  <c r="P54" i="19"/>
  <c r="M55" i="19"/>
  <c r="N55" i="19" s="1"/>
  <c r="O55" i="19"/>
  <c r="Q55" i="19" s="1"/>
  <c r="P55" i="19"/>
  <c r="M56" i="19"/>
  <c r="N56" i="19" s="1"/>
  <c r="O56" i="19"/>
  <c r="Q56" i="19" s="1"/>
  <c r="P56" i="19"/>
  <c r="M57" i="19"/>
  <c r="N57" i="19" s="1"/>
  <c r="O57" i="19"/>
  <c r="Q57" i="19" s="1"/>
  <c r="P57" i="19"/>
  <c r="M58" i="19"/>
  <c r="N58" i="19" s="1"/>
  <c r="O58" i="19"/>
  <c r="Q58" i="19" s="1"/>
  <c r="P58" i="19"/>
  <c r="M59" i="19"/>
  <c r="N59" i="19" s="1"/>
  <c r="O59" i="19"/>
  <c r="Q59" i="19" s="1"/>
  <c r="P59" i="19"/>
  <c r="M60" i="19"/>
  <c r="N60" i="19" s="1"/>
  <c r="O60" i="19"/>
  <c r="Q60" i="19" s="1"/>
  <c r="P60" i="19"/>
  <c r="M61" i="19"/>
  <c r="N61" i="19" s="1"/>
  <c r="O61" i="19"/>
  <c r="Q61" i="19" s="1"/>
  <c r="P61" i="19"/>
  <c r="M62" i="19"/>
  <c r="N62" i="19" s="1"/>
  <c r="O62" i="19"/>
  <c r="Q62" i="19" s="1"/>
  <c r="P62" i="19"/>
  <c r="M63" i="19"/>
  <c r="N63" i="19" s="1"/>
  <c r="O63" i="19"/>
  <c r="Q63" i="19" s="1"/>
  <c r="P63" i="19"/>
  <c r="M64" i="19"/>
  <c r="N64" i="19" s="1"/>
  <c r="O64" i="19"/>
  <c r="Q64" i="19" s="1"/>
  <c r="P64" i="19"/>
  <c r="M65" i="19"/>
  <c r="N65" i="19" s="1"/>
  <c r="O65" i="19"/>
  <c r="Q65" i="19" s="1"/>
  <c r="P65" i="19"/>
  <c r="M66" i="19"/>
  <c r="N66" i="19" s="1"/>
  <c r="O66" i="19"/>
  <c r="Q66" i="19" s="1"/>
  <c r="P66" i="19"/>
  <c r="M67" i="19"/>
  <c r="N67" i="19" s="1"/>
  <c r="O67" i="19"/>
  <c r="Q67" i="19" s="1"/>
  <c r="P67" i="19"/>
  <c r="M68" i="19"/>
  <c r="N68" i="19" s="1"/>
  <c r="O68" i="19"/>
  <c r="Q68" i="19" s="1"/>
  <c r="P68" i="19"/>
  <c r="M69" i="19"/>
  <c r="N69" i="19" s="1"/>
  <c r="O69" i="19"/>
  <c r="Q69" i="19" s="1"/>
  <c r="P69" i="19"/>
  <c r="M70" i="19"/>
  <c r="N70" i="19" s="1"/>
  <c r="O70" i="19"/>
  <c r="P70" i="19"/>
  <c r="Q70" i="19"/>
  <c r="M71" i="19"/>
  <c r="N71" i="19" s="1"/>
  <c r="O71" i="19"/>
  <c r="Q71" i="19" s="1"/>
  <c r="P71" i="19"/>
  <c r="M72" i="19"/>
  <c r="N72" i="19" s="1"/>
  <c r="O72" i="19"/>
  <c r="P72" i="19"/>
  <c r="Q72" i="19"/>
  <c r="M73" i="19"/>
  <c r="N73" i="19" s="1"/>
  <c r="O73" i="19"/>
  <c r="P73" i="19"/>
  <c r="Q73" i="19"/>
  <c r="M74" i="19"/>
  <c r="N74" i="19" s="1"/>
  <c r="O74" i="19"/>
  <c r="Q74" i="19" s="1"/>
  <c r="P74" i="19"/>
  <c r="M75" i="19"/>
  <c r="N75" i="19" s="1"/>
  <c r="O75" i="19"/>
  <c r="Q75" i="19" s="1"/>
  <c r="P75" i="19"/>
  <c r="M76" i="19"/>
  <c r="N76" i="19" s="1"/>
  <c r="O76" i="19"/>
  <c r="Q76" i="19" s="1"/>
  <c r="P76" i="19"/>
  <c r="M77" i="19"/>
  <c r="N77" i="19" s="1"/>
  <c r="O77" i="19"/>
  <c r="Q77" i="19" s="1"/>
  <c r="P77" i="19"/>
  <c r="M78" i="19"/>
  <c r="N78" i="19" s="1"/>
  <c r="O78" i="19"/>
  <c r="Q78" i="19" s="1"/>
  <c r="P78" i="19"/>
  <c r="M79" i="19"/>
  <c r="N79" i="19" s="1"/>
  <c r="O79" i="19"/>
  <c r="Q79" i="19" s="1"/>
  <c r="P79" i="19"/>
  <c r="M80" i="19"/>
  <c r="N80" i="19" s="1"/>
  <c r="O80" i="19"/>
  <c r="Q80" i="19" s="1"/>
  <c r="P80" i="19"/>
  <c r="M81" i="19"/>
  <c r="N81" i="19" s="1"/>
  <c r="O81" i="19"/>
  <c r="Q81" i="19" s="1"/>
  <c r="P81" i="19"/>
  <c r="M82" i="19"/>
  <c r="N82" i="19" s="1"/>
  <c r="O82" i="19"/>
  <c r="Q82" i="19" s="1"/>
  <c r="P82" i="19"/>
  <c r="M83" i="19"/>
  <c r="N83" i="19" s="1"/>
  <c r="O83" i="19"/>
  <c r="Q83" i="19" s="1"/>
  <c r="P83" i="19"/>
  <c r="M84" i="19"/>
  <c r="N84" i="19" s="1"/>
  <c r="O84" i="19"/>
  <c r="Q84" i="19" s="1"/>
  <c r="P84" i="19"/>
  <c r="M85" i="19"/>
  <c r="N85" i="19" s="1"/>
  <c r="O85" i="19"/>
  <c r="Q85" i="19" s="1"/>
  <c r="P85" i="19"/>
  <c r="M86" i="19"/>
  <c r="N86" i="19" s="1"/>
  <c r="O86" i="19"/>
  <c r="Q86" i="19" s="1"/>
  <c r="P86" i="19"/>
  <c r="M87" i="19"/>
  <c r="N87" i="19" s="1"/>
  <c r="O87" i="19"/>
  <c r="Q87" i="19" s="1"/>
  <c r="P87" i="19"/>
  <c r="M88" i="19"/>
  <c r="N88" i="19" s="1"/>
  <c r="O88" i="19"/>
  <c r="Q88" i="19" s="1"/>
  <c r="P88" i="19"/>
  <c r="M89" i="19"/>
  <c r="N89" i="19" s="1"/>
  <c r="O89" i="19"/>
  <c r="Q89" i="19" s="1"/>
  <c r="P89" i="19"/>
  <c r="M90" i="19"/>
  <c r="N90" i="19" s="1"/>
  <c r="O90" i="19"/>
  <c r="Q90" i="19" s="1"/>
  <c r="P90" i="19"/>
  <c r="M91" i="19"/>
  <c r="N91" i="19" s="1"/>
  <c r="O91" i="19"/>
  <c r="Q91" i="19" s="1"/>
  <c r="P91" i="19"/>
  <c r="M92" i="19"/>
  <c r="N92" i="19" s="1"/>
  <c r="O92" i="19"/>
  <c r="Q92" i="19" s="1"/>
  <c r="P92" i="19"/>
  <c r="M93" i="19"/>
  <c r="N93" i="19" s="1"/>
  <c r="O93" i="19"/>
  <c r="Q93" i="19" s="1"/>
  <c r="P93" i="19"/>
  <c r="M94" i="19"/>
  <c r="N94" i="19" s="1"/>
  <c r="O94" i="19"/>
  <c r="Q94" i="19" s="1"/>
  <c r="P94" i="19"/>
  <c r="M95" i="19"/>
  <c r="N95" i="19" s="1"/>
  <c r="O95" i="19"/>
  <c r="Q95" i="19" s="1"/>
  <c r="P95" i="19"/>
  <c r="M96" i="19"/>
  <c r="N96" i="19" s="1"/>
  <c r="O96" i="19"/>
  <c r="Q96" i="19" s="1"/>
  <c r="P96" i="19"/>
  <c r="M97" i="19"/>
  <c r="N97" i="19" s="1"/>
  <c r="O97" i="19"/>
  <c r="Q97" i="19" s="1"/>
  <c r="P97" i="19"/>
  <c r="M98" i="19"/>
  <c r="N98" i="19" s="1"/>
  <c r="O98" i="19"/>
  <c r="Q98" i="19" s="1"/>
  <c r="P98" i="19"/>
  <c r="M99" i="19"/>
  <c r="N99" i="19" s="1"/>
  <c r="O99" i="19"/>
  <c r="Q99" i="19" s="1"/>
  <c r="P99" i="19"/>
  <c r="M100" i="19"/>
  <c r="N100" i="19" s="1"/>
  <c r="O100" i="19"/>
  <c r="Q100" i="19" s="1"/>
  <c r="P100" i="19"/>
  <c r="M101" i="19"/>
  <c r="N101" i="19" s="1"/>
  <c r="O101" i="19"/>
  <c r="Q101" i="19" s="1"/>
  <c r="P101" i="19"/>
  <c r="M102" i="19"/>
  <c r="N102" i="19" s="1"/>
  <c r="O102" i="19"/>
  <c r="Q102" i="19" s="1"/>
  <c r="P102" i="19"/>
  <c r="M103" i="19"/>
  <c r="N103" i="19" s="1"/>
  <c r="O103" i="19"/>
  <c r="Q103" i="19" s="1"/>
  <c r="P103" i="19"/>
  <c r="M104" i="19"/>
  <c r="N104" i="19" s="1"/>
  <c r="O104" i="19"/>
  <c r="Q104" i="19" s="1"/>
  <c r="P104" i="19"/>
  <c r="M105" i="19"/>
  <c r="N105" i="19" s="1"/>
  <c r="O105" i="19"/>
  <c r="Q105" i="19" s="1"/>
  <c r="P105" i="19"/>
  <c r="M106" i="19"/>
  <c r="N106" i="19" s="1"/>
  <c r="O106" i="19"/>
  <c r="Q106" i="19" s="1"/>
  <c r="P106" i="19"/>
  <c r="M107" i="19"/>
  <c r="N107" i="19" s="1"/>
  <c r="O107" i="19"/>
  <c r="Q107" i="19" s="1"/>
  <c r="P107" i="19"/>
  <c r="M108" i="19"/>
  <c r="N108" i="19" s="1"/>
  <c r="O108" i="19"/>
  <c r="Q108" i="19" s="1"/>
  <c r="P108" i="19"/>
  <c r="M109" i="19"/>
  <c r="N109" i="19" s="1"/>
  <c r="O109" i="19"/>
  <c r="Q109" i="19" s="1"/>
  <c r="P109" i="19"/>
  <c r="M110" i="19"/>
  <c r="N110" i="19" s="1"/>
  <c r="O110" i="19"/>
  <c r="Q110" i="19" s="1"/>
  <c r="P110" i="19"/>
  <c r="M111" i="19"/>
  <c r="N111" i="19" s="1"/>
  <c r="O111" i="19"/>
  <c r="Q111" i="19" s="1"/>
  <c r="P111" i="19"/>
  <c r="M112" i="19"/>
  <c r="N112" i="19" s="1"/>
  <c r="O112" i="19"/>
  <c r="Q112" i="19" s="1"/>
  <c r="P112" i="19"/>
  <c r="M113" i="19"/>
  <c r="N113" i="19" s="1"/>
  <c r="O113" i="19"/>
  <c r="Q113" i="19" s="1"/>
  <c r="P113" i="19"/>
  <c r="M114" i="19"/>
  <c r="N114" i="19" s="1"/>
  <c r="O114" i="19"/>
  <c r="Q114" i="19" s="1"/>
  <c r="P114" i="19"/>
  <c r="M115" i="19"/>
  <c r="N115" i="19" s="1"/>
  <c r="O115" i="19"/>
  <c r="Q115" i="19" s="1"/>
  <c r="P115" i="19"/>
  <c r="M116" i="19"/>
  <c r="N116" i="19" s="1"/>
  <c r="O116" i="19"/>
  <c r="Q116" i="19" s="1"/>
  <c r="P116" i="19"/>
  <c r="M117" i="19"/>
  <c r="N117" i="19" s="1"/>
  <c r="O117" i="19"/>
  <c r="Q117" i="19" s="1"/>
  <c r="P117" i="19"/>
  <c r="M118" i="19"/>
  <c r="N118" i="19" s="1"/>
  <c r="O118" i="19"/>
  <c r="Q118" i="19" s="1"/>
  <c r="P118" i="19"/>
  <c r="M119" i="19"/>
  <c r="N119" i="19" s="1"/>
  <c r="O119" i="19"/>
  <c r="Q119" i="19" s="1"/>
  <c r="P119" i="19"/>
  <c r="M120" i="19"/>
  <c r="N120" i="19" s="1"/>
  <c r="O120" i="19"/>
  <c r="Q120" i="19" s="1"/>
  <c r="P120" i="19"/>
  <c r="M121" i="19"/>
  <c r="N121" i="19" s="1"/>
  <c r="O121" i="19"/>
  <c r="Q121" i="19" s="1"/>
  <c r="P121" i="19"/>
  <c r="M122" i="19"/>
  <c r="N122" i="19" s="1"/>
  <c r="O122" i="19"/>
  <c r="Q122" i="19" s="1"/>
  <c r="P122" i="19"/>
  <c r="M123" i="19"/>
  <c r="N123" i="19" s="1"/>
  <c r="O123" i="19"/>
  <c r="Q123" i="19" s="1"/>
  <c r="P123" i="19"/>
  <c r="M124" i="19"/>
  <c r="N124" i="19" s="1"/>
  <c r="O124" i="19"/>
  <c r="Q124" i="19" s="1"/>
  <c r="P124" i="19"/>
  <c r="M125" i="19"/>
  <c r="N125" i="19" s="1"/>
  <c r="O125" i="19"/>
  <c r="Q125" i="19" s="1"/>
  <c r="P125" i="19"/>
  <c r="M126" i="19"/>
  <c r="N126" i="19" s="1"/>
  <c r="O126" i="19"/>
  <c r="Q126" i="19" s="1"/>
  <c r="P126" i="19"/>
  <c r="M127" i="19"/>
  <c r="N127" i="19" s="1"/>
  <c r="O127" i="19"/>
  <c r="Q127" i="19" s="1"/>
  <c r="P127" i="19"/>
  <c r="M128" i="19"/>
  <c r="N128" i="19" s="1"/>
  <c r="O128" i="19"/>
  <c r="Q128" i="19" s="1"/>
  <c r="P128" i="19"/>
  <c r="M129" i="19"/>
  <c r="N129" i="19" s="1"/>
  <c r="O129" i="19"/>
  <c r="Q129" i="19" s="1"/>
  <c r="P129" i="19"/>
  <c r="M130" i="19"/>
  <c r="N130" i="19" s="1"/>
  <c r="O130" i="19"/>
  <c r="Q130" i="19" s="1"/>
  <c r="P130" i="19"/>
  <c r="M131" i="19"/>
  <c r="N131" i="19" s="1"/>
  <c r="O131" i="19"/>
  <c r="Q131" i="19" s="1"/>
  <c r="P131" i="19"/>
  <c r="M132" i="19"/>
  <c r="N132" i="19" s="1"/>
  <c r="O132" i="19"/>
  <c r="Q132" i="19" s="1"/>
  <c r="P132" i="19"/>
  <c r="M133" i="19"/>
  <c r="N133" i="19" s="1"/>
  <c r="O133" i="19"/>
  <c r="Q133" i="19" s="1"/>
  <c r="P133" i="19"/>
  <c r="M134" i="19"/>
  <c r="N134" i="19" s="1"/>
  <c r="O134" i="19"/>
  <c r="Q134" i="19" s="1"/>
  <c r="P134" i="19"/>
  <c r="M135" i="19"/>
  <c r="N135" i="19" s="1"/>
  <c r="O135" i="19"/>
  <c r="Q135" i="19" s="1"/>
  <c r="P135" i="19"/>
  <c r="M136" i="19"/>
  <c r="N136" i="19" s="1"/>
  <c r="O136" i="19"/>
  <c r="Q136" i="19" s="1"/>
  <c r="P136" i="19"/>
  <c r="M137" i="19"/>
  <c r="N137" i="19" s="1"/>
  <c r="O137" i="19"/>
  <c r="Q137" i="19" s="1"/>
  <c r="P137" i="19"/>
  <c r="M138" i="19"/>
  <c r="N138" i="19" s="1"/>
  <c r="O138" i="19"/>
  <c r="Q138" i="19" s="1"/>
  <c r="P138" i="19"/>
  <c r="M139" i="19"/>
  <c r="N139" i="19" s="1"/>
  <c r="O139" i="19"/>
  <c r="Q139" i="19" s="1"/>
  <c r="P139" i="19"/>
  <c r="M140" i="19"/>
  <c r="N140" i="19" s="1"/>
  <c r="O140" i="19"/>
  <c r="Q140" i="19" s="1"/>
  <c r="P140" i="19"/>
  <c r="M141" i="19"/>
  <c r="N141" i="19" s="1"/>
  <c r="O141" i="19"/>
  <c r="Q141" i="19" s="1"/>
  <c r="P141" i="19"/>
  <c r="M142" i="19"/>
  <c r="N142" i="19" s="1"/>
  <c r="O142" i="19"/>
  <c r="Q142" i="19" s="1"/>
  <c r="P142" i="19"/>
  <c r="M143" i="19"/>
  <c r="N143" i="19" s="1"/>
  <c r="O143" i="19"/>
  <c r="Q143" i="19" s="1"/>
  <c r="P143" i="19"/>
  <c r="M144" i="19"/>
  <c r="N144" i="19" s="1"/>
  <c r="O144" i="19"/>
  <c r="Q144" i="19" s="1"/>
  <c r="P144" i="19"/>
  <c r="M145" i="19"/>
  <c r="N145" i="19" s="1"/>
  <c r="O145" i="19"/>
  <c r="Q145" i="19" s="1"/>
  <c r="P145" i="19"/>
  <c r="M146" i="19"/>
  <c r="N146" i="19" s="1"/>
  <c r="O146" i="19"/>
  <c r="Q146" i="19" s="1"/>
  <c r="P146" i="19"/>
  <c r="M147" i="19"/>
  <c r="N147" i="19" s="1"/>
  <c r="O147" i="19"/>
  <c r="Q147" i="19" s="1"/>
  <c r="P147" i="19"/>
  <c r="M148" i="19"/>
  <c r="N148" i="19" s="1"/>
  <c r="O148" i="19"/>
  <c r="Q148" i="19" s="1"/>
  <c r="P148" i="19"/>
  <c r="M149" i="19"/>
  <c r="N149" i="19" s="1"/>
  <c r="O149" i="19"/>
  <c r="Q149" i="19" s="1"/>
  <c r="P149" i="19"/>
  <c r="M150" i="19"/>
  <c r="N150" i="19" s="1"/>
  <c r="O150" i="19"/>
  <c r="Q150" i="19" s="1"/>
  <c r="P150" i="19"/>
  <c r="M151" i="19"/>
  <c r="N151" i="19" s="1"/>
  <c r="O151" i="19"/>
  <c r="Q151" i="19" s="1"/>
  <c r="P151" i="19"/>
  <c r="M152" i="19"/>
  <c r="N152" i="19" s="1"/>
  <c r="O152" i="19"/>
  <c r="Q152" i="19" s="1"/>
  <c r="P152" i="19"/>
  <c r="M153" i="19"/>
  <c r="N153" i="19" s="1"/>
  <c r="O153" i="19"/>
  <c r="Q153" i="19" s="1"/>
  <c r="P153" i="19"/>
  <c r="M154" i="19"/>
  <c r="N154" i="19" s="1"/>
  <c r="O154" i="19"/>
  <c r="Q154" i="19" s="1"/>
  <c r="P154" i="19"/>
  <c r="M155" i="19"/>
  <c r="N155" i="19" s="1"/>
  <c r="O155" i="19"/>
  <c r="Q155" i="19" s="1"/>
  <c r="P155" i="19"/>
  <c r="M156" i="19"/>
  <c r="N156" i="19" s="1"/>
  <c r="O156" i="19"/>
  <c r="Q156" i="19" s="1"/>
  <c r="P156" i="19"/>
  <c r="M157" i="19"/>
  <c r="N157" i="19" s="1"/>
  <c r="O157" i="19"/>
  <c r="Q157" i="19" s="1"/>
  <c r="P157" i="19"/>
  <c r="M158" i="19"/>
  <c r="N158" i="19" s="1"/>
  <c r="O158" i="19"/>
  <c r="Q158" i="19" s="1"/>
  <c r="P158" i="19"/>
  <c r="M159" i="19"/>
  <c r="N159" i="19" s="1"/>
  <c r="O159" i="19"/>
  <c r="Q159" i="19" s="1"/>
  <c r="P159" i="19"/>
  <c r="M160" i="19"/>
  <c r="N160" i="19" s="1"/>
  <c r="O160" i="19"/>
  <c r="Q160" i="19" s="1"/>
  <c r="P160" i="19"/>
  <c r="M161" i="19"/>
  <c r="N161" i="19" s="1"/>
  <c r="O161" i="19"/>
  <c r="Q161" i="19" s="1"/>
  <c r="P161" i="19"/>
  <c r="M162" i="19"/>
  <c r="N162" i="19" s="1"/>
  <c r="O162" i="19"/>
  <c r="Q162" i="19" s="1"/>
  <c r="P162" i="19"/>
  <c r="M163" i="19"/>
  <c r="N163" i="19" s="1"/>
  <c r="O163" i="19"/>
  <c r="Q163" i="19" s="1"/>
  <c r="P163" i="19"/>
  <c r="M164" i="19"/>
  <c r="N164" i="19" s="1"/>
  <c r="O164" i="19"/>
  <c r="Q164" i="19" s="1"/>
  <c r="P164" i="19"/>
  <c r="M165" i="19"/>
  <c r="N165" i="19" s="1"/>
  <c r="O165" i="19"/>
  <c r="Q165" i="19" s="1"/>
  <c r="P165" i="19"/>
  <c r="M166" i="19"/>
  <c r="N166" i="19" s="1"/>
  <c r="O166" i="19"/>
  <c r="Q166" i="19" s="1"/>
  <c r="P166" i="19"/>
  <c r="M167" i="19"/>
  <c r="N167" i="19" s="1"/>
  <c r="O167" i="19"/>
  <c r="Q167" i="19" s="1"/>
  <c r="P167" i="19"/>
  <c r="M168" i="19"/>
  <c r="N168" i="19" s="1"/>
  <c r="O168" i="19"/>
  <c r="Q168" i="19" s="1"/>
  <c r="P168" i="19"/>
  <c r="M169" i="19"/>
  <c r="N169" i="19" s="1"/>
  <c r="O169" i="19"/>
  <c r="Q169" i="19" s="1"/>
  <c r="P169" i="19"/>
  <c r="M170" i="19"/>
  <c r="N170" i="19" s="1"/>
  <c r="O170" i="19"/>
  <c r="Q170" i="19" s="1"/>
  <c r="P170" i="19"/>
  <c r="M171" i="19"/>
  <c r="N171" i="19" s="1"/>
  <c r="O171" i="19"/>
  <c r="Q171" i="19" s="1"/>
  <c r="P171" i="19"/>
  <c r="M172" i="19"/>
  <c r="N172" i="19" s="1"/>
  <c r="O172" i="19"/>
  <c r="Q172" i="19" s="1"/>
  <c r="P172" i="19"/>
  <c r="M173" i="19"/>
  <c r="N173" i="19" s="1"/>
  <c r="O173" i="19"/>
  <c r="Q173" i="19" s="1"/>
  <c r="P173" i="19"/>
  <c r="M174" i="19"/>
  <c r="N174" i="19" s="1"/>
  <c r="O174" i="19"/>
  <c r="Q174" i="19" s="1"/>
  <c r="P174" i="19"/>
  <c r="M175" i="19"/>
  <c r="N175" i="19" s="1"/>
  <c r="O175" i="19"/>
  <c r="Q175" i="19" s="1"/>
  <c r="P175" i="19"/>
  <c r="M176" i="19"/>
  <c r="N176" i="19" s="1"/>
  <c r="O176" i="19"/>
  <c r="Q176" i="19" s="1"/>
  <c r="P176" i="19"/>
  <c r="M177" i="19"/>
  <c r="N177" i="19" s="1"/>
  <c r="O177" i="19"/>
  <c r="Q177" i="19" s="1"/>
  <c r="P177" i="19"/>
  <c r="M178" i="19"/>
  <c r="N178" i="19" s="1"/>
  <c r="O178" i="19"/>
  <c r="Q178" i="19" s="1"/>
  <c r="P178" i="19"/>
  <c r="M179" i="19"/>
  <c r="N179" i="19" s="1"/>
  <c r="O179" i="19"/>
  <c r="Q179" i="19" s="1"/>
  <c r="P179" i="19"/>
  <c r="M33" i="18"/>
  <c r="N33" i="18" s="1"/>
  <c r="O33" i="18"/>
  <c r="Q33" i="18" s="1"/>
  <c r="P33" i="18"/>
  <c r="M34" i="18"/>
  <c r="N34" i="18" s="1"/>
  <c r="O34" i="18"/>
  <c r="Q34" i="18" s="1"/>
  <c r="P34" i="18"/>
  <c r="M35" i="18"/>
  <c r="N35" i="18" s="1"/>
  <c r="O35" i="18"/>
  <c r="Q35" i="18" s="1"/>
  <c r="P35" i="18"/>
  <c r="M36" i="18"/>
  <c r="N36" i="18" s="1"/>
  <c r="O36" i="18"/>
  <c r="Q36" i="18" s="1"/>
  <c r="P36" i="18"/>
  <c r="M37" i="18"/>
  <c r="N37" i="18" s="1"/>
  <c r="O37" i="18"/>
  <c r="Q37" i="18" s="1"/>
  <c r="P37" i="18"/>
  <c r="M38" i="18"/>
  <c r="N38" i="18" s="1"/>
  <c r="O38" i="18"/>
  <c r="Q38" i="18" s="1"/>
  <c r="P38" i="18"/>
  <c r="M39" i="18"/>
  <c r="N39" i="18" s="1"/>
  <c r="O39" i="18"/>
  <c r="Q39" i="18" s="1"/>
  <c r="P39" i="18"/>
  <c r="M40" i="18"/>
  <c r="N40" i="18" s="1"/>
  <c r="O40" i="18"/>
  <c r="Q40" i="18" s="1"/>
  <c r="P40" i="18"/>
  <c r="M41" i="18"/>
  <c r="N41" i="18" s="1"/>
  <c r="O41" i="18"/>
  <c r="Q41" i="18" s="1"/>
  <c r="P41" i="18"/>
  <c r="M42" i="18"/>
  <c r="N42" i="18" s="1"/>
  <c r="O42" i="18"/>
  <c r="Q42" i="18" s="1"/>
  <c r="P42" i="18"/>
  <c r="M43" i="18"/>
  <c r="N43" i="18" s="1"/>
  <c r="O43" i="18"/>
  <c r="Q43" i="18" s="1"/>
  <c r="P43" i="18"/>
  <c r="M44" i="18"/>
  <c r="N44" i="18" s="1"/>
  <c r="O44" i="18"/>
  <c r="Q44" i="18" s="1"/>
  <c r="P44" i="18"/>
  <c r="M45" i="18"/>
  <c r="N45" i="18" s="1"/>
  <c r="O45" i="18"/>
  <c r="Q45" i="18" s="1"/>
  <c r="P45" i="18"/>
  <c r="M46" i="18"/>
  <c r="N46" i="18" s="1"/>
  <c r="O46" i="18"/>
  <c r="Q46" i="18" s="1"/>
  <c r="P46" i="18"/>
  <c r="M47" i="18"/>
  <c r="N47" i="18" s="1"/>
  <c r="O47" i="18"/>
  <c r="Q47" i="18" s="1"/>
  <c r="P47" i="18"/>
  <c r="M48" i="18"/>
  <c r="N48" i="18" s="1"/>
  <c r="O48" i="18"/>
  <c r="Q48" i="18" s="1"/>
  <c r="P48" i="18"/>
  <c r="M49" i="18"/>
  <c r="N49" i="18" s="1"/>
  <c r="O49" i="18"/>
  <c r="Q49" i="18" s="1"/>
  <c r="P49" i="18"/>
  <c r="M50" i="18"/>
  <c r="N50" i="18" s="1"/>
  <c r="O50" i="18"/>
  <c r="Q50" i="18" s="1"/>
  <c r="P50" i="18"/>
  <c r="M51" i="18"/>
  <c r="N51" i="18" s="1"/>
  <c r="O51" i="18"/>
  <c r="Q51" i="18" s="1"/>
  <c r="P51" i="18"/>
  <c r="M52" i="18"/>
  <c r="N52" i="18" s="1"/>
  <c r="O52" i="18"/>
  <c r="Q52" i="18" s="1"/>
  <c r="P52" i="18"/>
  <c r="M53" i="18"/>
  <c r="N53" i="18" s="1"/>
  <c r="O53" i="18"/>
  <c r="Q53" i="18" s="1"/>
  <c r="P53" i="18"/>
  <c r="M54" i="18"/>
  <c r="N54" i="18" s="1"/>
  <c r="O54" i="18"/>
  <c r="Q54" i="18" s="1"/>
  <c r="P54" i="18"/>
  <c r="M55" i="18"/>
  <c r="N55" i="18" s="1"/>
  <c r="O55" i="18"/>
  <c r="Q55" i="18" s="1"/>
  <c r="P55" i="18"/>
  <c r="M56" i="18"/>
  <c r="N56" i="18" s="1"/>
  <c r="O56" i="18"/>
  <c r="Q56" i="18" s="1"/>
  <c r="P56" i="18"/>
  <c r="M57" i="18"/>
  <c r="N57" i="18" s="1"/>
  <c r="O57" i="18"/>
  <c r="Q57" i="18" s="1"/>
  <c r="P57" i="18"/>
  <c r="M58" i="18"/>
  <c r="N58" i="18" s="1"/>
  <c r="O58" i="18"/>
  <c r="Q58" i="18" s="1"/>
  <c r="P58" i="18"/>
  <c r="M59" i="18"/>
  <c r="N59" i="18" s="1"/>
  <c r="O59" i="18"/>
  <c r="Q59" i="18" s="1"/>
  <c r="P59" i="18"/>
  <c r="M60" i="18"/>
  <c r="N60" i="18" s="1"/>
  <c r="O60" i="18"/>
  <c r="Q60" i="18" s="1"/>
  <c r="P60" i="18"/>
  <c r="M61" i="18"/>
  <c r="N61" i="18" s="1"/>
  <c r="O61" i="18"/>
  <c r="Q61" i="18" s="1"/>
  <c r="P61" i="18"/>
  <c r="M62" i="18"/>
  <c r="N62" i="18" s="1"/>
  <c r="O62" i="18"/>
  <c r="Q62" i="18" s="1"/>
  <c r="P62" i="18"/>
  <c r="M63" i="18"/>
  <c r="N63" i="18" s="1"/>
  <c r="O63" i="18"/>
  <c r="Q63" i="18" s="1"/>
  <c r="P63" i="18"/>
  <c r="M64" i="18"/>
  <c r="N64" i="18" s="1"/>
  <c r="O64" i="18"/>
  <c r="Q64" i="18" s="1"/>
  <c r="P64" i="18"/>
  <c r="M65" i="18"/>
  <c r="N65" i="18" s="1"/>
  <c r="O65" i="18"/>
  <c r="Q65" i="18" s="1"/>
  <c r="P65" i="18"/>
  <c r="M66" i="18"/>
  <c r="N66" i="18" s="1"/>
  <c r="O66" i="18"/>
  <c r="Q66" i="18" s="1"/>
  <c r="P66" i="18"/>
  <c r="M67" i="18"/>
  <c r="N67" i="18" s="1"/>
  <c r="O67" i="18"/>
  <c r="Q67" i="18" s="1"/>
  <c r="P67" i="18"/>
  <c r="M68" i="18"/>
  <c r="N68" i="18" s="1"/>
  <c r="O68" i="18"/>
  <c r="Q68" i="18" s="1"/>
  <c r="P68" i="18"/>
  <c r="M69" i="18"/>
  <c r="N69" i="18" s="1"/>
  <c r="O69" i="18"/>
  <c r="Q69" i="18" s="1"/>
  <c r="P69" i="18"/>
  <c r="M70" i="18"/>
  <c r="N70" i="18" s="1"/>
  <c r="O70" i="18"/>
  <c r="Q70" i="18" s="1"/>
  <c r="P70" i="18"/>
  <c r="M71" i="18"/>
  <c r="N71" i="18" s="1"/>
  <c r="O71" i="18"/>
  <c r="Q71" i="18" s="1"/>
  <c r="P71" i="18"/>
  <c r="M72" i="18"/>
  <c r="N72" i="18" s="1"/>
  <c r="O72" i="18"/>
  <c r="Q72" i="18" s="1"/>
  <c r="P72" i="18"/>
  <c r="M73" i="18"/>
  <c r="N73" i="18" s="1"/>
  <c r="O73" i="18"/>
  <c r="Q73" i="18" s="1"/>
  <c r="P73" i="18"/>
  <c r="M74" i="18"/>
  <c r="N74" i="18" s="1"/>
  <c r="O74" i="18"/>
  <c r="Q74" i="18" s="1"/>
  <c r="P74" i="18"/>
  <c r="M75" i="18"/>
  <c r="N75" i="18" s="1"/>
  <c r="O75" i="18"/>
  <c r="Q75" i="18" s="1"/>
  <c r="P75" i="18"/>
  <c r="M76" i="18"/>
  <c r="N76" i="18" s="1"/>
  <c r="O76" i="18"/>
  <c r="Q76" i="18" s="1"/>
  <c r="P76" i="18"/>
  <c r="M77" i="18"/>
  <c r="N77" i="18" s="1"/>
  <c r="O77" i="18"/>
  <c r="Q77" i="18" s="1"/>
  <c r="P77" i="18"/>
  <c r="M78" i="18"/>
  <c r="N78" i="18" s="1"/>
  <c r="O78" i="18"/>
  <c r="Q78" i="18" s="1"/>
  <c r="P78" i="18"/>
  <c r="M79" i="18"/>
  <c r="N79" i="18" s="1"/>
  <c r="O79" i="18"/>
  <c r="Q79" i="18" s="1"/>
  <c r="P79" i="18"/>
  <c r="M80" i="18"/>
  <c r="N80" i="18" s="1"/>
  <c r="O80" i="18"/>
  <c r="Q80" i="18" s="1"/>
  <c r="P80" i="18"/>
  <c r="M81" i="18"/>
  <c r="N81" i="18" s="1"/>
  <c r="O81" i="18"/>
  <c r="Q81" i="18" s="1"/>
  <c r="P81" i="18"/>
  <c r="M82" i="18"/>
  <c r="N82" i="18" s="1"/>
  <c r="O82" i="18"/>
  <c r="Q82" i="18" s="1"/>
  <c r="P82" i="18"/>
  <c r="M83" i="18"/>
  <c r="N83" i="18" s="1"/>
  <c r="O83" i="18"/>
  <c r="Q83" i="18" s="1"/>
  <c r="P83" i="18"/>
  <c r="M84" i="18"/>
  <c r="N84" i="18" s="1"/>
  <c r="O84" i="18"/>
  <c r="Q84" i="18" s="1"/>
  <c r="P84" i="18"/>
  <c r="M85" i="18"/>
  <c r="N85" i="18" s="1"/>
  <c r="O85" i="18"/>
  <c r="Q85" i="18" s="1"/>
  <c r="P85" i="18"/>
  <c r="M86" i="18"/>
  <c r="N86" i="18" s="1"/>
  <c r="O86" i="18"/>
  <c r="Q86" i="18" s="1"/>
  <c r="P86" i="18"/>
  <c r="M87" i="18"/>
  <c r="N87" i="18" s="1"/>
  <c r="O87" i="18"/>
  <c r="Q87" i="18" s="1"/>
  <c r="P87" i="18"/>
  <c r="M88" i="18"/>
  <c r="N88" i="18" s="1"/>
  <c r="O88" i="18"/>
  <c r="Q88" i="18" s="1"/>
  <c r="P88" i="18"/>
  <c r="M89" i="18"/>
  <c r="N89" i="18" s="1"/>
  <c r="O89" i="18"/>
  <c r="Q89" i="18" s="1"/>
  <c r="P89" i="18"/>
  <c r="M90" i="18"/>
  <c r="N90" i="18" s="1"/>
  <c r="O90" i="18"/>
  <c r="Q90" i="18" s="1"/>
  <c r="P90" i="18"/>
  <c r="M91" i="18"/>
  <c r="N91" i="18" s="1"/>
  <c r="O91" i="18"/>
  <c r="Q91" i="18" s="1"/>
  <c r="P91" i="18"/>
  <c r="M92" i="18"/>
  <c r="N92" i="18" s="1"/>
  <c r="O92" i="18"/>
  <c r="Q92" i="18" s="1"/>
  <c r="P92" i="18"/>
  <c r="M93" i="18"/>
  <c r="N93" i="18" s="1"/>
  <c r="O93" i="18"/>
  <c r="Q93" i="18" s="1"/>
  <c r="P93" i="18"/>
  <c r="M94" i="18"/>
  <c r="N94" i="18" s="1"/>
  <c r="O94" i="18"/>
  <c r="Q94" i="18" s="1"/>
  <c r="P94" i="18"/>
  <c r="M95" i="18"/>
  <c r="N95" i="18" s="1"/>
  <c r="O95" i="18"/>
  <c r="Q95" i="18" s="1"/>
  <c r="P95" i="18"/>
  <c r="M96" i="18"/>
  <c r="N96" i="18" s="1"/>
  <c r="O96" i="18"/>
  <c r="Q96" i="18" s="1"/>
  <c r="P96" i="18"/>
  <c r="M97" i="18"/>
  <c r="N97" i="18" s="1"/>
  <c r="O97" i="18"/>
  <c r="Q97" i="18" s="1"/>
  <c r="P97" i="18"/>
  <c r="M98" i="18"/>
  <c r="N98" i="18" s="1"/>
  <c r="O98" i="18"/>
  <c r="Q98" i="18" s="1"/>
  <c r="P98" i="18"/>
  <c r="M99" i="18"/>
  <c r="N99" i="18" s="1"/>
  <c r="O99" i="18"/>
  <c r="Q99" i="18" s="1"/>
  <c r="P99" i="18"/>
  <c r="M100" i="18"/>
  <c r="N100" i="18" s="1"/>
  <c r="O100" i="18"/>
  <c r="Q100" i="18" s="1"/>
  <c r="P100" i="18"/>
  <c r="M101" i="18"/>
  <c r="N101" i="18" s="1"/>
  <c r="O101" i="18"/>
  <c r="Q101" i="18" s="1"/>
  <c r="P101" i="18"/>
  <c r="M102" i="18"/>
  <c r="N102" i="18" s="1"/>
  <c r="O102" i="18"/>
  <c r="Q102" i="18" s="1"/>
  <c r="P102" i="18"/>
  <c r="M103" i="18"/>
  <c r="N103" i="18" s="1"/>
  <c r="O103" i="18"/>
  <c r="Q103" i="18" s="1"/>
  <c r="P103" i="18"/>
  <c r="M104" i="18"/>
  <c r="N104" i="18" s="1"/>
  <c r="O104" i="18"/>
  <c r="Q104" i="18" s="1"/>
  <c r="P104" i="18"/>
  <c r="M105" i="18"/>
  <c r="N105" i="18" s="1"/>
  <c r="O105" i="18"/>
  <c r="Q105" i="18" s="1"/>
  <c r="P105" i="18"/>
  <c r="M106" i="18"/>
  <c r="N106" i="18" s="1"/>
  <c r="O106" i="18"/>
  <c r="Q106" i="18" s="1"/>
  <c r="P106" i="18"/>
  <c r="M107" i="18"/>
  <c r="N107" i="18" s="1"/>
  <c r="O107" i="18"/>
  <c r="Q107" i="18" s="1"/>
  <c r="P107" i="18"/>
  <c r="M108" i="18"/>
  <c r="N108" i="18" s="1"/>
  <c r="O108" i="18"/>
  <c r="Q108" i="18" s="1"/>
  <c r="P108" i="18"/>
  <c r="M109" i="18"/>
  <c r="N109" i="18" s="1"/>
  <c r="O109" i="18"/>
  <c r="Q109" i="18" s="1"/>
  <c r="P109" i="18"/>
  <c r="M110" i="18"/>
  <c r="N110" i="18" s="1"/>
  <c r="O110" i="18"/>
  <c r="Q110" i="18" s="1"/>
  <c r="P110" i="18"/>
  <c r="M111" i="18"/>
  <c r="N111" i="18" s="1"/>
  <c r="O111" i="18"/>
  <c r="Q111" i="18" s="1"/>
  <c r="P111" i="18"/>
  <c r="M112" i="18"/>
  <c r="N112" i="18" s="1"/>
  <c r="O112" i="18"/>
  <c r="Q112" i="18" s="1"/>
  <c r="P112" i="18"/>
  <c r="M113" i="18"/>
  <c r="N113" i="18" s="1"/>
  <c r="O113" i="18"/>
  <c r="Q113" i="18" s="1"/>
  <c r="P113" i="18"/>
  <c r="M114" i="18"/>
  <c r="N114" i="18" s="1"/>
  <c r="O114" i="18"/>
  <c r="Q114" i="18" s="1"/>
  <c r="P114" i="18"/>
  <c r="M115" i="18"/>
  <c r="N115" i="18" s="1"/>
  <c r="O115" i="18"/>
  <c r="Q115" i="18" s="1"/>
  <c r="P115" i="18"/>
  <c r="M116" i="18"/>
  <c r="N116" i="18" s="1"/>
  <c r="O116" i="18"/>
  <c r="Q116" i="18" s="1"/>
  <c r="P116" i="18"/>
  <c r="M117" i="18"/>
  <c r="N117" i="18" s="1"/>
  <c r="O117" i="18"/>
  <c r="Q117" i="18" s="1"/>
  <c r="P117" i="18"/>
  <c r="M118" i="18"/>
  <c r="N118" i="18" s="1"/>
  <c r="O118" i="18"/>
  <c r="Q118" i="18" s="1"/>
  <c r="P118" i="18"/>
  <c r="M119" i="18"/>
  <c r="N119" i="18" s="1"/>
  <c r="O119" i="18"/>
  <c r="Q119" i="18" s="1"/>
  <c r="P119" i="18"/>
  <c r="M120" i="18"/>
  <c r="N120" i="18" s="1"/>
  <c r="O120" i="18"/>
  <c r="Q120" i="18" s="1"/>
  <c r="P120" i="18"/>
  <c r="M121" i="18"/>
  <c r="N121" i="18" s="1"/>
  <c r="O121" i="18"/>
  <c r="Q121" i="18" s="1"/>
  <c r="P121" i="18"/>
  <c r="M122" i="18"/>
  <c r="N122" i="18" s="1"/>
  <c r="O122" i="18"/>
  <c r="P122" i="18"/>
  <c r="Q122" i="18"/>
  <c r="M123" i="18"/>
  <c r="N123" i="18" s="1"/>
  <c r="O123" i="18"/>
  <c r="Q123" i="18" s="1"/>
  <c r="P123" i="18"/>
  <c r="M124" i="18"/>
  <c r="N124" i="18" s="1"/>
  <c r="O124" i="18"/>
  <c r="Q124" i="18" s="1"/>
  <c r="P124" i="18"/>
  <c r="M125" i="18"/>
  <c r="N125" i="18" s="1"/>
  <c r="O125" i="18"/>
  <c r="Q125" i="18" s="1"/>
  <c r="P125" i="18"/>
  <c r="M126" i="18"/>
  <c r="N126" i="18" s="1"/>
  <c r="O126" i="18"/>
  <c r="Q126" i="18" s="1"/>
  <c r="P126" i="18"/>
  <c r="M127" i="18"/>
  <c r="N127" i="18" s="1"/>
  <c r="O127" i="18"/>
  <c r="Q127" i="18" s="1"/>
  <c r="P127" i="18"/>
  <c r="M128" i="18"/>
  <c r="N128" i="18" s="1"/>
  <c r="O128" i="18"/>
  <c r="Q128" i="18" s="1"/>
  <c r="P128" i="18"/>
  <c r="M129" i="18"/>
  <c r="N129" i="18" s="1"/>
  <c r="O129" i="18"/>
  <c r="Q129" i="18" s="1"/>
  <c r="P129" i="18"/>
  <c r="M130" i="18"/>
  <c r="N130" i="18" s="1"/>
  <c r="O130" i="18"/>
  <c r="Q130" i="18" s="1"/>
  <c r="P130" i="18"/>
  <c r="M131" i="18"/>
  <c r="N131" i="18" s="1"/>
  <c r="O131" i="18"/>
  <c r="Q131" i="18" s="1"/>
  <c r="P131" i="18"/>
  <c r="M132" i="18"/>
  <c r="N132" i="18" s="1"/>
  <c r="O132" i="18"/>
  <c r="Q132" i="18" s="1"/>
  <c r="P132" i="18"/>
  <c r="M133" i="18"/>
  <c r="N133" i="18" s="1"/>
  <c r="O133" i="18"/>
  <c r="Q133" i="18" s="1"/>
  <c r="P133" i="18"/>
  <c r="M134" i="18"/>
  <c r="N134" i="18" s="1"/>
  <c r="O134" i="18"/>
  <c r="Q134" i="18" s="1"/>
  <c r="P134" i="18"/>
  <c r="M135" i="18"/>
  <c r="N135" i="18" s="1"/>
  <c r="O135" i="18"/>
  <c r="Q135" i="18" s="1"/>
  <c r="P135" i="18"/>
  <c r="M136" i="18"/>
  <c r="N136" i="18" s="1"/>
  <c r="O136" i="18"/>
  <c r="Q136" i="18" s="1"/>
  <c r="P136" i="18"/>
  <c r="M137" i="18"/>
  <c r="N137" i="18" s="1"/>
  <c r="O137" i="18"/>
  <c r="Q137" i="18" s="1"/>
  <c r="P137" i="18"/>
  <c r="M138" i="18"/>
  <c r="N138" i="18" s="1"/>
  <c r="O138" i="18"/>
  <c r="Q138" i="18" s="1"/>
  <c r="P138" i="18"/>
  <c r="M139" i="18"/>
  <c r="N139" i="18" s="1"/>
  <c r="O139" i="18"/>
  <c r="Q139" i="18" s="1"/>
  <c r="P139" i="18"/>
  <c r="M140" i="18"/>
  <c r="N140" i="18" s="1"/>
  <c r="O140" i="18"/>
  <c r="Q140" i="18" s="1"/>
  <c r="P140" i="18"/>
  <c r="M141" i="18"/>
  <c r="N141" i="18" s="1"/>
  <c r="O141" i="18"/>
  <c r="Q141" i="18" s="1"/>
  <c r="P141" i="18"/>
  <c r="M142" i="18"/>
  <c r="N142" i="18" s="1"/>
  <c r="O142" i="18"/>
  <c r="Q142" i="18" s="1"/>
  <c r="P142" i="18"/>
  <c r="M143" i="18"/>
  <c r="N143" i="18" s="1"/>
  <c r="O143" i="18"/>
  <c r="Q143" i="18" s="1"/>
  <c r="P143" i="18"/>
  <c r="M144" i="18"/>
  <c r="N144" i="18" s="1"/>
  <c r="O144" i="18"/>
  <c r="Q144" i="18" s="1"/>
  <c r="P144" i="18"/>
  <c r="M145" i="18"/>
  <c r="N145" i="18" s="1"/>
  <c r="O145" i="18"/>
  <c r="Q145" i="18" s="1"/>
  <c r="P145" i="18"/>
  <c r="M146" i="18"/>
  <c r="N146" i="18" s="1"/>
  <c r="O146" i="18"/>
  <c r="Q146" i="18" s="1"/>
  <c r="P146" i="18"/>
  <c r="M147" i="18"/>
  <c r="N147" i="18" s="1"/>
  <c r="O147" i="18"/>
  <c r="Q147" i="18" s="1"/>
  <c r="P147" i="18"/>
  <c r="M148" i="18"/>
  <c r="N148" i="18" s="1"/>
  <c r="O148" i="18"/>
  <c r="Q148" i="18" s="1"/>
  <c r="P148" i="18"/>
  <c r="M149" i="18"/>
  <c r="N149" i="18" s="1"/>
  <c r="O149" i="18"/>
  <c r="Q149" i="18" s="1"/>
  <c r="P149" i="18"/>
  <c r="M150" i="18"/>
  <c r="N150" i="18" s="1"/>
  <c r="O150" i="18"/>
  <c r="Q150" i="18" s="1"/>
  <c r="P150" i="18"/>
  <c r="M151" i="18"/>
  <c r="N151" i="18" s="1"/>
  <c r="O151" i="18"/>
  <c r="Q151" i="18" s="1"/>
  <c r="P151" i="18"/>
  <c r="M152" i="18"/>
  <c r="N152" i="18" s="1"/>
  <c r="O152" i="18"/>
  <c r="Q152" i="18" s="1"/>
  <c r="P152" i="18"/>
  <c r="M153" i="18"/>
  <c r="N153" i="18" s="1"/>
  <c r="O153" i="18"/>
  <c r="Q153" i="18" s="1"/>
  <c r="P153" i="18"/>
  <c r="M154" i="18"/>
  <c r="N154" i="18" s="1"/>
  <c r="O154" i="18"/>
  <c r="Q154" i="18" s="1"/>
  <c r="P154" i="18"/>
  <c r="M155" i="18"/>
  <c r="N155" i="18" s="1"/>
  <c r="O155" i="18"/>
  <c r="Q155" i="18" s="1"/>
  <c r="P155" i="18"/>
  <c r="M156" i="18"/>
  <c r="N156" i="18" s="1"/>
  <c r="O156" i="18"/>
  <c r="Q156" i="18" s="1"/>
  <c r="P156" i="18"/>
  <c r="M157" i="18"/>
  <c r="N157" i="18" s="1"/>
  <c r="O157" i="18"/>
  <c r="Q157" i="18" s="1"/>
  <c r="P157" i="18"/>
  <c r="M158" i="18"/>
  <c r="N158" i="18" s="1"/>
  <c r="O158" i="18"/>
  <c r="Q158" i="18" s="1"/>
  <c r="P158" i="18"/>
  <c r="M159" i="18"/>
  <c r="N159" i="18" s="1"/>
  <c r="O159" i="18"/>
  <c r="Q159" i="18" s="1"/>
  <c r="P159" i="18"/>
  <c r="M160" i="18"/>
  <c r="N160" i="18" s="1"/>
  <c r="O160" i="18"/>
  <c r="Q160" i="18" s="1"/>
  <c r="P160" i="18"/>
  <c r="M161" i="18"/>
  <c r="N161" i="18" s="1"/>
  <c r="O161" i="18"/>
  <c r="Q161" i="18" s="1"/>
  <c r="P161" i="18"/>
  <c r="M162" i="18"/>
  <c r="N162" i="18" s="1"/>
  <c r="O162" i="18"/>
  <c r="Q162" i="18" s="1"/>
  <c r="P162" i="18"/>
  <c r="M163" i="18"/>
  <c r="N163" i="18" s="1"/>
  <c r="O163" i="18"/>
  <c r="Q163" i="18" s="1"/>
  <c r="P163" i="18"/>
  <c r="M164" i="18"/>
  <c r="N164" i="18" s="1"/>
  <c r="O164" i="18"/>
  <c r="P164" i="18"/>
  <c r="Q164" i="18"/>
  <c r="M165" i="18"/>
  <c r="N165" i="18" s="1"/>
  <c r="O165" i="18"/>
  <c r="P165" i="18"/>
  <c r="Q165" i="18"/>
  <c r="M166" i="18"/>
  <c r="N166" i="18" s="1"/>
  <c r="O166" i="18"/>
  <c r="Q166" i="18" s="1"/>
  <c r="P166" i="18"/>
  <c r="M167" i="18"/>
  <c r="N167" i="18" s="1"/>
  <c r="O167" i="18"/>
  <c r="Q167" i="18" s="1"/>
  <c r="P167" i="18"/>
  <c r="M168" i="18"/>
  <c r="N168" i="18" s="1"/>
  <c r="O168" i="18"/>
  <c r="Q168" i="18" s="1"/>
  <c r="P168" i="18"/>
  <c r="M169" i="18"/>
  <c r="N169" i="18" s="1"/>
  <c r="O169" i="18"/>
  <c r="Q169" i="18" s="1"/>
  <c r="P169" i="18"/>
  <c r="M170" i="18"/>
  <c r="N170" i="18" s="1"/>
  <c r="O170" i="18"/>
  <c r="Q170" i="18" s="1"/>
  <c r="P170" i="18"/>
  <c r="M171" i="18"/>
  <c r="N171" i="18" s="1"/>
  <c r="O171" i="18"/>
  <c r="Q171" i="18" s="1"/>
  <c r="P171" i="18"/>
  <c r="M172" i="18"/>
  <c r="N172" i="18" s="1"/>
  <c r="O172" i="18"/>
  <c r="Q172" i="18" s="1"/>
  <c r="P172" i="18"/>
  <c r="M173" i="18"/>
  <c r="N173" i="18" s="1"/>
  <c r="O173" i="18"/>
  <c r="Q173" i="18" s="1"/>
  <c r="P173" i="18"/>
  <c r="M174" i="18"/>
  <c r="N174" i="18" s="1"/>
  <c r="O174" i="18"/>
  <c r="Q174" i="18" s="1"/>
  <c r="P174" i="18"/>
  <c r="M175" i="18"/>
  <c r="N175" i="18" s="1"/>
  <c r="O175" i="18"/>
  <c r="Q175" i="18" s="1"/>
  <c r="P175" i="18"/>
  <c r="M33" i="17"/>
  <c r="N33" i="17" s="1"/>
  <c r="O33" i="17"/>
  <c r="P33" i="17"/>
  <c r="Q33" i="17"/>
  <c r="M34" i="17"/>
  <c r="N34" i="17" s="1"/>
  <c r="O34" i="17"/>
  <c r="Q34" i="17" s="1"/>
  <c r="P34" i="17"/>
  <c r="M35" i="17"/>
  <c r="N35" i="17" s="1"/>
  <c r="O35" i="17"/>
  <c r="Q35" i="17" s="1"/>
  <c r="P35" i="17"/>
  <c r="M36" i="17"/>
  <c r="N36" i="17" s="1"/>
  <c r="O36" i="17"/>
  <c r="Q36" i="17" s="1"/>
  <c r="P36" i="17"/>
  <c r="M37" i="17"/>
  <c r="N37" i="17" s="1"/>
  <c r="O37" i="17"/>
  <c r="Q37" i="17" s="1"/>
  <c r="P37" i="17"/>
  <c r="M38" i="17"/>
  <c r="N38" i="17" s="1"/>
  <c r="O38" i="17"/>
  <c r="Q38" i="17" s="1"/>
  <c r="P38" i="17"/>
  <c r="M39" i="17"/>
  <c r="N39" i="17" s="1"/>
  <c r="O39" i="17"/>
  <c r="P39" i="17"/>
  <c r="Q39" i="17"/>
  <c r="M40" i="17"/>
  <c r="N40" i="17" s="1"/>
  <c r="O40" i="17"/>
  <c r="Q40" i="17" s="1"/>
  <c r="P40" i="17"/>
  <c r="M41" i="17"/>
  <c r="N41" i="17" s="1"/>
  <c r="O41" i="17"/>
  <c r="P41" i="17"/>
  <c r="Q41" i="17"/>
  <c r="M42" i="17"/>
  <c r="N42" i="17" s="1"/>
  <c r="O42" i="17"/>
  <c r="Q42" i="17" s="1"/>
  <c r="P42" i="17"/>
  <c r="M43" i="17"/>
  <c r="N43" i="17" s="1"/>
  <c r="O43" i="17"/>
  <c r="Q43" i="17" s="1"/>
  <c r="P43" i="17"/>
  <c r="M44" i="17"/>
  <c r="N44" i="17" s="1"/>
  <c r="O44" i="17"/>
  <c r="Q44" i="17" s="1"/>
  <c r="P44" i="17"/>
  <c r="M45" i="17"/>
  <c r="N45" i="17" s="1"/>
  <c r="O45" i="17"/>
  <c r="Q45" i="17" s="1"/>
  <c r="P45" i="17"/>
  <c r="M46" i="17"/>
  <c r="N46" i="17" s="1"/>
  <c r="O46" i="17"/>
  <c r="Q46" i="17" s="1"/>
  <c r="P46" i="17"/>
  <c r="M47" i="17"/>
  <c r="N47" i="17" s="1"/>
  <c r="O47" i="17"/>
  <c r="Q47" i="17" s="1"/>
  <c r="P47" i="17"/>
  <c r="M48" i="17"/>
  <c r="N48" i="17" s="1"/>
  <c r="O48" i="17"/>
  <c r="Q48" i="17" s="1"/>
  <c r="P48" i="17"/>
  <c r="M49" i="17"/>
  <c r="N49" i="17" s="1"/>
  <c r="O49" i="17"/>
  <c r="Q49" i="17" s="1"/>
  <c r="P49" i="17"/>
  <c r="M50" i="17"/>
  <c r="N50" i="17" s="1"/>
  <c r="O50" i="17"/>
  <c r="Q50" i="17" s="1"/>
  <c r="P50" i="17"/>
  <c r="M51" i="17"/>
  <c r="N51" i="17" s="1"/>
  <c r="O51" i="17"/>
  <c r="Q51" i="17" s="1"/>
  <c r="P51" i="17"/>
  <c r="M52" i="17"/>
  <c r="N52" i="17" s="1"/>
  <c r="O52" i="17"/>
  <c r="Q52" i="17" s="1"/>
  <c r="P52" i="17"/>
  <c r="M53" i="17"/>
  <c r="N53" i="17" s="1"/>
  <c r="O53" i="17"/>
  <c r="Q53" i="17" s="1"/>
  <c r="P53" i="17"/>
  <c r="M54" i="17"/>
  <c r="N54" i="17" s="1"/>
  <c r="O54" i="17"/>
  <c r="Q54" i="17" s="1"/>
  <c r="P54" i="17"/>
  <c r="M55" i="17"/>
  <c r="N55" i="17" s="1"/>
  <c r="O55" i="17"/>
  <c r="Q55" i="17" s="1"/>
  <c r="P55" i="17"/>
  <c r="M56" i="17"/>
  <c r="N56" i="17" s="1"/>
  <c r="O56" i="17"/>
  <c r="Q56" i="17" s="1"/>
  <c r="P56" i="17"/>
  <c r="M57" i="17"/>
  <c r="N57" i="17" s="1"/>
  <c r="O57" i="17"/>
  <c r="Q57" i="17" s="1"/>
  <c r="P57" i="17"/>
  <c r="M58" i="17"/>
  <c r="N58" i="17" s="1"/>
  <c r="O58" i="17"/>
  <c r="Q58" i="17" s="1"/>
  <c r="P58" i="17"/>
  <c r="M59" i="17"/>
  <c r="N59" i="17" s="1"/>
  <c r="O59" i="17"/>
  <c r="Q59" i="17" s="1"/>
  <c r="P59" i="17"/>
  <c r="M60" i="17"/>
  <c r="N60" i="17" s="1"/>
  <c r="O60" i="17"/>
  <c r="Q60" i="17" s="1"/>
  <c r="P60" i="17"/>
  <c r="M61" i="17"/>
  <c r="N61" i="17" s="1"/>
  <c r="O61" i="17"/>
  <c r="Q61" i="17" s="1"/>
  <c r="P61" i="17"/>
  <c r="M62" i="17"/>
  <c r="N62" i="17" s="1"/>
  <c r="O62" i="17"/>
  <c r="Q62" i="17" s="1"/>
  <c r="P62" i="17"/>
  <c r="M63" i="17"/>
  <c r="N63" i="17" s="1"/>
  <c r="O63" i="17"/>
  <c r="Q63" i="17" s="1"/>
  <c r="P63" i="17"/>
  <c r="M64" i="17"/>
  <c r="N64" i="17" s="1"/>
  <c r="O64" i="17"/>
  <c r="Q64" i="17" s="1"/>
  <c r="P64" i="17"/>
  <c r="M65" i="17"/>
  <c r="N65" i="17" s="1"/>
  <c r="O65" i="17"/>
  <c r="Q65" i="17" s="1"/>
  <c r="P65" i="17"/>
  <c r="M66" i="17"/>
  <c r="N66" i="17" s="1"/>
  <c r="O66" i="17"/>
  <c r="Q66" i="17" s="1"/>
  <c r="P66" i="17"/>
  <c r="M67" i="17"/>
  <c r="N67" i="17" s="1"/>
  <c r="O67" i="17"/>
  <c r="Q67" i="17" s="1"/>
  <c r="P67" i="17"/>
  <c r="M68" i="17"/>
  <c r="N68" i="17" s="1"/>
  <c r="O68" i="17"/>
  <c r="Q68" i="17" s="1"/>
  <c r="P68" i="17"/>
  <c r="M69" i="17"/>
  <c r="N69" i="17" s="1"/>
  <c r="O69" i="17"/>
  <c r="Q69" i="17" s="1"/>
  <c r="P69" i="17"/>
  <c r="M70" i="17"/>
  <c r="N70" i="17" s="1"/>
  <c r="O70" i="17"/>
  <c r="Q70" i="17" s="1"/>
  <c r="P70" i="17"/>
  <c r="M71" i="17"/>
  <c r="N71" i="17" s="1"/>
  <c r="O71" i="17"/>
  <c r="Q71" i="17" s="1"/>
  <c r="P71" i="17"/>
  <c r="M72" i="17"/>
  <c r="N72" i="17" s="1"/>
  <c r="O72" i="17"/>
  <c r="Q72" i="17" s="1"/>
  <c r="P72" i="17"/>
  <c r="M73" i="17"/>
  <c r="N73" i="17" s="1"/>
  <c r="O73" i="17"/>
  <c r="Q73" i="17" s="1"/>
  <c r="P73" i="17"/>
  <c r="M74" i="17"/>
  <c r="N74" i="17" s="1"/>
  <c r="O74" i="17"/>
  <c r="Q74" i="17" s="1"/>
  <c r="P74" i="17"/>
  <c r="M75" i="17"/>
  <c r="N75" i="17" s="1"/>
  <c r="O75" i="17"/>
  <c r="Q75" i="17" s="1"/>
  <c r="P75" i="17"/>
  <c r="M76" i="17"/>
  <c r="N76" i="17" s="1"/>
  <c r="O76" i="17"/>
  <c r="Q76" i="17" s="1"/>
  <c r="P76" i="17"/>
  <c r="M77" i="17"/>
  <c r="N77" i="17" s="1"/>
  <c r="O77" i="17"/>
  <c r="Q77" i="17" s="1"/>
  <c r="P77" i="17"/>
  <c r="M78" i="17"/>
  <c r="N78" i="17" s="1"/>
  <c r="O78" i="17"/>
  <c r="Q78" i="17" s="1"/>
  <c r="P78" i="17"/>
  <c r="M79" i="17"/>
  <c r="N79" i="17" s="1"/>
  <c r="O79" i="17"/>
  <c r="Q79" i="17" s="1"/>
  <c r="P79" i="17"/>
  <c r="M80" i="17"/>
  <c r="N80" i="17" s="1"/>
  <c r="O80" i="17"/>
  <c r="Q80" i="17" s="1"/>
  <c r="P80" i="17"/>
  <c r="M81" i="17"/>
  <c r="N81" i="17" s="1"/>
  <c r="O81" i="17"/>
  <c r="Q81" i="17" s="1"/>
  <c r="P81" i="17"/>
  <c r="M82" i="17"/>
  <c r="N82" i="17" s="1"/>
  <c r="O82" i="17"/>
  <c r="Q82" i="17" s="1"/>
  <c r="P82" i="17"/>
  <c r="M83" i="17"/>
  <c r="N83" i="17" s="1"/>
  <c r="O83" i="17"/>
  <c r="Q83" i="17" s="1"/>
  <c r="P83" i="17"/>
  <c r="M84" i="17"/>
  <c r="N84" i="17" s="1"/>
  <c r="O84" i="17"/>
  <c r="Q84" i="17" s="1"/>
  <c r="P84" i="17"/>
  <c r="M85" i="17"/>
  <c r="N85" i="17" s="1"/>
  <c r="O85" i="17"/>
  <c r="Q85" i="17" s="1"/>
  <c r="P85" i="17"/>
  <c r="M86" i="17"/>
  <c r="N86" i="17" s="1"/>
  <c r="O86" i="17"/>
  <c r="Q86" i="17" s="1"/>
  <c r="P86" i="17"/>
  <c r="M87" i="17"/>
  <c r="N87" i="17" s="1"/>
  <c r="O87" i="17"/>
  <c r="Q87" i="17" s="1"/>
  <c r="P87" i="17"/>
  <c r="M88" i="17"/>
  <c r="N88" i="17" s="1"/>
  <c r="O88" i="17"/>
  <c r="Q88" i="17" s="1"/>
  <c r="P88" i="17"/>
  <c r="M89" i="17"/>
  <c r="N89" i="17" s="1"/>
  <c r="O89" i="17"/>
  <c r="Q89" i="17" s="1"/>
  <c r="P89" i="17"/>
  <c r="M90" i="17"/>
  <c r="N90" i="17" s="1"/>
  <c r="O90" i="17"/>
  <c r="Q90" i="17" s="1"/>
  <c r="P90" i="17"/>
  <c r="M91" i="17"/>
  <c r="N91" i="17" s="1"/>
  <c r="O91" i="17"/>
  <c r="Q91" i="17" s="1"/>
  <c r="P91" i="17"/>
  <c r="M92" i="17"/>
  <c r="N92" i="17" s="1"/>
  <c r="O92" i="17"/>
  <c r="Q92" i="17" s="1"/>
  <c r="P92" i="17"/>
  <c r="M93" i="17"/>
  <c r="N93" i="17" s="1"/>
  <c r="O93" i="17"/>
  <c r="Q93" i="17" s="1"/>
  <c r="P93" i="17"/>
  <c r="M94" i="17"/>
  <c r="N94" i="17" s="1"/>
  <c r="O94" i="17"/>
  <c r="Q94" i="17" s="1"/>
  <c r="P94" i="17"/>
  <c r="M95" i="17"/>
  <c r="N95" i="17" s="1"/>
  <c r="O95" i="17"/>
  <c r="Q95" i="17" s="1"/>
  <c r="P95" i="17"/>
  <c r="M96" i="17"/>
  <c r="N96" i="17" s="1"/>
  <c r="O96" i="17"/>
  <c r="Q96" i="17" s="1"/>
  <c r="P96" i="17"/>
  <c r="M97" i="17"/>
  <c r="N97" i="17" s="1"/>
  <c r="O97" i="17"/>
  <c r="Q97" i="17" s="1"/>
  <c r="P97" i="17"/>
  <c r="M98" i="17"/>
  <c r="N98" i="17" s="1"/>
  <c r="O98" i="17"/>
  <c r="Q98" i="17" s="1"/>
  <c r="P98" i="17"/>
  <c r="M99" i="17"/>
  <c r="N99" i="17" s="1"/>
  <c r="O99" i="17"/>
  <c r="Q99" i="17" s="1"/>
  <c r="P99" i="17"/>
  <c r="M100" i="17"/>
  <c r="N100" i="17" s="1"/>
  <c r="O100" i="17"/>
  <c r="Q100" i="17" s="1"/>
  <c r="P100" i="17"/>
  <c r="M101" i="17"/>
  <c r="N101" i="17" s="1"/>
  <c r="O101" i="17"/>
  <c r="Q101" i="17" s="1"/>
  <c r="P101" i="17"/>
  <c r="M102" i="17"/>
  <c r="N102" i="17" s="1"/>
  <c r="O102" i="17"/>
  <c r="Q102" i="17" s="1"/>
  <c r="P102" i="17"/>
  <c r="M103" i="17"/>
  <c r="N103" i="17" s="1"/>
  <c r="O103" i="17"/>
  <c r="Q103" i="17" s="1"/>
  <c r="P103" i="17"/>
  <c r="M104" i="17"/>
  <c r="N104" i="17" s="1"/>
  <c r="O104" i="17"/>
  <c r="Q104" i="17" s="1"/>
  <c r="P104" i="17"/>
  <c r="M105" i="17"/>
  <c r="N105" i="17" s="1"/>
  <c r="O105" i="17"/>
  <c r="Q105" i="17" s="1"/>
  <c r="P105" i="17"/>
  <c r="M106" i="17"/>
  <c r="N106" i="17" s="1"/>
  <c r="O106" i="17"/>
  <c r="Q106" i="17" s="1"/>
  <c r="P106" i="17"/>
  <c r="M107" i="17"/>
  <c r="N107" i="17" s="1"/>
  <c r="O107" i="17"/>
  <c r="Q107" i="17" s="1"/>
  <c r="P107" i="17"/>
  <c r="M108" i="17"/>
  <c r="N108" i="17" s="1"/>
  <c r="O108" i="17"/>
  <c r="Q108" i="17" s="1"/>
  <c r="P108" i="17"/>
  <c r="M109" i="17"/>
  <c r="N109" i="17" s="1"/>
  <c r="O109" i="17"/>
  <c r="Q109" i="17" s="1"/>
  <c r="P109" i="17"/>
  <c r="M110" i="17"/>
  <c r="N110" i="17" s="1"/>
  <c r="O110" i="17"/>
  <c r="Q110" i="17" s="1"/>
  <c r="P110" i="17"/>
  <c r="M111" i="17"/>
  <c r="N111" i="17" s="1"/>
  <c r="O111" i="17"/>
  <c r="Q111" i="17" s="1"/>
  <c r="P111" i="17"/>
  <c r="M112" i="17"/>
  <c r="N112" i="17" s="1"/>
  <c r="O112" i="17"/>
  <c r="Q112" i="17" s="1"/>
  <c r="P112" i="17"/>
  <c r="M113" i="17"/>
  <c r="N113" i="17" s="1"/>
  <c r="O113" i="17"/>
  <c r="Q113" i="17" s="1"/>
  <c r="P113" i="17"/>
  <c r="M114" i="17"/>
  <c r="N114" i="17" s="1"/>
  <c r="O114" i="17"/>
  <c r="Q114" i="17" s="1"/>
  <c r="P114" i="17"/>
  <c r="M115" i="17"/>
  <c r="N115" i="17" s="1"/>
  <c r="O115" i="17"/>
  <c r="Q115" i="17" s="1"/>
  <c r="P115" i="17"/>
  <c r="M116" i="17"/>
  <c r="N116" i="17" s="1"/>
  <c r="O116" i="17"/>
  <c r="P116" i="17"/>
  <c r="Q116" i="17"/>
  <c r="M117" i="17"/>
  <c r="N117" i="17" s="1"/>
  <c r="O117" i="17"/>
  <c r="Q117" i="17" s="1"/>
  <c r="P117" i="17"/>
  <c r="M118" i="17"/>
  <c r="N118" i="17" s="1"/>
  <c r="O118" i="17"/>
  <c r="Q118" i="17" s="1"/>
  <c r="P118" i="17"/>
  <c r="M119" i="17"/>
  <c r="N119" i="17" s="1"/>
  <c r="O119" i="17"/>
  <c r="Q119" i="17" s="1"/>
  <c r="P119" i="17"/>
  <c r="M120" i="17"/>
  <c r="N120" i="17" s="1"/>
  <c r="O120" i="17"/>
  <c r="Q120" i="17" s="1"/>
  <c r="P120" i="17"/>
  <c r="M121" i="17"/>
  <c r="N121" i="17" s="1"/>
  <c r="O121" i="17"/>
  <c r="Q121" i="17" s="1"/>
  <c r="P121" i="17"/>
  <c r="M122" i="17"/>
  <c r="N122" i="17" s="1"/>
  <c r="O122" i="17"/>
  <c r="Q122" i="17" s="1"/>
  <c r="P122" i="17"/>
  <c r="M123" i="17"/>
  <c r="N123" i="17" s="1"/>
  <c r="O123" i="17"/>
  <c r="Q123" i="17" s="1"/>
  <c r="P123" i="17"/>
  <c r="M124" i="17"/>
  <c r="N124" i="17" s="1"/>
  <c r="O124" i="17"/>
  <c r="Q124" i="17" s="1"/>
  <c r="P124" i="17"/>
  <c r="M125" i="17"/>
  <c r="N125" i="17" s="1"/>
  <c r="O125" i="17"/>
  <c r="Q125" i="17" s="1"/>
  <c r="P125" i="17"/>
  <c r="M126" i="17"/>
  <c r="N126" i="17" s="1"/>
  <c r="O126" i="17"/>
  <c r="Q126" i="17" s="1"/>
  <c r="P126" i="17"/>
  <c r="M127" i="17"/>
  <c r="N127" i="17" s="1"/>
  <c r="O127" i="17"/>
  <c r="Q127" i="17" s="1"/>
  <c r="P127" i="17"/>
  <c r="M128" i="17"/>
  <c r="N128" i="17" s="1"/>
  <c r="O128" i="17"/>
  <c r="Q128" i="17" s="1"/>
  <c r="P128" i="17"/>
  <c r="M129" i="17"/>
  <c r="N129" i="17" s="1"/>
  <c r="O129" i="17"/>
  <c r="Q129" i="17" s="1"/>
  <c r="P129" i="17"/>
  <c r="M130" i="17"/>
  <c r="N130" i="17" s="1"/>
  <c r="O130" i="17"/>
  <c r="Q130" i="17" s="1"/>
  <c r="P130" i="17"/>
  <c r="M131" i="17"/>
  <c r="N131" i="17" s="1"/>
  <c r="O131" i="17"/>
  <c r="Q131" i="17" s="1"/>
  <c r="P131" i="17"/>
  <c r="M132" i="17"/>
  <c r="N132" i="17" s="1"/>
  <c r="O132" i="17"/>
  <c r="Q132" i="17" s="1"/>
  <c r="P132" i="17"/>
  <c r="M133" i="17"/>
  <c r="N133" i="17" s="1"/>
  <c r="O133" i="17"/>
  <c r="Q133" i="17" s="1"/>
  <c r="P133" i="17"/>
  <c r="M134" i="17"/>
  <c r="N134" i="17" s="1"/>
  <c r="O134" i="17"/>
  <c r="Q134" i="17" s="1"/>
  <c r="P134" i="17"/>
  <c r="M135" i="17"/>
  <c r="N135" i="17" s="1"/>
  <c r="O135" i="17"/>
  <c r="Q135" i="17" s="1"/>
  <c r="P135" i="17"/>
  <c r="M136" i="17"/>
  <c r="N136" i="17" s="1"/>
  <c r="O136" i="17"/>
  <c r="Q136" i="17" s="1"/>
  <c r="P136" i="17"/>
  <c r="M137" i="17"/>
  <c r="N137" i="17" s="1"/>
  <c r="O137" i="17"/>
  <c r="Q137" i="17" s="1"/>
  <c r="P137" i="17"/>
  <c r="M138" i="17"/>
  <c r="N138" i="17" s="1"/>
  <c r="O138" i="17"/>
  <c r="Q138" i="17" s="1"/>
  <c r="P138" i="17"/>
  <c r="M139" i="17"/>
  <c r="N139" i="17" s="1"/>
  <c r="O139" i="17"/>
  <c r="Q139" i="17" s="1"/>
  <c r="P139" i="17"/>
  <c r="M140" i="17"/>
  <c r="N140" i="17" s="1"/>
  <c r="O140" i="17"/>
  <c r="Q140" i="17" s="1"/>
  <c r="P140" i="17"/>
  <c r="M141" i="17"/>
  <c r="N141" i="17" s="1"/>
  <c r="O141" i="17"/>
  <c r="Q141" i="17" s="1"/>
  <c r="P141" i="17"/>
  <c r="M142" i="17"/>
  <c r="N142" i="17" s="1"/>
  <c r="O142" i="17"/>
  <c r="Q142" i="17" s="1"/>
  <c r="P142" i="17"/>
  <c r="M143" i="17"/>
  <c r="N143" i="17" s="1"/>
  <c r="O143" i="17"/>
  <c r="Q143" i="17" s="1"/>
  <c r="P143" i="17"/>
  <c r="M144" i="17"/>
  <c r="N144" i="17" s="1"/>
  <c r="O144" i="17"/>
  <c r="Q144" i="17" s="1"/>
  <c r="P144" i="17"/>
  <c r="M145" i="17"/>
  <c r="N145" i="17" s="1"/>
  <c r="O145" i="17"/>
  <c r="Q145" i="17" s="1"/>
  <c r="P145" i="17"/>
  <c r="M146" i="17"/>
  <c r="N146" i="17" s="1"/>
  <c r="O146" i="17"/>
  <c r="Q146" i="17" s="1"/>
  <c r="P146" i="17"/>
  <c r="M147" i="17"/>
  <c r="N147" i="17" s="1"/>
  <c r="O147" i="17"/>
  <c r="Q147" i="17" s="1"/>
  <c r="P147" i="17"/>
  <c r="M148" i="17"/>
  <c r="N148" i="17" s="1"/>
  <c r="O148" i="17"/>
  <c r="Q148" i="17" s="1"/>
  <c r="P148" i="17"/>
  <c r="M149" i="17"/>
  <c r="N149" i="17" s="1"/>
  <c r="O149" i="17"/>
  <c r="Q149" i="17" s="1"/>
  <c r="P149" i="17"/>
  <c r="M150" i="17"/>
  <c r="N150" i="17" s="1"/>
  <c r="O150" i="17"/>
  <c r="Q150" i="17" s="1"/>
  <c r="P150" i="17"/>
  <c r="M151" i="17"/>
  <c r="N151" i="17" s="1"/>
  <c r="O151" i="17"/>
  <c r="Q151" i="17" s="1"/>
  <c r="P151" i="17"/>
  <c r="M152" i="17"/>
  <c r="N152" i="17" s="1"/>
  <c r="O152" i="17"/>
  <c r="Q152" i="17" s="1"/>
  <c r="P152" i="17"/>
  <c r="M153" i="17"/>
  <c r="N153" i="17" s="1"/>
  <c r="O153" i="17"/>
  <c r="Q153" i="17" s="1"/>
  <c r="P153" i="17"/>
  <c r="M154" i="17"/>
  <c r="N154" i="17" s="1"/>
  <c r="O154" i="17"/>
  <c r="Q154" i="17" s="1"/>
  <c r="P154" i="17"/>
  <c r="M155" i="17"/>
  <c r="N155" i="17" s="1"/>
  <c r="O155" i="17"/>
  <c r="Q155" i="17" s="1"/>
  <c r="P155" i="17"/>
  <c r="M156" i="17"/>
  <c r="N156" i="17" s="1"/>
  <c r="O156" i="17"/>
  <c r="Q156" i="17" s="1"/>
  <c r="P156" i="17"/>
  <c r="M157" i="17"/>
  <c r="N157" i="17" s="1"/>
  <c r="O157" i="17"/>
  <c r="Q157" i="17" s="1"/>
  <c r="P157" i="17"/>
  <c r="M158" i="17"/>
  <c r="N158" i="17" s="1"/>
  <c r="O158" i="17"/>
  <c r="Q158" i="17" s="1"/>
  <c r="P158" i="17"/>
  <c r="M159" i="17"/>
  <c r="N159" i="17" s="1"/>
  <c r="O159" i="17"/>
  <c r="Q159" i="17" s="1"/>
  <c r="P159" i="17"/>
  <c r="M160" i="17"/>
  <c r="N160" i="17" s="1"/>
  <c r="O160" i="17"/>
  <c r="Q160" i="17" s="1"/>
  <c r="P160" i="17"/>
  <c r="M161" i="17"/>
  <c r="N161" i="17" s="1"/>
  <c r="O161" i="17"/>
  <c r="Q161" i="17" s="1"/>
  <c r="P161" i="17"/>
  <c r="M162" i="17"/>
  <c r="N162" i="17" s="1"/>
  <c r="O162" i="17"/>
  <c r="Q162" i="17" s="1"/>
  <c r="P162" i="17"/>
  <c r="M163" i="17"/>
  <c r="N163" i="17" s="1"/>
  <c r="O163" i="17"/>
  <c r="Q163" i="17" s="1"/>
  <c r="P163" i="17"/>
  <c r="M164" i="17"/>
  <c r="N164" i="17" s="1"/>
  <c r="O164" i="17"/>
  <c r="Q164" i="17" s="1"/>
  <c r="P164" i="17"/>
  <c r="M165" i="17"/>
  <c r="N165" i="17" s="1"/>
  <c r="O165" i="17"/>
  <c r="Q165" i="17" s="1"/>
  <c r="P165" i="17"/>
  <c r="M166" i="17"/>
  <c r="N166" i="17" s="1"/>
  <c r="O166" i="17"/>
  <c r="Q166" i="17" s="1"/>
  <c r="P166" i="17"/>
  <c r="M167" i="17"/>
  <c r="N167" i="17" s="1"/>
  <c r="O167" i="17"/>
  <c r="Q167" i="17" s="1"/>
  <c r="P167" i="17"/>
  <c r="M168" i="17"/>
  <c r="N168" i="17" s="1"/>
  <c r="O168" i="17"/>
  <c r="Q168" i="17" s="1"/>
  <c r="P168" i="17"/>
  <c r="M169" i="17"/>
  <c r="N169" i="17" s="1"/>
  <c r="O169" i="17"/>
  <c r="Q169" i="17" s="1"/>
  <c r="P169" i="17"/>
  <c r="M170" i="17"/>
  <c r="N170" i="17" s="1"/>
  <c r="O170" i="17"/>
  <c r="Q170" i="17" s="1"/>
  <c r="P170" i="17"/>
  <c r="M171" i="17"/>
  <c r="N171" i="17" s="1"/>
  <c r="O171" i="17"/>
  <c r="Q171" i="17" s="1"/>
  <c r="P171" i="17"/>
  <c r="M172" i="17"/>
  <c r="N172" i="17" s="1"/>
  <c r="O172" i="17"/>
  <c r="Q172" i="17" s="1"/>
  <c r="P172" i="17"/>
  <c r="M173" i="17"/>
  <c r="N173" i="17" s="1"/>
  <c r="O173" i="17"/>
  <c r="Q173" i="17" s="1"/>
  <c r="P173" i="17"/>
  <c r="M174" i="17"/>
  <c r="N174" i="17" s="1"/>
  <c r="O174" i="17"/>
  <c r="Q174" i="17" s="1"/>
  <c r="P174" i="17"/>
  <c r="M175" i="17"/>
  <c r="N175" i="17" s="1"/>
  <c r="O175" i="17"/>
  <c r="Q175" i="17" s="1"/>
  <c r="P175" i="17"/>
  <c r="M176" i="17"/>
  <c r="N176" i="17" s="1"/>
  <c r="O176" i="17"/>
  <c r="Q176" i="17" s="1"/>
  <c r="P176" i="17"/>
  <c r="M177" i="17"/>
  <c r="N177" i="17" s="1"/>
  <c r="O177" i="17"/>
  <c r="Q177" i="17" s="1"/>
  <c r="P177" i="17"/>
  <c r="M178" i="17"/>
  <c r="N178" i="17" s="1"/>
  <c r="O178" i="17"/>
  <c r="Q178" i="17" s="1"/>
  <c r="P178" i="17"/>
  <c r="M179" i="17"/>
  <c r="N179" i="17" s="1"/>
  <c r="O179" i="17"/>
  <c r="Q179" i="17" s="1"/>
  <c r="P179" i="17"/>
  <c r="M180" i="17"/>
  <c r="N180" i="17" s="1"/>
  <c r="O180" i="17"/>
  <c r="Q180" i="17" s="1"/>
  <c r="P180" i="17"/>
  <c r="M181" i="17"/>
  <c r="N181" i="17" s="1"/>
  <c r="O181" i="17"/>
  <c r="Q181" i="17" s="1"/>
  <c r="P181" i="17"/>
  <c r="M182" i="17"/>
  <c r="N182" i="17" s="1"/>
  <c r="O182" i="17"/>
  <c r="Q182" i="17" s="1"/>
  <c r="P182" i="17"/>
  <c r="M183" i="17"/>
  <c r="N183" i="17" s="1"/>
  <c r="O183" i="17"/>
  <c r="Q183" i="17" s="1"/>
  <c r="P183" i="17"/>
  <c r="M184" i="17"/>
  <c r="N184" i="17" s="1"/>
  <c r="O184" i="17"/>
  <c r="Q184" i="17" s="1"/>
  <c r="P184" i="17"/>
  <c r="M185" i="17"/>
  <c r="N185" i="17" s="1"/>
  <c r="O185" i="17"/>
  <c r="Q185" i="17" s="1"/>
  <c r="P185" i="17"/>
  <c r="M186" i="17"/>
  <c r="N186" i="17" s="1"/>
  <c r="O186" i="17"/>
  <c r="Q186" i="17" s="1"/>
  <c r="P186" i="17"/>
  <c r="M33" i="16"/>
  <c r="N33" i="16" s="1"/>
  <c r="O33" i="16"/>
  <c r="Q33" i="16" s="1"/>
  <c r="P33" i="16"/>
  <c r="M34" i="16"/>
  <c r="N34" i="16" s="1"/>
  <c r="O34" i="16"/>
  <c r="Q34" i="16" s="1"/>
  <c r="P34" i="16"/>
  <c r="M35" i="16"/>
  <c r="N35" i="16" s="1"/>
  <c r="O35" i="16"/>
  <c r="Q35" i="16" s="1"/>
  <c r="P35" i="16"/>
  <c r="M36" i="16"/>
  <c r="N36" i="16" s="1"/>
  <c r="O36" i="16"/>
  <c r="Q36" i="16" s="1"/>
  <c r="P36" i="16"/>
  <c r="M37" i="16"/>
  <c r="N37" i="16" s="1"/>
  <c r="O37" i="16"/>
  <c r="Q37" i="16" s="1"/>
  <c r="P37" i="16"/>
  <c r="M38" i="16"/>
  <c r="N38" i="16" s="1"/>
  <c r="O38" i="16"/>
  <c r="Q38" i="16" s="1"/>
  <c r="P38" i="16"/>
  <c r="M39" i="16"/>
  <c r="N39" i="16" s="1"/>
  <c r="O39" i="16"/>
  <c r="Q39" i="16" s="1"/>
  <c r="P39" i="16"/>
  <c r="M40" i="16"/>
  <c r="N40" i="16" s="1"/>
  <c r="O40" i="16"/>
  <c r="Q40" i="16" s="1"/>
  <c r="P40" i="16"/>
  <c r="M41" i="16"/>
  <c r="N41" i="16" s="1"/>
  <c r="O41" i="16"/>
  <c r="Q41" i="16" s="1"/>
  <c r="P41" i="16"/>
  <c r="M42" i="16"/>
  <c r="N42" i="16" s="1"/>
  <c r="O42" i="16"/>
  <c r="Q42" i="16" s="1"/>
  <c r="P42" i="16"/>
  <c r="M43" i="16"/>
  <c r="N43" i="16" s="1"/>
  <c r="O43" i="16"/>
  <c r="Q43" i="16" s="1"/>
  <c r="P43" i="16"/>
  <c r="M44" i="16"/>
  <c r="N44" i="16" s="1"/>
  <c r="O44" i="16"/>
  <c r="Q44" i="16" s="1"/>
  <c r="P44" i="16"/>
  <c r="M45" i="16"/>
  <c r="N45" i="16" s="1"/>
  <c r="O45" i="16"/>
  <c r="Q45" i="16" s="1"/>
  <c r="P45" i="16"/>
  <c r="M46" i="16"/>
  <c r="N46" i="16" s="1"/>
  <c r="O46" i="16"/>
  <c r="Q46" i="16" s="1"/>
  <c r="P46" i="16"/>
  <c r="M47" i="16"/>
  <c r="N47" i="16" s="1"/>
  <c r="O47" i="16"/>
  <c r="Q47" i="16" s="1"/>
  <c r="P47" i="16"/>
  <c r="M48" i="16"/>
  <c r="N48" i="16" s="1"/>
  <c r="O48" i="16"/>
  <c r="Q48" i="16" s="1"/>
  <c r="P48" i="16"/>
  <c r="M49" i="16"/>
  <c r="N49" i="16" s="1"/>
  <c r="O49" i="16"/>
  <c r="Q49" i="16" s="1"/>
  <c r="P49" i="16"/>
  <c r="M50" i="16"/>
  <c r="N50" i="16" s="1"/>
  <c r="O50" i="16"/>
  <c r="Q50" i="16" s="1"/>
  <c r="P50" i="16"/>
  <c r="M51" i="16"/>
  <c r="N51" i="16" s="1"/>
  <c r="O51" i="16"/>
  <c r="Q51" i="16" s="1"/>
  <c r="P51" i="16"/>
  <c r="M52" i="16"/>
  <c r="N52" i="16" s="1"/>
  <c r="O52" i="16"/>
  <c r="Q52" i="16" s="1"/>
  <c r="P52" i="16"/>
  <c r="M53" i="16"/>
  <c r="N53" i="16" s="1"/>
  <c r="O53" i="16"/>
  <c r="Q53" i="16" s="1"/>
  <c r="P53" i="16"/>
  <c r="M54" i="16"/>
  <c r="N54" i="16" s="1"/>
  <c r="O54" i="16"/>
  <c r="Q54" i="16" s="1"/>
  <c r="P54" i="16"/>
  <c r="M55" i="16"/>
  <c r="N55" i="16" s="1"/>
  <c r="O55" i="16"/>
  <c r="Q55" i="16" s="1"/>
  <c r="P55" i="16"/>
  <c r="M56" i="16"/>
  <c r="N56" i="16" s="1"/>
  <c r="O56" i="16"/>
  <c r="Q56" i="16" s="1"/>
  <c r="P56" i="16"/>
  <c r="M57" i="16"/>
  <c r="N57" i="16" s="1"/>
  <c r="O57" i="16"/>
  <c r="Q57" i="16" s="1"/>
  <c r="P57" i="16"/>
  <c r="M58" i="16"/>
  <c r="N58" i="16" s="1"/>
  <c r="O58" i="16"/>
  <c r="Q58" i="16" s="1"/>
  <c r="P58" i="16"/>
  <c r="M59" i="16"/>
  <c r="N59" i="16" s="1"/>
  <c r="O59" i="16"/>
  <c r="Q59" i="16" s="1"/>
  <c r="P59" i="16"/>
  <c r="M60" i="16"/>
  <c r="N60" i="16" s="1"/>
  <c r="O60" i="16"/>
  <c r="Q60" i="16" s="1"/>
  <c r="P60" i="16"/>
  <c r="M61" i="16"/>
  <c r="N61" i="16" s="1"/>
  <c r="O61" i="16"/>
  <c r="Q61" i="16" s="1"/>
  <c r="P61" i="16"/>
  <c r="M62" i="16"/>
  <c r="N62" i="16" s="1"/>
  <c r="O62" i="16"/>
  <c r="Q62" i="16" s="1"/>
  <c r="P62" i="16"/>
  <c r="M63" i="16"/>
  <c r="N63" i="16" s="1"/>
  <c r="O63" i="16"/>
  <c r="Q63" i="16" s="1"/>
  <c r="P63" i="16"/>
  <c r="M64" i="16"/>
  <c r="N64" i="16" s="1"/>
  <c r="O64" i="16"/>
  <c r="Q64" i="16" s="1"/>
  <c r="P64" i="16"/>
  <c r="M65" i="16"/>
  <c r="N65" i="16" s="1"/>
  <c r="O65" i="16"/>
  <c r="Q65" i="16" s="1"/>
  <c r="P65" i="16"/>
  <c r="M66" i="16"/>
  <c r="N66" i="16" s="1"/>
  <c r="O66" i="16"/>
  <c r="Q66" i="16" s="1"/>
  <c r="P66" i="16"/>
  <c r="M67" i="16"/>
  <c r="N67" i="16" s="1"/>
  <c r="O67" i="16"/>
  <c r="Q67" i="16" s="1"/>
  <c r="P67" i="16"/>
  <c r="M68" i="16"/>
  <c r="N68" i="16" s="1"/>
  <c r="O68" i="16"/>
  <c r="Q68" i="16" s="1"/>
  <c r="P68" i="16"/>
  <c r="M69" i="16"/>
  <c r="N69" i="16" s="1"/>
  <c r="O69" i="16"/>
  <c r="Q69" i="16" s="1"/>
  <c r="P69" i="16"/>
  <c r="M70" i="16"/>
  <c r="N70" i="16" s="1"/>
  <c r="O70" i="16"/>
  <c r="Q70" i="16" s="1"/>
  <c r="P70" i="16"/>
  <c r="M71" i="16"/>
  <c r="N71" i="16" s="1"/>
  <c r="O71" i="16"/>
  <c r="Q71" i="16" s="1"/>
  <c r="P71" i="16"/>
  <c r="M72" i="16"/>
  <c r="N72" i="16" s="1"/>
  <c r="O72" i="16"/>
  <c r="Q72" i="16" s="1"/>
  <c r="P72" i="16"/>
  <c r="M73" i="16"/>
  <c r="N73" i="16" s="1"/>
  <c r="O73" i="16"/>
  <c r="Q73" i="16" s="1"/>
  <c r="P73" i="16"/>
  <c r="M74" i="16"/>
  <c r="N74" i="16" s="1"/>
  <c r="O74" i="16"/>
  <c r="Q74" i="16" s="1"/>
  <c r="P74" i="16"/>
  <c r="M75" i="16"/>
  <c r="N75" i="16" s="1"/>
  <c r="O75" i="16"/>
  <c r="Q75" i="16" s="1"/>
  <c r="P75" i="16"/>
  <c r="M76" i="16"/>
  <c r="N76" i="16" s="1"/>
  <c r="O76" i="16"/>
  <c r="Q76" i="16" s="1"/>
  <c r="P76" i="16"/>
  <c r="M77" i="16"/>
  <c r="N77" i="16" s="1"/>
  <c r="O77" i="16"/>
  <c r="Q77" i="16" s="1"/>
  <c r="P77" i="16"/>
  <c r="M78" i="16"/>
  <c r="N78" i="16" s="1"/>
  <c r="O78" i="16"/>
  <c r="Q78" i="16" s="1"/>
  <c r="P78" i="16"/>
  <c r="M79" i="16"/>
  <c r="N79" i="16" s="1"/>
  <c r="O79" i="16"/>
  <c r="P79" i="16"/>
  <c r="Q79" i="16"/>
  <c r="M80" i="16"/>
  <c r="N80" i="16" s="1"/>
  <c r="O80" i="16"/>
  <c r="Q80" i="16" s="1"/>
  <c r="P80" i="16"/>
  <c r="M81" i="16"/>
  <c r="N81" i="16" s="1"/>
  <c r="O81" i="16"/>
  <c r="Q81" i="16" s="1"/>
  <c r="P81" i="16"/>
  <c r="M82" i="16"/>
  <c r="N82" i="16" s="1"/>
  <c r="O82" i="16"/>
  <c r="Q82" i="16" s="1"/>
  <c r="P82" i="16"/>
  <c r="M83" i="16"/>
  <c r="N83" i="16" s="1"/>
  <c r="O83" i="16"/>
  <c r="Q83" i="16" s="1"/>
  <c r="P83" i="16"/>
  <c r="M84" i="16"/>
  <c r="N84" i="16" s="1"/>
  <c r="O84" i="16"/>
  <c r="Q84" i="16" s="1"/>
  <c r="P84" i="16"/>
  <c r="M85" i="16"/>
  <c r="N85" i="16" s="1"/>
  <c r="O85" i="16"/>
  <c r="Q85" i="16" s="1"/>
  <c r="P85" i="16"/>
  <c r="M86" i="16"/>
  <c r="N86" i="16" s="1"/>
  <c r="O86" i="16"/>
  <c r="Q86" i="16" s="1"/>
  <c r="P86" i="16"/>
  <c r="M87" i="16"/>
  <c r="N87" i="16" s="1"/>
  <c r="O87" i="16"/>
  <c r="Q87" i="16" s="1"/>
  <c r="P87" i="16"/>
  <c r="M88" i="16"/>
  <c r="N88" i="16" s="1"/>
  <c r="O88" i="16"/>
  <c r="Q88" i="16" s="1"/>
  <c r="P88" i="16"/>
  <c r="M89" i="16"/>
  <c r="N89" i="16" s="1"/>
  <c r="O89" i="16"/>
  <c r="Q89" i="16" s="1"/>
  <c r="P89" i="16"/>
  <c r="M90" i="16"/>
  <c r="N90" i="16" s="1"/>
  <c r="O90" i="16"/>
  <c r="Q90" i="16" s="1"/>
  <c r="P90" i="16"/>
  <c r="M91" i="16"/>
  <c r="N91" i="16" s="1"/>
  <c r="O91" i="16"/>
  <c r="Q91" i="16" s="1"/>
  <c r="P91" i="16"/>
  <c r="M92" i="16"/>
  <c r="N92" i="16" s="1"/>
  <c r="O92" i="16"/>
  <c r="Q92" i="16" s="1"/>
  <c r="P92" i="16"/>
  <c r="M93" i="16"/>
  <c r="N93" i="16" s="1"/>
  <c r="O93" i="16"/>
  <c r="Q93" i="16" s="1"/>
  <c r="P93" i="16"/>
  <c r="M94" i="16"/>
  <c r="N94" i="16" s="1"/>
  <c r="O94" i="16"/>
  <c r="Q94" i="16" s="1"/>
  <c r="P94" i="16"/>
  <c r="M95" i="16"/>
  <c r="N95" i="16" s="1"/>
  <c r="O95" i="16"/>
  <c r="Q95" i="16" s="1"/>
  <c r="P95" i="16"/>
  <c r="M96" i="16"/>
  <c r="N96" i="16" s="1"/>
  <c r="O96" i="16"/>
  <c r="Q96" i="16" s="1"/>
  <c r="P96" i="16"/>
  <c r="M97" i="16"/>
  <c r="N97" i="16" s="1"/>
  <c r="O97" i="16"/>
  <c r="Q97" i="16" s="1"/>
  <c r="P97" i="16"/>
  <c r="M98" i="16"/>
  <c r="N98" i="16" s="1"/>
  <c r="O98" i="16"/>
  <c r="Q98" i="16" s="1"/>
  <c r="P98" i="16"/>
  <c r="M99" i="16"/>
  <c r="N99" i="16" s="1"/>
  <c r="O99" i="16"/>
  <c r="Q99" i="16" s="1"/>
  <c r="P99" i="16"/>
  <c r="M100" i="16"/>
  <c r="N100" i="16" s="1"/>
  <c r="O100" i="16"/>
  <c r="Q100" i="16" s="1"/>
  <c r="P100" i="16"/>
  <c r="M101" i="16"/>
  <c r="N101" i="16" s="1"/>
  <c r="O101" i="16"/>
  <c r="Q101" i="16" s="1"/>
  <c r="P101" i="16"/>
  <c r="M102" i="16"/>
  <c r="N102" i="16" s="1"/>
  <c r="O102" i="16"/>
  <c r="Q102" i="16" s="1"/>
  <c r="P102" i="16"/>
  <c r="M103" i="16"/>
  <c r="N103" i="16" s="1"/>
  <c r="O103" i="16"/>
  <c r="Q103" i="16" s="1"/>
  <c r="P103" i="16"/>
  <c r="M104" i="16"/>
  <c r="N104" i="16" s="1"/>
  <c r="O104" i="16"/>
  <c r="Q104" i="16" s="1"/>
  <c r="P104" i="16"/>
  <c r="M105" i="16"/>
  <c r="N105" i="16" s="1"/>
  <c r="O105" i="16"/>
  <c r="Q105" i="16" s="1"/>
  <c r="P105" i="16"/>
  <c r="M106" i="16"/>
  <c r="N106" i="16" s="1"/>
  <c r="O106" i="16"/>
  <c r="Q106" i="16" s="1"/>
  <c r="P106" i="16"/>
  <c r="M107" i="16"/>
  <c r="N107" i="16" s="1"/>
  <c r="O107" i="16"/>
  <c r="Q107" i="16" s="1"/>
  <c r="P107" i="16"/>
  <c r="M108" i="16"/>
  <c r="N108" i="16" s="1"/>
  <c r="O108" i="16"/>
  <c r="Q108" i="16" s="1"/>
  <c r="P108" i="16"/>
  <c r="M109" i="16"/>
  <c r="N109" i="16" s="1"/>
  <c r="O109" i="16"/>
  <c r="Q109" i="16" s="1"/>
  <c r="P109" i="16"/>
  <c r="M110" i="16"/>
  <c r="N110" i="16" s="1"/>
  <c r="O110" i="16"/>
  <c r="Q110" i="16" s="1"/>
  <c r="P110" i="16"/>
  <c r="M111" i="16"/>
  <c r="N111" i="16" s="1"/>
  <c r="O111" i="16"/>
  <c r="Q111" i="16" s="1"/>
  <c r="P111" i="16"/>
  <c r="M112" i="16"/>
  <c r="N112" i="16" s="1"/>
  <c r="O112" i="16"/>
  <c r="P112" i="16"/>
  <c r="Q112" i="16"/>
  <c r="M113" i="16"/>
  <c r="N113" i="16" s="1"/>
  <c r="O113" i="16"/>
  <c r="Q113" i="16" s="1"/>
  <c r="P113" i="16"/>
  <c r="M114" i="16"/>
  <c r="N114" i="16" s="1"/>
  <c r="O114" i="16"/>
  <c r="P114" i="16"/>
  <c r="Q114" i="16"/>
  <c r="M115" i="16"/>
  <c r="N115" i="16" s="1"/>
  <c r="O115" i="16"/>
  <c r="Q115" i="16" s="1"/>
  <c r="P115" i="16"/>
  <c r="M116" i="16"/>
  <c r="N116" i="16" s="1"/>
  <c r="O116" i="16"/>
  <c r="Q116" i="16" s="1"/>
  <c r="P116" i="16"/>
  <c r="M117" i="16"/>
  <c r="N117" i="16" s="1"/>
  <c r="O117" i="16"/>
  <c r="Q117" i="16" s="1"/>
  <c r="P117" i="16"/>
  <c r="M118" i="16"/>
  <c r="N118" i="16" s="1"/>
  <c r="O118" i="16"/>
  <c r="Q118" i="16" s="1"/>
  <c r="P118" i="16"/>
  <c r="M119" i="16"/>
  <c r="N119" i="16" s="1"/>
  <c r="O119" i="16"/>
  <c r="Q119" i="16" s="1"/>
  <c r="P119" i="16"/>
  <c r="M120" i="16"/>
  <c r="N120" i="16" s="1"/>
  <c r="O120" i="16"/>
  <c r="Q120" i="16" s="1"/>
  <c r="P120" i="16"/>
  <c r="M121" i="16"/>
  <c r="N121" i="16" s="1"/>
  <c r="O121" i="16"/>
  <c r="Q121" i="16" s="1"/>
  <c r="P121" i="16"/>
  <c r="M122" i="16"/>
  <c r="N122" i="16" s="1"/>
  <c r="O122" i="16"/>
  <c r="Q122" i="16" s="1"/>
  <c r="P122" i="16"/>
  <c r="M123" i="16"/>
  <c r="N123" i="16" s="1"/>
  <c r="O123" i="16"/>
  <c r="Q123" i="16" s="1"/>
  <c r="P123" i="16"/>
  <c r="M124" i="16"/>
  <c r="N124" i="16" s="1"/>
  <c r="O124" i="16"/>
  <c r="Q124" i="16" s="1"/>
  <c r="P124" i="16"/>
  <c r="M125" i="16"/>
  <c r="N125" i="16" s="1"/>
  <c r="O125" i="16"/>
  <c r="Q125" i="16" s="1"/>
  <c r="P125" i="16"/>
  <c r="M126" i="16"/>
  <c r="N126" i="16" s="1"/>
  <c r="O126" i="16"/>
  <c r="Q126" i="16" s="1"/>
  <c r="P126" i="16"/>
  <c r="M127" i="16"/>
  <c r="N127" i="16" s="1"/>
  <c r="O127" i="16"/>
  <c r="Q127" i="16" s="1"/>
  <c r="P127" i="16"/>
  <c r="M128" i="16"/>
  <c r="N128" i="16" s="1"/>
  <c r="O128" i="16"/>
  <c r="Q128" i="16" s="1"/>
  <c r="P128" i="16"/>
  <c r="M129" i="16"/>
  <c r="N129" i="16" s="1"/>
  <c r="O129" i="16"/>
  <c r="Q129" i="16" s="1"/>
  <c r="P129" i="16"/>
  <c r="M130" i="16"/>
  <c r="N130" i="16" s="1"/>
  <c r="O130" i="16"/>
  <c r="Q130" i="16" s="1"/>
  <c r="P130" i="16"/>
  <c r="M131" i="16"/>
  <c r="N131" i="16" s="1"/>
  <c r="O131" i="16"/>
  <c r="Q131" i="16" s="1"/>
  <c r="P131" i="16"/>
  <c r="M132" i="16"/>
  <c r="N132" i="16" s="1"/>
  <c r="O132" i="16"/>
  <c r="Q132" i="16" s="1"/>
  <c r="P132" i="16"/>
  <c r="M133" i="16"/>
  <c r="N133" i="16" s="1"/>
  <c r="O133" i="16"/>
  <c r="Q133" i="16" s="1"/>
  <c r="P133" i="16"/>
  <c r="M134" i="16"/>
  <c r="N134" i="16" s="1"/>
  <c r="O134" i="16"/>
  <c r="Q134" i="16" s="1"/>
  <c r="P134" i="16"/>
  <c r="M135" i="16"/>
  <c r="N135" i="16" s="1"/>
  <c r="O135" i="16"/>
  <c r="Q135" i="16" s="1"/>
  <c r="P135" i="16"/>
  <c r="M136" i="16"/>
  <c r="N136" i="16" s="1"/>
  <c r="O136" i="16"/>
  <c r="Q136" i="16" s="1"/>
  <c r="P136" i="16"/>
  <c r="M137" i="16"/>
  <c r="N137" i="16" s="1"/>
  <c r="O137" i="16"/>
  <c r="Q137" i="16" s="1"/>
  <c r="P137" i="16"/>
  <c r="M138" i="16"/>
  <c r="N138" i="16" s="1"/>
  <c r="O138" i="16"/>
  <c r="Q138" i="16" s="1"/>
  <c r="P138" i="16"/>
  <c r="M139" i="16"/>
  <c r="N139" i="16" s="1"/>
  <c r="O139" i="16"/>
  <c r="Q139" i="16" s="1"/>
  <c r="P139" i="16"/>
  <c r="M140" i="16"/>
  <c r="N140" i="16" s="1"/>
  <c r="O140" i="16"/>
  <c r="Q140" i="16" s="1"/>
  <c r="P140" i="16"/>
  <c r="M141" i="16"/>
  <c r="N141" i="16" s="1"/>
  <c r="O141" i="16"/>
  <c r="Q141" i="16" s="1"/>
  <c r="P141" i="16"/>
  <c r="M142" i="16"/>
  <c r="N142" i="16" s="1"/>
  <c r="O142" i="16"/>
  <c r="Q142" i="16" s="1"/>
  <c r="P142" i="16"/>
  <c r="M143" i="16"/>
  <c r="N143" i="16" s="1"/>
  <c r="O143" i="16"/>
  <c r="Q143" i="16" s="1"/>
  <c r="P143" i="16"/>
  <c r="M144" i="16"/>
  <c r="N144" i="16" s="1"/>
  <c r="O144" i="16"/>
  <c r="Q144" i="16" s="1"/>
  <c r="P144" i="16"/>
  <c r="M145" i="16"/>
  <c r="N145" i="16" s="1"/>
  <c r="O145" i="16"/>
  <c r="Q145" i="16" s="1"/>
  <c r="P145" i="16"/>
  <c r="M146" i="16"/>
  <c r="N146" i="16" s="1"/>
  <c r="O146" i="16"/>
  <c r="Q146" i="16" s="1"/>
  <c r="P146" i="16"/>
  <c r="M147" i="16"/>
  <c r="N147" i="16" s="1"/>
  <c r="O147" i="16"/>
  <c r="Q147" i="16" s="1"/>
  <c r="P147" i="16"/>
  <c r="M148" i="16"/>
  <c r="N148" i="16" s="1"/>
  <c r="O148" i="16"/>
  <c r="Q148" i="16" s="1"/>
  <c r="P148" i="16"/>
  <c r="M149" i="16"/>
  <c r="N149" i="16" s="1"/>
  <c r="O149" i="16"/>
  <c r="Q149" i="16" s="1"/>
  <c r="P149" i="16"/>
  <c r="M150" i="16"/>
  <c r="N150" i="16" s="1"/>
  <c r="O150" i="16"/>
  <c r="Q150" i="16" s="1"/>
  <c r="P150" i="16"/>
  <c r="M151" i="16"/>
  <c r="N151" i="16" s="1"/>
  <c r="O151" i="16"/>
  <c r="Q151" i="16" s="1"/>
  <c r="P151" i="16"/>
  <c r="M152" i="16"/>
  <c r="N152" i="16" s="1"/>
  <c r="O152" i="16"/>
  <c r="Q152" i="16" s="1"/>
  <c r="P152" i="16"/>
  <c r="M153" i="16"/>
  <c r="N153" i="16" s="1"/>
  <c r="O153" i="16"/>
  <c r="Q153" i="16" s="1"/>
  <c r="P153" i="16"/>
  <c r="M154" i="16"/>
  <c r="N154" i="16" s="1"/>
  <c r="O154" i="16"/>
  <c r="Q154" i="16" s="1"/>
  <c r="P154" i="16"/>
  <c r="M155" i="16"/>
  <c r="N155" i="16" s="1"/>
  <c r="O155" i="16"/>
  <c r="Q155" i="16" s="1"/>
  <c r="P155" i="16"/>
  <c r="M156" i="16"/>
  <c r="N156" i="16" s="1"/>
  <c r="O156" i="16"/>
  <c r="Q156" i="16" s="1"/>
  <c r="P156" i="16"/>
  <c r="M157" i="16"/>
  <c r="N157" i="16" s="1"/>
  <c r="O157" i="16"/>
  <c r="P157" i="16"/>
  <c r="Q157" i="16"/>
  <c r="M158" i="16"/>
  <c r="N158" i="16" s="1"/>
  <c r="O158" i="16"/>
  <c r="Q158" i="16" s="1"/>
  <c r="P158" i="16"/>
  <c r="M159" i="16"/>
  <c r="N159" i="16" s="1"/>
  <c r="O159" i="16"/>
  <c r="Q159" i="16" s="1"/>
  <c r="P159" i="16"/>
  <c r="M160" i="16"/>
  <c r="N160" i="16" s="1"/>
  <c r="O160" i="16"/>
  <c r="Q160" i="16" s="1"/>
  <c r="P160" i="16"/>
  <c r="M161" i="16"/>
  <c r="N161" i="16" s="1"/>
  <c r="O161" i="16"/>
  <c r="Q161" i="16" s="1"/>
  <c r="P161" i="16"/>
  <c r="M162" i="16"/>
  <c r="N162" i="16" s="1"/>
  <c r="O162" i="16"/>
  <c r="Q162" i="16" s="1"/>
  <c r="P162" i="16"/>
  <c r="M163" i="16"/>
  <c r="N163" i="16" s="1"/>
  <c r="O163" i="16"/>
  <c r="Q163" i="16" s="1"/>
  <c r="P163" i="16"/>
  <c r="M164" i="16"/>
  <c r="N164" i="16" s="1"/>
  <c r="O164" i="16"/>
  <c r="Q164" i="16" s="1"/>
  <c r="P164" i="16"/>
  <c r="M165" i="16"/>
  <c r="N165" i="16" s="1"/>
  <c r="O165" i="16"/>
  <c r="Q165" i="16" s="1"/>
  <c r="P165" i="16"/>
  <c r="M166" i="16"/>
  <c r="N166" i="16" s="1"/>
  <c r="O166" i="16"/>
  <c r="Q166" i="16" s="1"/>
  <c r="P166" i="16"/>
  <c r="M167" i="16"/>
  <c r="N167" i="16" s="1"/>
  <c r="O167" i="16"/>
  <c r="Q167" i="16" s="1"/>
  <c r="P167" i="16"/>
  <c r="M168" i="16"/>
  <c r="N168" i="16" s="1"/>
  <c r="O168" i="16"/>
  <c r="Q168" i="16" s="1"/>
  <c r="P168" i="16"/>
  <c r="M169" i="16"/>
  <c r="N169" i="16" s="1"/>
  <c r="O169" i="16"/>
  <c r="Q169" i="16" s="1"/>
  <c r="P169" i="16"/>
  <c r="M170" i="16"/>
  <c r="N170" i="16" s="1"/>
  <c r="O170" i="16"/>
  <c r="Q170" i="16" s="1"/>
  <c r="P170" i="16"/>
  <c r="M171" i="16"/>
  <c r="N171" i="16" s="1"/>
  <c r="O171" i="16"/>
  <c r="Q171" i="16" s="1"/>
  <c r="P171" i="16"/>
  <c r="M172" i="16"/>
  <c r="N172" i="16" s="1"/>
  <c r="O172" i="16"/>
  <c r="Q172" i="16" s="1"/>
  <c r="P172" i="16"/>
  <c r="M173" i="16"/>
  <c r="N173" i="16" s="1"/>
  <c r="O173" i="16"/>
  <c r="Q173" i="16" s="1"/>
  <c r="P173" i="16"/>
  <c r="M174" i="16"/>
  <c r="N174" i="16" s="1"/>
  <c r="O174" i="16"/>
  <c r="Q174" i="16" s="1"/>
  <c r="P174" i="16"/>
  <c r="M175" i="16"/>
  <c r="N175" i="16" s="1"/>
  <c r="O175" i="16"/>
  <c r="Q175" i="16" s="1"/>
  <c r="P175" i="16"/>
  <c r="M176" i="16"/>
  <c r="N176" i="16" s="1"/>
  <c r="O176" i="16"/>
  <c r="Q176" i="16" s="1"/>
  <c r="P176" i="16"/>
  <c r="M177" i="16"/>
  <c r="N177" i="16" s="1"/>
  <c r="O177" i="16"/>
  <c r="Q177" i="16" s="1"/>
  <c r="P177" i="16"/>
  <c r="M33" i="15"/>
  <c r="N33" i="15" s="1"/>
  <c r="O33" i="15"/>
  <c r="Q33" i="15" s="1"/>
  <c r="P33" i="15"/>
  <c r="M34" i="15"/>
  <c r="N34" i="15" s="1"/>
  <c r="O34" i="15"/>
  <c r="Q34" i="15" s="1"/>
  <c r="P34" i="15"/>
  <c r="M35" i="15"/>
  <c r="N35" i="15" s="1"/>
  <c r="O35" i="15"/>
  <c r="Q35" i="15" s="1"/>
  <c r="P35" i="15"/>
  <c r="M36" i="15"/>
  <c r="N36" i="15" s="1"/>
  <c r="O36" i="15"/>
  <c r="Q36" i="15" s="1"/>
  <c r="P36" i="15"/>
  <c r="M37" i="15"/>
  <c r="N37" i="15" s="1"/>
  <c r="O37" i="15"/>
  <c r="Q37" i="15" s="1"/>
  <c r="P37" i="15"/>
  <c r="M38" i="15"/>
  <c r="N38" i="15" s="1"/>
  <c r="O38" i="15"/>
  <c r="Q38" i="15" s="1"/>
  <c r="P38" i="15"/>
  <c r="M39" i="15"/>
  <c r="N39" i="15" s="1"/>
  <c r="O39" i="15"/>
  <c r="Q39" i="15" s="1"/>
  <c r="P39" i="15"/>
  <c r="M40" i="15"/>
  <c r="N40" i="15" s="1"/>
  <c r="O40" i="15"/>
  <c r="Q40" i="15" s="1"/>
  <c r="P40" i="15"/>
  <c r="M41" i="15"/>
  <c r="N41" i="15" s="1"/>
  <c r="O41" i="15"/>
  <c r="Q41" i="15" s="1"/>
  <c r="P41" i="15"/>
  <c r="M42" i="15"/>
  <c r="N42" i="15" s="1"/>
  <c r="O42" i="15"/>
  <c r="Q42" i="15" s="1"/>
  <c r="P42" i="15"/>
  <c r="M43" i="15"/>
  <c r="N43" i="15" s="1"/>
  <c r="O43" i="15"/>
  <c r="Q43" i="15" s="1"/>
  <c r="P43" i="15"/>
  <c r="M44" i="15"/>
  <c r="N44" i="15" s="1"/>
  <c r="O44" i="15"/>
  <c r="Q44" i="15" s="1"/>
  <c r="P44" i="15"/>
  <c r="M45" i="15"/>
  <c r="N45" i="15" s="1"/>
  <c r="O45" i="15"/>
  <c r="Q45" i="15" s="1"/>
  <c r="P45" i="15"/>
  <c r="M46" i="15"/>
  <c r="N46" i="15" s="1"/>
  <c r="O46" i="15"/>
  <c r="Q46" i="15" s="1"/>
  <c r="P46" i="15"/>
  <c r="M47" i="15"/>
  <c r="N47" i="15" s="1"/>
  <c r="O47" i="15"/>
  <c r="Q47" i="15" s="1"/>
  <c r="P47" i="15"/>
  <c r="M48" i="15"/>
  <c r="N48" i="15" s="1"/>
  <c r="O48" i="15"/>
  <c r="Q48" i="15" s="1"/>
  <c r="P48" i="15"/>
  <c r="M49" i="15"/>
  <c r="N49" i="15" s="1"/>
  <c r="O49" i="15"/>
  <c r="Q49" i="15" s="1"/>
  <c r="P49" i="15"/>
  <c r="M50" i="15"/>
  <c r="N50" i="15" s="1"/>
  <c r="O50" i="15"/>
  <c r="Q50" i="15" s="1"/>
  <c r="P50" i="15"/>
  <c r="M51" i="15"/>
  <c r="N51" i="15" s="1"/>
  <c r="O51" i="15"/>
  <c r="Q51" i="15" s="1"/>
  <c r="P51" i="15"/>
  <c r="M52" i="15"/>
  <c r="N52" i="15" s="1"/>
  <c r="O52" i="15"/>
  <c r="Q52" i="15" s="1"/>
  <c r="P52" i="15"/>
  <c r="M53" i="15"/>
  <c r="N53" i="15" s="1"/>
  <c r="O53" i="15"/>
  <c r="Q53" i="15" s="1"/>
  <c r="P53" i="15"/>
  <c r="M54" i="15"/>
  <c r="N54" i="15" s="1"/>
  <c r="O54" i="15"/>
  <c r="Q54" i="15" s="1"/>
  <c r="P54" i="15"/>
  <c r="M55" i="15"/>
  <c r="N55" i="15" s="1"/>
  <c r="O55" i="15"/>
  <c r="Q55" i="15" s="1"/>
  <c r="P55" i="15"/>
  <c r="M56" i="15"/>
  <c r="N56" i="15" s="1"/>
  <c r="O56" i="15"/>
  <c r="Q56" i="15" s="1"/>
  <c r="P56" i="15"/>
  <c r="M57" i="15"/>
  <c r="N57" i="15" s="1"/>
  <c r="O57" i="15"/>
  <c r="Q57" i="15" s="1"/>
  <c r="P57" i="15"/>
  <c r="M58" i="15"/>
  <c r="N58" i="15" s="1"/>
  <c r="O58" i="15"/>
  <c r="Q58" i="15" s="1"/>
  <c r="P58" i="15"/>
  <c r="M59" i="15"/>
  <c r="N59" i="15" s="1"/>
  <c r="O59" i="15"/>
  <c r="Q59" i="15" s="1"/>
  <c r="P59" i="15"/>
  <c r="M60" i="15"/>
  <c r="N60" i="15" s="1"/>
  <c r="O60" i="15"/>
  <c r="Q60" i="15" s="1"/>
  <c r="P60" i="15"/>
  <c r="M61" i="15"/>
  <c r="N61" i="15" s="1"/>
  <c r="O61" i="15"/>
  <c r="Q61" i="15" s="1"/>
  <c r="P61" i="15"/>
  <c r="M62" i="15"/>
  <c r="N62" i="15" s="1"/>
  <c r="O62" i="15"/>
  <c r="Q62" i="15" s="1"/>
  <c r="P62" i="15"/>
  <c r="M63" i="15"/>
  <c r="N63" i="15" s="1"/>
  <c r="O63" i="15"/>
  <c r="Q63" i="15" s="1"/>
  <c r="P63" i="15"/>
  <c r="M64" i="15"/>
  <c r="N64" i="15" s="1"/>
  <c r="O64" i="15"/>
  <c r="Q64" i="15" s="1"/>
  <c r="P64" i="15"/>
  <c r="M65" i="15"/>
  <c r="N65" i="15" s="1"/>
  <c r="O65" i="15"/>
  <c r="Q65" i="15" s="1"/>
  <c r="P65" i="15"/>
  <c r="M66" i="15"/>
  <c r="N66" i="15" s="1"/>
  <c r="O66" i="15"/>
  <c r="Q66" i="15" s="1"/>
  <c r="P66" i="15"/>
  <c r="M67" i="15"/>
  <c r="N67" i="15" s="1"/>
  <c r="O67" i="15"/>
  <c r="Q67" i="15" s="1"/>
  <c r="P67" i="15"/>
  <c r="M68" i="15"/>
  <c r="N68" i="15" s="1"/>
  <c r="O68" i="15"/>
  <c r="Q68" i="15" s="1"/>
  <c r="P68" i="15"/>
  <c r="M69" i="15"/>
  <c r="N69" i="15" s="1"/>
  <c r="O69" i="15"/>
  <c r="Q69" i="15" s="1"/>
  <c r="P69" i="15"/>
  <c r="M70" i="15"/>
  <c r="N70" i="15" s="1"/>
  <c r="O70" i="15"/>
  <c r="Q70" i="15" s="1"/>
  <c r="P70" i="15"/>
  <c r="M71" i="15"/>
  <c r="N71" i="15" s="1"/>
  <c r="O71" i="15"/>
  <c r="Q71" i="15" s="1"/>
  <c r="P71" i="15"/>
  <c r="M72" i="15"/>
  <c r="N72" i="15" s="1"/>
  <c r="O72" i="15"/>
  <c r="Q72" i="15" s="1"/>
  <c r="P72" i="15"/>
  <c r="M73" i="15"/>
  <c r="N73" i="15" s="1"/>
  <c r="O73" i="15"/>
  <c r="Q73" i="15" s="1"/>
  <c r="P73" i="15"/>
  <c r="M74" i="15"/>
  <c r="N74" i="15" s="1"/>
  <c r="O74" i="15"/>
  <c r="Q74" i="15" s="1"/>
  <c r="P74" i="15"/>
  <c r="M75" i="15"/>
  <c r="N75" i="15" s="1"/>
  <c r="O75" i="15"/>
  <c r="Q75" i="15" s="1"/>
  <c r="P75" i="15"/>
  <c r="M76" i="15"/>
  <c r="N76" i="15" s="1"/>
  <c r="O76" i="15"/>
  <c r="Q76" i="15" s="1"/>
  <c r="P76" i="15"/>
  <c r="M77" i="15"/>
  <c r="N77" i="15" s="1"/>
  <c r="O77" i="15"/>
  <c r="Q77" i="15" s="1"/>
  <c r="P77" i="15"/>
  <c r="M78" i="15"/>
  <c r="N78" i="15" s="1"/>
  <c r="O78" i="15"/>
  <c r="Q78" i="15" s="1"/>
  <c r="P78" i="15"/>
  <c r="M79" i="15"/>
  <c r="N79" i="15" s="1"/>
  <c r="O79" i="15"/>
  <c r="Q79" i="15" s="1"/>
  <c r="P79" i="15"/>
  <c r="M80" i="15"/>
  <c r="N80" i="15" s="1"/>
  <c r="O80" i="15"/>
  <c r="Q80" i="15" s="1"/>
  <c r="P80" i="15"/>
  <c r="M81" i="15"/>
  <c r="N81" i="15" s="1"/>
  <c r="O81" i="15"/>
  <c r="Q81" i="15" s="1"/>
  <c r="P81" i="15"/>
  <c r="M82" i="15"/>
  <c r="N82" i="15" s="1"/>
  <c r="O82" i="15"/>
  <c r="Q82" i="15" s="1"/>
  <c r="P82" i="15"/>
  <c r="M83" i="15"/>
  <c r="N83" i="15" s="1"/>
  <c r="O83" i="15"/>
  <c r="Q83" i="15" s="1"/>
  <c r="P83" i="15"/>
  <c r="M84" i="15"/>
  <c r="N84" i="15" s="1"/>
  <c r="O84" i="15"/>
  <c r="Q84" i="15" s="1"/>
  <c r="P84" i="15"/>
  <c r="M85" i="15"/>
  <c r="N85" i="15" s="1"/>
  <c r="O85" i="15"/>
  <c r="Q85" i="15" s="1"/>
  <c r="P85" i="15"/>
  <c r="M86" i="15"/>
  <c r="N86" i="15" s="1"/>
  <c r="O86" i="15"/>
  <c r="Q86" i="15" s="1"/>
  <c r="P86" i="15"/>
  <c r="M87" i="15"/>
  <c r="N87" i="15" s="1"/>
  <c r="O87" i="15"/>
  <c r="Q87" i="15" s="1"/>
  <c r="P87" i="15"/>
  <c r="M88" i="15"/>
  <c r="N88" i="15" s="1"/>
  <c r="O88" i="15"/>
  <c r="Q88" i="15" s="1"/>
  <c r="P88" i="15"/>
  <c r="M89" i="15"/>
  <c r="N89" i="15" s="1"/>
  <c r="O89" i="15"/>
  <c r="Q89" i="15" s="1"/>
  <c r="P89" i="15"/>
  <c r="M90" i="15"/>
  <c r="N90" i="15" s="1"/>
  <c r="O90" i="15"/>
  <c r="Q90" i="15" s="1"/>
  <c r="P90" i="15"/>
  <c r="M91" i="15"/>
  <c r="N91" i="15" s="1"/>
  <c r="O91" i="15"/>
  <c r="Q91" i="15" s="1"/>
  <c r="P91" i="15"/>
  <c r="M92" i="15"/>
  <c r="N92" i="15" s="1"/>
  <c r="O92" i="15"/>
  <c r="Q92" i="15" s="1"/>
  <c r="P92" i="15"/>
  <c r="M93" i="15"/>
  <c r="N93" i="15" s="1"/>
  <c r="O93" i="15"/>
  <c r="Q93" i="15" s="1"/>
  <c r="P93" i="15"/>
  <c r="M94" i="15"/>
  <c r="N94" i="15" s="1"/>
  <c r="O94" i="15"/>
  <c r="Q94" i="15" s="1"/>
  <c r="P94" i="15"/>
  <c r="M95" i="15"/>
  <c r="N95" i="15" s="1"/>
  <c r="O95" i="15"/>
  <c r="Q95" i="15" s="1"/>
  <c r="P95" i="15"/>
  <c r="M96" i="15"/>
  <c r="N96" i="15" s="1"/>
  <c r="O96" i="15"/>
  <c r="Q96" i="15" s="1"/>
  <c r="P96" i="15"/>
  <c r="M97" i="15"/>
  <c r="N97" i="15" s="1"/>
  <c r="O97" i="15"/>
  <c r="Q97" i="15" s="1"/>
  <c r="P97" i="15"/>
  <c r="M98" i="15"/>
  <c r="N98" i="15" s="1"/>
  <c r="O98" i="15"/>
  <c r="Q98" i="15" s="1"/>
  <c r="P98" i="15"/>
  <c r="M99" i="15"/>
  <c r="N99" i="15" s="1"/>
  <c r="O99" i="15"/>
  <c r="Q99" i="15" s="1"/>
  <c r="P99" i="15"/>
  <c r="M100" i="15"/>
  <c r="N100" i="15" s="1"/>
  <c r="O100" i="15"/>
  <c r="Q100" i="15" s="1"/>
  <c r="P100" i="15"/>
  <c r="M101" i="15"/>
  <c r="N101" i="15" s="1"/>
  <c r="O101" i="15"/>
  <c r="Q101" i="15" s="1"/>
  <c r="P101" i="15"/>
  <c r="M102" i="15"/>
  <c r="N102" i="15" s="1"/>
  <c r="O102" i="15"/>
  <c r="Q102" i="15" s="1"/>
  <c r="P102" i="15"/>
  <c r="M103" i="15"/>
  <c r="N103" i="15" s="1"/>
  <c r="O103" i="15"/>
  <c r="Q103" i="15" s="1"/>
  <c r="P103" i="15"/>
  <c r="M104" i="15"/>
  <c r="N104" i="15" s="1"/>
  <c r="O104" i="15"/>
  <c r="Q104" i="15" s="1"/>
  <c r="P104" i="15"/>
  <c r="M105" i="15"/>
  <c r="N105" i="15" s="1"/>
  <c r="O105" i="15"/>
  <c r="Q105" i="15" s="1"/>
  <c r="P105" i="15"/>
  <c r="M106" i="15"/>
  <c r="N106" i="15" s="1"/>
  <c r="O106" i="15"/>
  <c r="Q106" i="15" s="1"/>
  <c r="P106" i="15"/>
  <c r="M107" i="15"/>
  <c r="N107" i="15" s="1"/>
  <c r="O107" i="15"/>
  <c r="Q107" i="15" s="1"/>
  <c r="P107" i="15"/>
  <c r="M108" i="15"/>
  <c r="N108" i="15" s="1"/>
  <c r="O108" i="15"/>
  <c r="Q108" i="15" s="1"/>
  <c r="P108" i="15"/>
  <c r="M109" i="15"/>
  <c r="N109" i="15" s="1"/>
  <c r="O109" i="15"/>
  <c r="Q109" i="15" s="1"/>
  <c r="P109" i="15"/>
  <c r="M110" i="15"/>
  <c r="N110" i="15" s="1"/>
  <c r="O110" i="15"/>
  <c r="Q110" i="15" s="1"/>
  <c r="P110" i="15"/>
  <c r="M111" i="15"/>
  <c r="N111" i="15" s="1"/>
  <c r="O111" i="15"/>
  <c r="Q111" i="15" s="1"/>
  <c r="P111" i="15"/>
  <c r="M112" i="15"/>
  <c r="N112" i="15" s="1"/>
  <c r="O112" i="15"/>
  <c r="Q112" i="15" s="1"/>
  <c r="P112" i="15"/>
  <c r="M113" i="15"/>
  <c r="N113" i="15" s="1"/>
  <c r="O113" i="15"/>
  <c r="Q113" i="15" s="1"/>
  <c r="P113" i="15"/>
  <c r="M114" i="15"/>
  <c r="N114" i="15" s="1"/>
  <c r="O114" i="15"/>
  <c r="Q114" i="15" s="1"/>
  <c r="P114" i="15"/>
  <c r="M115" i="15"/>
  <c r="N115" i="15" s="1"/>
  <c r="O115" i="15"/>
  <c r="Q115" i="15" s="1"/>
  <c r="P115" i="15"/>
  <c r="M116" i="15"/>
  <c r="N116" i="15" s="1"/>
  <c r="O116" i="15"/>
  <c r="Q116" i="15" s="1"/>
  <c r="P116" i="15"/>
  <c r="M117" i="15"/>
  <c r="N117" i="15" s="1"/>
  <c r="O117" i="15"/>
  <c r="Q117" i="15" s="1"/>
  <c r="P117" i="15"/>
  <c r="M118" i="15"/>
  <c r="N118" i="15" s="1"/>
  <c r="O118" i="15"/>
  <c r="Q118" i="15" s="1"/>
  <c r="P118" i="15"/>
  <c r="M119" i="15"/>
  <c r="N119" i="15" s="1"/>
  <c r="O119" i="15"/>
  <c r="Q119" i="15" s="1"/>
  <c r="P119" i="15"/>
  <c r="M120" i="15"/>
  <c r="N120" i="15" s="1"/>
  <c r="O120" i="15"/>
  <c r="Q120" i="15" s="1"/>
  <c r="P120" i="15"/>
  <c r="M121" i="15"/>
  <c r="N121" i="15" s="1"/>
  <c r="O121" i="15"/>
  <c r="Q121" i="15" s="1"/>
  <c r="P121" i="15"/>
  <c r="M122" i="15"/>
  <c r="N122" i="15" s="1"/>
  <c r="O122" i="15"/>
  <c r="Q122" i="15" s="1"/>
  <c r="P122" i="15"/>
  <c r="M123" i="15"/>
  <c r="N123" i="15" s="1"/>
  <c r="O123" i="15"/>
  <c r="Q123" i="15" s="1"/>
  <c r="P123" i="15"/>
  <c r="M124" i="15"/>
  <c r="N124" i="15" s="1"/>
  <c r="O124" i="15"/>
  <c r="Q124" i="15" s="1"/>
  <c r="P124" i="15"/>
  <c r="M125" i="15"/>
  <c r="N125" i="15" s="1"/>
  <c r="O125" i="15"/>
  <c r="Q125" i="15" s="1"/>
  <c r="P125" i="15"/>
  <c r="M126" i="15"/>
  <c r="N126" i="15" s="1"/>
  <c r="O126" i="15"/>
  <c r="Q126" i="15" s="1"/>
  <c r="P126" i="15"/>
  <c r="M127" i="15"/>
  <c r="N127" i="15" s="1"/>
  <c r="O127" i="15"/>
  <c r="Q127" i="15" s="1"/>
  <c r="P127" i="15"/>
  <c r="M128" i="15"/>
  <c r="N128" i="15" s="1"/>
  <c r="O128" i="15"/>
  <c r="Q128" i="15" s="1"/>
  <c r="P128" i="15"/>
  <c r="M129" i="15"/>
  <c r="N129" i="15" s="1"/>
  <c r="O129" i="15"/>
  <c r="Q129" i="15" s="1"/>
  <c r="P129" i="15"/>
  <c r="M130" i="15"/>
  <c r="N130" i="15" s="1"/>
  <c r="O130" i="15"/>
  <c r="Q130" i="15" s="1"/>
  <c r="P130" i="15"/>
  <c r="M131" i="15"/>
  <c r="N131" i="15" s="1"/>
  <c r="O131" i="15"/>
  <c r="Q131" i="15" s="1"/>
  <c r="P131" i="15"/>
  <c r="M132" i="15"/>
  <c r="N132" i="15" s="1"/>
  <c r="O132" i="15"/>
  <c r="Q132" i="15" s="1"/>
  <c r="P132" i="15"/>
  <c r="M133" i="15"/>
  <c r="N133" i="15" s="1"/>
  <c r="O133" i="15"/>
  <c r="Q133" i="15" s="1"/>
  <c r="P133" i="15"/>
  <c r="M134" i="15"/>
  <c r="N134" i="15" s="1"/>
  <c r="O134" i="15"/>
  <c r="Q134" i="15" s="1"/>
  <c r="P134" i="15"/>
  <c r="M135" i="15"/>
  <c r="N135" i="15" s="1"/>
  <c r="O135" i="15"/>
  <c r="Q135" i="15" s="1"/>
  <c r="P135" i="15"/>
  <c r="M136" i="15"/>
  <c r="N136" i="15" s="1"/>
  <c r="O136" i="15"/>
  <c r="Q136" i="15" s="1"/>
  <c r="P136" i="15"/>
  <c r="M137" i="15"/>
  <c r="N137" i="15" s="1"/>
  <c r="O137" i="15"/>
  <c r="Q137" i="15" s="1"/>
  <c r="P137" i="15"/>
  <c r="M138" i="15"/>
  <c r="N138" i="15" s="1"/>
  <c r="O138" i="15"/>
  <c r="Q138" i="15" s="1"/>
  <c r="P138" i="15"/>
  <c r="M139" i="15"/>
  <c r="N139" i="15" s="1"/>
  <c r="O139" i="15"/>
  <c r="Q139" i="15" s="1"/>
  <c r="P139" i="15"/>
  <c r="M140" i="15"/>
  <c r="N140" i="15" s="1"/>
  <c r="O140" i="15"/>
  <c r="Q140" i="15" s="1"/>
  <c r="P140" i="15"/>
  <c r="M141" i="15"/>
  <c r="N141" i="15" s="1"/>
  <c r="O141" i="15"/>
  <c r="Q141" i="15" s="1"/>
  <c r="P141" i="15"/>
  <c r="M142" i="15"/>
  <c r="N142" i="15" s="1"/>
  <c r="O142" i="15"/>
  <c r="Q142" i="15" s="1"/>
  <c r="P142" i="15"/>
  <c r="M143" i="15"/>
  <c r="N143" i="15" s="1"/>
  <c r="O143" i="15"/>
  <c r="Q143" i="15" s="1"/>
  <c r="P143" i="15"/>
  <c r="M144" i="15"/>
  <c r="N144" i="15" s="1"/>
  <c r="O144" i="15"/>
  <c r="Q144" i="15" s="1"/>
  <c r="P144" i="15"/>
  <c r="M145" i="15"/>
  <c r="N145" i="15" s="1"/>
  <c r="O145" i="15"/>
  <c r="Q145" i="15" s="1"/>
  <c r="P145" i="15"/>
  <c r="M146" i="15"/>
  <c r="N146" i="15" s="1"/>
  <c r="O146" i="15"/>
  <c r="Q146" i="15" s="1"/>
  <c r="P146" i="15"/>
  <c r="M147" i="15"/>
  <c r="N147" i="15" s="1"/>
  <c r="O147" i="15"/>
  <c r="Q147" i="15" s="1"/>
  <c r="P147" i="15"/>
  <c r="M148" i="15"/>
  <c r="N148" i="15" s="1"/>
  <c r="O148" i="15"/>
  <c r="Q148" i="15" s="1"/>
  <c r="P148" i="15"/>
  <c r="M149" i="15"/>
  <c r="N149" i="15" s="1"/>
  <c r="O149" i="15"/>
  <c r="Q149" i="15" s="1"/>
  <c r="P149" i="15"/>
  <c r="M150" i="15"/>
  <c r="N150" i="15" s="1"/>
  <c r="O150" i="15"/>
  <c r="Q150" i="15" s="1"/>
  <c r="P150" i="15"/>
  <c r="M151" i="15"/>
  <c r="N151" i="15" s="1"/>
  <c r="O151" i="15"/>
  <c r="Q151" i="15" s="1"/>
  <c r="P151" i="15"/>
  <c r="M152" i="15"/>
  <c r="N152" i="15" s="1"/>
  <c r="O152" i="15"/>
  <c r="Q152" i="15" s="1"/>
  <c r="P152" i="15"/>
  <c r="M153" i="15"/>
  <c r="N153" i="15" s="1"/>
  <c r="O153" i="15"/>
  <c r="Q153" i="15" s="1"/>
  <c r="P153" i="15"/>
  <c r="M154" i="15"/>
  <c r="N154" i="15" s="1"/>
  <c r="O154" i="15"/>
  <c r="Q154" i="15" s="1"/>
  <c r="P154" i="15"/>
  <c r="M155" i="15"/>
  <c r="N155" i="15" s="1"/>
  <c r="O155" i="15"/>
  <c r="Q155" i="15" s="1"/>
  <c r="P155" i="15"/>
  <c r="M156" i="15"/>
  <c r="N156" i="15" s="1"/>
  <c r="O156" i="15"/>
  <c r="Q156" i="15" s="1"/>
  <c r="P156" i="15"/>
  <c r="M157" i="15"/>
  <c r="N157" i="15" s="1"/>
  <c r="O157" i="15"/>
  <c r="Q157" i="15" s="1"/>
  <c r="P157" i="15"/>
  <c r="M158" i="15"/>
  <c r="N158" i="15" s="1"/>
  <c r="O158" i="15"/>
  <c r="Q158" i="15" s="1"/>
  <c r="P158" i="15"/>
  <c r="M159" i="15"/>
  <c r="N159" i="15" s="1"/>
  <c r="O159" i="15"/>
  <c r="Q159" i="15" s="1"/>
  <c r="P159" i="15"/>
  <c r="M160" i="15"/>
  <c r="N160" i="15" s="1"/>
  <c r="O160" i="15"/>
  <c r="Q160" i="15" s="1"/>
  <c r="P160" i="15"/>
  <c r="M161" i="15"/>
  <c r="N161" i="15" s="1"/>
  <c r="O161" i="15"/>
  <c r="Q161" i="15" s="1"/>
  <c r="P161" i="15"/>
  <c r="M162" i="15"/>
  <c r="N162" i="15" s="1"/>
  <c r="O162" i="15"/>
  <c r="Q162" i="15" s="1"/>
  <c r="P162" i="15"/>
  <c r="M163" i="15"/>
  <c r="N163" i="15" s="1"/>
  <c r="O163" i="15"/>
  <c r="Q163" i="15" s="1"/>
  <c r="P163" i="15"/>
  <c r="M164" i="15"/>
  <c r="N164" i="15" s="1"/>
  <c r="O164" i="15"/>
  <c r="Q164" i="15" s="1"/>
  <c r="P164" i="15"/>
  <c r="M165" i="15"/>
  <c r="N165" i="15" s="1"/>
  <c r="O165" i="15"/>
  <c r="Q165" i="15" s="1"/>
  <c r="P165" i="15"/>
  <c r="M166" i="15"/>
  <c r="N166" i="15" s="1"/>
  <c r="O166" i="15"/>
  <c r="Q166" i="15" s="1"/>
  <c r="P166" i="15"/>
  <c r="M167" i="15"/>
  <c r="N167" i="15" s="1"/>
  <c r="O167" i="15"/>
  <c r="Q167" i="15" s="1"/>
  <c r="P167" i="15"/>
  <c r="M168" i="15"/>
  <c r="N168" i="15" s="1"/>
  <c r="O168" i="15"/>
  <c r="Q168" i="15" s="1"/>
  <c r="P168" i="15"/>
  <c r="M169" i="15"/>
  <c r="N169" i="15" s="1"/>
  <c r="O169" i="15"/>
  <c r="Q169" i="15" s="1"/>
  <c r="P169" i="15"/>
  <c r="M170" i="15"/>
  <c r="N170" i="15" s="1"/>
  <c r="O170" i="15"/>
  <c r="Q170" i="15" s="1"/>
  <c r="P170" i="15"/>
  <c r="M171" i="15"/>
  <c r="N171" i="15" s="1"/>
  <c r="O171" i="15"/>
  <c r="Q171" i="15" s="1"/>
  <c r="P171" i="15"/>
  <c r="M172" i="15"/>
  <c r="N172" i="15" s="1"/>
  <c r="O172" i="15"/>
  <c r="Q172" i="15" s="1"/>
  <c r="P172" i="15"/>
  <c r="M173" i="15"/>
  <c r="N173" i="15" s="1"/>
  <c r="O173" i="15"/>
  <c r="Q173" i="15" s="1"/>
  <c r="P173" i="15"/>
  <c r="M174" i="15"/>
  <c r="N174" i="15" s="1"/>
  <c r="O174" i="15"/>
  <c r="Q174" i="15" s="1"/>
  <c r="P174" i="15"/>
  <c r="M175" i="15"/>
  <c r="N175" i="15" s="1"/>
  <c r="O175" i="15"/>
  <c r="Q175" i="15" s="1"/>
  <c r="P175" i="15"/>
  <c r="M176" i="15"/>
  <c r="N176" i="15" s="1"/>
  <c r="O176" i="15"/>
  <c r="Q176" i="15" s="1"/>
  <c r="P176" i="15"/>
  <c r="M177" i="15"/>
  <c r="N177" i="15" s="1"/>
  <c r="O177" i="15"/>
  <c r="Q177" i="15" s="1"/>
  <c r="P177" i="15"/>
  <c r="M178" i="15"/>
  <c r="N178" i="15" s="1"/>
  <c r="O178" i="15"/>
  <c r="Q178" i="15" s="1"/>
  <c r="P178" i="15"/>
  <c r="M179" i="15"/>
  <c r="N179" i="15" s="1"/>
  <c r="O179" i="15"/>
  <c r="Q179" i="15" s="1"/>
  <c r="P179" i="15"/>
  <c r="M180" i="15"/>
  <c r="N180" i="15" s="1"/>
  <c r="O180" i="15"/>
  <c r="Q180" i="15" s="1"/>
  <c r="P180" i="15"/>
  <c r="M181" i="15"/>
  <c r="N181" i="15" s="1"/>
  <c r="O181" i="15"/>
  <c r="Q181" i="15" s="1"/>
  <c r="P181" i="15"/>
  <c r="M182" i="15"/>
  <c r="N182" i="15" s="1"/>
  <c r="O182" i="15"/>
  <c r="Q182" i="15" s="1"/>
  <c r="P182" i="15"/>
  <c r="M183" i="15"/>
  <c r="N183" i="15" s="1"/>
  <c r="O183" i="15"/>
  <c r="Q183" i="15" s="1"/>
  <c r="P183" i="15"/>
  <c r="M184" i="15"/>
  <c r="N184" i="15" s="1"/>
  <c r="O184" i="15"/>
  <c r="Q184" i="15" s="1"/>
  <c r="P184" i="15"/>
  <c r="M185" i="15"/>
  <c r="N185" i="15" s="1"/>
  <c r="O185" i="15"/>
  <c r="Q185" i="15" s="1"/>
  <c r="P185" i="15"/>
  <c r="M186" i="15"/>
  <c r="N186" i="15" s="1"/>
  <c r="O186" i="15"/>
  <c r="Q186" i="15" s="1"/>
  <c r="P186" i="15"/>
  <c r="M187" i="15"/>
  <c r="N187" i="15" s="1"/>
  <c r="O187" i="15"/>
  <c r="Q187" i="15" s="1"/>
  <c r="P187" i="15"/>
  <c r="M188" i="15"/>
  <c r="N188" i="15" s="1"/>
  <c r="O188" i="15"/>
  <c r="Q188" i="15" s="1"/>
  <c r="P188" i="15"/>
  <c r="M189" i="15"/>
  <c r="N189" i="15" s="1"/>
  <c r="O189" i="15"/>
  <c r="Q189" i="15" s="1"/>
  <c r="P189" i="15"/>
  <c r="M190" i="15"/>
  <c r="N190" i="15" s="1"/>
  <c r="O190" i="15"/>
  <c r="Q190" i="15" s="1"/>
  <c r="P190" i="15"/>
  <c r="M191" i="15"/>
  <c r="N191" i="15" s="1"/>
  <c r="O191" i="15"/>
  <c r="Q191" i="15" s="1"/>
  <c r="P191" i="15"/>
  <c r="M192" i="15"/>
  <c r="N192" i="15" s="1"/>
  <c r="O192" i="15"/>
  <c r="Q192" i="15" s="1"/>
  <c r="P192" i="15"/>
  <c r="M193" i="15"/>
  <c r="N193" i="15" s="1"/>
  <c r="O193" i="15"/>
  <c r="Q193" i="15" s="1"/>
  <c r="P193" i="15"/>
  <c r="M194" i="15"/>
  <c r="N194" i="15" s="1"/>
  <c r="O194" i="15"/>
  <c r="Q194" i="15" s="1"/>
  <c r="P194" i="15"/>
  <c r="M195" i="15"/>
  <c r="N195" i="15" s="1"/>
  <c r="O195" i="15"/>
  <c r="Q195" i="15" s="1"/>
  <c r="P195" i="15"/>
  <c r="M196" i="15"/>
  <c r="N196" i="15" s="1"/>
  <c r="O196" i="15"/>
  <c r="Q196" i="15" s="1"/>
  <c r="P196" i="15"/>
  <c r="M197" i="15"/>
  <c r="N197" i="15" s="1"/>
  <c r="O197" i="15"/>
  <c r="Q197" i="15" s="1"/>
  <c r="P197" i="15"/>
  <c r="M198" i="15"/>
  <c r="N198" i="15" s="1"/>
  <c r="O198" i="15"/>
  <c r="Q198" i="15" s="1"/>
  <c r="P198" i="15"/>
  <c r="M199" i="15"/>
  <c r="N199" i="15" s="1"/>
  <c r="O199" i="15"/>
  <c r="Q199" i="15" s="1"/>
  <c r="P199" i="15"/>
  <c r="M200" i="15"/>
  <c r="N200" i="15" s="1"/>
  <c r="O200" i="15"/>
  <c r="Q200" i="15" s="1"/>
  <c r="P200" i="15"/>
  <c r="M201" i="15"/>
  <c r="N201" i="15" s="1"/>
  <c r="O201" i="15"/>
  <c r="Q201" i="15" s="1"/>
  <c r="P201" i="15"/>
  <c r="M202" i="15"/>
  <c r="N202" i="15" s="1"/>
  <c r="O202" i="15"/>
  <c r="Q202" i="15" s="1"/>
  <c r="P202" i="15"/>
  <c r="M203" i="15"/>
  <c r="N203" i="15" s="1"/>
  <c r="O203" i="15"/>
  <c r="Q203" i="15" s="1"/>
  <c r="P203" i="15"/>
  <c r="M204" i="15"/>
  <c r="N204" i="15" s="1"/>
  <c r="O204" i="15"/>
  <c r="Q204" i="15" s="1"/>
  <c r="P204" i="15"/>
  <c r="M205" i="15"/>
  <c r="N205" i="15" s="1"/>
  <c r="O205" i="15"/>
  <c r="Q205" i="15" s="1"/>
  <c r="P205" i="15"/>
  <c r="M206" i="15"/>
  <c r="N206" i="15" s="1"/>
  <c r="O206" i="15"/>
  <c r="Q206" i="15" s="1"/>
  <c r="P206" i="15"/>
  <c r="M207" i="15"/>
  <c r="N207" i="15" s="1"/>
  <c r="O207" i="15"/>
  <c r="Q207" i="15" s="1"/>
  <c r="P207" i="15"/>
  <c r="M208" i="15"/>
  <c r="N208" i="15" s="1"/>
  <c r="O208" i="15"/>
  <c r="Q208" i="15" s="1"/>
  <c r="P208" i="15"/>
  <c r="M209" i="15"/>
  <c r="N209" i="15" s="1"/>
  <c r="O209" i="15"/>
  <c r="Q209" i="15" s="1"/>
  <c r="P209" i="15"/>
  <c r="M210" i="15"/>
  <c r="N210" i="15" s="1"/>
  <c r="O210" i="15"/>
  <c r="Q210" i="15" s="1"/>
  <c r="P210" i="15"/>
  <c r="M211" i="15"/>
  <c r="N211" i="15" s="1"/>
  <c r="O211" i="15"/>
  <c r="Q211" i="15" s="1"/>
  <c r="P211" i="15"/>
  <c r="M212" i="15"/>
  <c r="N212" i="15" s="1"/>
  <c r="O212" i="15"/>
  <c r="Q212" i="15" s="1"/>
  <c r="P212" i="15"/>
  <c r="M213" i="15"/>
  <c r="N213" i="15" s="1"/>
  <c r="O213" i="15"/>
  <c r="Q213" i="15" s="1"/>
  <c r="P213" i="15"/>
  <c r="M214" i="15"/>
  <c r="N214" i="15" s="1"/>
  <c r="O214" i="15"/>
  <c r="Q214" i="15" s="1"/>
  <c r="P214" i="15"/>
  <c r="M215" i="15"/>
  <c r="N215" i="15" s="1"/>
  <c r="O215" i="15"/>
  <c r="Q215" i="15" s="1"/>
  <c r="P215" i="15"/>
  <c r="M216" i="15"/>
  <c r="N216" i="15" s="1"/>
  <c r="O216" i="15"/>
  <c r="Q216" i="15" s="1"/>
  <c r="P216" i="15"/>
  <c r="M217" i="15"/>
  <c r="N217" i="15" s="1"/>
  <c r="O217" i="15"/>
  <c r="Q217" i="15" s="1"/>
  <c r="P217" i="15"/>
  <c r="M218" i="15"/>
  <c r="N218" i="15" s="1"/>
  <c r="O218" i="15"/>
  <c r="Q218" i="15" s="1"/>
  <c r="P218" i="15"/>
  <c r="M219" i="15"/>
  <c r="N219" i="15" s="1"/>
  <c r="O219" i="15"/>
  <c r="Q219" i="15" s="1"/>
  <c r="P219" i="15"/>
  <c r="M220" i="15"/>
  <c r="N220" i="15" s="1"/>
  <c r="O220" i="15"/>
  <c r="Q220" i="15" s="1"/>
  <c r="P220" i="15"/>
  <c r="M221" i="15"/>
  <c r="N221" i="15" s="1"/>
  <c r="O221" i="15"/>
  <c r="Q221" i="15" s="1"/>
  <c r="P221" i="15"/>
  <c r="M222" i="15"/>
  <c r="N222" i="15" s="1"/>
  <c r="O222" i="15"/>
  <c r="Q222" i="15" s="1"/>
  <c r="P222" i="15"/>
  <c r="M223" i="15"/>
  <c r="N223" i="15" s="1"/>
  <c r="O223" i="15"/>
  <c r="Q223" i="15" s="1"/>
  <c r="P223" i="15"/>
  <c r="M224" i="15"/>
  <c r="N224" i="15" s="1"/>
  <c r="O224" i="15"/>
  <c r="Q224" i="15" s="1"/>
  <c r="P224" i="15"/>
  <c r="M225" i="15"/>
  <c r="N225" i="15" s="1"/>
  <c r="O225" i="15"/>
  <c r="Q225" i="15" s="1"/>
  <c r="P225" i="15"/>
  <c r="M226" i="15"/>
  <c r="N226" i="15" s="1"/>
  <c r="O226" i="15"/>
  <c r="Q226" i="15" s="1"/>
  <c r="P226" i="15"/>
  <c r="M227" i="15"/>
  <c r="N227" i="15" s="1"/>
  <c r="O227" i="15"/>
  <c r="Q227" i="15" s="1"/>
  <c r="P227" i="15"/>
  <c r="M228" i="15"/>
  <c r="N228" i="15" s="1"/>
  <c r="O228" i="15"/>
  <c r="Q228" i="15" s="1"/>
  <c r="P228" i="15"/>
  <c r="M229" i="15"/>
  <c r="N229" i="15" s="1"/>
  <c r="O229" i="15"/>
  <c r="Q229" i="15" s="1"/>
  <c r="P229" i="15"/>
  <c r="M230" i="15"/>
  <c r="N230" i="15" s="1"/>
  <c r="O230" i="15"/>
  <c r="Q230" i="15" s="1"/>
  <c r="P230" i="15"/>
  <c r="M231" i="15"/>
  <c r="N231" i="15" s="1"/>
  <c r="O231" i="15"/>
  <c r="Q231" i="15" s="1"/>
  <c r="P231" i="15"/>
  <c r="M232" i="15"/>
  <c r="N232" i="15" s="1"/>
  <c r="O232" i="15"/>
  <c r="Q232" i="15" s="1"/>
  <c r="P232" i="15"/>
  <c r="M233" i="15"/>
  <c r="N233" i="15" s="1"/>
  <c r="O233" i="15"/>
  <c r="Q233" i="15" s="1"/>
  <c r="P233" i="15"/>
  <c r="M234" i="15"/>
  <c r="N234" i="15" s="1"/>
  <c r="O234" i="15"/>
  <c r="Q234" i="15" s="1"/>
  <c r="P234" i="15"/>
  <c r="M235" i="15"/>
  <c r="N235" i="15" s="1"/>
  <c r="O235" i="15"/>
  <c r="Q235" i="15" s="1"/>
  <c r="P235" i="15"/>
  <c r="M236" i="15"/>
  <c r="N236" i="15" s="1"/>
  <c r="O236" i="15"/>
  <c r="Q236" i="15" s="1"/>
  <c r="P236" i="15"/>
  <c r="M237" i="15"/>
  <c r="N237" i="15" s="1"/>
  <c r="O237" i="15"/>
  <c r="Q237" i="15" s="1"/>
  <c r="P237" i="15"/>
  <c r="M238" i="15"/>
  <c r="N238" i="15" s="1"/>
  <c r="O238" i="15"/>
  <c r="Q238" i="15" s="1"/>
  <c r="P238" i="15"/>
  <c r="M239" i="15"/>
  <c r="N239" i="15" s="1"/>
  <c r="O239" i="15"/>
  <c r="Q239" i="15" s="1"/>
  <c r="P239" i="15"/>
  <c r="M240" i="15"/>
  <c r="N240" i="15" s="1"/>
  <c r="O240" i="15"/>
  <c r="Q240" i="15" s="1"/>
  <c r="P240" i="15"/>
  <c r="M241" i="15"/>
  <c r="N241" i="15" s="1"/>
  <c r="O241" i="15"/>
  <c r="Q241" i="15" s="1"/>
  <c r="P241" i="15"/>
  <c r="M242" i="15"/>
  <c r="N242" i="15" s="1"/>
  <c r="O242" i="15"/>
  <c r="Q242" i="15" s="1"/>
  <c r="P242" i="15"/>
  <c r="M243" i="15"/>
  <c r="N243" i="15" s="1"/>
  <c r="O243" i="15"/>
  <c r="Q243" i="15" s="1"/>
  <c r="P243" i="15"/>
  <c r="M244" i="15"/>
  <c r="N244" i="15" s="1"/>
  <c r="O244" i="15"/>
  <c r="Q244" i="15" s="1"/>
  <c r="P244" i="15"/>
  <c r="M245" i="15"/>
  <c r="N245" i="15" s="1"/>
  <c r="O245" i="15"/>
  <c r="Q245" i="15" s="1"/>
  <c r="P245" i="15"/>
  <c r="M246" i="15"/>
  <c r="N246" i="15" s="1"/>
  <c r="O246" i="15"/>
  <c r="Q246" i="15" s="1"/>
  <c r="P246" i="15"/>
  <c r="M247" i="15"/>
  <c r="N247" i="15" s="1"/>
  <c r="O247" i="15"/>
  <c r="Q247" i="15" s="1"/>
  <c r="P247" i="15"/>
  <c r="M248" i="15"/>
  <c r="N248" i="15" s="1"/>
  <c r="O248" i="15"/>
  <c r="Q248" i="15" s="1"/>
  <c r="P248" i="15"/>
  <c r="M249" i="15"/>
  <c r="N249" i="15" s="1"/>
  <c r="O249" i="15"/>
  <c r="Q249" i="15" s="1"/>
  <c r="P249" i="15"/>
  <c r="M250" i="15"/>
  <c r="N250" i="15" s="1"/>
  <c r="O250" i="15"/>
  <c r="Q250" i="15" s="1"/>
  <c r="P250" i="15"/>
  <c r="M251" i="15"/>
  <c r="N251" i="15" s="1"/>
  <c r="O251" i="15"/>
  <c r="Q251" i="15" s="1"/>
  <c r="P251" i="15"/>
  <c r="M252" i="15"/>
  <c r="N252" i="15" s="1"/>
  <c r="O252" i="15"/>
  <c r="Q252" i="15" s="1"/>
  <c r="P252" i="15"/>
  <c r="M253" i="15"/>
  <c r="N253" i="15" s="1"/>
  <c r="O253" i="15"/>
  <c r="Q253" i="15" s="1"/>
  <c r="P253" i="15"/>
  <c r="M254" i="15"/>
  <c r="N254" i="15" s="1"/>
  <c r="O254" i="15"/>
  <c r="Q254" i="15" s="1"/>
  <c r="P254" i="15"/>
  <c r="M255" i="15"/>
  <c r="N255" i="15" s="1"/>
  <c r="O255" i="15"/>
  <c r="Q255" i="15" s="1"/>
  <c r="P255" i="15"/>
  <c r="M256" i="15"/>
  <c r="N256" i="15" s="1"/>
  <c r="O256" i="15"/>
  <c r="Q256" i="15" s="1"/>
  <c r="P256" i="15"/>
  <c r="M257" i="15"/>
  <c r="N257" i="15" s="1"/>
  <c r="O257" i="15"/>
  <c r="Q257" i="15" s="1"/>
  <c r="P257" i="15"/>
  <c r="M258" i="15"/>
  <c r="N258" i="15" s="1"/>
  <c r="O258" i="15"/>
  <c r="Q258" i="15" s="1"/>
  <c r="P258" i="15"/>
  <c r="M259" i="15"/>
  <c r="N259" i="15" s="1"/>
  <c r="O259" i="15"/>
  <c r="Q259" i="15" s="1"/>
  <c r="P259" i="15"/>
  <c r="M260" i="15"/>
  <c r="N260" i="15" s="1"/>
  <c r="O260" i="15"/>
  <c r="Q260" i="15" s="1"/>
  <c r="P260" i="15"/>
  <c r="M261" i="15"/>
  <c r="N261" i="15" s="1"/>
  <c r="O261" i="15"/>
  <c r="Q261" i="15" s="1"/>
  <c r="P261" i="15"/>
  <c r="M262" i="15"/>
  <c r="N262" i="15" s="1"/>
  <c r="O262" i="15"/>
  <c r="Q262" i="15" s="1"/>
  <c r="P262" i="15"/>
  <c r="M263" i="15"/>
  <c r="N263" i="15" s="1"/>
  <c r="O263" i="15"/>
  <c r="Q263" i="15" s="1"/>
  <c r="P263" i="15"/>
  <c r="M264" i="15"/>
  <c r="N264" i="15" s="1"/>
  <c r="O264" i="15"/>
  <c r="Q264" i="15" s="1"/>
  <c r="P264" i="15"/>
  <c r="M265" i="15"/>
  <c r="N265" i="15" s="1"/>
  <c r="O265" i="15"/>
  <c r="Q265" i="15" s="1"/>
  <c r="P265" i="15"/>
  <c r="M266" i="15"/>
  <c r="N266" i="15" s="1"/>
  <c r="O266" i="15"/>
  <c r="Q266" i="15" s="1"/>
  <c r="P266" i="15"/>
  <c r="M267" i="15"/>
  <c r="N267" i="15" s="1"/>
  <c r="O267" i="15"/>
  <c r="Q267" i="15" s="1"/>
  <c r="P267" i="15"/>
  <c r="M268" i="15"/>
  <c r="N268" i="15" s="1"/>
  <c r="O268" i="15"/>
  <c r="Q268" i="15" s="1"/>
  <c r="P268" i="15"/>
  <c r="M269" i="15"/>
  <c r="N269" i="15" s="1"/>
  <c r="O269" i="15"/>
  <c r="Q269" i="15" s="1"/>
  <c r="P269" i="15"/>
  <c r="M270" i="15"/>
  <c r="N270" i="15" s="1"/>
  <c r="O270" i="15"/>
  <c r="Q270" i="15" s="1"/>
  <c r="P270" i="15"/>
  <c r="M271" i="15"/>
  <c r="N271" i="15" s="1"/>
  <c r="O271" i="15"/>
  <c r="Q271" i="15" s="1"/>
  <c r="P271" i="15"/>
  <c r="M272" i="15"/>
  <c r="N272" i="15" s="1"/>
  <c r="O272" i="15"/>
  <c r="Q272" i="15" s="1"/>
  <c r="P272" i="15"/>
  <c r="M273" i="15"/>
  <c r="N273" i="15" s="1"/>
  <c r="O273" i="15"/>
  <c r="Q273" i="15" s="1"/>
  <c r="P273" i="15"/>
  <c r="M274" i="15"/>
  <c r="N274" i="15" s="1"/>
  <c r="O274" i="15"/>
  <c r="Q274" i="15" s="1"/>
  <c r="P274" i="15"/>
  <c r="M275" i="15"/>
  <c r="N275" i="15" s="1"/>
  <c r="O275" i="15"/>
  <c r="Q275" i="15" s="1"/>
  <c r="P275" i="15"/>
  <c r="M276" i="15"/>
  <c r="N276" i="15" s="1"/>
  <c r="O276" i="15"/>
  <c r="Q276" i="15" s="1"/>
  <c r="P276" i="15"/>
  <c r="M277" i="15"/>
  <c r="N277" i="15" s="1"/>
  <c r="O277" i="15"/>
  <c r="Q277" i="15" s="1"/>
  <c r="P277" i="15"/>
  <c r="M278" i="15"/>
  <c r="N278" i="15" s="1"/>
  <c r="O278" i="15"/>
  <c r="Q278" i="15" s="1"/>
  <c r="P278" i="15"/>
  <c r="M279" i="15"/>
  <c r="N279" i="15" s="1"/>
  <c r="O279" i="15"/>
  <c r="Q279" i="15" s="1"/>
  <c r="P279" i="15"/>
  <c r="M280" i="15"/>
  <c r="N280" i="15" s="1"/>
  <c r="O280" i="15"/>
  <c r="Q280" i="15" s="1"/>
  <c r="P280" i="15"/>
  <c r="M281" i="15"/>
  <c r="N281" i="15" s="1"/>
  <c r="O281" i="15"/>
  <c r="Q281" i="15" s="1"/>
  <c r="P281" i="15"/>
  <c r="M282" i="15"/>
  <c r="N282" i="15" s="1"/>
  <c r="O282" i="15"/>
  <c r="Q282" i="15" s="1"/>
  <c r="P282" i="15"/>
  <c r="M283" i="15"/>
  <c r="N283" i="15" s="1"/>
  <c r="O283" i="15"/>
  <c r="Q283" i="15" s="1"/>
  <c r="P283" i="15"/>
  <c r="M284" i="15"/>
  <c r="N284" i="15" s="1"/>
  <c r="O284" i="15"/>
  <c r="Q284" i="15" s="1"/>
  <c r="P284" i="15"/>
  <c r="M285" i="15"/>
  <c r="N285" i="15" s="1"/>
  <c r="O285" i="15"/>
  <c r="Q285" i="15" s="1"/>
  <c r="P285" i="15"/>
  <c r="M286" i="15"/>
  <c r="N286" i="15" s="1"/>
  <c r="O286" i="15"/>
  <c r="Q286" i="15" s="1"/>
  <c r="P286" i="15"/>
  <c r="M287" i="15"/>
  <c r="N287" i="15" s="1"/>
  <c r="O287" i="15"/>
  <c r="Q287" i="15" s="1"/>
  <c r="P287" i="15"/>
  <c r="M288" i="15"/>
  <c r="N288" i="15" s="1"/>
  <c r="O288" i="15"/>
  <c r="Q288" i="15" s="1"/>
  <c r="P288" i="15"/>
  <c r="M289" i="15"/>
  <c r="N289" i="15" s="1"/>
  <c r="O289" i="15"/>
  <c r="Q289" i="15" s="1"/>
  <c r="P289" i="15"/>
  <c r="M290" i="15"/>
  <c r="N290" i="15" s="1"/>
  <c r="O290" i="15"/>
  <c r="Q290" i="15" s="1"/>
  <c r="P290" i="15"/>
  <c r="M291" i="15"/>
  <c r="N291" i="15" s="1"/>
  <c r="O291" i="15"/>
  <c r="Q291" i="15" s="1"/>
  <c r="P291" i="15"/>
  <c r="M292" i="15"/>
  <c r="N292" i="15" s="1"/>
  <c r="O292" i="15"/>
  <c r="Q292" i="15" s="1"/>
  <c r="P292" i="15"/>
  <c r="M293" i="15"/>
  <c r="N293" i="15" s="1"/>
  <c r="O293" i="15"/>
  <c r="Q293" i="15" s="1"/>
  <c r="P293" i="15"/>
  <c r="M294" i="15"/>
  <c r="N294" i="15" s="1"/>
  <c r="O294" i="15"/>
  <c r="Q294" i="15" s="1"/>
  <c r="P294" i="15"/>
  <c r="M295" i="15"/>
  <c r="N295" i="15" s="1"/>
  <c r="O295" i="15"/>
  <c r="Q295" i="15" s="1"/>
  <c r="P295" i="15"/>
  <c r="M296" i="15"/>
  <c r="N296" i="15" s="1"/>
  <c r="O296" i="15"/>
  <c r="Q296" i="15" s="1"/>
  <c r="P296" i="15"/>
  <c r="M297" i="15"/>
  <c r="N297" i="15" s="1"/>
  <c r="O297" i="15"/>
  <c r="Q297" i="15" s="1"/>
  <c r="P297" i="15"/>
  <c r="M298" i="15"/>
  <c r="N298" i="15" s="1"/>
  <c r="O298" i="15"/>
  <c r="Q298" i="15" s="1"/>
  <c r="P298" i="15"/>
  <c r="M299" i="15"/>
  <c r="N299" i="15" s="1"/>
  <c r="O299" i="15"/>
  <c r="Q299" i="15" s="1"/>
  <c r="P299" i="15"/>
  <c r="M300" i="15"/>
  <c r="N300" i="15" s="1"/>
  <c r="O300" i="15"/>
  <c r="Q300" i="15" s="1"/>
  <c r="P300" i="15"/>
  <c r="M301" i="15"/>
  <c r="N301" i="15" s="1"/>
  <c r="O301" i="15"/>
  <c r="Q301" i="15" s="1"/>
  <c r="P301" i="15"/>
  <c r="M302" i="15"/>
  <c r="N302" i="15" s="1"/>
  <c r="O302" i="15"/>
  <c r="Q302" i="15" s="1"/>
  <c r="P302" i="15"/>
  <c r="M303" i="15"/>
  <c r="N303" i="15" s="1"/>
  <c r="O303" i="15"/>
  <c r="Q303" i="15" s="1"/>
  <c r="P303" i="15"/>
  <c r="M304" i="15"/>
  <c r="N304" i="15" s="1"/>
  <c r="O304" i="15"/>
  <c r="Q304" i="15" s="1"/>
  <c r="P304" i="15"/>
  <c r="M305" i="15"/>
  <c r="N305" i="15" s="1"/>
  <c r="O305" i="15"/>
  <c r="Q305" i="15" s="1"/>
  <c r="P305" i="15"/>
  <c r="M306" i="15"/>
  <c r="N306" i="15" s="1"/>
  <c r="O306" i="15"/>
  <c r="Q306" i="15" s="1"/>
  <c r="P306" i="15"/>
  <c r="M307" i="15"/>
  <c r="N307" i="15" s="1"/>
  <c r="O307" i="15"/>
  <c r="Q307" i="15" s="1"/>
  <c r="P307" i="15"/>
  <c r="M308" i="15"/>
  <c r="N308" i="15" s="1"/>
  <c r="O308" i="15"/>
  <c r="Q308" i="15" s="1"/>
  <c r="P308" i="15"/>
  <c r="M309" i="15"/>
  <c r="N309" i="15" s="1"/>
  <c r="O309" i="15"/>
  <c r="Q309" i="15" s="1"/>
  <c r="P309" i="15"/>
  <c r="M310" i="15"/>
  <c r="N310" i="15" s="1"/>
  <c r="O310" i="15"/>
  <c r="Q310" i="15" s="1"/>
  <c r="P310" i="15"/>
  <c r="M311" i="15"/>
  <c r="N311" i="15" s="1"/>
  <c r="O311" i="15"/>
  <c r="Q311" i="15" s="1"/>
  <c r="P311" i="15"/>
  <c r="M312" i="15"/>
  <c r="N312" i="15" s="1"/>
  <c r="O312" i="15"/>
  <c r="Q312" i="15" s="1"/>
  <c r="P312" i="15"/>
  <c r="M313" i="15"/>
  <c r="N313" i="15" s="1"/>
  <c r="O313" i="15"/>
  <c r="Q313" i="15" s="1"/>
  <c r="P313" i="15"/>
  <c r="M314" i="15"/>
  <c r="N314" i="15" s="1"/>
  <c r="O314" i="15"/>
  <c r="Q314" i="15" s="1"/>
  <c r="P314" i="15"/>
  <c r="M315" i="15"/>
  <c r="N315" i="15" s="1"/>
  <c r="O315" i="15"/>
  <c r="Q315" i="15" s="1"/>
  <c r="P315" i="15"/>
  <c r="M316" i="15"/>
  <c r="N316" i="15" s="1"/>
  <c r="O316" i="15"/>
  <c r="Q316" i="15" s="1"/>
  <c r="P316" i="15"/>
  <c r="M317" i="15"/>
  <c r="N317" i="15" s="1"/>
  <c r="O317" i="15"/>
  <c r="Q317" i="15" s="1"/>
  <c r="P317" i="15"/>
  <c r="M318" i="15"/>
  <c r="N318" i="15" s="1"/>
  <c r="O318" i="15"/>
  <c r="Q318" i="15" s="1"/>
  <c r="P318" i="15"/>
  <c r="M319" i="15"/>
  <c r="N319" i="15" s="1"/>
  <c r="O319" i="15"/>
  <c r="Q319" i="15" s="1"/>
  <c r="P319" i="15"/>
  <c r="M320" i="15"/>
  <c r="N320" i="15" s="1"/>
  <c r="O320" i="15"/>
  <c r="Q320" i="15" s="1"/>
  <c r="P320" i="15"/>
  <c r="M321" i="15"/>
  <c r="N321" i="15" s="1"/>
  <c r="O321" i="15"/>
  <c r="Q321" i="15" s="1"/>
  <c r="P321" i="15"/>
  <c r="M322" i="15"/>
  <c r="N322" i="15" s="1"/>
  <c r="O322" i="15"/>
  <c r="Q322" i="15" s="1"/>
  <c r="P322" i="15"/>
  <c r="M323" i="15"/>
  <c r="N323" i="15" s="1"/>
  <c r="O323" i="15"/>
  <c r="Q323" i="15" s="1"/>
  <c r="P323" i="15"/>
  <c r="M324" i="15"/>
  <c r="N324" i="15" s="1"/>
  <c r="O324" i="15"/>
  <c r="Q324" i="15" s="1"/>
  <c r="P324" i="15"/>
  <c r="M325" i="15"/>
  <c r="N325" i="15" s="1"/>
  <c r="O325" i="15"/>
  <c r="Q325" i="15" s="1"/>
  <c r="P325" i="15"/>
  <c r="M326" i="15"/>
  <c r="N326" i="15" s="1"/>
  <c r="O326" i="15"/>
  <c r="Q326" i="15" s="1"/>
  <c r="P326" i="15"/>
  <c r="M327" i="15"/>
  <c r="N327" i="15" s="1"/>
  <c r="O327" i="15"/>
  <c r="Q327" i="15" s="1"/>
  <c r="P327" i="15"/>
  <c r="M328" i="15"/>
  <c r="N328" i="15" s="1"/>
  <c r="O328" i="15"/>
  <c r="Q328" i="15" s="1"/>
  <c r="P328" i="15"/>
  <c r="M329" i="15"/>
  <c r="N329" i="15" s="1"/>
  <c r="O329" i="15"/>
  <c r="Q329" i="15" s="1"/>
  <c r="P329" i="15"/>
  <c r="M330" i="15"/>
  <c r="N330" i="15" s="1"/>
  <c r="O330" i="15"/>
  <c r="Q330" i="15" s="1"/>
  <c r="P330" i="15"/>
  <c r="M331" i="15"/>
  <c r="N331" i="15" s="1"/>
  <c r="O331" i="15"/>
  <c r="Q331" i="15" s="1"/>
  <c r="P331" i="15"/>
  <c r="M332" i="15"/>
  <c r="N332" i="15" s="1"/>
  <c r="O332" i="15"/>
  <c r="Q332" i="15" s="1"/>
  <c r="P332" i="15"/>
  <c r="M333" i="15"/>
  <c r="N333" i="15" s="1"/>
  <c r="O333" i="15"/>
  <c r="Q333" i="15" s="1"/>
  <c r="P333" i="15"/>
  <c r="M334" i="15"/>
  <c r="N334" i="15" s="1"/>
  <c r="O334" i="15"/>
  <c r="Q334" i="15" s="1"/>
  <c r="P334" i="15"/>
  <c r="M335" i="15"/>
  <c r="N335" i="15" s="1"/>
  <c r="O335" i="15"/>
  <c r="Q335" i="15" s="1"/>
  <c r="P335" i="15"/>
  <c r="M336" i="15"/>
  <c r="N336" i="15" s="1"/>
  <c r="O336" i="15"/>
  <c r="Q336" i="15" s="1"/>
  <c r="P336" i="15"/>
  <c r="M337" i="15"/>
  <c r="N337" i="15" s="1"/>
  <c r="O337" i="15"/>
  <c r="Q337" i="15" s="1"/>
  <c r="P337" i="15"/>
  <c r="M338" i="15"/>
  <c r="N338" i="15" s="1"/>
  <c r="O338" i="15"/>
  <c r="Q338" i="15" s="1"/>
  <c r="P338" i="15"/>
  <c r="M339" i="15"/>
  <c r="N339" i="15" s="1"/>
  <c r="O339" i="15"/>
  <c r="Q339" i="15" s="1"/>
  <c r="P339" i="15"/>
  <c r="M340" i="15"/>
  <c r="N340" i="15" s="1"/>
  <c r="O340" i="15"/>
  <c r="Q340" i="15" s="1"/>
  <c r="P340" i="15"/>
  <c r="M341" i="15"/>
  <c r="N341" i="15" s="1"/>
  <c r="O341" i="15"/>
  <c r="Q341" i="15" s="1"/>
  <c r="P341" i="15"/>
  <c r="M342" i="15"/>
  <c r="N342" i="15" s="1"/>
  <c r="O342" i="15"/>
  <c r="Q342" i="15" s="1"/>
  <c r="P342" i="15"/>
  <c r="M343" i="15"/>
  <c r="N343" i="15" s="1"/>
  <c r="O343" i="15"/>
  <c r="Q343" i="15" s="1"/>
  <c r="P343" i="15"/>
  <c r="M344" i="15"/>
  <c r="N344" i="15" s="1"/>
  <c r="O344" i="15"/>
  <c r="Q344" i="15" s="1"/>
  <c r="P344" i="15"/>
  <c r="M345" i="15"/>
  <c r="N345" i="15" s="1"/>
  <c r="O345" i="15"/>
  <c r="Q345" i="15" s="1"/>
  <c r="P345" i="15"/>
  <c r="M346" i="15"/>
  <c r="N346" i="15" s="1"/>
  <c r="O346" i="15"/>
  <c r="Q346" i="15" s="1"/>
  <c r="P346" i="15"/>
  <c r="M347" i="15"/>
  <c r="N347" i="15" s="1"/>
  <c r="O347" i="15"/>
  <c r="Q347" i="15" s="1"/>
  <c r="P347" i="15"/>
  <c r="M348" i="15"/>
  <c r="N348" i="15" s="1"/>
  <c r="O348" i="15"/>
  <c r="Q348" i="15" s="1"/>
  <c r="P348" i="15"/>
  <c r="M349" i="15"/>
  <c r="N349" i="15" s="1"/>
  <c r="O349" i="15"/>
  <c r="Q349" i="15" s="1"/>
  <c r="P349" i="15"/>
  <c r="M350" i="15"/>
  <c r="N350" i="15" s="1"/>
  <c r="O350" i="15"/>
  <c r="Q350" i="15" s="1"/>
  <c r="P350" i="15"/>
  <c r="M351" i="15"/>
  <c r="N351" i="15" s="1"/>
  <c r="O351" i="15"/>
  <c r="Q351" i="15" s="1"/>
  <c r="P351" i="15"/>
  <c r="M352" i="15"/>
  <c r="N352" i="15" s="1"/>
  <c r="O352" i="15"/>
  <c r="Q352" i="15" s="1"/>
  <c r="P352" i="15"/>
  <c r="M353" i="15"/>
  <c r="N353" i="15" s="1"/>
  <c r="O353" i="15"/>
  <c r="Q353" i="15" s="1"/>
  <c r="P353" i="15"/>
  <c r="M354" i="15"/>
  <c r="N354" i="15" s="1"/>
  <c r="O354" i="15"/>
  <c r="Q354" i="15" s="1"/>
  <c r="P354" i="15"/>
  <c r="M355" i="15"/>
  <c r="N355" i="15" s="1"/>
  <c r="O355" i="15"/>
  <c r="Q355" i="15" s="1"/>
  <c r="P355" i="15"/>
  <c r="M356" i="15"/>
  <c r="N356" i="15" s="1"/>
  <c r="O356" i="15"/>
  <c r="Q356" i="15" s="1"/>
  <c r="P356" i="15"/>
  <c r="M357" i="15"/>
  <c r="N357" i="15" s="1"/>
  <c r="O357" i="15"/>
  <c r="Q357" i="15" s="1"/>
  <c r="P357" i="15"/>
  <c r="M358" i="15"/>
  <c r="N358" i="15" s="1"/>
  <c r="O358" i="15"/>
  <c r="Q358" i="15" s="1"/>
  <c r="P358" i="15"/>
  <c r="M359" i="15"/>
  <c r="N359" i="15" s="1"/>
  <c r="O359" i="15"/>
  <c r="Q359" i="15" s="1"/>
  <c r="P359" i="15"/>
  <c r="M360" i="15"/>
  <c r="N360" i="15" s="1"/>
  <c r="O360" i="15"/>
  <c r="Q360" i="15" s="1"/>
  <c r="P360" i="15"/>
  <c r="M361" i="15"/>
  <c r="N361" i="15" s="1"/>
  <c r="O361" i="15"/>
  <c r="Q361" i="15" s="1"/>
  <c r="P361" i="15"/>
  <c r="M362" i="15"/>
  <c r="N362" i="15" s="1"/>
  <c r="O362" i="15"/>
  <c r="Q362" i="15" s="1"/>
  <c r="P362" i="15"/>
  <c r="M363" i="15"/>
  <c r="N363" i="15" s="1"/>
  <c r="O363" i="15"/>
  <c r="Q363" i="15" s="1"/>
  <c r="P363" i="15"/>
  <c r="M364" i="15"/>
  <c r="N364" i="15" s="1"/>
  <c r="O364" i="15"/>
  <c r="Q364" i="15" s="1"/>
  <c r="P364" i="15"/>
  <c r="M365" i="15"/>
  <c r="N365" i="15" s="1"/>
  <c r="O365" i="15"/>
  <c r="Q365" i="15" s="1"/>
  <c r="P365" i="15"/>
  <c r="M366" i="15"/>
  <c r="N366" i="15" s="1"/>
  <c r="O366" i="15"/>
  <c r="Q366" i="15" s="1"/>
  <c r="P366" i="15"/>
  <c r="M367" i="15"/>
  <c r="N367" i="15" s="1"/>
  <c r="O367" i="15"/>
  <c r="Q367" i="15" s="1"/>
  <c r="P367" i="15"/>
  <c r="M368" i="15"/>
  <c r="N368" i="15" s="1"/>
  <c r="O368" i="15"/>
  <c r="Q368" i="15" s="1"/>
  <c r="P368" i="15"/>
  <c r="M369" i="15"/>
  <c r="N369" i="15" s="1"/>
  <c r="O369" i="15"/>
  <c r="Q369" i="15" s="1"/>
  <c r="P369" i="15"/>
  <c r="M370" i="15"/>
  <c r="N370" i="15" s="1"/>
  <c r="O370" i="15"/>
  <c r="Q370" i="15" s="1"/>
  <c r="P370" i="15"/>
  <c r="M371" i="15"/>
  <c r="N371" i="15" s="1"/>
  <c r="O371" i="15"/>
  <c r="Q371" i="15" s="1"/>
  <c r="P371" i="15"/>
  <c r="M372" i="15"/>
  <c r="N372" i="15" s="1"/>
  <c r="O372" i="15"/>
  <c r="Q372" i="15" s="1"/>
  <c r="P372" i="15"/>
  <c r="M373" i="15"/>
  <c r="N373" i="15" s="1"/>
  <c r="O373" i="15"/>
  <c r="Q373" i="15" s="1"/>
  <c r="P373" i="15"/>
  <c r="M374" i="15"/>
  <c r="N374" i="15" s="1"/>
  <c r="O374" i="15"/>
  <c r="Q374" i="15" s="1"/>
  <c r="P374" i="15"/>
  <c r="M375" i="15"/>
  <c r="N375" i="15" s="1"/>
  <c r="O375" i="15"/>
  <c r="Q375" i="15" s="1"/>
  <c r="P375" i="15"/>
  <c r="M376" i="15"/>
  <c r="N376" i="15" s="1"/>
  <c r="O376" i="15"/>
  <c r="Q376" i="15" s="1"/>
  <c r="P376" i="15"/>
  <c r="M377" i="15"/>
  <c r="N377" i="15" s="1"/>
  <c r="O377" i="15"/>
  <c r="Q377" i="15" s="1"/>
  <c r="P377" i="15"/>
  <c r="M378" i="15"/>
  <c r="N378" i="15" s="1"/>
  <c r="O378" i="15"/>
  <c r="Q378" i="15" s="1"/>
  <c r="P378" i="15"/>
  <c r="M379" i="15"/>
  <c r="N379" i="15" s="1"/>
  <c r="O379" i="15"/>
  <c r="Q379" i="15" s="1"/>
  <c r="P379" i="15"/>
  <c r="M380" i="15"/>
  <c r="N380" i="15" s="1"/>
  <c r="O380" i="15"/>
  <c r="Q380" i="15" s="1"/>
  <c r="P380" i="15"/>
  <c r="M381" i="15"/>
  <c r="N381" i="15" s="1"/>
  <c r="O381" i="15"/>
  <c r="Q381" i="15" s="1"/>
  <c r="P381" i="15"/>
  <c r="M382" i="15"/>
  <c r="N382" i="15" s="1"/>
  <c r="O382" i="15"/>
  <c r="Q382" i="15" s="1"/>
  <c r="P382" i="15"/>
  <c r="M383" i="15"/>
  <c r="N383" i="15" s="1"/>
  <c r="O383" i="15"/>
  <c r="Q383" i="15" s="1"/>
  <c r="P383" i="15"/>
  <c r="M384" i="15"/>
  <c r="N384" i="15" s="1"/>
  <c r="O384" i="15"/>
  <c r="Q384" i="15" s="1"/>
  <c r="P384" i="15"/>
  <c r="M385" i="15"/>
  <c r="N385" i="15" s="1"/>
  <c r="O385" i="15"/>
  <c r="Q385" i="15" s="1"/>
  <c r="P385" i="15"/>
  <c r="M386" i="15"/>
  <c r="N386" i="15" s="1"/>
  <c r="O386" i="15"/>
  <c r="Q386" i="15" s="1"/>
  <c r="P386" i="15"/>
  <c r="M387" i="15"/>
  <c r="N387" i="15" s="1"/>
  <c r="O387" i="15"/>
  <c r="Q387" i="15" s="1"/>
  <c r="P387" i="15"/>
  <c r="M388" i="15"/>
  <c r="N388" i="15" s="1"/>
  <c r="O388" i="15"/>
  <c r="Q388" i="15" s="1"/>
  <c r="P388" i="15"/>
  <c r="M389" i="15"/>
  <c r="N389" i="15" s="1"/>
  <c r="O389" i="15"/>
  <c r="Q389" i="15" s="1"/>
  <c r="P389" i="15"/>
  <c r="M390" i="15"/>
  <c r="N390" i="15" s="1"/>
  <c r="O390" i="15"/>
  <c r="Q390" i="15" s="1"/>
  <c r="P390" i="15"/>
  <c r="M391" i="15"/>
  <c r="N391" i="15" s="1"/>
  <c r="O391" i="15"/>
  <c r="Q391" i="15" s="1"/>
  <c r="P391" i="15"/>
  <c r="M392" i="15"/>
  <c r="N392" i="15" s="1"/>
  <c r="O392" i="15"/>
  <c r="Q392" i="15" s="1"/>
  <c r="P392" i="15"/>
  <c r="M393" i="15"/>
  <c r="N393" i="15" s="1"/>
  <c r="O393" i="15"/>
  <c r="Q393" i="15" s="1"/>
  <c r="P393" i="15"/>
  <c r="M394" i="15"/>
  <c r="N394" i="15" s="1"/>
  <c r="O394" i="15"/>
  <c r="Q394" i="15" s="1"/>
  <c r="P394" i="15"/>
  <c r="M395" i="15"/>
  <c r="N395" i="15" s="1"/>
  <c r="O395" i="15"/>
  <c r="Q395" i="15" s="1"/>
  <c r="P395" i="15"/>
  <c r="M396" i="15"/>
  <c r="N396" i="15" s="1"/>
  <c r="O396" i="15"/>
  <c r="Q396" i="15" s="1"/>
  <c r="P396" i="15"/>
  <c r="M397" i="15"/>
  <c r="N397" i="15" s="1"/>
  <c r="O397" i="15"/>
  <c r="Q397" i="15" s="1"/>
  <c r="P397" i="15"/>
  <c r="M398" i="15"/>
  <c r="N398" i="15" s="1"/>
  <c r="O398" i="15"/>
  <c r="Q398" i="15" s="1"/>
  <c r="P398" i="15"/>
  <c r="M399" i="15"/>
  <c r="N399" i="15" s="1"/>
  <c r="O399" i="15"/>
  <c r="Q399" i="15" s="1"/>
  <c r="P399" i="15"/>
  <c r="M400" i="15"/>
  <c r="N400" i="15" s="1"/>
  <c r="O400" i="15"/>
  <c r="Q400" i="15" s="1"/>
  <c r="P400" i="15"/>
  <c r="M401" i="15"/>
  <c r="N401" i="15" s="1"/>
  <c r="O401" i="15"/>
  <c r="Q401" i="15" s="1"/>
  <c r="P401" i="15"/>
  <c r="M402" i="15"/>
  <c r="N402" i="15" s="1"/>
  <c r="O402" i="15"/>
  <c r="Q402" i="15" s="1"/>
  <c r="P402" i="15"/>
  <c r="M403" i="15"/>
  <c r="N403" i="15" s="1"/>
  <c r="O403" i="15"/>
  <c r="Q403" i="15" s="1"/>
  <c r="P403" i="15"/>
  <c r="M404" i="15"/>
  <c r="N404" i="15" s="1"/>
  <c r="O404" i="15"/>
  <c r="Q404" i="15" s="1"/>
  <c r="P404" i="15"/>
  <c r="M405" i="15"/>
  <c r="N405" i="15" s="1"/>
  <c r="O405" i="15"/>
  <c r="Q405" i="15" s="1"/>
  <c r="P405" i="15"/>
  <c r="M406" i="15"/>
  <c r="N406" i="15" s="1"/>
  <c r="O406" i="15"/>
  <c r="Q406" i="15" s="1"/>
  <c r="P406" i="15"/>
  <c r="M407" i="15"/>
  <c r="N407" i="15" s="1"/>
  <c r="O407" i="15"/>
  <c r="Q407" i="15" s="1"/>
  <c r="P407" i="15"/>
  <c r="M408" i="15"/>
  <c r="N408" i="15" s="1"/>
  <c r="O408" i="15"/>
  <c r="Q408" i="15" s="1"/>
  <c r="P408" i="15"/>
  <c r="M409" i="15"/>
  <c r="N409" i="15" s="1"/>
  <c r="O409" i="15"/>
  <c r="Q409" i="15" s="1"/>
  <c r="P409" i="15"/>
  <c r="M410" i="15"/>
  <c r="N410" i="15" s="1"/>
  <c r="O410" i="15"/>
  <c r="Q410" i="15" s="1"/>
  <c r="P410" i="15"/>
  <c r="M411" i="15"/>
  <c r="N411" i="15" s="1"/>
  <c r="O411" i="15"/>
  <c r="Q411" i="15" s="1"/>
  <c r="P411" i="15"/>
  <c r="M412" i="15"/>
  <c r="N412" i="15" s="1"/>
  <c r="O412" i="15"/>
  <c r="Q412" i="15" s="1"/>
  <c r="P412" i="15"/>
  <c r="M413" i="15"/>
  <c r="N413" i="15" s="1"/>
  <c r="O413" i="15"/>
  <c r="Q413" i="15" s="1"/>
  <c r="P413" i="15"/>
  <c r="M414" i="15"/>
  <c r="N414" i="15" s="1"/>
  <c r="O414" i="15"/>
  <c r="Q414" i="15" s="1"/>
  <c r="P414" i="15"/>
  <c r="M415" i="15"/>
  <c r="N415" i="15" s="1"/>
  <c r="O415" i="15"/>
  <c r="Q415" i="15" s="1"/>
  <c r="P415" i="15"/>
  <c r="M416" i="15"/>
  <c r="N416" i="15" s="1"/>
  <c r="O416" i="15"/>
  <c r="Q416" i="15" s="1"/>
  <c r="P416" i="15"/>
  <c r="M417" i="15"/>
  <c r="N417" i="15" s="1"/>
  <c r="O417" i="15"/>
  <c r="Q417" i="15" s="1"/>
  <c r="P417" i="15"/>
  <c r="M418" i="15"/>
  <c r="N418" i="15" s="1"/>
  <c r="O418" i="15"/>
  <c r="Q418" i="15" s="1"/>
  <c r="P418" i="15"/>
  <c r="M419" i="15"/>
  <c r="N419" i="15" s="1"/>
  <c r="O419" i="15"/>
  <c r="Q419" i="15" s="1"/>
  <c r="P419" i="15"/>
  <c r="M420" i="15"/>
  <c r="N420" i="15" s="1"/>
  <c r="O420" i="15"/>
  <c r="Q420" i="15" s="1"/>
  <c r="P420" i="15"/>
  <c r="M421" i="15"/>
  <c r="N421" i="15" s="1"/>
  <c r="O421" i="15"/>
  <c r="Q421" i="15" s="1"/>
  <c r="P421" i="15"/>
  <c r="M422" i="15"/>
  <c r="N422" i="15" s="1"/>
  <c r="O422" i="15"/>
  <c r="Q422" i="15" s="1"/>
  <c r="P422" i="15"/>
  <c r="M423" i="15"/>
  <c r="N423" i="15" s="1"/>
  <c r="O423" i="15"/>
  <c r="Q423" i="15" s="1"/>
  <c r="P423" i="15"/>
  <c r="M424" i="15"/>
  <c r="N424" i="15" s="1"/>
  <c r="O424" i="15"/>
  <c r="Q424" i="15" s="1"/>
  <c r="P424" i="15"/>
  <c r="M425" i="15"/>
  <c r="N425" i="15" s="1"/>
  <c r="O425" i="15"/>
  <c r="Q425" i="15" s="1"/>
  <c r="P425" i="15"/>
  <c r="M426" i="15"/>
  <c r="N426" i="15" s="1"/>
  <c r="O426" i="15"/>
  <c r="Q426" i="15" s="1"/>
  <c r="P426" i="15"/>
  <c r="M427" i="15"/>
  <c r="N427" i="15" s="1"/>
  <c r="O427" i="15"/>
  <c r="Q427" i="15" s="1"/>
  <c r="P427" i="15"/>
  <c r="M428" i="15"/>
  <c r="N428" i="15" s="1"/>
  <c r="O428" i="15"/>
  <c r="Q428" i="15" s="1"/>
  <c r="P428" i="15"/>
  <c r="M429" i="15"/>
  <c r="N429" i="15" s="1"/>
  <c r="O429" i="15"/>
  <c r="Q429" i="15" s="1"/>
  <c r="P429" i="15"/>
  <c r="M430" i="15"/>
  <c r="N430" i="15" s="1"/>
  <c r="O430" i="15"/>
  <c r="Q430" i="15" s="1"/>
  <c r="P430" i="15"/>
  <c r="M431" i="15"/>
  <c r="N431" i="15" s="1"/>
  <c r="O431" i="15"/>
  <c r="Q431" i="15" s="1"/>
  <c r="P431" i="15"/>
  <c r="M432" i="15"/>
  <c r="N432" i="15" s="1"/>
  <c r="O432" i="15"/>
  <c r="Q432" i="15" s="1"/>
  <c r="P432" i="15"/>
  <c r="M433" i="15"/>
  <c r="N433" i="15" s="1"/>
  <c r="O433" i="15"/>
  <c r="Q433" i="15" s="1"/>
  <c r="P433" i="15"/>
  <c r="M434" i="15"/>
  <c r="N434" i="15" s="1"/>
  <c r="O434" i="15"/>
  <c r="Q434" i="15" s="1"/>
  <c r="P434" i="15"/>
  <c r="M435" i="15"/>
  <c r="N435" i="15" s="1"/>
  <c r="O435" i="15"/>
  <c r="Q435" i="15" s="1"/>
  <c r="P435" i="15"/>
  <c r="M436" i="15"/>
  <c r="N436" i="15" s="1"/>
  <c r="O436" i="15"/>
  <c r="Q436" i="15" s="1"/>
  <c r="P436" i="15"/>
  <c r="M437" i="15"/>
  <c r="N437" i="15" s="1"/>
  <c r="O437" i="15"/>
  <c r="Q437" i="15" s="1"/>
  <c r="P437" i="15"/>
  <c r="M438" i="15"/>
  <c r="N438" i="15" s="1"/>
  <c r="O438" i="15"/>
  <c r="Q438" i="15" s="1"/>
  <c r="P438" i="15"/>
  <c r="M439" i="15"/>
  <c r="N439" i="15" s="1"/>
  <c r="O439" i="15"/>
  <c r="Q439" i="15" s="1"/>
  <c r="P439" i="15"/>
  <c r="M440" i="15"/>
  <c r="N440" i="15" s="1"/>
  <c r="O440" i="15"/>
  <c r="Q440" i="15" s="1"/>
  <c r="P440" i="15"/>
  <c r="M441" i="15"/>
  <c r="N441" i="15" s="1"/>
  <c r="O441" i="15"/>
  <c r="Q441" i="15" s="1"/>
  <c r="P441" i="15"/>
  <c r="M442" i="15"/>
  <c r="N442" i="15" s="1"/>
  <c r="O442" i="15"/>
  <c r="Q442" i="15" s="1"/>
  <c r="P442" i="15"/>
  <c r="M443" i="15"/>
  <c r="N443" i="15" s="1"/>
  <c r="O443" i="15"/>
  <c r="Q443" i="15" s="1"/>
  <c r="P443" i="15"/>
  <c r="M444" i="15"/>
  <c r="N444" i="15" s="1"/>
  <c r="O444" i="15"/>
  <c r="Q444" i="15" s="1"/>
  <c r="P444" i="15"/>
  <c r="M445" i="15"/>
  <c r="N445" i="15" s="1"/>
  <c r="O445" i="15"/>
  <c r="Q445" i="15" s="1"/>
  <c r="P445" i="15"/>
  <c r="M446" i="15"/>
  <c r="N446" i="15" s="1"/>
  <c r="O446" i="15"/>
  <c r="Q446" i="15" s="1"/>
  <c r="P446" i="15"/>
  <c r="M447" i="15"/>
  <c r="N447" i="15" s="1"/>
  <c r="O447" i="15"/>
  <c r="Q447" i="15" s="1"/>
  <c r="P447" i="15"/>
  <c r="M448" i="15"/>
  <c r="N448" i="15" s="1"/>
  <c r="O448" i="15"/>
  <c r="Q448" i="15" s="1"/>
  <c r="P448" i="15"/>
  <c r="M449" i="15"/>
  <c r="N449" i="15" s="1"/>
  <c r="O449" i="15"/>
  <c r="Q449" i="15" s="1"/>
  <c r="P449" i="15"/>
  <c r="M450" i="15"/>
  <c r="N450" i="15" s="1"/>
  <c r="O450" i="15"/>
  <c r="Q450" i="15" s="1"/>
  <c r="P450" i="15"/>
  <c r="M451" i="15"/>
  <c r="N451" i="15" s="1"/>
  <c r="O451" i="15"/>
  <c r="Q451" i="15" s="1"/>
  <c r="P451" i="15"/>
  <c r="M452" i="15"/>
  <c r="N452" i="15" s="1"/>
  <c r="O452" i="15"/>
  <c r="Q452" i="15" s="1"/>
  <c r="P452" i="15"/>
  <c r="M453" i="15"/>
  <c r="N453" i="15" s="1"/>
  <c r="O453" i="15"/>
  <c r="Q453" i="15" s="1"/>
  <c r="P453" i="15"/>
  <c r="M454" i="15"/>
  <c r="N454" i="15" s="1"/>
  <c r="O454" i="15"/>
  <c r="Q454" i="15" s="1"/>
  <c r="P454" i="15"/>
  <c r="M455" i="15"/>
  <c r="N455" i="15" s="1"/>
  <c r="O455" i="15"/>
  <c r="Q455" i="15" s="1"/>
  <c r="P455" i="15"/>
  <c r="M456" i="15"/>
  <c r="N456" i="15" s="1"/>
  <c r="O456" i="15"/>
  <c r="Q456" i="15" s="1"/>
  <c r="P456" i="15"/>
  <c r="M457" i="15"/>
  <c r="N457" i="15" s="1"/>
  <c r="O457" i="15"/>
  <c r="Q457" i="15" s="1"/>
  <c r="P457" i="15"/>
  <c r="M458" i="15"/>
  <c r="N458" i="15" s="1"/>
  <c r="O458" i="15"/>
  <c r="Q458" i="15" s="1"/>
  <c r="P458" i="15"/>
  <c r="M459" i="15"/>
  <c r="N459" i="15" s="1"/>
  <c r="O459" i="15"/>
  <c r="Q459" i="15" s="1"/>
  <c r="P459" i="15"/>
  <c r="M460" i="15"/>
  <c r="N460" i="15" s="1"/>
  <c r="O460" i="15"/>
  <c r="Q460" i="15" s="1"/>
  <c r="P460" i="15"/>
  <c r="M461" i="15"/>
  <c r="N461" i="15" s="1"/>
  <c r="O461" i="15"/>
  <c r="Q461" i="15" s="1"/>
  <c r="P461" i="15"/>
  <c r="M462" i="15"/>
  <c r="N462" i="15" s="1"/>
  <c r="O462" i="15"/>
  <c r="Q462" i="15" s="1"/>
  <c r="P462" i="15"/>
  <c r="M463" i="15"/>
  <c r="N463" i="15" s="1"/>
  <c r="O463" i="15"/>
  <c r="Q463" i="15" s="1"/>
  <c r="P463" i="15"/>
  <c r="M464" i="15"/>
  <c r="N464" i="15" s="1"/>
  <c r="O464" i="15"/>
  <c r="Q464" i="15" s="1"/>
  <c r="P464" i="15"/>
  <c r="M465" i="15"/>
  <c r="N465" i="15" s="1"/>
  <c r="O465" i="15"/>
  <c r="Q465" i="15" s="1"/>
  <c r="P465" i="15"/>
  <c r="M466" i="15"/>
  <c r="N466" i="15" s="1"/>
  <c r="O466" i="15"/>
  <c r="Q466" i="15" s="1"/>
  <c r="P466" i="15"/>
  <c r="M467" i="15"/>
  <c r="N467" i="15" s="1"/>
  <c r="O467" i="15"/>
  <c r="Q467" i="15" s="1"/>
  <c r="P467" i="15"/>
  <c r="M468" i="15"/>
  <c r="N468" i="15" s="1"/>
  <c r="O468" i="15"/>
  <c r="Q468" i="15" s="1"/>
  <c r="P468" i="15"/>
  <c r="M469" i="15"/>
  <c r="N469" i="15" s="1"/>
  <c r="O469" i="15"/>
  <c r="Q469" i="15" s="1"/>
  <c r="P469" i="15"/>
  <c r="M470" i="15"/>
  <c r="N470" i="15" s="1"/>
  <c r="O470" i="15"/>
  <c r="Q470" i="15" s="1"/>
  <c r="P470" i="15"/>
  <c r="M471" i="15"/>
  <c r="N471" i="15" s="1"/>
  <c r="O471" i="15"/>
  <c r="Q471" i="15" s="1"/>
  <c r="P471" i="15"/>
  <c r="M472" i="15"/>
  <c r="N472" i="15" s="1"/>
  <c r="O472" i="15"/>
  <c r="Q472" i="15" s="1"/>
  <c r="P472" i="15"/>
  <c r="M473" i="15"/>
  <c r="N473" i="15" s="1"/>
  <c r="O473" i="15"/>
  <c r="Q473" i="15" s="1"/>
  <c r="P473" i="15"/>
  <c r="M474" i="15"/>
  <c r="N474" i="15" s="1"/>
  <c r="O474" i="15"/>
  <c r="Q474" i="15" s="1"/>
  <c r="P474" i="15"/>
  <c r="M475" i="15"/>
  <c r="N475" i="15" s="1"/>
  <c r="O475" i="15"/>
  <c r="Q475" i="15" s="1"/>
  <c r="P475" i="15"/>
  <c r="M476" i="15"/>
  <c r="N476" i="15" s="1"/>
  <c r="O476" i="15"/>
  <c r="Q476" i="15" s="1"/>
  <c r="P476" i="15"/>
  <c r="M477" i="15"/>
  <c r="N477" i="15" s="1"/>
  <c r="O477" i="15"/>
  <c r="Q477" i="15" s="1"/>
  <c r="P477" i="15"/>
  <c r="M478" i="15"/>
  <c r="N478" i="15" s="1"/>
  <c r="O478" i="15"/>
  <c r="Q478" i="15" s="1"/>
  <c r="P478" i="15"/>
  <c r="M479" i="15"/>
  <c r="N479" i="15" s="1"/>
  <c r="O479" i="15"/>
  <c r="Q479" i="15" s="1"/>
  <c r="P479" i="15"/>
  <c r="M480" i="15"/>
  <c r="N480" i="15" s="1"/>
  <c r="O480" i="15"/>
  <c r="Q480" i="15" s="1"/>
  <c r="P480" i="15"/>
  <c r="M481" i="15"/>
  <c r="N481" i="15" s="1"/>
  <c r="O481" i="15"/>
  <c r="Q481" i="15" s="1"/>
  <c r="P481" i="15"/>
  <c r="M482" i="15"/>
  <c r="N482" i="15" s="1"/>
  <c r="O482" i="15"/>
  <c r="Q482" i="15" s="1"/>
  <c r="P482" i="15"/>
  <c r="M483" i="15"/>
  <c r="N483" i="15" s="1"/>
  <c r="O483" i="15"/>
  <c r="Q483" i="15" s="1"/>
  <c r="P483" i="15"/>
  <c r="M484" i="15"/>
  <c r="N484" i="15" s="1"/>
  <c r="O484" i="15"/>
  <c r="Q484" i="15" s="1"/>
  <c r="P484" i="15"/>
  <c r="M485" i="15"/>
  <c r="N485" i="15" s="1"/>
  <c r="O485" i="15"/>
  <c r="Q485" i="15" s="1"/>
  <c r="P485" i="15"/>
  <c r="M486" i="15"/>
  <c r="N486" i="15" s="1"/>
  <c r="O486" i="15"/>
  <c r="Q486" i="15" s="1"/>
  <c r="P486" i="15"/>
  <c r="M487" i="15"/>
  <c r="N487" i="15" s="1"/>
  <c r="O487" i="15"/>
  <c r="Q487" i="15" s="1"/>
  <c r="P487" i="15"/>
  <c r="M488" i="15"/>
  <c r="N488" i="15" s="1"/>
  <c r="O488" i="15"/>
  <c r="Q488" i="15" s="1"/>
  <c r="P488" i="15"/>
  <c r="M489" i="15"/>
  <c r="N489" i="15" s="1"/>
  <c r="O489" i="15"/>
  <c r="Q489" i="15" s="1"/>
  <c r="P489" i="15"/>
  <c r="M490" i="15"/>
  <c r="N490" i="15" s="1"/>
  <c r="O490" i="15"/>
  <c r="Q490" i="15" s="1"/>
  <c r="P490" i="15"/>
  <c r="M491" i="15"/>
  <c r="N491" i="15" s="1"/>
  <c r="O491" i="15"/>
  <c r="Q491" i="15" s="1"/>
  <c r="P491" i="15"/>
  <c r="M492" i="15"/>
  <c r="N492" i="15" s="1"/>
  <c r="O492" i="15"/>
  <c r="Q492" i="15" s="1"/>
  <c r="P492" i="15"/>
  <c r="M493" i="15"/>
  <c r="N493" i="15" s="1"/>
  <c r="O493" i="15"/>
  <c r="Q493" i="15" s="1"/>
  <c r="P493" i="15"/>
  <c r="M494" i="15"/>
  <c r="N494" i="15" s="1"/>
  <c r="O494" i="15"/>
  <c r="Q494" i="15" s="1"/>
  <c r="P494" i="15"/>
  <c r="M495" i="15"/>
  <c r="N495" i="15" s="1"/>
  <c r="O495" i="15"/>
  <c r="Q495" i="15" s="1"/>
  <c r="P495" i="15"/>
  <c r="M496" i="15"/>
  <c r="N496" i="15" s="1"/>
  <c r="O496" i="15"/>
  <c r="Q496" i="15" s="1"/>
  <c r="P496" i="15"/>
  <c r="M497" i="15"/>
  <c r="N497" i="15" s="1"/>
  <c r="O497" i="15"/>
  <c r="Q497" i="15" s="1"/>
  <c r="P497" i="15"/>
  <c r="M498" i="15"/>
  <c r="N498" i="15" s="1"/>
  <c r="O498" i="15"/>
  <c r="Q498" i="15" s="1"/>
  <c r="P498" i="15"/>
  <c r="M499" i="15"/>
  <c r="N499" i="15" s="1"/>
  <c r="O499" i="15"/>
  <c r="Q499" i="15" s="1"/>
  <c r="P499" i="15"/>
  <c r="M500" i="15"/>
  <c r="N500" i="15" s="1"/>
  <c r="O500" i="15"/>
  <c r="Q500" i="15" s="1"/>
  <c r="P500" i="15"/>
  <c r="M501" i="15"/>
  <c r="N501" i="15" s="1"/>
  <c r="O501" i="15"/>
  <c r="Q501" i="15" s="1"/>
  <c r="P501" i="15"/>
  <c r="M502" i="15"/>
  <c r="N502" i="15" s="1"/>
  <c r="O502" i="15"/>
  <c r="Q502" i="15" s="1"/>
  <c r="P502" i="15"/>
  <c r="M503" i="15"/>
  <c r="N503" i="15" s="1"/>
  <c r="O503" i="15"/>
  <c r="Q503" i="15" s="1"/>
  <c r="P503" i="15"/>
  <c r="M504" i="15"/>
  <c r="N504" i="15" s="1"/>
  <c r="O504" i="15"/>
  <c r="Q504" i="15" s="1"/>
  <c r="P504" i="15"/>
  <c r="M505" i="15"/>
  <c r="N505" i="15" s="1"/>
  <c r="O505" i="15"/>
  <c r="Q505" i="15" s="1"/>
  <c r="P505" i="15"/>
  <c r="M506" i="15"/>
  <c r="N506" i="15" s="1"/>
  <c r="O506" i="15"/>
  <c r="Q506" i="15" s="1"/>
  <c r="P506" i="15"/>
  <c r="M507" i="15"/>
  <c r="N507" i="15" s="1"/>
  <c r="O507" i="15"/>
  <c r="Q507" i="15" s="1"/>
  <c r="P507" i="15"/>
  <c r="M508" i="15"/>
  <c r="N508" i="15" s="1"/>
  <c r="O508" i="15"/>
  <c r="Q508" i="15" s="1"/>
  <c r="P508" i="15"/>
  <c r="M509" i="15"/>
  <c r="N509" i="15" s="1"/>
  <c r="O509" i="15"/>
  <c r="Q509" i="15" s="1"/>
  <c r="P509" i="15"/>
  <c r="M510" i="15"/>
  <c r="N510" i="15" s="1"/>
  <c r="O510" i="15"/>
  <c r="Q510" i="15" s="1"/>
  <c r="P510" i="15"/>
  <c r="M511" i="15"/>
  <c r="N511" i="15" s="1"/>
  <c r="O511" i="15"/>
  <c r="Q511" i="15" s="1"/>
  <c r="P511" i="15"/>
  <c r="M512" i="15"/>
  <c r="N512" i="15" s="1"/>
  <c r="O512" i="15"/>
  <c r="Q512" i="15" s="1"/>
  <c r="P512" i="15"/>
  <c r="M513" i="15"/>
  <c r="N513" i="15" s="1"/>
  <c r="O513" i="15"/>
  <c r="Q513" i="15" s="1"/>
  <c r="P513" i="15"/>
  <c r="M514" i="15"/>
  <c r="N514" i="15" s="1"/>
  <c r="O514" i="15"/>
  <c r="Q514" i="15" s="1"/>
  <c r="P514" i="15"/>
  <c r="M515" i="15"/>
  <c r="N515" i="15" s="1"/>
  <c r="O515" i="15"/>
  <c r="Q515" i="15" s="1"/>
  <c r="P515" i="15"/>
  <c r="M516" i="15"/>
  <c r="N516" i="15" s="1"/>
  <c r="O516" i="15"/>
  <c r="Q516" i="15" s="1"/>
  <c r="P516" i="15"/>
  <c r="M517" i="15"/>
  <c r="N517" i="15" s="1"/>
  <c r="O517" i="15"/>
  <c r="Q517" i="15" s="1"/>
  <c r="P517" i="15"/>
  <c r="M518" i="15"/>
  <c r="N518" i="15" s="1"/>
  <c r="O518" i="15"/>
  <c r="Q518" i="15" s="1"/>
  <c r="P518" i="15"/>
  <c r="M519" i="15"/>
  <c r="N519" i="15" s="1"/>
  <c r="O519" i="15"/>
  <c r="Q519" i="15" s="1"/>
  <c r="P519" i="15"/>
  <c r="M520" i="15"/>
  <c r="N520" i="15" s="1"/>
  <c r="O520" i="15"/>
  <c r="Q520" i="15" s="1"/>
  <c r="P520" i="15"/>
  <c r="M521" i="15"/>
  <c r="N521" i="15" s="1"/>
  <c r="O521" i="15"/>
  <c r="Q521" i="15" s="1"/>
  <c r="P521" i="15"/>
  <c r="M522" i="15"/>
  <c r="N522" i="15" s="1"/>
  <c r="O522" i="15"/>
  <c r="Q522" i="15" s="1"/>
  <c r="P522" i="15"/>
  <c r="M523" i="15"/>
  <c r="N523" i="15" s="1"/>
  <c r="O523" i="15"/>
  <c r="Q523" i="15" s="1"/>
  <c r="P523" i="15"/>
  <c r="M524" i="15"/>
  <c r="N524" i="15" s="1"/>
  <c r="O524" i="15"/>
  <c r="Q524" i="15" s="1"/>
  <c r="P524" i="15"/>
  <c r="M525" i="15"/>
  <c r="N525" i="15" s="1"/>
  <c r="O525" i="15"/>
  <c r="Q525" i="15" s="1"/>
  <c r="P525" i="15"/>
  <c r="M526" i="15"/>
  <c r="N526" i="15" s="1"/>
  <c r="O526" i="15"/>
  <c r="Q526" i="15" s="1"/>
  <c r="P526" i="15"/>
  <c r="M527" i="15"/>
  <c r="N527" i="15" s="1"/>
  <c r="O527" i="15"/>
  <c r="Q527" i="15" s="1"/>
  <c r="P527" i="15"/>
  <c r="M528" i="15"/>
  <c r="N528" i="15" s="1"/>
  <c r="O528" i="15"/>
  <c r="Q528" i="15" s="1"/>
  <c r="P528" i="15"/>
  <c r="M529" i="15"/>
  <c r="N529" i="15" s="1"/>
  <c r="O529" i="15"/>
  <c r="Q529" i="15" s="1"/>
  <c r="P529" i="15"/>
  <c r="M530" i="15"/>
  <c r="N530" i="15" s="1"/>
  <c r="O530" i="15"/>
  <c r="Q530" i="15" s="1"/>
  <c r="P530" i="15"/>
  <c r="M531" i="15"/>
  <c r="N531" i="15" s="1"/>
  <c r="O531" i="15"/>
  <c r="Q531" i="15" s="1"/>
  <c r="P531" i="15"/>
  <c r="M532" i="15"/>
  <c r="N532" i="15" s="1"/>
  <c r="O532" i="15"/>
  <c r="Q532" i="15" s="1"/>
  <c r="P532" i="15"/>
  <c r="M533" i="15"/>
  <c r="N533" i="15" s="1"/>
  <c r="O533" i="15"/>
  <c r="Q533" i="15" s="1"/>
  <c r="P533" i="15"/>
  <c r="M534" i="15"/>
  <c r="N534" i="15" s="1"/>
  <c r="O534" i="15"/>
  <c r="Q534" i="15" s="1"/>
  <c r="P534" i="15"/>
  <c r="M535" i="15"/>
  <c r="N535" i="15" s="1"/>
  <c r="O535" i="15"/>
  <c r="Q535" i="15" s="1"/>
  <c r="P535" i="15"/>
  <c r="M536" i="15"/>
  <c r="N536" i="15" s="1"/>
  <c r="O536" i="15"/>
  <c r="Q536" i="15" s="1"/>
  <c r="P536" i="15"/>
  <c r="M537" i="15"/>
  <c r="N537" i="15" s="1"/>
  <c r="O537" i="15"/>
  <c r="Q537" i="15" s="1"/>
  <c r="P537" i="15"/>
  <c r="M538" i="15"/>
  <c r="N538" i="15" s="1"/>
  <c r="O538" i="15"/>
  <c r="Q538" i="15" s="1"/>
  <c r="P538" i="15"/>
  <c r="M539" i="15"/>
  <c r="N539" i="15" s="1"/>
  <c r="O539" i="15"/>
  <c r="Q539" i="15" s="1"/>
  <c r="P539" i="15"/>
  <c r="M540" i="15"/>
  <c r="N540" i="15" s="1"/>
  <c r="O540" i="15"/>
  <c r="Q540" i="15" s="1"/>
  <c r="P540" i="15"/>
  <c r="M541" i="15"/>
  <c r="N541" i="15" s="1"/>
  <c r="O541" i="15"/>
  <c r="Q541" i="15" s="1"/>
  <c r="P541" i="15"/>
  <c r="M542" i="15"/>
  <c r="N542" i="15" s="1"/>
  <c r="O542" i="15"/>
  <c r="Q542" i="15" s="1"/>
  <c r="P542" i="15"/>
  <c r="M543" i="15"/>
  <c r="N543" i="15" s="1"/>
  <c r="O543" i="15"/>
  <c r="Q543" i="15" s="1"/>
  <c r="P543" i="15"/>
  <c r="M544" i="15"/>
  <c r="N544" i="15" s="1"/>
  <c r="O544" i="15"/>
  <c r="Q544" i="15" s="1"/>
  <c r="P544" i="15"/>
  <c r="M545" i="15"/>
  <c r="N545" i="15" s="1"/>
  <c r="O545" i="15"/>
  <c r="Q545" i="15" s="1"/>
  <c r="P545" i="15"/>
  <c r="M546" i="15"/>
  <c r="N546" i="15" s="1"/>
  <c r="O546" i="15"/>
  <c r="Q546" i="15" s="1"/>
  <c r="P546" i="15"/>
  <c r="M547" i="15"/>
  <c r="N547" i="15" s="1"/>
  <c r="O547" i="15"/>
  <c r="Q547" i="15" s="1"/>
  <c r="P547" i="15"/>
  <c r="M548" i="15"/>
  <c r="N548" i="15" s="1"/>
  <c r="O548" i="15"/>
  <c r="Q548" i="15" s="1"/>
  <c r="P548" i="15"/>
  <c r="M549" i="15"/>
  <c r="N549" i="15" s="1"/>
  <c r="O549" i="15"/>
  <c r="Q549" i="15" s="1"/>
  <c r="P549" i="15"/>
  <c r="M550" i="15"/>
  <c r="N550" i="15" s="1"/>
  <c r="O550" i="15"/>
  <c r="Q550" i="15" s="1"/>
  <c r="P550" i="15"/>
  <c r="M551" i="15"/>
  <c r="N551" i="15" s="1"/>
  <c r="O551" i="15"/>
  <c r="Q551" i="15" s="1"/>
  <c r="P551" i="15"/>
  <c r="M552" i="15"/>
  <c r="N552" i="15" s="1"/>
  <c r="O552" i="15"/>
  <c r="Q552" i="15" s="1"/>
  <c r="P552" i="15"/>
  <c r="M553" i="15"/>
  <c r="N553" i="15" s="1"/>
  <c r="O553" i="15"/>
  <c r="Q553" i="15" s="1"/>
  <c r="P553" i="15"/>
  <c r="M554" i="15"/>
  <c r="N554" i="15" s="1"/>
  <c r="O554" i="15"/>
  <c r="Q554" i="15" s="1"/>
  <c r="P554" i="15"/>
  <c r="M555" i="15"/>
  <c r="N555" i="15" s="1"/>
  <c r="O555" i="15"/>
  <c r="Q555" i="15" s="1"/>
  <c r="P555" i="15"/>
  <c r="M556" i="15"/>
  <c r="N556" i="15" s="1"/>
  <c r="O556" i="15"/>
  <c r="Q556" i="15" s="1"/>
  <c r="P556" i="15"/>
  <c r="M557" i="15"/>
  <c r="N557" i="15" s="1"/>
  <c r="O557" i="15"/>
  <c r="Q557" i="15" s="1"/>
  <c r="P557" i="15"/>
  <c r="M558" i="15"/>
  <c r="N558" i="15" s="1"/>
  <c r="O558" i="15"/>
  <c r="Q558" i="15" s="1"/>
  <c r="P558" i="15"/>
  <c r="M559" i="15"/>
  <c r="N559" i="15" s="1"/>
  <c r="O559" i="15"/>
  <c r="Q559" i="15" s="1"/>
  <c r="P559" i="15"/>
  <c r="M560" i="15"/>
  <c r="N560" i="15" s="1"/>
  <c r="O560" i="15"/>
  <c r="Q560" i="15" s="1"/>
  <c r="P560" i="15"/>
  <c r="M561" i="15"/>
  <c r="N561" i="15" s="1"/>
  <c r="O561" i="15"/>
  <c r="Q561" i="15" s="1"/>
  <c r="P561" i="15"/>
  <c r="M562" i="15"/>
  <c r="N562" i="15" s="1"/>
  <c r="O562" i="15"/>
  <c r="Q562" i="15" s="1"/>
  <c r="P562" i="15"/>
  <c r="M563" i="15"/>
  <c r="N563" i="15" s="1"/>
  <c r="O563" i="15"/>
  <c r="Q563" i="15" s="1"/>
  <c r="P563" i="15"/>
  <c r="M564" i="15"/>
  <c r="N564" i="15" s="1"/>
  <c r="O564" i="15"/>
  <c r="Q564" i="15" s="1"/>
  <c r="P564" i="15"/>
  <c r="M565" i="15"/>
  <c r="N565" i="15" s="1"/>
  <c r="O565" i="15"/>
  <c r="Q565" i="15" s="1"/>
  <c r="P565" i="15"/>
  <c r="M566" i="15"/>
  <c r="N566" i="15" s="1"/>
  <c r="O566" i="15"/>
  <c r="Q566" i="15" s="1"/>
  <c r="P566" i="15"/>
  <c r="M567" i="15"/>
  <c r="N567" i="15" s="1"/>
  <c r="O567" i="15"/>
  <c r="Q567" i="15" s="1"/>
  <c r="P567" i="15"/>
  <c r="M568" i="15"/>
  <c r="N568" i="15" s="1"/>
  <c r="O568" i="15"/>
  <c r="Q568" i="15" s="1"/>
  <c r="P568" i="15"/>
  <c r="M569" i="15"/>
  <c r="N569" i="15" s="1"/>
  <c r="O569" i="15"/>
  <c r="Q569" i="15" s="1"/>
  <c r="P569" i="15"/>
  <c r="M570" i="15"/>
  <c r="N570" i="15" s="1"/>
  <c r="O570" i="15"/>
  <c r="Q570" i="15" s="1"/>
  <c r="P570" i="15"/>
  <c r="M571" i="15"/>
  <c r="N571" i="15" s="1"/>
  <c r="O571" i="15"/>
  <c r="Q571" i="15" s="1"/>
  <c r="P571" i="15"/>
  <c r="M572" i="15"/>
  <c r="N572" i="15" s="1"/>
  <c r="O572" i="15"/>
  <c r="Q572" i="15" s="1"/>
  <c r="P572" i="15"/>
  <c r="M573" i="15"/>
  <c r="N573" i="15" s="1"/>
  <c r="O573" i="15"/>
  <c r="Q573" i="15" s="1"/>
  <c r="P573" i="15"/>
  <c r="M574" i="15"/>
  <c r="N574" i="15" s="1"/>
  <c r="O574" i="15"/>
  <c r="Q574" i="15" s="1"/>
  <c r="P574" i="15"/>
  <c r="M575" i="15"/>
  <c r="N575" i="15" s="1"/>
  <c r="O575" i="15"/>
  <c r="Q575" i="15" s="1"/>
  <c r="P575" i="15"/>
  <c r="M576" i="15"/>
  <c r="N576" i="15" s="1"/>
  <c r="O576" i="15"/>
  <c r="Q576" i="15" s="1"/>
  <c r="P576" i="15"/>
  <c r="M577" i="15"/>
  <c r="N577" i="15" s="1"/>
  <c r="O577" i="15"/>
  <c r="Q577" i="15" s="1"/>
  <c r="P577" i="15"/>
  <c r="M578" i="15"/>
  <c r="N578" i="15" s="1"/>
  <c r="O578" i="15"/>
  <c r="Q578" i="15" s="1"/>
  <c r="P578" i="15"/>
  <c r="M579" i="15"/>
  <c r="N579" i="15" s="1"/>
  <c r="O579" i="15"/>
  <c r="Q579" i="15" s="1"/>
  <c r="P579" i="15"/>
  <c r="M580" i="15"/>
  <c r="N580" i="15" s="1"/>
  <c r="O580" i="15"/>
  <c r="Q580" i="15" s="1"/>
  <c r="P580" i="15"/>
  <c r="M581" i="15"/>
  <c r="N581" i="15" s="1"/>
  <c r="O581" i="15"/>
  <c r="Q581" i="15" s="1"/>
  <c r="P581" i="15"/>
  <c r="M582" i="15"/>
  <c r="N582" i="15" s="1"/>
  <c r="O582" i="15"/>
  <c r="Q582" i="15" s="1"/>
  <c r="P582" i="15"/>
  <c r="M583" i="15"/>
  <c r="N583" i="15" s="1"/>
  <c r="O583" i="15"/>
  <c r="Q583" i="15" s="1"/>
  <c r="P583" i="15"/>
  <c r="M584" i="15"/>
  <c r="N584" i="15" s="1"/>
  <c r="O584" i="15"/>
  <c r="Q584" i="15" s="1"/>
  <c r="P584" i="15"/>
  <c r="M585" i="15"/>
  <c r="N585" i="15" s="1"/>
  <c r="O585" i="15"/>
  <c r="Q585" i="15" s="1"/>
  <c r="P585" i="15"/>
  <c r="M586" i="15"/>
  <c r="N586" i="15" s="1"/>
  <c r="O586" i="15"/>
  <c r="Q586" i="15" s="1"/>
  <c r="P586" i="15"/>
  <c r="M587" i="15"/>
  <c r="N587" i="15" s="1"/>
  <c r="O587" i="15"/>
  <c r="Q587" i="15" s="1"/>
  <c r="P587" i="15"/>
  <c r="M588" i="15"/>
  <c r="N588" i="15" s="1"/>
  <c r="O588" i="15"/>
  <c r="Q588" i="15" s="1"/>
  <c r="P588" i="15"/>
  <c r="M589" i="15"/>
  <c r="N589" i="15" s="1"/>
  <c r="O589" i="15"/>
  <c r="Q589" i="15" s="1"/>
  <c r="P589" i="15"/>
  <c r="M590" i="15"/>
  <c r="N590" i="15" s="1"/>
  <c r="O590" i="15"/>
  <c r="Q590" i="15" s="1"/>
  <c r="P590" i="15"/>
  <c r="M591" i="15"/>
  <c r="N591" i="15" s="1"/>
  <c r="O591" i="15"/>
  <c r="Q591" i="15" s="1"/>
  <c r="P591" i="15"/>
  <c r="M592" i="15"/>
  <c r="N592" i="15" s="1"/>
  <c r="O592" i="15"/>
  <c r="Q592" i="15" s="1"/>
  <c r="P592" i="15"/>
  <c r="M593" i="15"/>
  <c r="N593" i="15" s="1"/>
  <c r="O593" i="15"/>
  <c r="Q593" i="15" s="1"/>
  <c r="P593" i="15"/>
  <c r="M594" i="15"/>
  <c r="N594" i="15" s="1"/>
  <c r="O594" i="15"/>
  <c r="Q594" i="15" s="1"/>
  <c r="P594" i="15"/>
  <c r="M595" i="15"/>
  <c r="N595" i="15" s="1"/>
  <c r="O595" i="15"/>
  <c r="Q595" i="15" s="1"/>
  <c r="P595" i="15"/>
  <c r="M596" i="15"/>
  <c r="N596" i="15" s="1"/>
  <c r="O596" i="15"/>
  <c r="Q596" i="15" s="1"/>
  <c r="P596" i="15"/>
  <c r="M597" i="15"/>
  <c r="N597" i="15" s="1"/>
  <c r="O597" i="15"/>
  <c r="Q597" i="15" s="1"/>
  <c r="P597" i="15"/>
  <c r="M598" i="15"/>
  <c r="N598" i="15" s="1"/>
  <c r="O598" i="15"/>
  <c r="Q598" i="15" s="1"/>
  <c r="P598" i="15"/>
  <c r="M599" i="15"/>
  <c r="N599" i="15" s="1"/>
  <c r="O599" i="15"/>
  <c r="Q599" i="15" s="1"/>
  <c r="P599" i="15"/>
  <c r="M600" i="15"/>
  <c r="N600" i="15" s="1"/>
  <c r="O600" i="15"/>
  <c r="Q600" i="15" s="1"/>
  <c r="P600" i="15"/>
  <c r="M601" i="15"/>
  <c r="N601" i="15" s="1"/>
  <c r="O601" i="15"/>
  <c r="Q601" i="15" s="1"/>
  <c r="P601" i="15"/>
  <c r="M602" i="15"/>
  <c r="N602" i="15" s="1"/>
  <c r="O602" i="15"/>
  <c r="Q602" i="15" s="1"/>
  <c r="P602" i="15"/>
  <c r="M603" i="15"/>
  <c r="N603" i="15" s="1"/>
  <c r="O603" i="15"/>
  <c r="Q603" i="15" s="1"/>
  <c r="P603" i="15"/>
  <c r="M604" i="15"/>
  <c r="N604" i="15" s="1"/>
  <c r="O604" i="15"/>
  <c r="Q604" i="15" s="1"/>
  <c r="P604" i="15"/>
  <c r="M605" i="15"/>
  <c r="N605" i="15" s="1"/>
  <c r="O605" i="15"/>
  <c r="Q605" i="15" s="1"/>
  <c r="P605" i="15"/>
  <c r="M606" i="15"/>
  <c r="N606" i="15" s="1"/>
  <c r="O606" i="15"/>
  <c r="Q606" i="15" s="1"/>
  <c r="P606" i="15"/>
  <c r="M607" i="15"/>
  <c r="N607" i="15" s="1"/>
  <c r="O607" i="15"/>
  <c r="Q607" i="15" s="1"/>
  <c r="P607" i="15"/>
  <c r="M608" i="15"/>
  <c r="N608" i="15" s="1"/>
  <c r="O608" i="15"/>
  <c r="Q608" i="15" s="1"/>
  <c r="P608" i="15"/>
  <c r="M609" i="15"/>
  <c r="N609" i="15" s="1"/>
  <c r="O609" i="15"/>
  <c r="Q609" i="15" s="1"/>
  <c r="P609" i="15"/>
  <c r="M610" i="15"/>
  <c r="N610" i="15" s="1"/>
  <c r="O610" i="15"/>
  <c r="Q610" i="15" s="1"/>
  <c r="P610" i="15"/>
  <c r="M611" i="15"/>
  <c r="N611" i="15" s="1"/>
  <c r="O611" i="15"/>
  <c r="Q611" i="15" s="1"/>
  <c r="P611" i="15"/>
  <c r="M612" i="15"/>
  <c r="N612" i="15" s="1"/>
  <c r="O612" i="15"/>
  <c r="Q612" i="15" s="1"/>
  <c r="P612" i="15"/>
  <c r="M613" i="15"/>
  <c r="N613" i="15" s="1"/>
  <c r="O613" i="15"/>
  <c r="Q613" i="15" s="1"/>
  <c r="P613" i="15"/>
  <c r="M614" i="15"/>
  <c r="N614" i="15" s="1"/>
  <c r="O614" i="15"/>
  <c r="Q614" i="15" s="1"/>
  <c r="P614" i="15"/>
  <c r="M615" i="15"/>
  <c r="N615" i="15" s="1"/>
  <c r="O615" i="15"/>
  <c r="Q615" i="15" s="1"/>
  <c r="P615" i="15"/>
  <c r="M616" i="15"/>
  <c r="N616" i="15" s="1"/>
  <c r="O616" i="15"/>
  <c r="Q616" i="15" s="1"/>
  <c r="P616" i="15"/>
  <c r="M617" i="15"/>
  <c r="N617" i="15" s="1"/>
  <c r="O617" i="15"/>
  <c r="Q617" i="15" s="1"/>
  <c r="P617" i="15"/>
  <c r="M618" i="15"/>
  <c r="N618" i="15" s="1"/>
  <c r="O618" i="15"/>
  <c r="Q618" i="15" s="1"/>
  <c r="P618" i="15"/>
  <c r="M619" i="15"/>
  <c r="N619" i="15" s="1"/>
  <c r="O619" i="15"/>
  <c r="Q619" i="15" s="1"/>
  <c r="P619" i="15"/>
  <c r="M620" i="15"/>
  <c r="N620" i="15" s="1"/>
  <c r="O620" i="15"/>
  <c r="Q620" i="15" s="1"/>
  <c r="P620" i="15"/>
  <c r="M621" i="15"/>
  <c r="N621" i="15" s="1"/>
  <c r="O621" i="15"/>
  <c r="Q621" i="15" s="1"/>
  <c r="P621" i="15"/>
  <c r="M622" i="15"/>
  <c r="N622" i="15" s="1"/>
  <c r="O622" i="15"/>
  <c r="Q622" i="15" s="1"/>
  <c r="P622" i="15"/>
  <c r="M623" i="15"/>
  <c r="N623" i="15" s="1"/>
  <c r="O623" i="15"/>
  <c r="Q623" i="15" s="1"/>
  <c r="P623" i="15"/>
  <c r="M624" i="15"/>
  <c r="N624" i="15" s="1"/>
  <c r="O624" i="15"/>
  <c r="Q624" i="15" s="1"/>
  <c r="P624" i="15"/>
  <c r="M625" i="15"/>
  <c r="N625" i="15" s="1"/>
  <c r="O625" i="15"/>
  <c r="Q625" i="15" s="1"/>
  <c r="P625" i="15"/>
  <c r="M626" i="15"/>
  <c r="N626" i="15" s="1"/>
  <c r="O626" i="15"/>
  <c r="Q626" i="15" s="1"/>
  <c r="P626" i="15"/>
  <c r="M627" i="15"/>
  <c r="N627" i="15" s="1"/>
  <c r="O627" i="15"/>
  <c r="Q627" i="15" s="1"/>
  <c r="P627" i="15"/>
  <c r="M628" i="15"/>
  <c r="N628" i="15" s="1"/>
  <c r="O628" i="15"/>
  <c r="Q628" i="15" s="1"/>
  <c r="P628" i="15"/>
  <c r="M629" i="15"/>
  <c r="N629" i="15" s="1"/>
  <c r="O629" i="15"/>
  <c r="Q629" i="15" s="1"/>
  <c r="P629" i="15"/>
  <c r="M630" i="15"/>
  <c r="N630" i="15" s="1"/>
  <c r="O630" i="15"/>
  <c r="Q630" i="15" s="1"/>
  <c r="P630" i="15"/>
  <c r="M631" i="15"/>
  <c r="N631" i="15" s="1"/>
  <c r="O631" i="15"/>
  <c r="Q631" i="15" s="1"/>
  <c r="P631" i="15"/>
  <c r="M632" i="15"/>
  <c r="N632" i="15" s="1"/>
  <c r="O632" i="15"/>
  <c r="Q632" i="15" s="1"/>
  <c r="P632" i="15"/>
  <c r="M633" i="15"/>
  <c r="N633" i="15" s="1"/>
  <c r="O633" i="15"/>
  <c r="Q633" i="15" s="1"/>
  <c r="P633" i="15"/>
  <c r="M634" i="15"/>
  <c r="N634" i="15" s="1"/>
  <c r="O634" i="15"/>
  <c r="Q634" i="15" s="1"/>
  <c r="P634" i="15"/>
  <c r="M635" i="15"/>
  <c r="N635" i="15" s="1"/>
  <c r="O635" i="15"/>
  <c r="Q635" i="15" s="1"/>
  <c r="P635" i="15"/>
  <c r="M636" i="15"/>
  <c r="N636" i="15" s="1"/>
  <c r="O636" i="15"/>
  <c r="Q636" i="15" s="1"/>
  <c r="P636" i="15"/>
  <c r="M637" i="15"/>
  <c r="N637" i="15" s="1"/>
  <c r="O637" i="15"/>
  <c r="Q637" i="15" s="1"/>
  <c r="P637" i="15"/>
  <c r="M638" i="15"/>
  <c r="N638" i="15" s="1"/>
  <c r="O638" i="15"/>
  <c r="Q638" i="15" s="1"/>
  <c r="P638" i="15"/>
  <c r="M639" i="15"/>
  <c r="N639" i="15" s="1"/>
  <c r="O639" i="15"/>
  <c r="Q639" i="15" s="1"/>
  <c r="P639" i="15"/>
  <c r="M640" i="15"/>
  <c r="N640" i="15" s="1"/>
  <c r="O640" i="15"/>
  <c r="Q640" i="15" s="1"/>
  <c r="P640" i="15"/>
  <c r="M641" i="15"/>
  <c r="N641" i="15" s="1"/>
  <c r="O641" i="15"/>
  <c r="Q641" i="15" s="1"/>
  <c r="P641" i="15"/>
  <c r="M642" i="15"/>
  <c r="N642" i="15" s="1"/>
  <c r="O642" i="15"/>
  <c r="Q642" i="15" s="1"/>
  <c r="P642" i="15"/>
  <c r="M643" i="15"/>
  <c r="N643" i="15" s="1"/>
  <c r="O643" i="15"/>
  <c r="Q643" i="15" s="1"/>
  <c r="P643" i="15"/>
  <c r="M644" i="15"/>
  <c r="N644" i="15" s="1"/>
  <c r="O644" i="15"/>
  <c r="Q644" i="15" s="1"/>
  <c r="P644" i="15"/>
  <c r="M645" i="15"/>
  <c r="N645" i="15" s="1"/>
  <c r="O645" i="15"/>
  <c r="Q645" i="15" s="1"/>
  <c r="P645" i="15"/>
  <c r="M646" i="15"/>
  <c r="N646" i="15" s="1"/>
  <c r="O646" i="15"/>
  <c r="Q646" i="15" s="1"/>
  <c r="P646" i="15"/>
  <c r="M647" i="15"/>
  <c r="N647" i="15" s="1"/>
  <c r="O647" i="15"/>
  <c r="Q647" i="15" s="1"/>
  <c r="P647" i="15"/>
  <c r="M648" i="15"/>
  <c r="N648" i="15" s="1"/>
  <c r="O648" i="15"/>
  <c r="Q648" i="15" s="1"/>
  <c r="P648" i="15"/>
  <c r="M649" i="15"/>
  <c r="N649" i="15" s="1"/>
  <c r="O649" i="15"/>
  <c r="Q649" i="15" s="1"/>
  <c r="P649" i="15"/>
  <c r="M650" i="15"/>
  <c r="N650" i="15" s="1"/>
  <c r="O650" i="15"/>
  <c r="Q650" i="15" s="1"/>
  <c r="P650" i="15"/>
  <c r="M651" i="15"/>
  <c r="N651" i="15" s="1"/>
  <c r="O651" i="15"/>
  <c r="Q651" i="15" s="1"/>
  <c r="P651" i="15"/>
  <c r="M652" i="15"/>
  <c r="N652" i="15" s="1"/>
  <c r="O652" i="15"/>
  <c r="Q652" i="15" s="1"/>
  <c r="P652" i="15"/>
  <c r="M653" i="15"/>
  <c r="N653" i="15" s="1"/>
  <c r="O653" i="15"/>
  <c r="Q653" i="15" s="1"/>
  <c r="P653" i="15"/>
  <c r="M654" i="15"/>
  <c r="N654" i="15" s="1"/>
  <c r="O654" i="15"/>
  <c r="Q654" i="15" s="1"/>
  <c r="P654" i="15"/>
  <c r="M655" i="15"/>
  <c r="N655" i="15" s="1"/>
  <c r="O655" i="15"/>
  <c r="Q655" i="15" s="1"/>
  <c r="P655" i="15"/>
  <c r="M656" i="15"/>
  <c r="N656" i="15" s="1"/>
  <c r="O656" i="15"/>
  <c r="Q656" i="15" s="1"/>
  <c r="P656" i="15"/>
  <c r="M657" i="15"/>
  <c r="N657" i="15" s="1"/>
  <c r="O657" i="15"/>
  <c r="Q657" i="15" s="1"/>
  <c r="P657" i="15"/>
  <c r="M658" i="15"/>
  <c r="N658" i="15" s="1"/>
  <c r="O658" i="15"/>
  <c r="Q658" i="15" s="1"/>
  <c r="P658" i="15"/>
  <c r="M659" i="15"/>
  <c r="N659" i="15" s="1"/>
  <c r="O659" i="15"/>
  <c r="Q659" i="15" s="1"/>
  <c r="P659" i="15"/>
  <c r="M660" i="15"/>
  <c r="N660" i="15" s="1"/>
  <c r="O660" i="15"/>
  <c r="Q660" i="15" s="1"/>
  <c r="P660" i="15"/>
  <c r="M661" i="15"/>
  <c r="N661" i="15" s="1"/>
  <c r="O661" i="15"/>
  <c r="Q661" i="15" s="1"/>
  <c r="P661" i="15"/>
  <c r="M662" i="15"/>
  <c r="N662" i="15" s="1"/>
  <c r="O662" i="15"/>
  <c r="Q662" i="15" s="1"/>
  <c r="P662" i="15"/>
  <c r="M663" i="15"/>
  <c r="N663" i="15" s="1"/>
  <c r="O663" i="15"/>
  <c r="Q663" i="15" s="1"/>
  <c r="P663" i="15"/>
  <c r="M664" i="15"/>
  <c r="N664" i="15" s="1"/>
  <c r="O664" i="15"/>
  <c r="Q664" i="15" s="1"/>
  <c r="P664" i="15"/>
  <c r="M665" i="15"/>
  <c r="N665" i="15" s="1"/>
  <c r="O665" i="15"/>
  <c r="Q665" i="15" s="1"/>
  <c r="P665" i="15"/>
  <c r="M666" i="15"/>
  <c r="N666" i="15" s="1"/>
  <c r="O666" i="15"/>
  <c r="Q666" i="15" s="1"/>
  <c r="P666" i="15"/>
  <c r="M667" i="15"/>
  <c r="N667" i="15" s="1"/>
  <c r="O667" i="15"/>
  <c r="Q667" i="15" s="1"/>
  <c r="P667" i="15"/>
  <c r="M668" i="15"/>
  <c r="N668" i="15" s="1"/>
  <c r="O668" i="15"/>
  <c r="Q668" i="15" s="1"/>
  <c r="P668" i="15"/>
  <c r="M669" i="15"/>
  <c r="N669" i="15" s="1"/>
  <c r="O669" i="15"/>
  <c r="Q669" i="15" s="1"/>
  <c r="P669" i="15"/>
  <c r="M670" i="15"/>
  <c r="N670" i="15" s="1"/>
  <c r="O670" i="15"/>
  <c r="Q670" i="15" s="1"/>
  <c r="P670" i="15"/>
  <c r="M671" i="15"/>
  <c r="N671" i="15" s="1"/>
  <c r="O671" i="15"/>
  <c r="Q671" i="15" s="1"/>
  <c r="P671" i="15"/>
  <c r="M672" i="15"/>
  <c r="N672" i="15" s="1"/>
  <c r="O672" i="15"/>
  <c r="Q672" i="15" s="1"/>
  <c r="P672" i="15"/>
  <c r="M673" i="15"/>
  <c r="N673" i="15" s="1"/>
  <c r="O673" i="15"/>
  <c r="Q673" i="15" s="1"/>
  <c r="P673" i="15"/>
  <c r="M674" i="15"/>
  <c r="N674" i="15" s="1"/>
  <c r="O674" i="15"/>
  <c r="Q674" i="15" s="1"/>
  <c r="P674" i="15"/>
  <c r="M675" i="15"/>
  <c r="N675" i="15" s="1"/>
  <c r="O675" i="15"/>
  <c r="Q675" i="15" s="1"/>
  <c r="P675" i="15"/>
  <c r="M676" i="15"/>
  <c r="N676" i="15" s="1"/>
  <c r="O676" i="15"/>
  <c r="Q676" i="15" s="1"/>
  <c r="P676" i="15"/>
  <c r="M677" i="15"/>
  <c r="N677" i="15" s="1"/>
  <c r="O677" i="15"/>
  <c r="Q677" i="15" s="1"/>
  <c r="P677" i="15"/>
  <c r="M678" i="15"/>
  <c r="N678" i="15" s="1"/>
  <c r="O678" i="15"/>
  <c r="Q678" i="15" s="1"/>
  <c r="P678" i="15"/>
  <c r="M679" i="15"/>
  <c r="N679" i="15" s="1"/>
  <c r="O679" i="15"/>
  <c r="Q679" i="15" s="1"/>
  <c r="P679" i="15"/>
  <c r="M680" i="15"/>
  <c r="N680" i="15" s="1"/>
  <c r="O680" i="15"/>
  <c r="Q680" i="15" s="1"/>
  <c r="P680" i="15"/>
  <c r="M681" i="15"/>
  <c r="N681" i="15" s="1"/>
  <c r="O681" i="15"/>
  <c r="Q681" i="15" s="1"/>
  <c r="P681" i="15"/>
  <c r="M682" i="15"/>
  <c r="N682" i="15" s="1"/>
  <c r="O682" i="15"/>
  <c r="Q682" i="15" s="1"/>
  <c r="P682" i="15"/>
  <c r="M683" i="15"/>
  <c r="N683" i="15" s="1"/>
  <c r="O683" i="15"/>
  <c r="Q683" i="15" s="1"/>
  <c r="P683" i="15"/>
  <c r="M684" i="15"/>
  <c r="N684" i="15" s="1"/>
  <c r="O684" i="15"/>
  <c r="Q684" i="15" s="1"/>
  <c r="P684" i="15"/>
  <c r="M685" i="15"/>
  <c r="N685" i="15" s="1"/>
  <c r="O685" i="15"/>
  <c r="Q685" i="15" s="1"/>
  <c r="P685" i="15"/>
  <c r="M686" i="15"/>
  <c r="N686" i="15" s="1"/>
  <c r="O686" i="15"/>
  <c r="Q686" i="15" s="1"/>
  <c r="P686" i="15"/>
  <c r="M687" i="15"/>
  <c r="N687" i="15" s="1"/>
  <c r="O687" i="15"/>
  <c r="Q687" i="15" s="1"/>
  <c r="P687" i="15"/>
  <c r="M688" i="15"/>
  <c r="N688" i="15" s="1"/>
  <c r="O688" i="15"/>
  <c r="Q688" i="15" s="1"/>
  <c r="P688" i="15"/>
  <c r="M689" i="15"/>
  <c r="N689" i="15" s="1"/>
  <c r="O689" i="15"/>
  <c r="Q689" i="15" s="1"/>
  <c r="P689" i="15"/>
  <c r="M690" i="15"/>
  <c r="N690" i="15" s="1"/>
  <c r="O690" i="15"/>
  <c r="Q690" i="15" s="1"/>
  <c r="P690" i="15"/>
  <c r="M691" i="15"/>
  <c r="N691" i="15" s="1"/>
  <c r="O691" i="15"/>
  <c r="Q691" i="15" s="1"/>
  <c r="P691" i="15"/>
  <c r="M692" i="15"/>
  <c r="N692" i="15" s="1"/>
  <c r="O692" i="15"/>
  <c r="Q692" i="15" s="1"/>
  <c r="P692" i="15"/>
  <c r="M693" i="15"/>
  <c r="N693" i="15" s="1"/>
  <c r="O693" i="15"/>
  <c r="Q693" i="15" s="1"/>
  <c r="P693" i="15"/>
  <c r="M694" i="15"/>
  <c r="N694" i="15" s="1"/>
  <c r="O694" i="15"/>
  <c r="Q694" i="15" s="1"/>
  <c r="P694" i="15"/>
  <c r="M695" i="15"/>
  <c r="N695" i="15" s="1"/>
  <c r="O695" i="15"/>
  <c r="Q695" i="15" s="1"/>
  <c r="P695" i="15"/>
  <c r="M696" i="15"/>
  <c r="N696" i="15" s="1"/>
  <c r="O696" i="15"/>
  <c r="Q696" i="15" s="1"/>
  <c r="P696" i="15"/>
  <c r="M697" i="15"/>
  <c r="N697" i="15" s="1"/>
  <c r="O697" i="15"/>
  <c r="Q697" i="15" s="1"/>
  <c r="P697" i="15"/>
  <c r="M698" i="15"/>
  <c r="N698" i="15" s="1"/>
  <c r="O698" i="15"/>
  <c r="Q698" i="15" s="1"/>
  <c r="P698" i="15"/>
  <c r="M699" i="15"/>
  <c r="N699" i="15" s="1"/>
  <c r="O699" i="15"/>
  <c r="Q699" i="15" s="1"/>
  <c r="P699" i="15"/>
  <c r="M700" i="15"/>
  <c r="N700" i="15" s="1"/>
  <c r="O700" i="15"/>
  <c r="Q700" i="15" s="1"/>
  <c r="P700" i="15"/>
  <c r="M701" i="15"/>
  <c r="N701" i="15" s="1"/>
  <c r="O701" i="15"/>
  <c r="Q701" i="15" s="1"/>
  <c r="P701" i="15"/>
  <c r="M702" i="15"/>
  <c r="N702" i="15" s="1"/>
  <c r="O702" i="15"/>
  <c r="Q702" i="15" s="1"/>
  <c r="P702" i="15"/>
  <c r="M703" i="15"/>
  <c r="N703" i="15" s="1"/>
  <c r="O703" i="15"/>
  <c r="Q703" i="15" s="1"/>
  <c r="P703" i="15"/>
  <c r="M704" i="15"/>
  <c r="N704" i="15" s="1"/>
  <c r="O704" i="15"/>
  <c r="Q704" i="15" s="1"/>
  <c r="P704" i="15"/>
  <c r="M705" i="15"/>
  <c r="N705" i="15" s="1"/>
  <c r="O705" i="15"/>
  <c r="Q705" i="15" s="1"/>
  <c r="P705" i="15"/>
  <c r="M706" i="15"/>
  <c r="N706" i="15" s="1"/>
  <c r="O706" i="15"/>
  <c r="Q706" i="15" s="1"/>
  <c r="P706" i="15"/>
  <c r="M707" i="15"/>
  <c r="N707" i="15" s="1"/>
  <c r="O707" i="15"/>
  <c r="Q707" i="15" s="1"/>
  <c r="P707" i="15"/>
  <c r="M708" i="15"/>
  <c r="N708" i="15" s="1"/>
  <c r="O708" i="15"/>
  <c r="Q708" i="15" s="1"/>
  <c r="P708" i="15"/>
  <c r="M709" i="15"/>
  <c r="N709" i="15" s="1"/>
  <c r="O709" i="15"/>
  <c r="Q709" i="15" s="1"/>
  <c r="P709" i="15"/>
  <c r="M710" i="15"/>
  <c r="N710" i="15" s="1"/>
  <c r="O710" i="15"/>
  <c r="Q710" i="15" s="1"/>
  <c r="P710" i="15"/>
  <c r="M711" i="15"/>
  <c r="N711" i="15" s="1"/>
  <c r="O711" i="15"/>
  <c r="Q711" i="15" s="1"/>
  <c r="P711" i="15"/>
  <c r="M712" i="15"/>
  <c r="N712" i="15" s="1"/>
  <c r="O712" i="15"/>
  <c r="Q712" i="15" s="1"/>
  <c r="P712" i="15"/>
  <c r="M713" i="15"/>
  <c r="N713" i="15" s="1"/>
  <c r="O713" i="15"/>
  <c r="Q713" i="15" s="1"/>
  <c r="P713" i="15"/>
  <c r="M714" i="15"/>
  <c r="N714" i="15" s="1"/>
  <c r="O714" i="15"/>
  <c r="Q714" i="15" s="1"/>
  <c r="P714" i="15"/>
  <c r="M715" i="15"/>
  <c r="N715" i="15" s="1"/>
  <c r="O715" i="15"/>
  <c r="Q715" i="15" s="1"/>
  <c r="P715" i="15"/>
  <c r="M716" i="15"/>
  <c r="N716" i="15" s="1"/>
  <c r="O716" i="15"/>
  <c r="Q716" i="15" s="1"/>
  <c r="P716" i="15"/>
  <c r="M717" i="15"/>
  <c r="N717" i="15" s="1"/>
  <c r="O717" i="15"/>
  <c r="Q717" i="15" s="1"/>
  <c r="P717" i="15"/>
  <c r="M718" i="15"/>
  <c r="N718" i="15" s="1"/>
  <c r="O718" i="15"/>
  <c r="Q718" i="15" s="1"/>
  <c r="P718" i="15"/>
  <c r="M719" i="15"/>
  <c r="N719" i="15" s="1"/>
  <c r="O719" i="15"/>
  <c r="Q719" i="15" s="1"/>
  <c r="P719" i="15"/>
  <c r="M720" i="15"/>
  <c r="N720" i="15" s="1"/>
  <c r="O720" i="15"/>
  <c r="Q720" i="15" s="1"/>
  <c r="P720" i="15"/>
  <c r="M721" i="15"/>
  <c r="N721" i="15" s="1"/>
  <c r="O721" i="15"/>
  <c r="Q721" i="15" s="1"/>
  <c r="P721" i="15"/>
  <c r="M722" i="15"/>
  <c r="N722" i="15" s="1"/>
  <c r="O722" i="15"/>
  <c r="Q722" i="15" s="1"/>
  <c r="P722" i="15"/>
  <c r="M723" i="15"/>
  <c r="N723" i="15" s="1"/>
  <c r="O723" i="15"/>
  <c r="Q723" i="15" s="1"/>
  <c r="P723" i="15"/>
  <c r="M724" i="15"/>
  <c r="N724" i="15" s="1"/>
  <c r="O724" i="15"/>
  <c r="Q724" i="15" s="1"/>
  <c r="P724" i="15"/>
  <c r="M725" i="15"/>
  <c r="N725" i="15" s="1"/>
  <c r="O725" i="15"/>
  <c r="Q725" i="15" s="1"/>
  <c r="P725" i="15"/>
  <c r="M726" i="15"/>
  <c r="N726" i="15" s="1"/>
  <c r="O726" i="15"/>
  <c r="Q726" i="15" s="1"/>
  <c r="P726" i="15"/>
  <c r="M727" i="15"/>
  <c r="N727" i="15" s="1"/>
  <c r="O727" i="15"/>
  <c r="Q727" i="15" s="1"/>
  <c r="P727" i="15"/>
  <c r="M728" i="15"/>
  <c r="N728" i="15" s="1"/>
  <c r="O728" i="15"/>
  <c r="Q728" i="15" s="1"/>
  <c r="P728" i="15"/>
  <c r="M729" i="15"/>
  <c r="N729" i="15" s="1"/>
  <c r="O729" i="15"/>
  <c r="Q729" i="15" s="1"/>
  <c r="P729" i="15"/>
  <c r="M730" i="15"/>
  <c r="N730" i="15" s="1"/>
  <c r="O730" i="15"/>
  <c r="Q730" i="15" s="1"/>
  <c r="P730" i="15"/>
  <c r="M731" i="15"/>
  <c r="N731" i="15" s="1"/>
  <c r="O731" i="15"/>
  <c r="Q731" i="15" s="1"/>
  <c r="P731" i="15"/>
  <c r="M732" i="15"/>
  <c r="N732" i="15" s="1"/>
  <c r="O732" i="15"/>
  <c r="Q732" i="15" s="1"/>
  <c r="P732" i="15"/>
  <c r="M733" i="15"/>
  <c r="N733" i="15" s="1"/>
  <c r="O733" i="15"/>
  <c r="Q733" i="15" s="1"/>
  <c r="P733" i="15"/>
  <c r="M734" i="15"/>
  <c r="N734" i="15" s="1"/>
  <c r="O734" i="15"/>
  <c r="Q734" i="15" s="1"/>
  <c r="P734" i="15"/>
  <c r="M735" i="15"/>
  <c r="N735" i="15" s="1"/>
  <c r="O735" i="15"/>
  <c r="Q735" i="15" s="1"/>
  <c r="P735" i="15"/>
  <c r="M736" i="15"/>
  <c r="N736" i="15" s="1"/>
  <c r="O736" i="15"/>
  <c r="Q736" i="15" s="1"/>
  <c r="P736" i="15"/>
  <c r="M737" i="15"/>
  <c r="N737" i="15" s="1"/>
  <c r="O737" i="15"/>
  <c r="Q737" i="15" s="1"/>
  <c r="P737" i="15"/>
  <c r="M738" i="15"/>
  <c r="N738" i="15" s="1"/>
  <c r="O738" i="15"/>
  <c r="Q738" i="15" s="1"/>
  <c r="P738" i="15"/>
  <c r="M739" i="15"/>
  <c r="N739" i="15" s="1"/>
  <c r="O739" i="15"/>
  <c r="Q739" i="15" s="1"/>
  <c r="P739" i="15"/>
  <c r="M740" i="15"/>
  <c r="N740" i="15" s="1"/>
  <c r="O740" i="15"/>
  <c r="Q740" i="15" s="1"/>
  <c r="P740" i="15"/>
  <c r="M741" i="15"/>
  <c r="N741" i="15" s="1"/>
  <c r="O741" i="15"/>
  <c r="Q741" i="15" s="1"/>
  <c r="P741" i="15"/>
  <c r="M742" i="15"/>
  <c r="N742" i="15" s="1"/>
  <c r="O742" i="15"/>
  <c r="Q742" i="15" s="1"/>
  <c r="P742" i="15"/>
  <c r="M743" i="15"/>
  <c r="N743" i="15" s="1"/>
  <c r="O743" i="15"/>
  <c r="Q743" i="15" s="1"/>
  <c r="P743" i="15"/>
  <c r="M744" i="15"/>
  <c r="N744" i="15" s="1"/>
  <c r="O744" i="15"/>
  <c r="Q744" i="15" s="1"/>
  <c r="P744" i="15"/>
  <c r="M745" i="15"/>
  <c r="N745" i="15" s="1"/>
  <c r="O745" i="15"/>
  <c r="Q745" i="15" s="1"/>
  <c r="P745" i="15"/>
  <c r="M746" i="15"/>
  <c r="N746" i="15" s="1"/>
  <c r="O746" i="15"/>
  <c r="Q746" i="15" s="1"/>
  <c r="P746" i="15"/>
  <c r="M747" i="15"/>
  <c r="N747" i="15" s="1"/>
  <c r="O747" i="15"/>
  <c r="Q747" i="15" s="1"/>
  <c r="P747" i="15"/>
  <c r="M748" i="15"/>
  <c r="N748" i="15" s="1"/>
  <c r="O748" i="15"/>
  <c r="Q748" i="15" s="1"/>
  <c r="P748" i="15"/>
  <c r="M749" i="15"/>
  <c r="N749" i="15" s="1"/>
  <c r="O749" i="15"/>
  <c r="Q749" i="15" s="1"/>
  <c r="P749" i="15"/>
  <c r="M750" i="15"/>
  <c r="N750" i="15" s="1"/>
  <c r="O750" i="15"/>
  <c r="Q750" i="15" s="1"/>
  <c r="P750" i="15"/>
  <c r="M751" i="15"/>
  <c r="N751" i="15" s="1"/>
  <c r="O751" i="15"/>
  <c r="Q751" i="15" s="1"/>
  <c r="P751" i="15"/>
  <c r="M752" i="15"/>
  <c r="N752" i="15" s="1"/>
  <c r="O752" i="15"/>
  <c r="Q752" i="15" s="1"/>
  <c r="P752" i="15"/>
  <c r="M753" i="15"/>
  <c r="N753" i="15" s="1"/>
  <c r="O753" i="15"/>
  <c r="Q753" i="15" s="1"/>
  <c r="P753" i="15"/>
  <c r="M754" i="15"/>
  <c r="N754" i="15" s="1"/>
  <c r="O754" i="15"/>
  <c r="Q754" i="15" s="1"/>
  <c r="P754" i="15"/>
  <c r="M755" i="15"/>
  <c r="N755" i="15" s="1"/>
  <c r="O755" i="15"/>
  <c r="Q755" i="15" s="1"/>
  <c r="P755" i="15"/>
  <c r="M756" i="15"/>
  <c r="N756" i="15" s="1"/>
  <c r="O756" i="15"/>
  <c r="Q756" i="15" s="1"/>
  <c r="P756" i="15"/>
  <c r="M757" i="15"/>
  <c r="N757" i="15" s="1"/>
  <c r="O757" i="15"/>
  <c r="Q757" i="15" s="1"/>
  <c r="P757" i="15"/>
  <c r="M758" i="15"/>
  <c r="N758" i="15" s="1"/>
  <c r="O758" i="15"/>
  <c r="Q758" i="15" s="1"/>
  <c r="P758" i="15"/>
  <c r="M759" i="15"/>
  <c r="N759" i="15" s="1"/>
  <c r="O759" i="15"/>
  <c r="Q759" i="15" s="1"/>
  <c r="P759" i="15"/>
  <c r="M760" i="15"/>
  <c r="N760" i="15" s="1"/>
  <c r="O760" i="15"/>
  <c r="Q760" i="15" s="1"/>
  <c r="P760" i="15"/>
  <c r="M761" i="15"/>
  <c r="N761" i="15" s="1"/>
  <c r="O761" i="15"/>
  <c r="Q761" i="15" s="1"/>
  <c r="P761" i="15"/>
  <c r="M762" i="15"/>
  <c r="N762" i="15" s="1"/>
  <c r="O762" i="15"/>
  <c r="Q762" i="15" s="1"/>
  <c r="P762" i="15"/>
  <c r="M763" i="15"/>
  <c r="N763" i="15" s="1"/>
  <c r="O763" i="15"/>
  <c r="Q763" i="15" s="1"/>
  <c r="P763" i="15"/>
  <c r="M764" i="15"/>
  <c r="N764" i="15" s="1"/>
  <c r="O764" i="15"/>
  <c r="Q764" i="15" s="1"/>
  <c r="P764" i="15"/>
  <c r="M765" i="15"/>
  <c r="N765" i="15" s="1"/>
  <c r="O765" i="15"/>
  <c r="Q765" i="15" s="1"/>
  <c r="P765" i="15"/>
  <c r="M766" i="15"/>
  <c r="N766" i="15" s="1"/>
  <c r="O766" i="15"/>
  <c r="Q766" i="15" s="1"/>
  <c r="P766" i="15"/>
  <c r="M767" i="15"/>
  <c r="N767" i="15" s="1"/>
  <c r="O767" i="15"/>
  <c r="Q767" i="15" s="1"/>
  <c r="P767" i="15"/>
  <c r="M768" i="15"/>
  <c r="N768" i="15" s="1"/>
  <c r="O768" i="15"/>
  <c r="Q768" i="15" s="1"/>
  <c r="P768" i="15"/>
  <c r="M769" i="15"/>
  <c r="N769" i="15" s="1"/>
  <c r="O769" i="15"/>
  <c r="Q769" i="15" s="1"/>
  <c r="P769" i="15"/>
  <c r="M770" i="15"/>
  <c r="N770" i="15" s="1"/>
  <c r="O770" i="15"/>
  <c r="Q770" i="15" s="1"/>
  <c r="P770" i="15"/>
  <c r="M771" i="15"/>
  <c r="N771" i="15" s="1"/>
  <c r="O771" i="15"/>
  <c r="Q771" i="15" s="1"/>
  <c r="P771" i="15"/>
  <c r="M772" i="15"/>
  <c r="N772" i="15" s="1"/>
  <c r="O772" i="15"/>
  <c r="Q772" i="15" s="1"/>
  <c r="P772" i="15"/>
  <c r="M773" i="15"/>
  <c r="N773" i="15" s="1"/>
  <c r="O773" i="15"/>
  <c r="Q773" i="15" s="1"/>
  <c r="P773" i="15"/>
  <c r="M774" i="15"/>
  <c r="N774" i="15" s="1"/>
  <c r="O774" i="15"/>
  <c r="Q774" i="15" s="1"/>
  <c r="P774" i="15"/>
  <c r="M775" i="15"/>
  <c r="N775" i="15" s="1"/>
  <c r="O775" i="15"/>
  <c r="Q775" i="15" s="1"/>
  <c r="P775" i="15"/>
  <c r="M776" i="15"/>
  <c r="N776" i="15" s="1"/>
  <c r="O776" i="15"/>
  <c r="Q776" i="15" s="1"/>
  <c r="P776" i="15"/>
  <c r="M777" i="15"/>
  <c r="N777" i="15" s="1"/>
  <c r="O777" i="15"/>
  <c r="Q777" i="15" s="1"/>
  <c r="P777" i="15"/>
  <c r="M778" i="15"/>
  <c r="N778" i="15" s="1"/>
  <c r="O778" i="15"/>
  <c r="Q778" i="15" s="1"/>
  <c r="P778" i="15"/>
  <c r="M779" i="15"/>
  <c r="N779" i="15" s="1"/>
  <c r="O779" i="15"/>
  <c r="Q779" i="15" s="1"/>
  <c r="P779" i="15"/>
  <c r="M780" i="15"/>
  <c r="N780" i="15" s="1"/>
  <c r="O780" i="15"/>
  <c r="Q780" i="15" s="1"/>
  <c r="P780" i="15"/>
  <c r="M781" i="15"/>
  <c r="N781" i="15" s="1"/>
  <c r="O781" i="15"/>
  <c r="Q781" i="15" s="1"/>
  <c r="P781" i="15"/>
  <c r="M782" i="15"/>
  <c r="N782" i="15" s="1"/>
  <c r="O782" i="15"/>
  <c r="Q782" i="15" s="1"/>
  <c r="P782" i="15"/>
  <c r="M783" i="15"/>
  <c r="N783" i="15" s="1"/>
  <c r="O783" i="15"/>
  <c r="Q783" i="15" s="1"/>
  <c r="P783" i="15"/>
  <c r="M784" i="15"/>
  <c r="N784" i="15" s="1"/>
  <c r="O784" i="15"/>
  <c r="Q784" i="15" s="1"/>
  <c r="P784" i="15"/>
  <c r="M785" i="15"/>
  <c r="N785" i="15" s="1"/>
  <c r="O785" i="15"/>
  <c r="Q785" i="15" s="1"/>
  <c r="P785" i="15"/>
  <c r="M786" i="15"/>
  <c r="N786" i="15" s="1"/>
  <c r="O786" i="15"/>
  <c r="Q786" i="15" s="1"/>
  <c r="P786" i="15"/>
  <c r="M787" i="15"/>
  <c r="N787" i="15" s="1"/>
  <c r="O787" i="15"/>
  <c r="Q787" i="15" s="1"/>
  <c r="P787" i="15"/>
  <c r="M788" i="15"/>
  <c r="N788" i="15" s="1"/>
  <c r="O788" i="15"/>
  <c r="Q788" i="15" s="1"/>
  <c r="P788" i="15"/>
  <c r="M789" i="15"/>
  <c r="N789" i="15" s="1"/>
  <c r="O789" i="15"/>
  <c r="Q789" i="15" s="1"/>
  <c r="P789" i="15"/>
  <c r="M790" i="15"/>
  <c r="N790" i="15" s="1"/>
  <c r="O790" i="15"/>
  <c r="Q790" i="15" s="1"/>
  <c r="P790" i="15"/>
  <c r="M791" i="15"/>
  <c r="N791" i="15" s="1"/>
  <c r="O791" i="15"/>
  <c r="Q791" i="15" s="1"/>
  <c r="P791" i="15"/>
  <c r="M792" i="15"/>
  <c r="N792" i="15" s="1"/>
  <c r="O792" i="15"/>
  <c r="Q792" i="15" s="1"/>
  <c r="P792" i="15"/>
  <c r="M793" i="15"/>
  <c r="N793" i="15" s="1"/>
  <c r="O793" i="15"/>
  <c r="Q793" i="15" s="1"/>
  <c r="P793" i="15"/>
  <c r="M794" i="15"/>
  <c r="N794" i="15" s="1"/>
  <c r="O794" i="15"/>
  <c r="Q794" i="15" s="1"/>
  <c r="P794" i="15"/>
  <c r="M795" i="15"/>
  <c r="N795" i="15" s="1"/>
  <c r="O795" i="15"/>
  <c r="Q795" i="15" s="1"/>
  <c r="P795" i="15"/>
  <c r="M796" i="15"/>
  <c r="N796" i="15" s="1"/>
  <c r="O796" i="15"/>
  <c r="Q796" i="15" s="1"/>
  <c r="P796" i="15"/>
  <c r="M797" i="15"/>
  <c r="N797" i="15" s="1"/>
  <c r="O797" i="15"/>
  <c r="Q797" i="15" s="1"/>
  <c r="P797" i="15"/>
  <c r="M798" i="15"/>
  <c r="N798" i="15" s="1"/>
  <c r="O798" i="15"/>
  <c r="Q798" i="15" s="1"/>
  <c r="P798" i="15"/>
  <c r="M799" i="15"/>
  <c r="N799" i="15" s="1"/>
  <c r="O799" i="15"/>
  <c r="Q799" i="15" s="1"/>
  <c r="P799" i="15"/>
  <c r="M800" i="15"/>
  <c r="N800" i="15" s="1"/>
  <c r="O800" i="15"/>
  <c r="Q800" i="15" s="1"/>
  <c r="P800" i="15"/>
  <c r="M801" i="15"/>
  <c r="N801" i="15" s="1"/>
  <c r="O801" i="15"/>
  <c r="Q801" i="15" s="1"/>
  <c r="P801" i="15"/>
  <c r="M802" i="15"/>
  <c r="N802" i="15" s="1"/>
  <c r="O802" i="15"/>
  <c r="Q802" i="15" s="1"/>
  <c r="P802" i="15"/>
  <c r="M803" i="15"/>
  <c r="N803" i="15" s="1"/>
  <c r="O803" i="15"/>
  <c r="Q803" i="15" s="1"/>
  <c r="P803" i="15"/>
  <c r="M804" i="15"/>
  <c r="N804" i="15" s="1"/>
  <c r="O804" i="15"/>
  <c r="Q804" i="15" s="1"/>
  <c r="P804" i="15"/>
  <c r="M805" i="15"/>
  <c r="N805" i="15" s="1"/>
  <c r="O805" i="15"/>
  <c r="Q805" i="15" s="1"/>
  <c r="P805" i="15"/>
  <c r="M806" i="15"/>
  <c r="N806" i="15" s="1"/>
  <c r="O806" i="15"/>
  <c r="Q806" i="15" s="1"/>
  <c r="P806" i="15"/>
  <c r="M807" i="15"/>
  <c r="N807" i="15" s="1"/>
  <c r="O807" i="15"/>
  <c r="Q807" i="15" s="1"/>
  <c r="P807" i="15"/>
  <c r="M808" i="15"/>
  <c r="N808" i="15" s="1"/>
  <c r="O808" i="15"/>
  <c r="Q808" i="15" s="1"/>
  <c r="P808" i="15"/>
  <c r="M809" i="15"/>
  <c r="N809" i="15" s="1"/>
  <c r="O809" i="15"/>
  <c r="Q809" i="15" s="1"/>
  <c r="P809" i="15"/>
  <c r="M810" i="15"/>
  <c r="N810" i="15" s="1"/>
  <c r="O810" i="15"/>
  <c r="Q810" i="15" s="1"/>
  <c r="P810" i="15"/>
  <c r="M811" i="15"/>
  <c r="N811" i="15" s="1"/>
  <c r="O811" i="15"/>
  <c r="Q811" i="15" s="1"/>
  <c r="P811" i="15"/>
  <c r="M812" i="15"/>
  <c r="N812" i="15" s="1"/>
  <c r="O812" i="15"/>
  <c r="Q812" i="15" s="1"/>
  <c r="P812" i="15"/>
  <c r="M813" i="15"/>
  <c r="N813" i="15" s="1"/>
  <c r="O813" i="15"/>
  <c r="Q813" i="15" s="1"/>
  <c r="P813" i="15"/>
  <c r="M814" i="15"/>
  <c r="N814" i="15" s="1"/>
  <c r="O814" i="15"/>
  <c r="Q814" i="15" s="1"/>
  <c r="P814" i="15"/>
  <c r="M815" i="15"/>
  <c r="N815" i="15" s="1"/>
  <c r="O815" i="15"/>
  <c r="Q815" i="15" s="1"/>
  <c r="P815" i="15"/>
  <c r="M816" i="15"/>
  <c r="N816" i="15" s="1"/>
  <c r="O816" i="15"/>
  <c r="Q816" i="15" s="1"/>
  <c r="P816" i="15"/>
  <c r="M817" i="15"/>
  <c r="N817" i="15" s="1"/>
  <c r="O817" i="15"/>
  <c r="Q817" i="15" s="1"/>
  <c r="P817" i="15"/>
  <c r="M818" i="15"/>
  <c r="N818" i="15" s="1"/>
  <c r="O818" i="15"/>
  <c r="Q818" i="15" s="1"/>
  <c r="P818" i="15"/>
  <c r="M819" i="15"/>
  <c r="N819" i="15" s="1"/>
  <c r="O819" i="15"/>
  <c r="Q819" i="15" s="1"/>
  <c r="P819" i="15"/>
  <c r="M820" i="15"/>
  <c r="N820" i="15" s="1"/>
  <c r="O820" i="15"/>
  <c r="Q820" i="15" s="1"/>
  <c r="P820" i="15"/>
  <c r="M821" i="15"/>
  <c r="N821" i="15" s="1"/>
  <c r="O821" i="15"/>
  <c r="Q821" i="15" s="1"/>
  <c r="P821" i="15"/>
  <c r="M822" i="15"/>
  <c r="N822" i="15" s="1"/>
  <c r="O822" i="15"/>
  <c r="Q822" i="15" s="1"/>
  <c r="P822" i="15"/>
  <c r="M823" i="15"/>
  <c r="N823" i="15" s="1"/>
  <c r="O823" i="15"/>
  <c r="Q823" i="15" s="1"/>
  <c r="P823" i="15"/>
  <c r="M824" i="15"/>
  <c r="N824" i="15" s="1"/>
  <c r="O824" i="15"/>
  <c r="Q824" i="15" s="1"/>
  <c r="P824" i="15"/>
  <c r="M825" i="15"/>
  <c r="N825" i="15" s="1"/>
  <c r="O825" i="15"/>
  <c r="Q825" i="15" s="1"/>
  <c r="P825" i="15"/>
  <c r="M826" i="15"/>
  <c r="N826" i="15" s="1"/>
  <c r="O826" i="15"/>
  <c r="Q826" i="15" s="1"/>
  <c r="P826" i="15"/>
  <c r="M827" i="15"/>
  <c r="N827" i="15" s="1"/>
  <c r="O827" i="15"/>
  <c r="Q827" i="15" s="1"/>
  <c r="P827" i="15"/>
  <c r="M828" i="15"/>
  <c r="N828" i="15" s="1"/>
  <c r="O828" i="15"/>
  <c r="Q828" i="15" s="1"/>
  <c r="P828" i="15"/>
  <c r="M829" i="15"/>
  <c r="N829" i="15" s="1"/>
  <c r="O829" i="15"/>
  <c r="Q829" i="15" s="1"/>
  <c r="P829" i="15"/>
  <c r="M830" i="15"/>
  <c r="N830" i="15" s="1"/>
  <c r="O830" i="15"/>
  <c r="Q830" i="15" s="1"/>
  <c r="P830" i="15"/>
  <c r="M831" i="15"/>
  <c r="N831" i="15" s="1"/>
  <c r="O831" i="15"/>
  <c r="Q831" i="15" s="1"/>
  <c r="P831" i="15"/>
  <c r="M832" i="15"/>
  <c r="N832" i="15" s="1"/>
  <c r="O832" i="15"/>
  <c r="Q832" i="15" s="1"/>
  <c r="P832" i="15"/>
  <c r="M833" i="15"/>
  <c r="N833" i="15" s="1"/>
  <c r="O833" i="15"/>
  <c r="Q833" i="15" s="1"/>
  <c r="P833" i="15"/>
  <c r="M834" i="15"/>
  <c r="N834" i="15" s="1"/>
  <c r="O834" i="15"/>
  <c r="Q834" i="15" s="1"/>
  <c r="P834" i="15"/>
  <c r="M835" i="15"/>
  <c r="N835" i="15" s="1"/>
  <c r="O835" i="15"/>
  <c r="Q835" i="15" s="1"/>
  <c r="P835" i="15"/>
  <c r="M836" i="15"/>
  <c r="N836" i="15" s="1"/>
  <c r="O836" i="15"/>
  <c r="Q836" i="15" s="1"/>
  <c r="P836" i="15"/>
  <c r="M837" i="15"/>
  <c r="N837" i="15" s="1"/>
  <c r="O837" i="15"/>
  <c r="Q837" i="15" s="1"/>
  <c r="P837" i="15"/>
  <c r="M838" i="15"/>
  <c r="N838" i="15" s="1"/>
  <c r="O838" i="15"/>
  <c r="Q838" i="15" s="1"/>
  <c r="P838" i="15"/>
  <c r="M839" i="15"/>
  <c r="N839" i="15" s="1"/>
  <c r="O839" i="15"/>
  <c r="Q839" i="15" s="1"/>
  <c r="P839" i="15"/>
  <c r="M840" i="15"/>
  <c r="N840" i="15" s="1"/>
  <c r="O840" i="15"/>
  <c r="Q840" i="15" s="1"/>
  <c r="P840" i="15"/>
  <c r="M841" i="15"/>
  <c r="N841" i="15" s="1"/>
  <c r="O841" i="15"/>
  <c r="Q841" i="15" s="1"/>
  <c r="P841" i="15"/>
  <c r="M842" i="15"/>
  <c r="N842" i="15" s="1"/>
  <c r="O842" i="15"/>
  <c r="Q842" i="15" s="1"/>
  <c r="P842" i="15"/>
  <c r="M843" i="15"/>
  <c r="N843" i="15" s="1"/>
  <c r="O843" i="15"/>
  <c r="Q843" i="15" s="1"/>
  <c r="P843" i="15"/>
  <c r="M844" i="15"/>
  <c r="N844" i="15" s="1"/>
  <c r="O844" i="15"/>
  <c r="Q844" i="15" s="1"/>
  <c r="P844" i="15"/>
  <c r="M845" i="15"/>
  <c r="N845" i="15" s="1"/>
  <c r="O845" i="15"/>
  <c r="Q845" i="15" s="1"/>
  <c r="P845" i="15"/>
  <c r="M846" i="15"/>
  <c r="N846" i="15" s="1"/>
  <c r="O846" i="15"/>
  <c r="Q846" i="15" s="1"/>
  <c r="P846" i="15"/>
  <c r="M847" i="15"/>
  <c r="N847" i="15" s="1"/>
  <c r="O847" i="15"/>
  <c r="Q847" i="15" s="1"/>
  <c r="P847" i="15"/>
  <c r="M848" i="15"/>
  <c r="N848" i="15" s="1"/>
  <c r="O848" i="15"/>
  <c r="Q848" i="15" s="1"/>
  <c r="P848" i="15"/>
  <c r="M849" i="15"/>
  <c r="N849" i="15" s="1"/>
  <c r="O849" i="15"/>
  <c r="Q849" i="15" s="1"/>
  <c r="P849" i="15"/>
  <c r="M850" i="15"/>
  <c r="N850" i="15" s="1"/>
  <c r="O850" i="15"/>
  <c r="Q850" i="15" s="1"/>
  <c r="P850" i="15"/>
  <c r="M851" i="15"/>
  <c r="N851" i="15" s="1"/>
  <c r="O851" i="15"/>
  <c r="Q851" i="15" s="1"/>
  <c r="P851" i="15"/>
  <c r="M852" i="15"/>
  <c r="N852" i="15" s="1"/>
  <c r="O852" i="15"/>
  <c r="Q852" i="15" s="1"/>
  <c r="P852" i="15"/>
  <c r="M853" i="15"/>
  <c r="N853" i="15" s="1"/>
  <c r="O853" i="15"/>
  <c r="Q853" i="15" s="1"/>
  <c r="P853" i="15"/>
  <c r="M854" i="15"/>
  <c r="N854" i="15" s="1"/>
  <c r="O854" i="15"/>
  <c r="Q854" i="15" s="1"/>
  <c r="P854" i="15"/>
  <c r="M855" i="15"/>
  <c r="N855" i="15" s="1"/>
  <c r="O855" i="15"/>
  <c r="Q855" i="15" s="1"/>
  <c r="P855" i="15"/>
  <c r="M856" i="15"/>
  <c r="N856" i="15" s="1"/>
  <c r="O856" i="15"/>
  <c r="Q856" i="15" s="1"/>
  <c r="P856" i="15"/>
  <c r="M857" i="15"/>
  <c r="N857" i="15" s="1"/>
  <c r="O857" i="15"/>
  <c r="Q857" i="15" s="1"/>
  <c r="P857" i="15"/>
  <c r="M858" i="15"/>
  <c r="N858" i="15" s="1"/>
  <c r="O858" i="15"/>
  <c r="Q858" i="15" s="1"/>
  <c r="P858" i="15"/>
  <c r="M859" i="15"/>
  <c r="N859" i="15" s="1"/>
  <c r="O859" i="15"/>
  <c r="Q859" i="15" s="1"/>
  <c r="P859" i="15"/>
  <c r="M860" i="15"/>
  <c r="N860" i="15" s="1"/>
  <c r="O860" i="15"/>
  <c r="Q860" i="15" s="1"/>
  <c r="P860" i="15"/>
  <c r="M861" i="15"/>
  <c r="N861" i="15" s="1"/>
  <c r="O861" i="15"/>
  <c r="Q861" i="15" s="1"/>
  <c r="P861" i="15"/>
  <c r="M862" i="15"/>
  <c r="N862" i="15" s="1"/>
  <c r="O862" i="15"/>
  <c r="Q862" i="15" s="1"/>
  <c r="P862" i="15"/>
  <c r="M863" i="15"/>
  <c r="N863" i="15" s="1"/>
  <c r="O863" i="15"/>
  <c r="Q863" i="15" s="1"/>
  <c r="P863" i="15"/>
  <c r="M864" i="15"/>
  <c r="N864" i="15" s="1"/>
  <c r="O864" i="15"/>
  <c r="Q864" i="15" s="1"/>
  <c r="P864" i="15"/>
  <c r="M865" i="15"/>
  <c r="N865" i="15" s="1"/>
  <c r="O865" i="15"/>
  <c r="Q865" i="15" s="1"/>
  <c r="P865" i="15"/>
  <c r="M866" i="15"/>
  <c r="N866" i="15" s="1"/>
  <c r="O866" i="15"/>
  <c r="Q866" i="15" s="1"/>
  <c r="P866" i="15"/>
  <c r="M867" i="15"/>
  <c r="N867" i="15" s="1"/>
  <c r="O867" i="15"/>
  <c r="Q867" i="15" s="1"/>
  <c r="P867" i="15"/>
  <c r="M868" i="15"/>
  <c r="N868" i="15" s="1"/>
  <c r="O868" i="15"/>
  <c r="Q868" i="15" s="1"/>
  <c r="P868" i="15"/>
  <c r="M869" i="15"/>
  <c r="N869" i="15" s="1"/>
  <c r="O869" i="15"/>
  <c r="Q869" i="15" s="1"/>
  <c r="P869" i="15"/>
  <c r="M870" i="15"/>
  <c r="N870" i="15" s="1"/>
  <c r="O870" i="15"/>
  <c r="Q870" i="15" s="1"/>
  <c r="P870" i="15"/>
  <c r="M871" i="15"/>
  <c r="N871" i="15" s="1"/>
  <c r="O871" i="15"/>
  <c r="Q871" i="15" s="1"/>
  <c r="P871" i="15"/>
  <c r="M872" i="15"/>
  <c r="N872" i="15" s="1"/>
  <c r="O872" i="15"/>
  <c r="Q872" i="15" s="1"/>
  <c r="P872" i="15"/>
  <c r="M873" i="15"/>
  <c r="N873" i="15" s="1"/>
  <c r="O873" i="15"/>
  <c r="Q873" i="15" s="1"/>
  <c r="P873" i="15"/>
  <c r="M874" i="15"/>
  <c r="N874" i="15" s="1"/>
  <c r="O874" i="15"/>
  <c r="Q874" i="15" s="1"/>
  <c r="P874" i="15"/>
  <c r="M875" i="15"/>
  <c r="N875" i="15" s="1"/>
  <c r="O875" i="15"/>
  <c r="Q875" i="15" s="1"/>
  <c r="P875" i="15"/>
  <c r="M876" i="15"/>
  <c r="N876" i="15" s="1"/>
  <c r="O876" i="15"/>
  <c r="Q876" i="15" s="1"/>
  <c r="P876" i="15"/>
  <c r="M877" i="15"/>
  <c r="N877" i="15" s="1"/>
  <c r="O877" i="15"/>
  <c r="Q877" i="15" s="1"/>
  <c r="P877" i="15"/>
  <c r="M878" i="15"/>
  <c r="N878" i="15" s="1"/>
  <c r="O878" i="15"/>
  <c r="Q878" i="15" s="1"/>
  <c r="P878" i="15"/>
  <c r="M879" i="15"/>
  <c r="N879" i="15" s="1"/>
  <c r="O879" i="15"/>
  <c r="Q879" i="15" s="1"/>
  <c r="P879" i="15"/>
  <c r="M880" i="15"/>
  <c r="N880" i="15" s="1"/>
  <c r="O880" i="15"/>
  <c r="Q880" i="15" s="1"/>
  <c r="P880" i="15"/>
  <c r="M881" i="15"/>
  <c r="N881" i="15" s="1"/>
  <c r="O881" i="15"/>
  <c r="Q881" i="15" s="1"/>
  <c r="P881" i="15"/>
  <c r="M882" i="15"/>
  <c r="N882" i="15" s="1"/>
  <c r="O882" i="15"/>
  <c r="Q882" i="15" s="1"/>
  <c r="P882" i="15"/>
  <c r="M883" i="15"/>
  <c r="N883" i="15" s="1"/>
  <c r="O883" i="15"/>
  <c r="Q883" i="15" s="1"/>
  <c r="P883" i="15"/>
  <c r="M884" i="15"/>
  <c r="N884" i="15" s="1"/>
  <c r="O884" i="15"/>
  <c r="Q884" i="15" s="1"/>
  <c r="P884" i="15"/>
  <c r="M885" i="15"/>
  <c r="N885" i="15" s="1"/>
  <c r="O885" i="15"/>
  <c r="Q885" i="15" s="1"/>
  <c r="P885" i="15"/>
  <c r="M886" i="15"/>
  <c r="N886" i="15" s="1"/>
  <c r="O886" i="15"/>
  <c r="Q886" i="15" s="1"/>
  <c r="P886" i="15"/>
  <c r="M887" i="15"/>
  <c r="N887" i="15" s="1"/>
  <c r="O887" i="15"/>
  <c r="Q887" i="15" s="1"/>
  <c r="P887" i="15"/>
  <c r="M888" i="15"/>
  <c r="N888" i="15" s="1"/>
  <c r="O888" i="15"/>
  <c r="Q888" i="15" s="1"/>
  <c r="P888" i="15"/>
  <c r="M889" i="15"/>
  <c r="N889" i="15" s="1"/>
  <c r="O889" i="15"/>
  <c r="Q889" i="15" s="1"/>
  <c r="P889" i="15"/>
  <c r="M890" i="15"/>
  <c r="N890" i="15" s="1"/>
  <c r="O890" i="15"/>
  <c r="Q890" i="15" s="1"/>
  <c r="P890" i="15"/>
  <c r="M891" i="15"/>
  <c r="N891" i="15" s="1"/>
  <c r="O891" i="15"/>
  <c r="Q891" i="15" s="1"/>
  <c r="P891" i="15"/>
  <c r="M892" i="15"/>
  <c r="N892" i="15" s="1"/>
  <c r="O892" i="15"/>
  <c r="Q892" i="15" s="1"/>
  <c r="P892" i="15"/>
  <c r="M893" i="15"/>
  <c r="N893" i="15" s="1"/>
  <c r="O893" i="15"/>
  <c r="Q893" i="15" s="1"/>
  <c r="P893" i="15"/>
  <c r="M894" i="15"/>
  <c r="N894" i="15" s="1"/>
  <c r="O894" i="15"/>
  <c r="Q894" i="15" s="1"/>
  <c r="P894" i="15"/>
  <c r="M895" i="15"/>
  <c r="N895" i="15" s="1"/>
  <c r="O895" i="15"/>
  <c r="Q895" i="15" s="1"/>
  <c r="P895" i="15"/>
  <c r="M896" i="15"/>
  <c r="N896" i="15" s="1"/>
  <c r="O896" i="15"/>
  <c r="Q896" i="15" s="1"/>
  <c r="P896" i="15"/>
  <c r="M897" i="15"/>
  <c r="N897" i="15" s="1"/>
  <c r="O897" i="15"/>
  <c r="Q897" i="15" s="1"/>
  <c r="P897" i="15"/>
  <c r="M898" i="15"/>
  <c r="N898" i="15" s="1"/>
  <c r="O898" i="15"/>
  <c r="Q898" i="15" s="1"/>
  <c r="P898" i="15"/>
  <c r="M899" i="15"/>
  <c r="N899" i="15" s="1"/>
  <c r="O899" i="15"/>
  <c r="Q899" i="15" s="1"/>
  <c r="P899" i="15"/>
  <c r="M900" i="15"/>
  <c r="N900" i="15" s="1"/>
  <c r="O900" i="15"/>
  <c r="Q900" i="15" s="1"/>
  <c r="P900" i="15"/>
  <c r="M901" i="15"/>
  <c r="N901" i="15" s="1"/>
  <c r="O901" i="15"/>
  <c r="Q901" i="15" s="1"/>
  <c r="P901" i="15"/>
  <c r="M902" i="15"/>
  <c r="N902" i="15" s="1"/>
  <c r="O902" i="15"/>
  <c r="Q902" i="15" s="1"/>
  <c r="P902" i="15"/>
  <c r="M903" i="15"/>
  <c r="N903" i="15" s="1"/>
  <c r="O903" i="15"/>
  <c r="Q903" i="15" s="1"/>
  <c r="P903" i="15"/>
  <c r="M904" i="15"/>
  <c r="N904" i="15" s="1"/>
  <c r="O904" i="15"/>
  <c r="Q904" i="15" s="1"/>
  <c r="P904" i="15"/>
  <c r="M905" i="15"/>
  <c r="N905" i="15" s="1"/>
  <c r="O905" i="15"/>
  <c r="Q905" i="15" s="1"/>
  <c r="P905" i="15"/>
  <c r="M906" i="15"/>
  <c r="N906" i="15" s="1"/>
  <c r="O906" i="15"/>
  <c r="Q906" i="15" s="1"/>
  <c r="P906" i="15"/>
  <c r="M907" i="15"/>
  <c r="N907" i="15" s="1"/>
  <c r="O907" i="15"/>
  <c r="Q907" i="15" s="1"/>
  <c r="P907" i="15"/>
  <c r="M33" i="14"/>
  <c r="N33" i="14" s="1"/>
  <c r="O33" i="14"/>
  <c r="Q33" i="14" s="1"/>
  <c r="P33" i="14"/>
  <c r="M34" i="14"/>
  <c r="N34" i="14" s="1"/>
  <c r="O34" i="14"/>
  <c r="Q34" i="14" s="1"/>
  <c r="P34" i="14"/>
  <c r="M35" i="14"/>
  <c r="N35" i="14" s="1"/>
  <c r="O35" i="14"/>
  <c r="Q35" i="14" s="1"/>
  <c r="P35" i="14"/>
  <c r="M36" i="14"/>
  <c r="N36" i="14" s="1"/>
  <c r="O36" i="14"/>
  <c r="Q36" i="14" s="1"/>
  <c r="P36" i="14"/>
  <c r="M37" i="14"/>
  <c r="N37" i="14" s="1"/>
  <c r="O37" i="14"/>
  <c r="Q37" i="14" s="1"/>
  <c r="P37" i="14"/>
  <c r="M38" i="14"/>
  <c r="N38" i="14" s="1"/>
  <c r="O38" i="14"/>
  <c r="Q38" i="14" s="1"/>
  <c r="P38" i="14"/>
  <c r="M39" i="14"/>
  <c r="N39" i="14" s="1"/>
  <c r="O39" i="14"/>
  <c r="Q39" i="14" s="1"/>
  <c r="P39" i="14"/>
  <c r="M40" i="14"/>
  <c r="N40" i="14" s="1"/>
  <c r="O40" i="14"/>
  <c r="Q40" i="14" s="1"/>
  <c r="P40" i="14"/>
  <c r="M41" i="14"/>
  <c r="N41" i="14" s="1"/>
  <c r="O41" i="14"/>
  <c r="Q41" i="14" s="1"/>
  <c r="P41" i="14"/>
  <c r="M42" i="14"/>
  <c r="N42" i="14" s="1"/>
  <c r="O42" i="14"/>
  <c r="Q42" i="14" s="1"/>
  <c r="P42" i="14"/>
  <c r="M43" i="14"/>
  <c r="N43" i="14" s="1"/>
  <c r="O43" i="14"/>
  <c r="Q43" i="14" s="1"/>
  <c r="P43" i="14"/>
  <c r="M44" i="14"/>
  <c r="N44" i="14" s="1"/>
  <c r="O44" i="14"/>
  <c r="Q44" i="14" s="1"/>
  <c r="P44" i="14"/>
  <c r="M45" i="14"/>
  <c r="N45" i="14" s="1"/>
  <c r="O45" i="14"/>
  <c r="Q45" i="14" s="1"/>
  <c r="P45" i="14"/>
  <c r="M46" i="14"/>
  <c r="N46" i="14" s="1"/>
  <c r="O46" i="14"/>
  <c r="Q46" i="14" s="1"/>
  <c r="P46" i="14"/>
  <c r="M47" i="14"/>
  <c r="N47" i="14" s="1"/>
  <c r="O47" i="14"/>
  <c r="Q47" i="14" s="1"/>
  <c r="P47" i="14"/>
  <c r="M48" i="14"/>
  <c r="N48" i="14" s="1"/>
  <c r="O48" i="14"/>
  <c r="Q48" i="14" s="1"/>
  <c r="P48" i="14"/>
  <c r="M49" i="14"/>
  <c r="N49" i="14" s="1"/>
  <c r="O49" i="14"/>
  <c r="Q49" i="14" s="1"/>
  <c r="P49" i="14"/>
  <c r="M50" i="14"/>
  <c r="N50" i="14" s="1"/>
  <c r="O50" i="14"/>
  <c r="Q50" i="14" s="1"/>
  <c r="P50" i="14"/>
  <c r="M51" i="14"/>
  <c r="N51" i="14" s="1"/>
  <c r="O51" i="14"/>
  <c r="Q51" i="14" s="1"/>
  <c r="P51" i="14"/>
  <c r="M52" i="14"/>
  <c r="N52" i="14" s="1"/>
  <c r="O52" i="14"/>
  <c r="Q52" i="14" s="1"/>
  <c r="P52" i="14"/>
  <c r="M53" i="14"/>
  <c r="N53" i="14" s="1"/>
  <c r="O53" i="14"/>
  <c r="Q53" i="14" s="1"/>
  <c r="P53" i="14"/>
  <c r="M54" i="14"/>
  <c r="N54" i="14" s="1"/>
  <c r="O54" i="14"/>
  <c r="Q54" i="14" s="1"/>
  <c r="P54" i="14"/>
  <c r="M55" i="14"/>
  <c r="N55" i="14" s="1"/>
  <c r="O55" i="14"/>
  <c r="Q55" i="14" s="1"/>
  <c r="P55" i="14"/>
  <c r="M56" i="14"/>
  <c r="N56" i="14" s="1"/>
  <c r="O56" i="14"/>
  <c r="Q56" i="14" s="1"/>
  <c r="P56" i="14"/>
  <c r="M57" i="14"/>
  <c r="N57" i="14" s="1"/>
  <c r="O57" i="14"/>
  <c r="Q57" i="14" s="1"/>
  <c r="P57" i="14"/>
  <c r="M58" i="14"/>
  <c r="N58" i="14" s="1"/>
  <c r="O58" i="14"/>
  <c r="Q58" i="14" s="1"/>
  <c r="P58" i="14"/>
  <c r="M59" i="14"/>
  <c r="N59" i="14" s="1"/>
  <c r="O59" i="14"/>
  <c r="Q59" i="14" s="1"/>
  <c r="P59" i="14"/>
  <c r="M60" i="14"/>
  <c r="N60" i="14" s="1"/>
  <c r="O60" i="14"/>
  <c r="Q60" i="14" s="1"/>
  <c r="P60" i="14"/>
  <c r="M61" i="14"/>
  <c r="N61" i="14" s="1"/>
  <c r="O61" i="14"/>
  <c r="Q61" i="14" s="1"/>
  <c r="P61" i="14"/>
  <c r="M62" i="14"/>
  <c r="N62" i="14" s="1"/>
  <c r="O62" i="14"/>
  <c r="Q62" i="14" s="1"/>
  <c r="P62" i="14"/>
  <c r="M63" i="14"/>
  <c r="N63" i="14" s="1"/>
  <c r="O63" i="14"/>
  <c r="Q63" i="14" s="1"/>
  <c r="P63" i="14"/>
  <c r="M64" i="14"/>
  <c r="N64" i="14" s="1"/>
  <c r="O64" i="14"/>
  <c r="Q64" i="14" s="1"/>
  <c r="P64" i="14"/>
  <c r="M65" i="14"/>
  <c r="N65" i="14" s="1"/>
  <c r="O65" i="14"/>
  <c r="Q65" i="14" s="1"/>
  <c r="P65" i="14"/>
  <c r="M66" i="14"/>
  <c r="N66" i="14" s="1"/>
  <c r="O66" i="14"/>
  <c r="Q66" i="14" s="1"/>
  <c r="P66" i="14"/>
  <c r="M67" i="14"/>
  <c r="N67" i="14" s="1"/>
  <c r="O67" i="14"/>
  <c r="Q67" i="14" s="1"/>
  <c r="P67" i="14"/>
  <c r="M68" i="14"/>
  <c r="N68" i="14" s="1"/>
  <c r="O68" i="14"/>
  <c r="Q68" i="14" s="1"/>
  <c r="P68" i="14"/>
  <c r="M69" i="14"/>
  <c r="N69" i="14" s="1"/>
  <c r="O69" i="14"/>
  <c r="Q69" i="14" s="1"/>
  <c r="P69" i="14"/>
  <c r="M70" i="14"/>
  <c r="N70" i="14" s="1"/>
  <c r="O70" i="14"/>
  <c r="Q70" i="14" s="1"/>
  <c r="P70" i="14"/>
  <c r="M71" i="14"/>
  <c r="N71" i="14" s="1"/>
  <c r="O71" i="14"/>
  <c r="Q71" i="14" s="1"/>
  <c r="P71" i="14"/>
  <c r="M72" i="14"/>
  <c r="N72" i="14" s="1"/>
  <c r="O72" i="14"/>
  <c r="Q72" i="14" s="1"/>
  <c r="P72" i="14"/>
  <c r="M73" i="14"/>
  <c r="N73" i="14" s="1"/>
  <c r="O73" i="14"/>
  <c r="Q73" i="14" s="1"/>
  <c r="P73" i="14"/>
  <c r="M74" i="14"/>
  <c r="N74" i="14" s="1"/>
  <c r="O74" i="14"/>
  <c r="Q74" i="14" s="1"/>
  <c r="P74" i="14"/>
  <c r="M75" i="14"/>
  <c r="N75" i="14" s="1"/>
  <c r="O75" i="14"/>
  <c r="Q75" i="14" s="1"/>
  <c r="P75" i="14"/>
  <c r="M76" i="14"/>
  <c r="N76" i="14" s="1"/>
  <c r="O76" i="14"/>
  <c r="Q76" i="14" s="1"/>
  <c r="P76" i="14"/>
  <c r="M77" i="14"/>
  <c r="N77" i="14" s="1"/>
  <c r="O77" i="14"/>
  <c r="Q77" i="14" s="1"/>
  <c r="P77" i="14"/>
  <c r="M78" i="14"/>
  <c r="N78" i="14" s="1"/>
  <c r="O78" i="14"/>
  <c r="Q78" i="14" s="1"/>
  <c r="P78" i="14"/>
  <c r="M79" i="14"/>
  <c r="N79" i="14" s="1"/>
  <c r="O79" i="14"/>
  <c r="Q79" i="14" s="1"/>
  <c r="P79" i="14"/>
  <c r="M80" i="14"/>
  <c r="N80" i="14" s="1"/>
  <c r="O80" i="14"/>
  <c r="Q80" i="14" s="1"/>
  <c r="P80" i="14"/>
  <c r="M81" i="14"/>
  <c r="N81" i="14" s="1"/>
  <c r="O81" i="14"/>
  <c r="Q81" i="14" s="1"/>
  <c r="P81" i="14"/>
  <c r="M82" i="14"/>
  <c r="N82" i="14" s="1"/>
  <c r="O82" i="14"/>
  <c r="Q82" i="14" s="1"/>
  <c r="P82" i="14"/>
  <c r="M83" i="14"/>
  <c r="N83" i="14" s="1"/>
  <c r="O83" i="14"/>
  <c r="Q83" i="14" s="1"/>
  <c r="P83" i="14"/>
  <c r="M84" i="14"/>
  <c r="N84" i="14" s="1"/>
  <c r="O84" i="14"/>
  <c r="Q84" i="14" s="1"/>
  <c r="P84" i="14"/>
  <c r="M85" i="14"/>
  <c r="N85" i="14" s="1"/>
  <c r="O85" i="14"/>
  <c r="Q85" i="14" s="1"/>
  <c r="P85" i="14"/>
  <c r="M86" i="14"/>
  <c r="N86" i="14" s="1"/>
  <c r="O86" i="14"/>
  <c r="Q86" i="14" s="1"/>
  <c r="P86" i="14"/>
  <c r="M87" i="14"/>
  <c r="N87" i="14" s="1"/>
  <c r="O87" i="14"/>
  <c r="Q87" i="14" s="1"/>
  <c r="P87" i="14"/>
  <c r="M88" i="14"/>
  <c r="N88" i="14" s="1"/>
  <c r="O88" i="14"/>
  <c r="Q88" i="14" s="1"/>
  <c r="P88" i="14"/>
  <c r="M89" i="14"/>
  <c r="N89" i="14" s="1"/>
  <c r="O89" i="14"/>
  <c r="Q89" i="14" s="1"/>
  <c r="P89" i="14"/>
  <c r="M90" i="14"/>
  <c r="N90" i="14" s="1"/>
  <c r="O90" i="14"/>
  <c r="Q90" i="14" s="1"/>
  <c r="P90" i="14"/>
  <c r="M91" i="14"/>
  <c r="N91" i="14" s="1"/>
  <c r="O91" i="14"/>
  <c r="Q91" i="14" s="1"/>
  <c r="P91" i="14"/>
  <c r="M92" i="14"/>
  <c r="N92" i="14" s="1"/>
  <c r="O92" i="14"/>
  <c r="Q92" i="14" s="1"/>
  <c r="P92" i="14"/>
  <c r="M93" i="14"/>
  <c r="N93" i="14" s="1"/>
  <c r="O93" i="14"/>
  <c r="Q93" i="14" s="1"/>
  <c r="P93" i="14"/>
  <c r="M94" i="14"/>
  <c r="N94" i="14" s="1"/>
  <c r="O94" i="14"/>
  <c r="Q94" i="14" s="1"/>
  <c r="P94" i="14"/>
  <c r="M95" i="14"/>
  <c r="N95" i="14" s="1"/>
  <c r="O95" i="14"/>
  <c r="Q95" i="14" s="1"/>
  <c r="P95" i="14"/>
  <c r="M96" i="14"/>
  <c r="N96" i="14" s="1"/>
  <c r="O96" i="14"/>
  <c r="Q96" i="14" s="1"/>
  <c r="P96" i="14"/>
  <c r="M97" i="14"/>
  <c r="N97" i="14" s="1"/>
  <c r="O97" i="14"/>
  <c r="Q97" i="14" s="1"/>
  <c r="P97" i="14"/>
  <c r="M98" i="14"/>
  <c r="N98" i="14" s="1"/>
  <c r="O98" i="14"/>
  <c r="Q98" i="14" s="1"/>
  <c r="P98" i="14"/>
  <c r="M99" i="14"/>
  <c r="N99" i="14" s="1"/>
  <c r="O99" i="14"/>
  <c r="Q99" i="14" s="1"/>
  <c r="P99" i="14"/>
  <c r="M100" i="14"/>
  <c r="N100" i="14" s="1"/>
  <c r="O100" i="14"/>
  <c r="Q100" i="14" s="1"/>
  <c r="P100" i="14"/>
  <c r="M101" i="14"/>
  <c r="N101" i="14" s="1"/>
  <c r="O101" i="14"/>
  <c r="Q101" i="14" s="1"/>
  <c r="P101" i="14"/>
  <c r="M102" i="14"/>
  <c r="N102" i="14" s="1"/>
  <c r="O102" i="14"/>
  <c r="Q102" i="14" s="1"/>
  <c r="P102" i="14"/>
  <c r="M103" i="14"/>
  <c r="N103" i="14" s="1"/>
  <c r="O103" i="14"/>
  <c r="Q103" i="14" s="1"/>
  <c r="P103" i="14"/>
  <c r="M104" i="14"/>
  <c r="N104" i="14" s="1"/>
  <c r="O104" i="14"/>
  <c r="P104" i="14"/>
  <c r="Q104" i="14"/>
  <c r="M105" i="14"/>
  <c r="N105" i="14" s="1"/>
  <c r="O105" i="14"/>
  <c r="Q105" i="14" s="1"/>
  <c r="P105" i="14"/>
  <c r="M106" i="14"/>
  <c r="N106" i="14" s="1"/>
  <c r="O106" i="14"/>
  <c r="Q106" i="14" s="1"/>
  <c r="P106" i="14"/>
  <c r="M107" i="14"/>
  <c r="N107" i="14" s="1"/>
  <c r="O107" i="14"/>
  <c r="Q107" i="14" s="1"/>
  <c r="P107" i="14"/>
  <c r="M108" i="14"/>
  <c r="N108" i="14" s="1"/>
  <c r="O108" i="14"/>
  <c r="Q108" i="14" s="1"/>
  <c r="P108" i="14"/>
  <c r="M109" i="14"/>
  <c r="N109" i="14" s="1"/>
  <c r="O109" i="14"/>
  <c r="Q109" i="14" s="1"/>
  <c r="P109" i="14"/>
  <c r="M110" i="14"/>
  <c r="N110" i="14" s="1"/>
  <c r="O110" i="14"/>
  <c r="Q110" i="14" s="1"/>
  <c r="P110" i="14"/>
  <c r="M111" i="14"/>
  <c r="N111" i="14" s="1"/>
  <c r="O111" i="14"/>
  <c r="Q111" i="14" s="1"/>
  <c r="P111" i="14"/>
  <c r="M112" i="14"/>
  <c r="N112" i="14" s="1"/>
  <c r="O112" i="14"/>
  <c r="Q112" i="14" s="1"/>
  <c r="P112" i="14"/>
  <c r="M113" i="14"/>
  <c r="N113" i="14" s="1"/>
  <c r="O113" i="14"/>
  <c r="Q113" i="14" s="1"/>
  <c r="P113" i="14"/>
  <c r="M114" i="14"/>
  <c r="N114" i="14" s="1"/>
  <c r="O114" i="14"/>
  <c r="Q114" i="14" s="1"/>
  <c r="P114" i="14"/>
  <c r="M115" i="14"/>
  <c r="N115" i="14" s="1"/>
  <c r="O115" i="14"/>
  <c r="Q115" i="14" s="1"/>
  <c r="P115" i="14"/>
  <c r="M116" i="14"/>
  <c r="N116" i="14" s="1"/>
  <c r="O116" i="14"/>
  <c r="Q116" i="14" s="1"/>
  <c r="P116" i="14"/>
  <c r="M117" i="14"/>
  <c r="N117" i="14" s="1"/>
  <c r="O117" i="14"/>
  <c r="Q117" i="14" s="1"/>
  <c r="P117" i="14"/>
  <c r="M118" i="14"/>
  <c r="N118" i="14" s="1"/>
  <c r="O118" i="14"/>
  <c r="Q118" i="14" s="1"/>
  <c r="P118" i="14"/>
  <c r="M119" i="14"/>
  <c r="N119" i="14" s="1"/>
  <c r="O119" i="14"/>
  <c r="Q119" i="14" s="1"/>
  <c r="P119" i="14"/>
  <c r="M120" i="14"/>
  <c r="N120" i="14" s="1"/>
  <c r="O120" i="14"/>
  <c r="Q120" i="14" s="1"/>
  <c r="P120" i="14"/>
  <c r="M121" i="14"/>
  <c r="N121" i="14" s="1"/>
  <c r="O121" i="14"/>
  <c r="Q121" i="14" s="1"/>
  <c r="P121" i="14"/>
  <c r="M122" i="14"/>
  <c r="N122" i="14" s="1"/>
  <c r="O122" i="14"/>
  <c r="Q122" i="14" s="1"/>
  <c r="P122" i="14"/>
  <c r="M123" i="14"/>
  <c r="N123" i="14" s="1"/>
  <c r="O123" i="14"/>
  <c r="Q123" i="14" s="1"/>
  <c r="P123" i="14"/>
  <c r="M124" i="14"/>
  <c r="N124" i="14" s="1"/>
  <c r="O124" i="14"/>
  <c r="Q124" i="14" s="1"/>
  <c r="P124" i="14"/>
  <c r="M125" i="14"/>
  <c r="N125" i="14" s="1"/>
  <c r="O125" i="14"/>
  <c r="Q125" i="14" s="1"/>
  <c r="P125" i="14"/>
  <c r="M126" i="14"/>
  <c r="N126" i="14" s="1"/>
  <c r="O126" i="14"/>
  <c r="Q126" i="14" s="1"/>
  <c r="P126" i="14"/>
  <c r="M127" i="14"/>
  <c r="N127" i="14" s="1"/>
  <c r="O127" i="14"/>
  <c r="Q127" i="14" s="1"/>
  <c r="P127" i="14"/>
  <c r="M128" i="14"/>
  <c r="N128" i="14" s="1"/>
  <c r="O128" i="14"/>
  <c r="Q128" i="14" s="1"/>
  <c r="P128" i="14"/>
  <c r="M129" i="14"/>
  <c r="N129" i="14" s="1"/>
  <c r="O129" i="14"/>
  <c r="Q129" i="14" s="1"/>
  <c r="P129" i="14"/>
  <c r="M130" i="14"/>
  <c r="N130" i="14" s="1"/>
  <c r="O130" i="14"/>
  <c r="Q130" i="14" s="1"/>
  <c r="P130" i="14"/>
  <c r="M131" i="14"/>
  <c r="N131" i="14" s="1"/>
  <c r="O131" i="14"/>
  <c r="Q131" i="14" s="1"/>
  <c r="P131" i="14"/>
  <c r="M132" i="14"/>
  <c r="N132" i="14" s="1"/>
  <c r="O132" i="14"/>
  <c r="Q132" i="14" s="1"/>
  <c r="P132" i="14"/>
  <c r="M133" i="14"/>
  <c r="N133" i="14" s="1"/>
  <c r="O133" i="14"/>
  <c r="Q133" i="14" s="1"/>
  <c r="P133" i="14"/>
  <c r="M134" i="14"/>
  <c r="N134" i="14" s="1"/>
  <c r="O134" i="14"/>
  <c r="Q134" i="14" s="1"/>
  <c r="P134" i="14"/>
  <c r="M135" i="14"/>
  <c r="N135" i="14" s="1"/>
  <c r="O135" i="14"/>
  <c r="Q135" i="14" s="1"/>
  <c r="P135" i="14"/>
  <c r="M136" i="14"/>
  <c r="N136" i="14" s="1"/>
  <c r="O136" i="14"/>
  <c r="Q136" i="14" s="1"/>
  <c r="P136" i="14"/>
  <c r="M137" i="14"/>
  <c r="N137" i="14" s="1"/>
  <c r="O137" i="14"/>
  <c r="Q137" i="14" s="1"/>
  <c r="P137" i="14"/>
  <c r="M138" i="14"/>
  <c r="N138" i="14" s="1"/>
  <c r="O138" i="14"/>
  <c r="Q138" i="14" s="1"/>
  <c r="P138" i="14"/>
  <c r="M139" i="14"/>
  <c r="N139" i="14" s="1"/>
  <c r="O139" i="14"/>
  <c r="Q139" i="14" s="1"/>
  <c r="P139" i="14"/>
  <c r="M140" i="14"/>
  <c r="N140" i="14" s="1"/>
  <c r="O140" i="14"/>
  <c r="Q140" i="14" s="1"/>
  <c r="P140" i="14"/>
  <c r="M141" i="14"/>
  <c r="N141" i="14" s="1"/>
  <c r="O141" i="14"/>
  <c r="Q141" i="14" s="1"/>
  <c r="P141" i="14"/>
  <c r="M142" i="14"/>
  <c r="N142" i="14" s="1"/>
  <c r="O142" i="14"/>
  <c r="Q142" i="14" s="1"/>
  <c r="P142" i="14"/>
  <c r="M143" i="14"/>
  <c r="N143" i="14" s="1"/>
  <c r="O143" i="14"/>
  <c r="Q143" i="14" s="1"/>
  <c r="P143" i="14"/>
  <c r="M144" i="14"/>
  <c r="N144" i="14" s="1"/>
  <c r="O144" i="14"/>
  <c r="Q144" i="14" s="1"/>
  <c r="P144" i="14"/>
  <c r="M145" i="14"/>
  <c r="N145" i="14" s="1"/>
  <c r="O145" i="14"/>
  <c r="Q145" i="14" s="1"/>
  <c r="P145" i="14"/>
  <c r="M146" i="14"/>
  <c r="N146" i="14" s="1"/>
  <c r="O146" i="14"/>
  <c r="Q146" i="14" s="1"/>
  <c r="P146" i="14"/>
  <c r="M147" i="14"/>
  <c r="N147" i="14" s="1"/>
  <c r="O147" i="14"/>
  <c r="Q147" i="14" s="1"/>
  <c r="P147" i="14"/>
  <c r="M148" i="14"/>
  <c r="N148" i="14" s="1"/>
  <c r="O148" i="14"/>
  <c r="Q148" i="14" s="1"/>
  <c r="P148" i="14"/>
  <c r="M149" i="14"/>
  <c r="N149" i="14" s="1"/>
  <c r="O149" i="14"/>
  <c r="Q149" i="14" s="1"/>
  <c r="P149" i="14"/>
  <c r="M150" i="14"/>
  <c r="N150" i="14" s="1"/>
  <c r="O150" i="14"/>
  <c r="Q150" i="14" s="1"/>
  <c r="P150" i="14"/>
  <c r="M151" i="14"/>
  <c r="N151" i="14" s="1"/>
  <c r="O151" i="14"/>
  <c r="Q151" i="14" s="1"/>
  <c r="P151" i="14"/>
  <c r="M152" i="14"/>
  <c r="N152" i="14" s="1"/>
  <c r="O152" i="14"/>
  <c r="Q152" i="14" s="1"/>
  <c r="P152" i="14"/>
  <c r="M153" i="14"/>
  <c r="N153" i="14" s="1"/>
  <c r="O153" i="14"/>
  <c r="Q153" i="14" s="1"/>
  <c r="P153" i="14"/>
  <c r="M154" i="14"/>
  <c r="N154" i="14" s="1"/>
  <c r="O154" i="14"/>
  <c r="Q154" i="14" s="1"/>
  <c r="P154" i="14"/>
  <c r="M155" i="14"/>
  <c r="N155" i="14" s="1"/>
  <c r="O155" i="14"/>
  <c r="Q155" i="14" s="1"/>
  <c r="P155" i="14"/>
  <c r="M156" i="14"/>
  <c r="N156" i="14" s="1"/>
  <c r="O156" i="14"/>
  <c r="Q156" i="14" s="1"/>
  <c r="P156" i="14"/>
  <c r="M157" i="14"/>
  <c r="N157" i="14" s="1"/>
  <c r="O157" i="14"/>
  <c r="Q157" i="14" s="1"/>
  <c r="P157" i="14"/>
  <c r="M158" i="14"/>
  <c r="N158" i="14" s="1"/>
  <c r="O158" i="14"/>
  <c r="Q158" i="14" s="1"/>
  <c r="P158" i="14"/>
  <c r="M159" i="14"/>
  <c r="N159" i="14" s="1"/>
  <c r="O159" i="14"/>
  <c r="Q159" i="14" s="1"/>
  <c r="P159" i="14"/>
  <c r="M160" i="14"/>
  <c r="N160" i="14" s="1"/>
  <c r="O160" i="14"/>
  <c r="Q160" i="14" s="1"/>
  <c r="P160" i="14"/>
  <c r="M161" i="14"/>
  <c r="N161" i="14" s="1"/>
  <c r="O161" i="14"/>
  <c r="Q161" i="14" s="1"/>
  <c r="P161" i="14"/>
  <c r="M162" i="14"/>
  <c r="N162" i="14" s="1"/>
  <c r="O162" i="14"/>
  <c r="Q162" i="14" s="1"/>
  <c r="P162" i="14"/>
  <c r="M163" i="14"/>
  <c r="N163" i="14" s="1"/>
  <c r="O163" i="14"/>
  <c r="Q163" i="14" s="1"/>
  <c r="P163" i="14"/>
  <c r="M164" i="14"/>
  <c r="N164" i="14" s="1"/>
  <c r="O164" i="14"/>
  <c r="Q164" i="14" s="1"/>
  <c r="P164" i="14"/>
  <c r="M165" i="14"/>
  <c r="N165" i="14" s="1"/>
  <c r="O165" i="14"/>
  <c r="Q165" i="14" s="1"/>
  <c r="P165" i="14"/>
  <c r="M166" i="14"/>
  <c r="N166" i="14" s="1"/>
  <c r="O166" i="14"/>
  <c r="Q166" i="14" s="1"/>
  <c r="P166" i="14"/>
  <c r="M167" i="14"/>
  <c r="N167" i="14" s="1"/>
  <c r="O167" i="14"/>
  <c r="Q167" i="14" s="1"/>
  <c r="P167" i="14"/>
  <c r="M168" i="14"/>
  <c r="N168" i="14" s="1"/>
  <c r="O168" i="14"/>
  <c r="Q168" i="14" s="1"/>
  <c r="P168" i="14"/>
  <c r="M169" i="14"/>
  <c r="N169" i="14" s="1"/>
  <c r="O169" i="14"/>
  <c r="Q169" i="14" s="1"/>
  <c r="P169" i="14"/>
  <c r="M170" i="14"/>
  <c r="N170" i="14" s="1"/>
  <c r="O170" i="14"/>
  <c r="Q170" i="14" s="1"/>
  <c r="P170" i="14"/>
  <c r="M171" i="14"/>
  <c r="N171" i="14" s="1"/>
  <c r="O171" i="14"/>
  <c r="Q171" i="14" s="1"/>
  <c r="P171" i="14"/>
  <c r="M172" i="14"/>
  <c r="N172" i="14" s="1"/>
  <c r="O172" i="14"/>
  <c r="Q172" i="14" s="1"/>
  <c r="P172" i="14"/>
  <c r="M173" i="14"/>
  <c r="N173" i="14" s="1"/>
  <c r="O173" i="14"/>
  <c r="Q173" i="14" s="1"/>
  <c r="P173" i="14"/>
  <c r="M174" i="14"/>
  <c r="N174" i="14" s="1"/>
  <c r="O174" i="14"/>
  <c r="Q174" i="14" s="1"/>
  <c r="P174" i="14"/>
  <c r="M175" i="14"/>
  <c r="N175" i="14" s="1"/>
  <c r="O175" i="14"/>
  <c r="Q175" i="14" s="1"/>
  <c r="P175" i="14"/>
  <c r="M176" i="14"/>
  <c r="N176" i="14" s="1"/>
  <c r="O176" i="14"/>
  <c r="Q176" i="14" s="1"/>
  <c r="P176" i="14"/>
  <c r="M177" i="14"/>
  <c r="N177" i="14" s="1"/>
  <c r="O177" i="14"/>
  <c r="Q177" i="14" s="1"/>
  <c r="P177" i="14"/>
  <c r="M178" i="14"/>
  <c r="N178" i="14" s="1"/>
  <c r="O178" i="14"/>
  <c r="Q178" i="14" s="1"/>
  <c r="P178" i="14"/>
  <c r="M179" i="14"/>
  <c r="N179" i="14" s="1"/>
  <c r="O179" i="14"/>
  <c r="Q179" i="14" s="1"/>
  <c r="P179" i="14"/>
  <c r="M180" i="14"/>
  <c r="N180" i="14" s="1"/>
  <c r="O180" i="14"/>
  <c r="Q180" i="14" s="1"/>
  <c r="P180" i="14"/>
  <c r="M181" i="14"/>
  <c r="N181" i="14" s="1"/>
  <c r="O181" i="14"/>
  <c r="Q181" i="14" s="1"/>
  <c r="P181" i="14"/>
  <c r="M182" i="14"/>
  <c r="N182" i="14" s="1"/>
  <c r="O182" i="14"/>
  <c r="Q182" i="14" s="1"/>
  <c r="P182" i="14"/>
  <c r="M183" i="14"/>
  <c r="N183" i="14" s="1"/>
  <c r="O183" i="14"/>
  <c r="Q183" i="14" s="1"/>
  <c r="P183" i="14"/>
  <c r="M184" i="14"/>
  <c r="N184" i="14" s="1"/>
  <c r="O184" i="14"/>
  <c r="Q184" i="14" s="1"/>
  <c r="P184" i="14"/>
  <c r="M185" i="14"/>
  <c r="N185" i="14" s="1"/>
  <c r="O185" i="14"/>
  <c r="Q185" i="14" s="1"/>
  <c r="P185" i="14"/>
  <c r="M186" i="14"/>
  <c r="N186" i="14" s="1"/>
  <c r="O186" i="14"/>
  <c r="Q186" i="14" s="1"/>
  <c r="P186" i="14"/>
  <c r="M187" i="14"/>
  <c r="N187" i="14" s="1"/>
  <c r="O187" i="14"/>
  <c r="Q187" i="14" s="1"/>
  <c r="P187" i="14"/>
  <c r="M188" i="14"/>
  <c r="N188" i="14" s="1"/>
  <c r="O188" i="14"/>
  <c r="Q188" i="14" s="1"/>
  <c r="P188" i="14"/>
  <c r="M189" i="14"/>
  <c r="N189" i="14" s="1"/>
  <c r="O189" i="14"/>
  <c r="Q189" i="14" s="1"/>
  <c r="P189" i="14"/>
  <c r="M190" i="14"/>
  <c r="N190" i="14" s="1"/>
  <c r="O190" i="14"/>
  <c r="Q190" i="14" s="1"/>
  <c r="P190" i="14"/>
  <c r="M191" i="14"/>
  <c r="N191" i="14" s="1"/>
  <c r="O191" i="14"/>
  <c r="Q191" i="14" s="1"/>
  <c r="P191" i="14"/>
  <c r="M192" i="14"/>
  <c r="N192" i="14" s="1"/>
  <c r="O192" i="14"/>
  <c r="Q192" i="14" s="1"/>
  <c r="P192" i="14"/>
  <c r="M193" i="14"/>
  <c r="N193" i="14" s="1"/>
  <c r="O193" i="14"/>
  <c r="Q193" i="14" s="1"/>
  <c r="P193" i="14"/>
  <c r="M33" i="13"/>
  <c r="N33" i="13" s="1"/>
  <c r="O33" i="13"/>
  <c r="Q33" i="13" s="1"/>
  <c r="P33" i="13"/>
  <c r="M34" i="13"/>
  <c r="N34" i="13" s="1"/>
  <c r="O34" i="13"/>
  <c r="Q34" i="13" s="1"/>
  <c r="P34" i="13"/>
  <c r="M35" i="13"/>
  <c r="N35" i="13" s="1"/>
  <c r="O35" i="13"/>
  <c r="Q35" i="13" s="1"/>
  <c r="P35" i="13"/>
  <c r="M36" i="13"/>
  <c r="N36" i="13" s="1"/>
  <c r="O36" i="13"/>
  <c r="Q36" i="13" s="1"/>
  <c r="P36" i="13"/>
  <c r="M37" i="13"/>
  <c r="N37" i="13" s="1"/>
  <c r="O37" i="13"/>
  <c r="Q37" i="13" s="1"/>
  <c r="P37" i="13"/>
  <c r="M38" i="13"/>
  <c r="N38" i="13" s="1"/>
  <c r="O38" i="13"/>
  <c r="Q38" i="13" s="1"/>
  <c r="P38" i="13"/>
  <c r="M39" i="13"/>
  <c r="N39" i="13" s="1"/>
  <c r="O39" i="13"/>
  <c r="Q39" i="13" s="1"/>
  <c r="P39" i="13"/>
  <c r="M40" i="13"/>
  <c r="N40" i="13" s="1"/>
  <c r="O40" i="13"/>
  <c r="Q40" i="13" s="1"/>
  <c r="P40" i="13"/>
  <c r="M41" i="13"/>
  <c r="N41" i="13" s="1"/>
  <c r="O41" i="13"/>
  <c r="Q41" i="13" s="1"/>
  <c r="P41" i="13"/>
  <c r="M42" i="13"/>
  <c r="N42" i="13" s="1"/>
  <c r="O42" i="13"/>
  <c r="Q42" i="13" s="1"/>
  <c r="P42" i="13"/>
  <c r="M43" i="13"/>
  <c r="N43" i="13" s="1"/>
  <c r="O43" i="13"/>
  <c r="Q43" i="13" s="1"/>
  <c r="P43" i="13"/>
  <c r="M44" i="13"/>
  <c r="N44" i="13" s="1"/>
  <c r="O44" i="13"/>
  <c r="Q44" i="13" s="1"/>
  <c r="P44" i="13"/>
  <c r="M45" i="13"/>
  <c r="N45" i="13" s="1"/>
  <c r="O45" i="13"/>
  <c r="Q45" i="13" s="1"/>
  <c r="P45" i="13"/>
  <c r="M46" i="13"/>
  <c r="N46" i="13" s="1"/>
  <c r="O46" i="13"/>
  <c r="Q46" i="13" s="1"/>
  <c r="P46" i="13"/>
  <c r="M47" i="13"/>
  <c r="N47" i="13" s="1"/>
  <c r="O47" i="13"/>
  <c r="Q47" i="13" s="1"/>
  <c r="P47" i="13"/>
  <c r="M48" i="13"/>
  <c r="N48" i="13" s="1"/>
  <c r="O48" i="13"/>
  <c r="Q48" i="13" s="1"/>
  <c r="P48" i="13"/>
  <c r="M49" i="13"/>
  <c r="N49" i="13" s="1"/>
  <c r="O49" i="13"/>
  <c r="Q49" i="13" s="1"/>
  <c r="P49" i="13"/>
  <c r="M50" i="13"/>
  <c r="N50" i="13" s="1"/>
  <c r="O50" i="13"/>
  <c r="Q50" i="13" s="1"/>
  <c r="P50" i="13"/>
  <c r="M51" i="13"/>
  <c r="N51" i="13" s="1"/>
  <c r="O51" i="13"/>
  <c r="Q51" i="13" s="1"/>
  <c r="P51" i="13"/>
  <c r="M52" i="13"/>
  <c r="N52" i="13" s="1"/>
  <c r="O52" i="13"/>
  <c r="Q52" i="13" s="1"/>
  <c r="P52" i="13"/>
  <c r="M53" i="13"/>
  <c r="N53" i="13" s="1"/>
  <c r="O53" i="13"/>
  <c r="Q53" i="13" s="1"/>
  <c r="P53" i="13"/>
  <c r="M54" i="13"/>
  <c r="N54" i="13" s="1"/>
  <c r="O54" i="13"/>
  <c r="Q54" i="13" s="1"/>
  <c r="P54" i="13"/>
  <c r="M55" i="13"/>
  <c r="N55" i="13" s="1"/>
  <c r="O55" i="13"/>
  <c r="Q55" i="13" s="1"/>
  <c r="P55" i="13"/>
  <c r="M56" i="13"/>
  <c r="N56" i="13" s="1"/>
  <c r="O56" i="13"/>
  <c r="Q56" i="13" s="1"/>
  <c r="P56" i="13"/>
  <c r="M57" i="13"/>
  <c r="N57" i="13" s="1"/>
  <c r="O57" i="13"/>
  <c r="Q57" i="13" s="1"/>
  <c r="P57" i="13"/>
  <c r="M58" i="13"/>
  <c r="N58" i="13" s="1"/>
  <c r="O58" i="13"/>
  <c r="Q58" i="13" s="1"/>
  <c r="P58" i="13"/>
  <c r="M59" i="13"/>
  <c r="N59" i="13" s="1"/>
  <c r="O59" i="13"/>
  <c r="Q59" i="13" s="1"/>
  <c r="P59" i="13"/>
  <c r="M60" i="13"/>
  <c r="N60" i="13" s="1"/>
  <c r="O60" i="13"/>
  <c r="Q60" i="13" s="1"/>
  <c r="P60" i="13"/>
  <c r="M61" i="13"/>
  <c r="N61" i="13" s="1"/>
  <c r="O61" i="13"/>
  <c r="Q61" i="13" s="1"/>
  <c r="P61" i="13"/>
  <c r="M62" i="13"/>
  <c r="N62" i="13" s="1"/>
  <c r="O62" i="13"/>
  <c r="Q62" i="13" s="1"/>
  <c r="P62" i="13"/>
  <c r="M63" i="13"/>
  <c r="N63" i="13" s="1"/>
  <c r="O63" i="13"/>
  <c r="Q63" i="13" s="1"/>
  <c r="P63" i="13"/>
  <c r="M64" i="13"/>
  <c r="N64" i="13" s="1"/>
  <c r="O64" i="13"/>
  <c r="Q64" i="13" s="1"/>
  <c r="P64" i="13"/>
  <c r="M65" i="13"/>
  <c r="N65" i="13" s="1"/>
  <c r="O65" i="13"/>
  <c r="Q65" i="13" s="1"/>
  <c r="P65" i="13"/>
  <c r="M66" i="13"/>
  <c r="N66" i="13" s="1"/>
  <c r="O66" i="13"/>
  <c r="Q66" i="13" s="1"/>
  <c r="P66" i="13"/>
  <c r="M67" i="13"/>
  <c r="N67" i="13" s="1"/>
  <c r="O67" i="13"/>
  <c r="Q67" i="13" s="1"/>
  <c r="P67" i="13"/>
  <c r="M68" i="13"/>
  <c r="N68" i="13" s="1"/>
  <c r="O68" i="13"/>
  <c r="Q68" i="13" s="1"/>
  <c r="P68" i="13"/>
  <c r="M69" i="13"/>
  <c r="N69" i="13" s="1"/>
  <c r="O69" i="13"/>
  <c r="Q69" i="13" s="1"/>
  <c r="P69" i="13"/>
  <c r="M70" i="13"/>
  <c r="N70" i="13" s="1"/>
  <c r="O70" i="13"/>
  <c r="Q70" i="13" s="1"/>
  <c r="P70" i="13"/>
  <c r="M71" i="13"/>
  <c r="N71" i="13" s="1"/>
  <c r="O71" i="13"/>
  <c r="Q71" i="13" s="1"/>
  <c r="P71" i="13"/>
  <c r="M72" i="13"/>
  <c r="N72" i="13" s="1"/>
  <c r="O72" i="13"/>
  <c r="Q72" i="13" s="1"/>
  <c r="P72" i="13"/>
  <c r="M73" i="13"/>
  <c r="N73" i="13" s="1"/>
  <c r="O73" i="13"/>
  <c r="Q73" i="13" s="1"/>
  <c r="P73" i="13"/>
  <c r="M74" i="13"/>
  <c r="N74" i="13" s="1"/>
  <c r="O74" i="13"/>
  <c r="Q74" i="13" s="1"/>
  <c r="P74" i="13"/>
  <c r="M75" i="13"/>
  <c r="N75" i="13" s="1"/>
  <c r="O75" i="13"/>
  <c r="Q75" i="13" s="1"/>
  <c r="P75" i="13"/>
  <c r="M76" i="13"/>
  <c r="N76" i="13" s="1"/>
  <c r="O76" i="13"/>
  <c r="Q76" i="13" s="1"/>
  <c r="P76" i="13"/>
  <c r="M77" i="13"/>
  <c r="N77" i="13" s="1"/>
  <c r="O77" i="13"/>
  <c r="Q77" i="13" s="1"/>
  <c r="P77" i="13"/>
  <c r="M78" i="13"/>
  <c r="N78" i="13" s="1"/>
  <c r="O78" i="13"/>
  <c r="Q78" i="13" s="1"/>
  <c r="P78" i="13"/>
  <c r="M79" i="13"/>
  <c r="N79" i="13" s="1"/>
  <c r="O79" i="13"/>
  <c r="Q79" i="13" s="1"/>
  <c r="P79" i="13"/>
  <c r="M80" i="13"/>
  <c r="N80" i="13" s="1"/>
  <c r="O80" i="13"/>
  <c r="Q80" i="13" s="1"/>
  <c r="P80" i="13"/>
  <c r="M81" i="13"/>
  <c r="N81" i="13" s="1"/>
  <c r="O81" i="13"/>
  <c r="Q81" i="13" s="1"/>
  <c r="P81" i="13"/>
  <c r="M82" i="13"/>
  <c r="N82" i="13" s="1"/>
  <c r="O82" i="13"/>
  <c r="Q82" i="13" s="1"/>
  <c r="P82" i="13"/>
  <c r="M83" i="13"/>
  <c r="N83" i="13" s="1"/>
  <c r="O83" i="13"/>
  <c r="Q83" i="13" s="1"/>
  <c r="P83" i="13"/>
  <c r="M84" i="13"/>
  <c r="N84" i="13" s="1"/>
  <c r="O84" i="13"/>
  <c r="Q84" i="13" s="1"/>
  <c r="P84" i="13"/>
  <c r="M85" i="13"/>
  <c r="N85" i="13" s="1"/>
  <c r="O85" i="13"/>
  <c r="Q85" i="13" s="1"/>
  <c r="P85" i="13"/>
  <c r="M86" i="13"/>
  <c r="N86" i="13" s="1"/>
  <c r="O86" i="13"/>
  <c r="Q86" i="13" s="1"/>
  <c r="P86" i="13"/>
  <c r="M87" i="13"/>
  <c r="N87" i="13" s="1"/>
  <c r="O87" i="13"/>
  <c r="Q87" i="13" s="1"/>
  <c r="P87" i="13"/>
  <c r="M88" i="13"/>
  <c r="N88" i="13" s="1"/>
  <c r="O88" i="13"/>
  <c r="Q88" i="13" s="1"/>
  <c r="P88" i="13"/>
  <c r="M89" i="13"/>
  <c r="N89" i="13" s="1"/>
  <c r="O89" i="13"/>
  <c r="Q89" i="13" s="1"/>
  <c r="P89" i="13"/>
  <c r="M90" i="13"/>
  <c r="N90" i="13" s="1"/>
  <c r="O90" i="13"/>
  <c r="Q90" i="13" s="1"/>
  <c r="P90" i="13"/>
  <c r="M91" i="13"/>
  <c r="N91" i="13" s="1"/>
  <c r="O91" i="13"/>
  <c r="Q91" i="13" s="1"/>
  <c r="P91" i="13"/>
  <c r="M92" i="13"/>
  <c r="N92" i="13" s="1"/>
  <c r="O92" i="13"/>
  <c r="Q92" i="13" s="1"/>
  <c r="P92" i="13"/>
  <c r="M93" i="13"/>
  <c r="N93" i="13" s="1"/>
  <c r="O93" i="13"/>
  <c r="Q93" i="13" s="1"/>
  <c r="P93" i="13"/>
  <c r="M94" i="13"/>
  <c r="N94" i="13" s="1"/>
  <c r="O94" i="13"/>
  <c r="Q94" i="13" s="1"/>
  <c r="P94" i="13"/>
  <c r="M95" i="13"/>
  <c r="N95" i="13" s="1"/>
  <c r="O95" i="13"/>
  <c r="Q95" i="13" s="1"/>
  <c r="P95" i="13"/>
  <c r="M96" i="13"/>
  <c r="N96" i="13" s="1"/>
  <c r="O96" i="13"/>
  <c r="Q96" i="13" s="1"/>
  <c r="P96" i="13"/>
  <c r="M97" i="13"/>
  <c r="N97" i="13" s="1"/>
  <c r="O97" i="13"/>
  <c r="Q97" i="13" s="1"/>
  <c r="P97" i="13"/>
  <c r="M98" i="13"/>
  <c r="N98" i="13" s="1"/>
  <c r="O98" i="13"/>
  <c r="Q98" i="13" s="1"/>
  <c r="P98" i="13"/>
  <c r="M99" i="13"/>
  <c r="N99" i="13" s="1"/>
  <c r="O99" i="13"/>
  <c r="Q99" i="13" s="1"/>
  <c r="P99" i="13"/>
  <c r="M100" i="13"/>
  <c r="N100" i="13" s="1"/>
  <c r="O100" i="13"/>
  <c r="Q100" i="13" s="1"/>
  <c r="P100" i="13"/>
  <c r="M101" i="13"/>
  <c r="N101" i="13" s="1"/>
  <c r="O101" i="13"/>
  <c r="Q101" i="13" s="1"/>
  <c r="P101" i="13"/>
  <c r="M102" i="13"/>
  <c r="N102" i="13" s="1"/>
  <c r="O102" i="13"/>
  <c r="Q102" i="13" s="1"/>
  <c r="P102" i="13"/>
  <c r="M103" i="13"/>
  <c r="N103" i="13" s="1"/>
  <c r="O103" i="13"/>
  <c r="Q103" i="13" s="1"/>
  <c r="P103" i="13"/>
  <c r="M104" i="13"/>
  <c r="N104" i="13" s="1"/>
  <c r="O104" i="13"/>
  <c r="Q104" i="13" s="1"/>
  <c r="P104" i="13"/>
  <c r="M105" i="13"/>
  <c r="N105" i="13" s="1"/>
  <c r="O105" i="13"/>
  <c r="Q105" i="13" s="1"/>
  <c r="P105" i="13"/>
  <c r="M106" i="13"/>
  <c r="N106" i="13" s="1"/>
  <c r="O106" i="13"/>
  <c r="Q106" i="13" s="1"/>
  <c r="P106" i="13"/>
  <c r="M107" i="13"/>
  <c r="N107" i="13" s="1"/>
  <c r="O107" i="13"/>
  <c r="Q107" i="13" s="1"/>
  <c r="P107" i="13"/>
  <c r="M108" i="13"/>
  <c r="N108" i="13" s="1"/>
  <c r="O108" i="13"/>
  <c r="Q108" i="13" s="1"/>
  <c r="P108" i="13"/>
  <c r="M109" i="13"/>
  <c r="N109" i="13" s="1"/>
  <c r="O109" i="13"/>
  <c r="Q109" i="13" s="1"/>
  <c r="P109" i="13"/>
  <c r="M110" i="13"/>
  <c r="N110" i="13" s="1"/>
  <c r="O110" i="13"/>
  <c r="Q110" i="13" s="1"/>
  <c r="P110" i="13"/>
  <c r="M111" i="13"/>
  <c r="N111" i="13" s="1"/>
  <c r="O111" i="13"/>
  <c r="Q111" i="13" s="1"/>
  <c r="P111" i="13"/>
  <c r="M112" i="13"/>
  <c r="N112" i="13" s="1"/>
  <c r="O112" i="13"/>
  <c r="Q112" i="13" s="1"/>
  <c r="P112" i="13"/>
  <c r="M113" i="13"/>
  <c r="N113" i="13" s="1"/>
  <c r="O113" i="13"/>
  <c r="Q113" i="13" s="1"/>
  <c r="P113" i="13"/>
  <c r="M114" i="13"/>
  <c r="N114" i="13" s="1"/>
  <c r="O114" i="13"/>
  <c r="Q114" i="13" s="1"/>
  <c r="P114" i="13"/>
  <c r="M115" i="13"/>
  <c r="N115" i="13" s="1"/>
  <c r="O115" i="13"/>
  <c r="Q115" i="13" s="1"/>
  <c r="P115" i="13"/>
  <c r="M116" i="13"/>
  <c r="N116" i="13" s="1"/>
  <c r="O116" i="13"/>
  <c r="Q116" i="13" s="1"/>
  <c r="P116" i="13"/>
  <c r="M117" i="13"/>
  <c r="N117" i="13" s="1"/>
  <c r="O117" i="13"/>
  <c r="Q117" i="13" s="1"/>
  <c r="P117" i="13"/>
  <c r="M118" i="13"/>
  <c r="N118" i="13" s="1"/>
  <c r="O118" i="13"/>
  <c r="Q118" i="13" s="1"/>
  <c r="P118" i="13"/>
  <c r="M119" i="13"/>
  <c r="N119" i="13" s="1"/>
  <c r="O119" i="13"/>
  <c r="Q119" i="13" s="1"/>
  <c r="P119" i="13"/>
  <c r="M120" i="13"/>
  <c r="N120" i="13" s="1"/>
  <c r="O120" i="13"/>
  <c r="Q120" i="13" s="1"/>
  <c r="P120" i="13"/>
  <c r="M121" i="13"/>
  <c r="N121" i="13" s="1"/>
  <c r="O121" i="13"/>
  <c r="Q121" i="13" s="1"/>
  <c r="P121" i="13"/>
  <c r="M122" i="13"/>
  <c r="N122" i="13" s="1"/>
  <c r="O122" i="13"/>
  <c r="Q122" i="13" s="1"/>
  <c r="P122" i="13"/>
  <c r="M123" i="13"/>
  <c r="N123" i="13" s="1"/>
  <c r="O123" i="13"/>
  <c r="Q123" i="13" s="1"/>
  <c r="P123" i="13"/>
  <c r="M124" i="13"/>
  <c r="N124" i="13" s="1"/>
  <c r="O124" i="13"/>
  <c r="Q124" i="13" s="1"/>
  <c r="P124" i="13"/>
  <c r="M125" i="13"/>
  <c r="N125" i="13" s="1"/>
  <c r="O125" i="13"/>
  <c r="Q125" i="13" s="1"/>
  <c r="P125" i="13"/>
  <c r="M126" i="13"/>
  <c r="N126" i="13" s="1"/>
  <c r="O126" i="13"/>
  <c r="Q126" i="13" s="1"/>
  <c r="P126" i="13"/>
  <c r="M127" i="13"/>
  <c r="N127" i="13" s="1"/>
  <c r="O127" i="13"/>
  <c r="Q127" i="13" s="1"/>
  <c r="P127" i="13"/>
  <c r="M128" i="13"/>
  <c r="N128" i="13" s="1"/>
  <c r="O128" i="13"/>
  <c r="Q128" i="13" s="1"/>
  <c r="P128" i="13"/>
  <c r="M129" i="13"/>
  <c r="N129" i="13" s="1"/>
  <c r="O129" i="13"/>
  <c r="Q129" i="13" s="1"/>
  <c r="P129" i="13"/>
  <c r="M130" i="13"/>
  <c r="N130" i="13" s="1"/>
  <c r="O130" i="13"/>
  <c r="Q130" i="13" s="1"/>
  <c r="P130" i="13"/>
  <c r="M131" i="13"/>
  <c r="N131" i="13" s="1"/>
  <c r="O131" i="13"/>
  <c r="Q131" i="13" s="1"/>
  <c r="P131" i="13"/>
  <c r="M132" i="13"/>
  <c r="N132" i="13" s="1"/>
  <c r="O132" i="13"/>
  <c r="Q132" i="13" s="1"/>
  <c r="P132" i="13"/>
  <c r="M133" i="13"/>
  <c r="N133" i="13" s="1"/>
  <c r="O133" i="13"/>
  <c r="Q133" i="13" s="1"/>
  <c r="P133" i="13"/>
  <c r="M134" i="13"/>
  <c r="N134" i="13" s="1"/>
  <c r="O134" i="13"/>
  <c r="Q134" i="13" s="1"/>
  <c r="P134" i="13"/>
  <c r="M135" i="13"/>
  <c r="N135" i="13" s="1"/>
  <c r="O135" i="13"/>
  <c r="Q135" i="13" s="1"/>
  <c r="P135" i="13"/>
  <c r="M136" i="13"/>
  <c r="N136" i="13" s="1"/>
  <c r="O136" i="13"/>
  <c r="Q136" i="13" s="1"/>
  <c r="P136" i="13"/>
  <c r="M137" i="13"/>
  <c r="N137" i="13" s="1"/>
  <c r="O137" i="13"/>
  <c r="Q137" i="13" s="1"/>
  <c r="P137" i="13"/>
  <c r="M138" i="13"/>
  <c r="N138" i="13" s="1"/>
  <c r="O138" i="13"/>
  <c r="Q138" i="13" s="1"/>
  <c r="P138" i="13"/>
  <c r="M139" i="13"/>
  <c r="N139" i="13" s="1"/>
  <c r="O139" i="13"/>
  <c r="Q139" i="13" s="1"/>
  <c r="P139" i="13"/>
  <c r="M140" i="13"/>
  <c r="N140" i="13" s="1"/>
  <c r="O140" i="13"/>
  <c r="Q140" i="13" s="1"/>
  <c r="P140" i="13"/>
  <c r="M141" i="13"/>
  <c r="N141" i="13" s="1"/>
  <c r="O141" i="13"/>
  <c r="P141" i="13"/>
  <c r="Q141" i="13"/>
  <c r="M142" i="13"/>
  <c r="N142" i="13" s="1"/>
  <c r="O142" i="13"/>
  <c r="Q142" i="13" s="1"/>
  <c r="P142" i="13"/>
  <c r="M143" i="13"/>
  <c r="N143" i="13" s="1"/>
  <c r="O143" i="13"/>
  <c r="Q143" i="13" s="1"/>
  <c r="P143" i="13"/>
  <c r="M144" i="13"/>
  <c r="N144" i="13" s="1"/>
  <c r="O144" i="13"/>
  <c r="Q144" i="13" s="1"/>
  <c r="P144" i="13"/>
  <c r="M145" i="13"/>
  <c r="N145" i="13" s="1"/>
  <c r="O145" i="13"/>
  <c r="Q145" i="13" s="1"/>
  <c r="P145" i="13"/>
  <c r="M146" i="13"/>
  <c r="N146" i="13" s="1"/>
  <c r="O146" i="13"/>
  <c r="Q146" i="13" s="1"/>
  <c r="P146" i="13"/>
  <c r="M147" i="13"/>
  <c r="N147" i="13" s="1"/>
  <c r="O147" i="13"/>
  <c r="Q147" i="13" s="1"/>
  <c r="P147" i="13"/>
  <c r="M148" i="13"/>
  <c r="N148" i="13" s="1"/>
  <c r="O148" i="13"/>
  <c r="Q148" i="13" s="1"/>
  <c r="P148" i="13"/>
  <c r="M149" i="13"/>
  <c r="N149" i="13" s="1"/>
  <c r="O149" i="13"/>
  <c r="Q149" i="13" s="1"/>
  <c r="P149" i="13"/>
  <c r="M150" i="13"/>
  <c r="N150" i="13" s="1"/>
  <c r="O150" i="13"/>
  <c r="Q150" i="13" s="1"/>
  <c r="P150" i="13"/>
  <c r="M151" i="13"/>
  <c r="N151" i="13" s="1"/>
  <c r="O151" i="13"/>
  <c r="Q151" i="13" s="1"/>
  <c r="P151" i="13"/>
  <c r="M152" i="13"/>
  <c r="N152" i="13" s="1"/>
  <c r="O152" i="13"/>
  <c r="Q152" i="13" s="1"/>
  <c r="P152" i="13"/>
  <c r="M153" i="13"/>
  <c r="N153" i="13" s="1"/>
  <c r="O153" i="13"/>
  <c r="Q153" i="13" s="1"/>
  <c r="P153" i="13"/>
  <c r="M154" i="13"/>
  <c r="N154" i="13" s="1"/>
  <c r="O154" i="13"/>
  <c r="Q154" i="13" s="1"/>
  <c r="P154" i="13"/>
  <c r="M155" i="13"/>
  <c r="N155" i="13" s="1"/>
  <c r="O155" i="13"/>
  <c r="Q155" i="13" s="1"/>
  <c r="P155" i="13"/>
  <c r="M156" i="13"/>
  <c r="N156" i="13" s="1"/>
  <c r="O156" i="13"/>
  <c r="Q156" i="13" s="1"/>
  <c r="P156" i="13"/>
  <c r="M157" i="13"/>
  <c r="N157" i="13" s="1"/>
  <c r="O157" i="13"/>
  <c r="Q157" i="13" s="1"/>
  <c r="P157" i="13"/>
  <c r="M158" i="13"/>
  <c r="N158" i="13" s="1"/>
  <c r="O158" i="13"/>
  <c r="Q158" i="13" s="1"/>
  <c r="P158" i="13"/>
  <c r="M159" i="13"/>
  <c r="N159" i="13" s="1"/>
  <c r="O159" i="13"/>
  <c r="Q159" i="13" s="1"/>
  <c r="P159" i="13"/>
  <c r="M160" i="13"/>
  <c r="N160" i="13" s="1"/>
  <c r="O160" i="13"/>
  <c r="Q160" i="13" s="1"/>
  <c r="P160" i="13"/>
  <c r="M161" i="13"/>
  <c r="N161" i="13" s="1"/>
  <c r="O161" i="13"/>
  <c r="Q161" i="13" s="1"/>
  <c r="P161" i="13"/>
  <c r="M162" i="13"/>
  <c r="N162" i="13" s="1"/>
  <c r="O162" i="13"/>
  <c r="Q162" i="13" s="1"/>
  <c r="P162" i="13"/>
  <c r="M163" i="13"/>
  <c r="N163" i="13" s="1"/>
  <c r="O163" i="13"/>
  <c r="Q163" i="13" s="1"/>
  <c r="P163" i="13"/>
  <c r="M164" i="13"/>
  <c r="N164" i="13" s="1"/>
  <c r="O164" i="13"/>
  <c r="Q164" i="13" s="1"/>
  <c r="P164" i="13"/>
  <c r="M165" i="13"/>
  <c r="N165" i="13" s="1"/>
  <c r="O165" i="13"/>
  <c r="Q165" i="13" s="1"/>
  <c r="P165" i="13"/>
  <c r="M166" i="13"/>
  <c r="N166" i="13" s="1"/>
  <c r="O166" i="13"/>
  <c r="Q166" i="13" s="1"/>
  <c r="P166" i="13"/>
  <c r="M167" i="13"/>
  <c r="N167" i="13" s="1"/>
  <c r="O167" i="13"/>
  <c r="Q167" i="13" s="1"/>
  <c r="P167" i="13"/>
  <c r="M168" i="13"/>
  <c r="N168" i="13" s="1"/>
  <c r="O168" i="13"/>
  <c r="Q168" i="13" s="1"/>
  <c r="P168" i="13"/>
  <c r="M169" i="13"/>
  <c r="N169" i="13" s="1"/>
  <c r="O169" i="13"/>
  <c r="P169" i="13"/>
  <c r="Q169" i="13"/>
  <c r="M170" i="13"/>
  <c r="N170" i="13" s="1"/>
  <c r="O170" i="13"/>
  <c r="Q170" i="13" s="1"/>
  <c r="P170" i="13"/>
  <c r="M171" i="13"/>
  <c r="N171" i="13" s="1"/>
  <c r="O171" i="13"/>
  <c r="Q171" i="13" s="1"/>
  <c r="P171" i="13"/>
  <c r="M172" i="13"/>
  <c r="N172" i="13" s="1"/>
  <c r="O172" i="13"/>
  <c r="Q172" i="13" s="1"/>
  <c r="P172" i="13"/>
  <c r="M173" i="13"/>
  <c r="N173" i="13" s="1"/>
  <c r="O173" i="13"/>
  <c r="Q173" i="13" s="1"/>
  <c r="P173" i="13"/>
  <c r="M174" i="13"/>
  <c r="N174" i="13" s="1"/>
  <c r="O174" i="13"/>
  <c r="Q174" i="13" s="1"/>
  <c r="P174" i="13"/>
  <c r="M175" i="13"/>
  <c r="N175" i="13" s="1"/>
  <c r="O175" i="13"/>
  <c r="Q175" i="13" s="1"/>
  <c r="P175" i="13"/>
  <c r="M176" i="13"/>
  <c r="N176" i="13" s="1"/>
  <c r="O176" i="13"/>
  <c r="Q176" i="13" s="1"/>
  <c r="P176" i="13"/>
  <c r="M177" i="13"/>
  <c r="N177" i="13" s="1"/>
  <c r="O177" i="13"/>
  <c r="Q177" i="13" s="1"/>
  <c r="P177" i="13"/>
  <c r="M178" i="13"/>
  <c r="N178" i="13" s="1"/>
  <c r="O178" i="13"/>
  <c r="Q178" i="13" s="1"/>
  <c r="P178" i="13"/>
  <c r="M179" i="13"/>
  <c r="N179" i="13" s="1"/>
  <c r="O179" i="13"/>
  <c r="Q179" i="13" s="1"/>
  <c r="P179" i="13"/>
  <c r="M180" i="13"/>
  <c r="N180" i="13" s="1"/>
  <c r="O180" i="13"/>
  <c r="Q180" i="13" s="1"/>
  <c r="P180" i="13"/>
  <c r="M181" i="13"/>
  <c r="N181" i="13" s="1"/>
  <c r="O181" i="13"/>
  <c r="Q181" i="13" s="1"/>
  <c r="P181" i="13"/>
  <c r="M182" i="13"/>
  <c r="N182" i="13" s="1"/>
  <c r="O182" i="13"/>
  <c r="Q182" i="13" s="1"/>
  <c r="P182" i="13"/>
  <c r="P155" i="10"/>
  <c r="O155" i="10"/>
  <c r="Q155" i="10" s="1"/>
  <c r="M155" i="10"/>
  <c r="N155" i="10" s="1"/>
  <c r="P154" i="10"/>
  <c r="O154" i="10"/>
  <c r="Q154" i="10" s="1"/>
  <c r="M154" i="10"/>
  <c r="N154" i="10" s="1"/>
  <c r="P153" i="10"/>
  <c r="O153" i="10"/>
  <c r="Q153" i="10" s="1"/>
  <c r="M153" i="10"/>
  <c r="N153" i="10" s="1"/>
  <c r="P152" i="10"/>
  <c r="O152" i="10"/>
  <c r="Q152" i="10" s="1"/>
  <c r="M152" i="10"/>
  <c r="N152" i="10" s="1"/>
  <c r="P151" i="10"/>
  <c r="O151" i="10"/>
  <c r="Q151" i="10" s="1"/>
  <c r="M151" i="10"/>
  <c r="N151" i="10" s="1"/>
  <c r="P150" i="10"/>
  <c r="O150" i="10"/>
  <c r="Q150" i="10" s="1"/>
  <c r="M150" i="10"/>
  <c r="N150" i="10" s="1"/>
  <c r="P149" i="10"/>
  <c r="O149" i="10"/>
  <c r="Q149" i="10" s="1"/>
  <c r="M149" i="10"/>
  <c r="N149" i="10" s="1"/>
  <c r="P148" i="10"/>
  <c r="O148" i="10"/>
  <c r="Q148" i="10" s="1"/>
  <c r="M148" i="10"/>
  <c r="N148" i="10" s="1"/>
  <c r="P147" i="10"/>
  <c r="O147" i="10"/>
  <c r="Q147" i="10" s="1"/>
  <c r="M147" i="10"/>
  <c r="N147" i="10" s="1"/>
  <c r="P146" i="10"/>
  <c r="O146" i="10"/>
  <c r="Q146" i="10" s="1"/>
  <c r="M146" i="10"/>
  <c r="N146" i="10" s="1"/>
  <c r="P145" i="10"/>
  <c r="O145" i="10"/>
  <c r="Q145" i="10" s="1"/>
  <c r="M145" i="10"/>
  <c r="N145" i="10" s="1"/>
  <c r="P144" i="10"/>
  <c r="O144" i="10"/>
  <c r="Q144" i="10" s="1"/>
  <c r="M144" i="10"/>
  <c r="N144" i="10" s="1"/>
  <c r="P143" i="10"/>
  <c r="O143" i="10"/>
  <c r="Q143" i="10" s="1"/>
  <c r="M143" i="10"/>
  <c r="N143" i="10" s="1"/>
  <c r="P142" i="10"/>
  <c r="O142" i="10"/>
  <c r="Q142" i="10" s="1"/>
  <c r="M142" i="10"/>
  <c r="N142" i="10" s="1"/>
  <c r="P141" i="10"/>
  <c r="O141" i="10"/>
  <c r="Q141" i="10" s="1"/>
  <c r="M141" i="10"/>
  <c r="N141" i="10" s="1"/>
  <c r="P140" i="10"/>
  <c r="O140" i="10"/>
  <c r="Q140" i="10" s="1"/>
  <c r="M140" i="10"/>
  <c r="N140" i="10" s="1"/>
  <c r="P139" i="10"/>
  <c r="O139" i="10"/>
  <c r="Q139" i="10" s="1"/>
  <c r="M139" i="10"/>
  <c r="N139" i="10" s="1"/>
  <c r="P138" i="10"/>
  <c r="O138" i="10"/>
  <c r="Q138" i="10" s="1"/>
  <c r="M138" i="10"/>
  <c r="N138" i="10" s="1"/>
  <c r="P137" i="10"/>
  <c r="O137" i="10"/>
  <c r="Q137" i="10" s="1"/>
  <c r="M137" i="10"/>
  <c r="N137" i="10" s="1"/>
  <c r="P136" i="10"/>
  <c r="O136" i="10"/>
  <c r="Q136" i="10" s="1"/>
  <c r="M136" i="10"/>
  <c r="N136" i="10" s="1"/>
  <c r="P135" i="10"/>
  <c r="O135" i="10"/>
  <c r="Q135" i="10" s="1"/>
  <c r="M135" i="10"/>
  <c r="N135" i="10" s="1"/>
  <c r="P134" i="10"/>
  <c r="O134" i="10"/>
  <c r="Q134" i="10" s="1"/>
  <c r="M134" i="10"/>
  <c r="N134" i="10" s="1"/>
  <c r="P133" i="10"/>
  <c r="O133" i="10"/>
  <c r="Q133" i="10" s="1"/>
  <c r="M133" i="10"/>
  <c r="N133" i="10" s="1"/>
  <c r="P132" i="10"/>
  <c r="O132" i="10"/>
  <c r="Q132" i="10" s="1"/>
  <c r="M132" i="10"/>
  <c r="N132" i="10" s="1"/>
  <c r="P131" i="10"/>
  <c r="O131" i="10"/>
  <c r="Q131" i="10" s="1"/>
  <c r="M131" i="10"/>
  <c r="N131" i="10" s="1"/>
  <c r="P130" i="10"/>
  <c r="O130" i="10"/>
  <c r="Q130" i="10" s="1"/>
  <c r="M130" i="10"/>
  <c r="N130" i="10" s="1"/>
  <c r="P129" i="10"/>
  <c r="O129" i="10"/>
  <c r="Q129" i="10" s="1"/>
  <c r="M129" i="10"/>
  <c r="N129" i="10" s="1"/>
  <c r="P128" i="10"/>
  <c r="O128" i="10"/>
  <c r="Q128" i="10" s="1"/>
  <c r="M128" i="10"/>
  <c r="N128" i="10" s="1"/>
  <c r="P127" i="10"/>
  <c r="O127" i="10"/>
  <c r="Q127" i="10" s="1"/>
  <c r="M127" i="10"/>
  <c r="N127" i="10" s="1"/>
  <c r="P126" i="10"/>
  <c r="O126" i="10"/>
  <c r="Q126" i="10" s="1"/>
  <c r="M126" i="10"/>
  <c r="N126" i="10" s="1"/>
  <c r="P125" i="10"/>
  <c r="O125" i="10"/>
  <c r="Q125" i="10" s="1"/>
  <c r="M125" i="10"/>
  <c r="N125" i="10" s="1"/>
  <c r="P124" i="10"/>
  <c r="O124" i="10"/>
  <c r="Q124" i="10" s="1"/>
  <c r="M124" i="10"/>
  <c r="N124" i="10" s="1"/>
  <c r="P123" i="10"/>
  <c r="O123" i="10"/>
  <c r="Q123" i="10" s="1"/>
  <c r="M123" i="10"/>
  <c r="N123" i="10" s="1"/>
  <c r="P122" i="10"/>
  <c r="O122" i="10"/>
  <c r="Q122" i="10" s="1"/>
  <c r="M122" i="10"/>
  <c r="N122" i="10" s="1"/>
  <c r="P121" i="10"/>
  <c r="O121" i="10"/>
  <c r="Q121" i="10" s="1"/>
  <c r="M121" i="10"/>
  <c r="N121" i="10" s="1"/>
  <c r="P120" i="10"/>
  <c r="O120" i="10"/>
  <c r="Q120" i="10" s="1"/>
  <c r="M120" i="10"/>
  <c r="N120" i="10" s="1"/>
  <c r="P119" i="10"/>
  <c r="O119" i="10"/>
  <c r="Q119" i="10" s="1"/>
  <c r="M119" i="10"/>
  <c r="N119" i="10" s="1"/>
  <c r="P118" i="10"/>
  <c r="O118" i="10"/>
  <c r="Q118" i="10" s="1"/>
  <c r="M118" i="10"/>
  <c r="N118" i="10" s="1"/>
  <c r="P117" i="10"/>
  <c r="O117" i="10"/>
  <c r="Q117" i="10" s="1"/>
  <c r="M117" i="10"/>
  <c r="N117" i="10" s="1"/>
  <c r="P116" i="10"/>
  <c r="O116" i="10"/>
  <c r="Q116" i="10" s="1"/>
  <c r="M116" i="10"/>
  <c r="N116" i="10" s="1"/>
  <c r="P115" i="10"/>
  <c r="O115" i="10"/>
  <c r="Q115" i="10" s="1"/>
  <c r="M115" i="10"/>
  <c r="N115" i="10" s="1"/>
  <c r="P114" i="10"/>
  <c r="O114" i="10"/>
  <c r="Q114" i="10" s="1"/>
  <c r="M114" i="10"/>
  <c r="N114" i="10" s="1"/>
  <c r="P113" i="10"/>
  <c r="O113" i="10"/>
  <c r="Q113" i="10" s="1"/>
  <c r="M113" i="10"/>
  <c r="N113" i="10" s="1"/>
  <c r="P112" i="10"/>
  <c r="O112" i="10"/>
  <c r="Q112" i="10" s="1"/>
  <c r="M112" i="10"/>
  <c r="N112" i="10" s="1"/>
  <c r="P111" i="10"/>
  <c r="O111" i="10"/>
  <c r="Q111" i="10" s="1"/>
  <c r="M111" i="10"/>
  <c r="N111" i="10" s="1"/>
  <c r="P110" i="10"/>
  <c r="O110" i="10"/>
  <c r="Q110" i="10" s="1"/>
  <c r="M110" i="10"/>
  <c r="N110" i="10" s="1"/>
  <c r="P109" i="10"/>
  <c r="O109" i="10"/>
  <c r="Q109" i="10" s="1"/>
  <c r="M109" i="10"/>
  <c r="N109" i="10" s="1"/>
  <c r="P108" i="10"/>
  <c r="O108" i="10"/>
  <c r="Q108" i="10" s="1"/>
  <c r="M108" i="10"/>
  <c r="N108" i="10" s="1"/>
  <c r="P107" i="10"/>
  <c r="O107" i="10"/>
  <c r="Q107" i="10" s="1"/>
  <c r="M107" i="10"/>
  <c r="N107" i="10" s="1"/>
  <c r="P106" i="10"/>
  <c r="O106" i="10"/>
  <c r="Q106" i="10" s="1"/>
  <c r="M106" i="10"/>
  <c r="N106" i="10" s="1"/>
  <c r="P105" i="10"/>
  <c r="O105" i="10"/>
  <c r="Q105" i="10" s="1"/>
  <c r="M105" i="10"/>
  <c r="N105" i="10" s="1"/>
  <c r="P104" i="10"/>
  <c r="O104" i="10"/>
  <c r="Q104" i="10" s="1"/>
  <c r="M104" i="10"/>
  <c r="N104" i="10" s="1"/>
  <c r="P103" i="10"/>
  <c r="O103" i="10"/>
  <c r="Q103" i="10" s="1"/>
  <c r="M103" i="10"/>
  <c r="N103" i="10" s="1"/>
  <c r="P102" i="10"/>
  <c r="O102" i="10"/>
  <c r="Q102" i="10" s="1"/>
  <c r="M102" i="10"/>
  <c r="N102" i="10" s="1"/>
  <c r="P101" i="10"/>
  <c r="O101" i="10"/>
  <c r="Q101" i="10" s="1"/>
  <c r="M101" i="10"/>
  <c r="N101" i="10" s="1"/>
  <c r="P100" i="10"/>
  <c r="O100" i="10"/>
  <c r="Q100" i="10" s="1"/>
  <c r="M100" i="10"/>
  <c r="N100" i="10" s="1"/>
  <c r="P99" i="10"/>
  <c r="O99" i="10"/>
  <c r="Q99" i="10" s="1"/>
  <c r="M99" i="10"/>
  <c r="N99" i="10" s="1"/>
  <c r="P98" i="10"/>
  <c r="O98" i="10"/>
  <c r="Q98" i="10" s="1"/>
  <c r="M98" i="10"/>
  <c r="N98" i="10" s="1"/>
  <c r="P97" i="10"/>
  <c r="O97" i="10"/>
  <c r="Q97" i="10" s="1"/>
  <c r="M97" i="10"/>
  <c r="N97" i="10" s="1"/>
  <c r="P96" i="10"/>
  <c r="O96" i="10"/>
  <c r="Q96" i="10" s="1"/>
  <c r="M96" i="10"/>
  <c r="N96" i="10" s="1"/>
  <c r="P95" i="10"/>
  <c r="O95" i="10"/>
  <c r="Q95" i="10" s="1"/>
  <c r="M95" i="10"/>
  <c r="N95" i="10" s="1"/>
  <c r="P94" i="10"/>
  <c r="O94" i="10"/>
  <c r="Q94" i="10" s="1"/>
  <c r="M94" i="10"/>
  <c r="N94" i="10" s="1"/>
  <c r="P93" i="10"/>
  <c r="O93" i="10"/>
  <c r="Q93" i="10" s="1"/>
  <c r="M93" i="10"/>
  <c r="N93" i="10" s="1"/>
  <c r="P92" i="10"/>
  <c r="O92" i="10"/>
  <c r="Q92" i="10" s="1"/>
  <c r="M92" i="10"/>
  <c r="N92" i="10" s="1"/>
  <c r="P91" i="10"/>
  <c r="O91" i="10"/>
  <c r="Q91" i="10" s="1"/>
  <c r="M91" i="10"/>
  <c r="N91" i="10" s="1"/>
  <c r="P90" i="10"/>
  <c r="O90" i="10"/>
  <c r="Q90" i="10" s="1"/>
  <c r="M90" i="10"/>
  <c r="N90" i="10" s="1"/>
  <c r="P89" i="10"/>
  <c r="O89" i="10"/>
  <c r="Q89" i="10" s="1"/>
  <c r="M89" i="10"/>
  <c r="N89" i="10" s="1"/>
  <c r="P88" i="10"/>
  <c r="O88" i="10"/>
  <c r="Q88" i="10" s="1"/>
  <c r="M88" i="10"/>
  <c r="N88" i="10" s="1"/>
  <c r="P87" i="10"/>
  <c r="O87" i="10"/>
  <c r="Q87" i="10" s="1"/>
  <c r="M87" i="10"/>
  <c r="N87" i="10" s="1"/>
  <c r="P86" i="10"/>
  <c r="O86" i="10"/>
  <c r="Q86" i="10" s="1"/>
  <c r="M86" i="10"/>
  <c r="N86" i="10" s="1"/>
  <c r="P85" i="10"/>
  <c r="O85" i="10"/>
  <c r="Q85" i="10" s="1"/>
  <c r="M85" i="10"/>
  <c r="N85" i="10" s="1"/>
  <c r="P84" i="10"/>
  <c r="O84" i="10"/>
  <c r="Q84" i="10" s="1"/>
  <c r="M84" i="10"/>
  <c r="N84" i="10" s="1"/>
  <c r="P83" i="10"/>
  <c r="O83" i="10"/>
  <c r="Q83" i="10" s="1"/>
  <c r="M83" i="10"/>
  <c r="N83" i="10" s="1"/>
  <c r="P82" i="10"/>
  <c r="O82" i="10"/>
  <c r="Q82" i="10" s="1"/>
  <c r="M82" i="10"/>
  <c r="N82" i="10" s="1"/>
  <c r="P81" i="10"/>
  <c r="O81" i="10"/>
  <c r="Q81" i="10" s="1"/>
  <c r="M81" i="10"/>
  <c r="N81" i="10" s="1"/>
  <c r="P80" i="10"/>
  <c r="O80" i="10"/>
  <c r="Q80" i="10" s="1"/>
  <c r="M80" i="10"/>
  <c r="N80" i="10" s="1"/>
  <c r="P79" i="10"/>
  <c r="O79" i="10"/>
  <c r="Q79" i="10" s="1"/>
  <c r="M79" i="10"/>
  <c r="N79" i="10" s="1"/>
  <c r="P78" i="10"/>
  <c r="O78" i="10"/>
  <c r="Q78" i="10" s="1"/>
  <c r="M78" i="10"/>
  <c r="N78" i="10" s="1"/>
  <c r="P77" i="10"/>
  <c r="O77" i="10"/>
  <c r="Q77" i="10" s="1"/>
  <c r="M77" i="10"/>
  <c r="N77" i="10" s="1"/>
  <c r="P76" i="10"/>
  <c r="O76" i="10"/>
  <c r="Q76" i="10" s="1"/>
  <c r="M76" i="10"/>
  <c r="N76" i="10" s="1"/>
  <c r="P75" i="10"/>
  <c r="O75" i="10"/>
  <c r="Q75" i="10" s="1"/>
  <c r="M75" i="10"/>
  <c r="N75" i="10" s="1"/>
  <c r="P74" i="10"/>
  <c r="O74" i="10"/>
  <c r="Q74" i="10" s="1"/>
  <c r="M74" i="10"/>
  <c r="N74" i="10" s="1"/>
  <c r="P73" i="10"/>
  <c r="O73" i="10"/>
  <c r="Q73" i="10" s="1"/>
  <c r="M73" i="10"/>
  <c r="N73" i="10" s="1"/>
  <c r="P72" i="10"/>
  <c r="O72" i="10"/>
  <c r="Q72" i="10" s="1"/>
  <c r="M72" i="10"/>
  <c r="N72" i="10" s="1"/>
  <c r="Q71" i="10"/>
  <c r="P71" i="10"/>
  <c r="O71" i="10"/>
  <c r="M71" i="10"/>
  <c r="N71" i="10" s="1"/>
  <c r="P70" i="10"/>
  <c r="O70" i="10"/>
  <c r="Q70" i="10" s="1"/>
  <c r="M70" i="10"/>
  <c r="N70" i="10" s="1"/>
  <c r="P69" i="10"/>
  <c r="O69" i="10"/>
  <c r="Q69" i="10" s="1"/>
  <c r="M69" i="10"/>
  <c r="N69" i="10" s="1"/>
  <c r="P68" i="10"/>
  <c r="O68" i="10"/>
  <c r="Q68" i="10" s="1"/>
  <c r="M68" i="10"/>
  <c r="N68" i="10" s="1"/>
  <c r="P67" i="10"/>
  <c r="O67" i="10"/>
  <c r="Q67" i="10" s="1"/>
  <c r="M67" i="10"/>
  <c r="N67" i="10" s="1"/>
  <c r="P66" i="10"/>
  <c r="O66" i="10"/>
  <c r="Q66" i="10" s="1"/>
  <c r="M66" i="10"/>
  <c r="N66" i="10" s="1"/>
  <c r="P65" i="10"/>
  <c r="O65" i="10"/>
  <c r="Q65" i="10" s="1"/>
  <c r="M65" i="10"/>
  <c r="N65" i="10" s="1"/>
  <c r="P64" i="10"/>
  <c r="O64" i="10"/>
  <c r="Q64" i="10" s="1"/>
  <c r="M64" i="10"/>
  <c r="N64" i="10" s="1"/>
  <c r="P63" i="10"/>
  <c r="O63" i="10"/>
  <c r="Q63" i="10" s="1"/>
  <c r="M63" i="10"/>
  <c r="N63" i="10" s="1"/>
  <c r="P62" i="10"/>
  <c r="O62" i="10"/>
  <c r="Q62" i="10" s="1"/>
  <c r="M62" i="10"/>
  <c r="N62" i="10" s="1"/>
  <c r="P61" i="10"/>
  <c r="O61" i="10"/>
  <c r="Q61" i="10" s="1"/>
  <c r="M61" i="10"/>
  <c r="N61" i="10" s="1"/>
  <c r="P60" i="10"/>
  <c r="O60" i="10"/>
  <c r="Q60" i="10" s="1"/>
  <c r="M60" i="10"/>
  <c r="N60" i="10" s="1"/>
  <c r="P59" i="10"/>
  <c r="O59" i="10"/>
  <c r="Q59" i="10" s="1"/>
  <c r="M59" i="10"/>
  <c r="N59" i="10" s="1"/>
  <c r="P58" i="10"/>
  <c r="O58" i="10"/>
  <c r="Q58" i="10" s="1"/>
  <c r="M58" i="10"/>
  <c r="N58" i="10" s="1"/>
  <c r="P57" i="10"/>
  <c r="O57" i="10"/>
  <c r="Q57" i="10" s="1"/>
  <c r="M57" i="10"/>
  <c r="N57" i="10" s="1"/>
  <c r="P56" i="10"/>
  <c r="O56" i="10"/>
  <c r="Q56" i="10" s="1"/>
  <c r="M56" i="10"/>
  <c r="N56" i="10" s="1"/>
  <c r="P55" i="10"/>
  <c r="O55" i="10"/>
  <c r="Q55" i="10" s="1"/>
  <c r="M55" i="10"/>
  <c r="N55" i="10" s="1"/>
  <c r="P54" i="10"/>
  <c r="O54" i="10"/>
  <c r="Q54" i="10" s="1"/>
  <c r="M54" i="10"/>
  <c r="N54" i="10" s="1"/>
  <c r="P53" i="10"/>
  <c r="O53" i="10"/>
  <c r="Q53" i="10" s="1"/>
  <c r="M53" i="10"/>
  <c r="N53" i="10" s="1"/>
  <c r="P52" i="10"/>
  <c r="O52" i="10"/>
  <c r="Q52" i="10" s="1"/>
  <c r="M52" i="10"/>
  <c r="N52" i="10" s="1"/>
  <c r="P51" i="10"/>
  <c r="O51" i="10"/>
  <c r="Q51" i="10" s="1"/>
  <c r="M51" i="10"/>
  <c r="N51" i="10" s="1"/>
  <c r="P50" i="10"/>
  <c r="O50" i="10"/>
  <c r="Q50" i="10" s="1"/>
  <c r="M50" i="10"/>
  <c r="N50" i="10" s="1"/>
  <c r="P49" i="10"/>
  <c r="O49" i="10"/>
  <c r="Q49" i="10" s="1"/>
  <c r="M49" i="10"/>
  <c r="N49" i="10" s="1"/>
  <c r="P48" i="10"/>
  <c r="O48" i="10"/>
  <c r="Q48" i="10" s="1"/>
  <c r="M48" i="10"/>
  <c r="N48" i="10" s="1"/>
  <c r="P47" i="10"/>
  <c r="O47" i="10"/>
  <c r="Q47" i="10" s="1"/>
  <c r="M47" i="10"/>
  <c r="N47" i="10" s="1"/>
  <c r="P46" i="10"/>
  <c r="O46" i="10"/>
  <c r="Q46" i="10" s="1"/>
  <c r="M46" i="10"/>
  <c r="N46" i="10" s="1"/>
  <c r="P45" i="10"/>
  <c r="O45" i="10"/>
  <c r="Q45" i="10" s="1"/>
  <c r="M45" i="10"/>
  <c r="N45" i="10" s="1"/>
  <c r="P44" i="10"/>
  <c r="O44" i="10"/>
  <c r="Q44" i="10" s="1"/>
  <c r="M44" i="10"/>
  <c r="N44" i="10" s="1"/>
  <c r="P43" i="10"/>
  <c r="O43" i="10"/>
  <c r="Q43" i="10" s="1"/>
  <c r="M43" i="10"/>
  <c r="N43" i="10" s="1"/>
  <c r="P42" i="10"/>
  <c r="O42" i="10"/>
  <c r="Q42" i="10" s="1"/>
  <c r="M42" i="10"/>
  <c r="N42" i="10" s="1"/>
  <c r="P41" i="10"/>
  <c r="O41" i="10"/>
  <c r="Q41" i="10" s="1"/>
  <c r="M41" i="10"/>
  <c r="N41" i="10" s="1"/>
  <c r="P40" i="10"/>
  <c r="O40" i="10"/>
  <c r="Q40" i="10" s="1"/>
  <c r="M40" i="10"/>
  <c r="N40" i="10" s="1"/>
  <c r="P39" i="10"/>
  <c r="O39" i="10"/>
  <c r="Q39" i="10" s="1"/>
  <c r="M39" i="10"/>
  <c r="N39" i="10" s="1"/>
  <c r="P38" i="10"/>
  <c r="O38" i="10"/>
  <c r="Q38" i="10" s="1"/>
  <c r="M38" i="10"/>
  <c r="N38" i="10" s="1"/>
  <c r="P37" i="10"/>
  <c r="O37" i="10"/>
  <c r="Q37" i="10" s="1"/>
  <c r="M37" i="10"/>
  <c r="N37" i="10" s="1"/>
  <c r="P36" i="10"/>
  <c r="O36" i="10"/>
  <c r="Q36" i="10" s="1"/>
  <c r="M36" i="10"/>
  <c r="N36" i="10" s="1"/>
  <c r="Q35" i="10"/>
  <c r="P35" i="10"/>
  <c r="O35" i="10"/>
  <c r="M35" i="10"/>
  <c r="N35" i="10" s="1"/>
  <c r="P34" i="10"/>
  <c r="O34" i="10"/>
  <c r="Q34" i="10" s="1"/>
  <c r="M34" i="10"/>
  <c r="N34" i="10" s="1"/>
  <c r="P33" i="10"/>
  <c r="O33" i="10"/>
  <c r="Q33" i="10" s="1"/>
  <c r="M33" i="10"/>
  <c r="N33" i="10" s="1"/>
  <c r="P32" i="36"/>
  <c r="O32" i="36"/>
  <c r="Q32" i="36" s="1"/>
  <c r="M32" i="36"/>
  <c r="N32" i="36" s="1"/>
  <c r="L27" i="36"/>
  <c r="M27" i="36" s="1"/>
  <c r="K27" i="36"/>
  <c r="J27" i="36"/>
  <c r="G27" i="36"/>
  <c r="F27" i="36"/>
  <c r="E27" i="36"/>
  <c r="D27" i="36"/>
  <c r="L26" i="36"/>
  <c r="M26" i="36" s="1"/>
  <c r="K26" i="36"/>
  <c r="J26" i="36"/>
  <c r="G26" i="36"/>
  <c r="F26" i="36"/>
  <c r="E26" i="36"/>
  <c r="D26" i="36"/>
  <c r="L25" i="36"/>
  <c r="M25" i="36" s="1"/>
  <c r="K25" i="36"/>
  <c r="J25" i="36"/>
  <c r="G25" i="36"/>
  <c r="F25" i="36"/>
  <c r="E25" i="36"/>
  <c r="D25" i="36"/>
  <c r="L24" i="36"/>
  <c r="M24" i="36" s="1"/>
  <c r="K24" i="36"/>
  <c r="J24" i="36"/>
  <c r="G24" i="36"/>
  <c r="F24" i="36"/>
  <c r="E24" i="36"/>
  <c r="D24" i="36"/>
  <c r="K15" i="36"/>
  <c r="J15" i="36"/>
  <c r="I15" i="36"/>
  <c r="H15" i="36"/>
  <c r="G15" i="36"/>
  <c r="F15" i="36"/>
  <c r="D15" i="36"/>
  <c r="K14" i="36"/>
  <c r="J14" i="36"/>
  <c r="I14" i="36"/>
  <c r="H14" i="36"/>
  <c r="G14" i="36"/>
  <c r="F14" i="36"/>
  <c r="D14" i="36"/>
  <c r="Q13" i="36"/>
  <c r="P13" i="36"/>
  <c r="O13" i="36"/>
  <c r="N13" i="36"/>
  <c r="M13" i="36"/>
  <c r="K13" i="36"/>
  <c r="J13" i="36"/>
  <c r="I13" i="36"/>
  <c r="H13" i="36"/>
  <c r="G13" i="36"/>
  <c r="F13" i="36"/>
  <c r="D13" i="36"/>
  <c r="K12" i="36"/>
  <c r="J12" i="36"/>
  <c r="I12" i="36"/>
  <c r="H12" i="36"/>
  <c r="G12" i="36"/>
  <c r="F12" i="36"/>
  <c r="D12" i="36"/>
  <c r="K11" i="36"/>
  <c r="J11" i="36"/>
  <c r="I11" i="36"/>
  <c r="H11" i="36"/>
  <c r="G11" i="36"/>
  <c r="F11" i="36"/>
  <c r="D11" i="36"/>
  <c r="K10" i="36"/>
  <c r="J10" i="36"/>
  <c r="I10" i="36"/>
  <c r="H10" i="36"/>
  <c r="G10" i="36"/>
  <c r="F10" i="36"/>
  <c r="D10" i="36"/>
  <c r="K9" i="36"/>
  <c r="J9" i="36"/>
  <c r="I9" i="36"/>
  <c r="H9" i="36"/>
  <c r="G9" i="36"/>
  <c r="F9" i="36"/>
  <c r="D9" i="36"/>
  <c r="K8" i="36"/>
  <c r="J8" i="36"/>
  <c r="I8" i="36"/>
  <c r="H8" i="36"/>
  <c r="G8" i="36"/>
  <c r="F8" i="36"/>
  <c r="D8" i="36"/>
  <c r="K7" i="36"/>
  <c r="J7" i="36"/>
  <c r="I7" i="36"/>
  <c r="H7" i="36"/>
  <c r="G7" i="36"/>
  <c r="F7" i="36"/>
  <c r="D7" i="36"/>
  <c r="K6" i="36"/>
  <c r="J6" i="36"/>
  <c r="I6" i="36"/>
  <c r="H6" i="36"/>
  <c r="G6" i="36"/>
  <c r="F6" i="36"/>
  <c r="D6" i="36"/>
  <c r="P5" i="36"/>
  <c r="E5" i="36"/>
  <c r="E12" i="36" s="1"/>
  <c r="AR34" i="24"/>
  <c r="H101" i="24" l="1"/>
  <c r="N91" i="11"/>
  <c r="O27" i="36"/>
  <c r="N27" i="36"/>
  <c r="P10" i="36"/>
  <c r="I24" i="36"/>
  <c r="H26" i="36"/>
  <c r="R13" i="36"/>
  <c r="H27" i="36"/>
  <c r="O25" i="36"/>
  <c r="P12" i="36"/>
  <c r="P9" i="36"/>
  <c r="N26" i="36"/>
  <c r="H24" i="36"/>
  <c r="O9" i="36"/>
  <c r="P14" i="36"/>
  <c r="P11" i="36"/>
  <c r="P7" i="36"/>
  <c r="M11" i="36"/>
  <c r="M9" i="36"/>
  <c r="O10" i="36"/>
  <c r="P6" i="36"/>
  <c r="D16" i="36"/>
  <c r="H25" i="36"/>
  <c r="P15" i="36"/>
  <c r="I25" i="36"/>
  <c r="M14" i="36"/>
  <c r="M15" i="36"/>
  <c r="P8" i="36"/>
  <c r="M12" i="36"/>
  <c r="M10" i="36"/>
  <c r="N24" i="36"/>
  <c r="N7" i="36"/>
  <c r="N10" i="36"/>
  <c r="G16" i="36"/>
  <c r="Q9" i="36"/>
  <c r="Q15" i="36"/>
  <c r="N15" i="36"/>
  <c r="H16" i="36"/>
  <c r="I16" i="36"/>
  <c r="O8" i="36"/>
  <c r="N14" i="36"/>
  <c r="M7" i="36"/>
  <c r="O15" i="36"/>
  <c r="I27" i="36"/>
  <c r="Q12" i="36"/>
  <c r="J16" i="36"/>
  <c r="K16" i="36"/>
  <c r="O7" i="36"/>
  <c r="N25" i="36"/>
  <c r="O14" i="36"/>
  <c r="Q8" i="36"/>
  <c r="Q11" i="36"/>
  <c r="N9" i="36"/>
  <c r="M8" i="36"/>
  <c r="M6" i="36"/>
  <c r="O6" i="36"/>
  <c r="O12" i="36"/>
  <c r="F16" i="36"/>
  <c r="O11" i="36"/>
  <c r="I26" i="36"/>
  <c r="N6" i="36"/>
  <c r="O24" i="36"/>
  <c r="Q6" i="36"/>
  <c r="N8" i="36"/>
  <c r="O26" i="36"/>
  <c r="N12" i="36"/>
  <c r="Q10" i="36"/>
  <c r="Q14" i="36"/>
  <c r="N11" i="36"/>
  <c r="Q7" i="36"/>
  <c r="E7" i="36"/>
  <c r="E13" i="36"/>
  <c r="E8" i="36"/>
  <c r="E14" i="36"/>
  <c r="E9" i="36"/>
  <c r="E15" i="36"/>
  <c r="E10" i="36"/>
  <c r="E11" i="36"/>
  <c r="E6" i="36"/>
  <c r="AU34" i="24"/>
  <c r="AT34" i="24"/>
  <c r="AN34" i="24"/>
  <c r="AM34" i="24"/>
  <c r="AQ34" i="24"/>
  <c r="AL34" i="24"/>
  <c r="AO34" i="24"/>
  <c r="AP34" i="24"/>
  <c r="F101" i="24" l="1"/>
  <c r="C101" i="24"/>
  <c r="B101" i="24"/>
  <c r="J101" i="24"/>
  <c r="E101" i="24"/>
  <c r="K101" i="24"/>
  <c r="D101" i="24"/>
  <c r="G101" i="24"/>
  <c r="R14" i="36"/>
  <c r="R11" i="36"/>
  <c r="R15" i="36"/>
  <c r="R10" i="36"/>
  <c r="R9" i="36"/>
  <c r="R7" i="36"/>
  <c r="E16" i="36"/>
  <c r="R6" i="36"/>
  <c r="M16" i="36"/>
  <c r="P16" i="36"/>
  <c r="R12" i="36"/>
  <c r="O16" i="36"/>
  <c r="R8" i="36"/>
  <c r="Q16" i="36"/>
  <c r="N16" i="36"/>
  <c r="G15" i="31" l="1"/>
  <c r="F15" i="31"/>
  <c r="E15" i="31"/>
  <c r="D15" i="31"/>
  <c r="C15" i="31"/>
  <c r="B15" i="31"/>
  <c r="C5" i="31"/>
  <c r="D5" i="31"/>
  <c r="E5" i="31"/>
  <c r="F5" i="31"/>
  <c r="G5" i="31"/>
  <c r="B5" i="31"/>
  <c r="M16" i="11"/>
  <c r="M19" i="11"/>
  <c r="A36" i="11"/>
  <c r="A37" i="11"/>
  <c r="M37" i="11" s="1"/>
  <c r="Y37" i="11" s="1"/>
  <c r="A38" i="11"/>
  <c r="M38" i="11" s="1"/>
  <c r="Y38" i="11" s="1"/>
  <c r="A39" i="11"/>
  <c r="A54" i="11"/>
  <c r="M54" i="11" s="1"/>
  <c r="Y54" i="11" s="1"/>
  <c r="A55" i="11"/>
  <c r="M55" i="11" s="1"/>
  <c r="Y55" i="11" s="1"/>
  <c r="A56" i="11"/>
  <c r="M56" i="11" s="1"/>
  <c r="Y56" i="11" s="1"/>
  <c r="A57" i="11"/>
  <c r="M57" i="11" s="1"/>
  <c r="Y57" i="11" s="1"/>
  <c r="A74" i="11"/>
  <c r="M74" i="11" s="1"/>
  <c r="Y68" i="11" s="1"/>
  <c r="A75" i="11"/>
  <c r="A76" i="11"/>
  <c r="A77" i="11"/>
  <c r="M77" i="11" s="1"/>
  <c r="Y71" i="11" s="1"/>
  <c r="A74" i="24"/>
  <c r="M74" i="24" s="1"/>
  <c r="A75" i="24"/>
  <c r="M75" i="24" s="1"/>
  <c r="A76" i="24"/>
  <c r="M76" i="24" s="1"/>
  <c r="A77" i="24"/>
  <c r="M77" i="24" s="1"/>
  <c r="A36" i="24"/>
  <c r="M36" i="24" s="1"/>
  <c r="Y36" i="24" s="1"/>
  <c r="AK36" i="24" s="1"/>
  <c r="A37" i="24"/>
  <c r="A38" i="24"/>
  <c r="M38" i="24" s="1"/>
  <c r="Y38" i="24" s="1"/>
  <c r="AK38" i="24" s="1"/>
  <c r="A39" i="24"/>
  <c r="M19" i="24"/>
  <c r="A57" i="24"/>
  <c r="M57" i="24" s="1"/>
  <c r="Y57" i="24" s="1"/>
  <c r="A54" i="24"/>
  <c r="M54" i="24" s="1"/>
  <c r="Y54" i="24" s="1"/>
  <c r="A55" i="24"/>
  <c r="M55" i="24" s="1"/>
  <c r="Y55" i="24" s="1"/>
  <c r="A56" i="24"/>
  <c r="M56" i="24" s="1"/>
  <c r="Y56" i="24" s="1"/>
  <c r="A91" i="11"/>
  <c r="M15" i="11"/>
  <c r="A73" i="24"/>
  <c r="M73" i="24" s="1"/>
  <c r="A53" i="24"/>
  <c r="M53" i="24" s="1"/>
  <c r="Y53" i="24" s="1"/>
  <c r="A35" i="24"/>
  <c r="A35" i="11"/>
  <c r="M76" i="11" l="1"/>
  <c r="Y70" i="11" s="1"/>
  <c r="M75" i="11"/>
  <c r="Y69" i="11" s="1"/>
  <c r="M39" i="11"/>
  <c r="Y39" i="11" s="1"/>
  <c r="M39" i="24"/>
  <c r="Y39" i="24" s="1"/>
  <c r="AK39" i="24" s="1"/>
  <c r="M36" i="11"/>
  <c r="Y36" i="11" s="1"/>
  <c r="M37" i="24"/>
  <c r="Y37" i="24" s="1"/>
  <c r="AK37" i="24" s="1"/>
  <c r="M35" i="24"/>
  <c r="Y35" i="24" s="1"/>
  <c r="AK35" i="24" s="1"/>
  <c r="A110" i="11"/>
  <c r="M91" i="11"/>
  <c r="M35" i="11"/>
  <c r="Y35" i="11" s="1"/>
  <c r="G2" i="51"/>
  <c r="AF3" i="51" l="1"/>
  <c r="A128" i="11"/>
  <c r="M128" i="11" s="1"/>
  <c r="Y128" i="11" s="1"/>
  <c r="AK128" i="11" s="1"/>
  <c r="AW128" i="11" s="1"/>
  <c r="M110" i="11"/>
  <c r="A28" i="31"/>
  <c r="A27" i="31"/>
  <c r="A7" i="31"/>
  <c r="A72" i="24"/>
  <c r="M72" i="24" s="1"/>
  <c r="M14" i="24"/>
  <c r="A34" i="24"/>
  <c r="A52" i="24"/>
  <c r="M52" i="24" s="1"/>
  <c r="Y52" i="24" s="1"/>
  <c r="A146" i="11"/>
  <c r="A90" i="11"/>
  <c r="A109" i="11" s="1"/>
  <c r="M109" i="11" s="1"/>
  <c r="A72" i="11"/>
  <c r="M72" i="11" s="1"/>
  <c r="Y67" i="11" s="1"/>
  <c r="A52" i="11"/>
  <c r="M52" i="11" s="1"/>
  <c r="Y52" i="11" s="1"/>
  <c r="A34" i="11"/>
  <c r="M14" i="11"/>
  <c r="P32" i="28"/>
  <c r="O32" i="28"/>
  <c r="Q32" i="28" s="1"/>
  <c r="M32" i="28"/>
  <c r="N32" i="28" s="1"/>
  <c r="L27" i="28"/>
  <c r="M27" i="28" s="1"/>
  <c r="K27" i="28"/>
  <c r="J27" i="28"/>
  <c r="G27" i="28"/>
  <c r="F27" i="28"/>
  <c r="E27" i="28"/>
  <c r="D27" i="28"/>
  <c r="L26" i="28"/>
  <c r="M26" i="28" s="1"/>
  <c r="K26" i="28"/>
  <c r="J26" i="28"/>
  <c r="G26" i="28"/>
  <c r="F26" i="28"/>
  <c r="E26" i="28"/>
  <c r="D26" i="28"/>
  <c r="L25" i="28"/>
  <c r="M25" i="28" s="1"/>
  <c r="K25" i="28"/>
  <c r="J25" i="28"/>
  <c r="G25" i="28"/>
  <c r="F25" i="28"/>
  <c r="E25" i="28"/>
  <c r="D25" i="28"/>
  <c r="L24" i="28"/>
  <c r="M24" i="28" s="1"/>
  <c r="K24" i="28"/>
  <c r="J24" i="28"/>
  <c r="G24" i="28"/>
  <c r="F24" i="28"/>
  <c r="E24" i="28"/>
  <c r="D24" i="28"/>
  <c r="K15" i="28"/>
  <c r="J15" i="28"/>
  <c r="I15" i="28"/>
  <c r="H15" i="28"/>
  <c r="G15" i="28"/>
  <c r="F15" i="28"/>
  <c r="D15" i="28"/>
  <c r="K14" i="28"/>
  <c r="J14" i="28"/>
  <c r="I14" i="28"/>
  <c r="H14" i="28"/>
  <c r="G14" i="28"/>
  <c r="F14" i="28"/>
  <c r="D14" i="28"/>
  <c r="Q13" i="28"/>
  <c r="P13" i="28"/>
  <c r="O13" i="28"/>
  <c r="N13" i="28"/>
  <c r="M13" i="28"/>
  <c r="K13" i="28"/>
  <c r="J13" i="28"/>
  <c r="I13" i="28"/>
  <c r="H13" i="28"/>
  <c r="G13" i="28"/>
  <c r="F13" i="28"/>
  <c r="D13" i="28"/>
  <c r="K12" i="28"/>
  <c r="J12" i="28"/>
  <c r="I12" i="28"/>
  <c r="H12" i="28"/>
  <c r="G12" i="28"/>
  <c r="F12" i="28"/>
  <c r="D12" i="28"/>
  <c r="K11" i="28"/>
  <c r="J11" i="28"/>
  <c r="I11" i="28"/>
  <c r="H11" i="28"/>
  <c r="G11" i="28"/>
  <c r="F11" i="28"/>
  <c r="D11" i="28"/>
  <c r="K10" i="28"/>
  <c r="J10" i="28"/>
  <c r="I10" i="28"/>
  <c r="H10" i="28"/>
  <c r="G10" i="28"/>
  <c r="F10" i="28"/>
  <c r="D10" i="28"/>
  <c r="K9" i="28"/>
  <c r="J9" i="28"/>
  <c r="I9" i="28"/>
  <c r="H9" i="28"/>
  <c r="G9" i="28"/>
  <c r="F9" i="28"/>
  <c r="D9" i="28"/>
  <c r="K8" i="28"/>
  <c r="J8" i="28"/>
  <c r="I8" i="28"/>
  <c r="H8" i="28"/>
  <c r="G8" i="28"/>
  <c r="F8" i="28"/>
  <c r="D8" i="28"/>
  <c r="K7" i="28"/>
  <c r="J7" i="28"/>
  <c r="I7" i="28"/>
  <c r="H7" i="28"/>
  <c r="G7" i="28"/>
  <c r="F7" i="28"/>
  <c r="D7" i="28"/>
  <c r="K6" i="28"/>
  <c r="J6" i="28"/>
  <c r="I6" i="28"/>
  <c r="H6" i="28"/>
  <c r="G6" i="28"/>
  <c r="F6" i="28"/>
  <c r="D6" i="28"/>
  <c r="P5" i="28"/>
  <c r="E5" i="28"/>
  <c r="E15" i="28" s="1"/>
  <c r="A140" i="11"/>
  <c r="A141" i="11"/>
  <c r="A142" i="11"/>
  <c r="A143" i="11"/>
  <c r="A144" i="11"/>
  <c r="A145" i="11"/>
  <c r="H34" i="11"/>
  <c r="W34" i="11"/>
  <c r="AB34" i="24"/>
  <c r="S34" i="11"/>
  <c r="AD34" i="11"/>
  <c r="G34" i="24"/>
  <c r="D14" i="11"/>
  <c r="Q34" i="11"/>
  <c r="AF34" i="11"/>
  <c r="AE34" i="24"/>
  <c r="F14" i="24"/>
  <c r="Z34" i="24"/>
  <c r="T34" i="24"/>
  <c r="S14" i="11"/>
  <c r="W14" i="11"/>
  <c r="R14" i="11"/>
  <c r="R34" i="11"/>
  <c r="T34" i="11"/>
  <c r="R14" i="24"/>
  <c r="K14" i="11"/>
  <c r="O34" i="24"/>
  <c r="AI33" i="24"/>
  <c r="K34" i="24"/>
  <c r="P14" i="11"/>
  <c r="Z33" i="24"/>
  <c r="C34" i="24"/>
  <c r="AC34" i="24"/>
  <c r="E34" i="11"/>
  <c r="E34" i="24"/>
  <c r="B14" i="24"/>
  <c r="AF33" i="24"/>
  <c r="H14" i="11"/>
  <c r="E14" i="11"/>
  <c r="P34" i="11"/>
  <c r="AD33" i="24"/>
  <c r="AE33" i="24"/>
  <c r="E14" i="24"/>
  <c r="AC33" i="24"/>
  <c r="AA34" i="24"/>
  <c r="H14" i="24"/>
  <c r="P14" i="24"/>
  <c r="B34" i="24"/>
  <c r="R34" i="24"/>
  <c r="AI34" i="24"/>
  <c r="V14" i="11"/>
  <c r="D34" i="24"/>
  <c r="AF34" i="24"/>
  <c r="J14" i="11"/>
  <c r="AH34" i="11"/>
  <c r="Q34" i="24"/>
  <c r="F34" i="24"/>
  <c r="J14" i="24"/>
  <c r="D34" i="11"/>
  <c r="T14" i="24"/>
  <c r="F14" i="11"/>
  <c r="AU33" i="24"/>
  <c r="G14" i="24"/>
  <c r="AA33" i="24"/>
  <c r="N34" i="11"/>
  <c r="B14" i="11"/>
  <c r="V34" i="24"/>
  <c r="AH33" i="24"/>
  <c r="G14" i="11"/>
  <c r="H34" i="24"/>
  <c r="N14" i="11"/>
  <c r="S14" i="24"/>
  <c r="O14" i="24"/>
  <c r="AB34" i="11"/>
  <c r="K14" i="24"/>
  <c r="P34" i="24"/>
  <c r="N34" i="24"/>
  <c r="AB33" i="24"/>
  <c r="AI34" i="11"/>
  <c r="Q14" i="11"/>
  <c r="V14" i="24"/>
  <c r="F34" i="11"/>
  <c r="J34" i="24"/>
  <c r="W14" i="24"/>
  <c r="AH34" i="24"/>
  <c r="T14" i="11"/>
  <c r="B34" i="11"/>
  <c r="W34" i="24"/>
  <c r="N14" i="24"/>
  <c r="AE34" i="11"/>
  <c r="J34" i="11"/>
  <c r="AC34" i="11"/>
  <c r="C14" i="24"/>
  <c r="D14" i="24"/>
  <c r="V34" i="11"/>
  <c r="S34" i="24"/>
  <c r="Q14" i="24"/>
  <c r="G34" i="11"/>
  <c r="Z34" i="11"/>
  <c r="K34" i="11"/>
  <c r="AB129" i="11" l="1"/>
  <c r="AF129" i="11"/>
  <c r="AD129" i="11"/>
  <c r="AH129" i="11"/>
  <c r="AI129" i="11"/>
  <c r="Z129" i="11"/>
  <c r="AE129" i="11"/>
  <c r="AC129" i="11"/>
  <c r="P129" i="11"/>
  <c r="T129" i="11"/>
  <c r="R129" i="11"/>
  <c r="V129" i="11"/>
  <c r="W129" i="11"/>
  <c r="N129" i="11"/>
  <c r="S129" i="11"/>
  <c r="Q129" i="11"/>
  <c r="D129" i="11"/>
  <c r="H129" i="11"/>
  <c r="F129" i="11"/>
  <c r="J129" i="11"/>
  <c r="K129" i="11"/>
  <c r="B129" i="11"/>
  <c r="G129" i="11"/>
  <c r="E129" i="11"/>
  <c r="G87" i="24"/>
  <c r="AQ101" i="24" s="1"/>
  <c r="D87" i="24"/>
  <c r="AN101" i="24" s="1"/>
  <c r="H87" i="24"/>
  <c r="AR101" i="24" s="1"/>
  <c r="K87" i="24"/>
  <c r="AU101" i="24" s="1"/>
  <c r="C87" i="24"/>
  <c r="F60" i="51" s="1"/>
  <c r="E87" i="24"/>
  <c r="AO101" i="24" s="1"/>
  <c r="B87" i="24"/>
  <c r="AL101" i="24" s="1"/>
  <c r="J87" i="24"/>
  <c r="AT101" i="24" s="1"/>
  <c r="F87" i="24"/>
  <c r="AH67" i="11"/>
  <c r="AB67" i="11"/>
  <c r="AI67" i="11"/>
  <c r="AE67" i="11"/>
  <c r="AF67" i="11"/>
  <c r="AC67" i="11"/>
  <c r="AD67" i="11"/>
  <c r="Z67" i="11"/>
  <c r="AO128" i="11"/>
  <c r="AL128" i="11"/>
  <c r="AT128" i="11"/>
  <c r="AQ128" i="11"/>
  <c r="AU128" i="11"/>
  <c r="AR128" i="11"/>
  <c r="AN128" i="11"/>
  <c r="AP128" i="11"/>
  <c r="M34" i="24"/>
  <c r="Y34" i="24" s="1"/>
  <c r="AK34" i="24" s="1"/>
  <c r="A9" i="31"/>
  <c r="A11" i="31" s="1"/>
  <c r="G7" i="31"/>
  <c r="F7" i="31"/>
  <c r="E7" i="31"/>
  <c r="D7" i="31"/>
  <c r="C7" i="31"/>
  <c r="B7" i="31"/>
  <c r="M34" i="11"/>
  <c r="Y34" i="11" s="1"/>
  <c r="N27" i="28"/>
  <c r="I26" i="28"/>
  <c r="M11" i="28"/>
  <c r="I25" i="28"/>
  <c r="P11" i="28"/>
  <c r="E10" i="28"/>
  <c r="O15" i="28"/>
  <c r="N25" i="28"/>
  <c r="N24" i="28"/>
  <c r="O24" i="28"/>
  <c r="O8" i="28"/>
  <c r="J16" i="28"/>
  <c r="K16" i="28"/>
  <c r="M15" i="28"/>
  <c r="I27" i="28"/>
  <c r="W72" i="24"/>
  <c r="K72" i="24" s="1"/>
  <c r="V72" i="24"/>
  <c r="J72" i="24" s="1"/>
  <c r="T72" i="24"/>
  <c r="H72" i="24" s="1"/>
  <c r="S72" i="24"/>
  <c r="G72" i="24" s="1"/>
  <c r="R72" i="24"/>
  <c r="F72" i="24" s="1"/>
  <c r="Q72" i="24"/>
  <c r="E72" i="24" s="1"/>
  <c r="P72" i="24"/>
  <c r="D72" i="24" s="1"/>
  <c r="O72" i="24"/>
  <c r="C72" i="24" s="1"/>
  <c r="N72" i="24"/>
  <c r="B72" i="24" s="1"/>
  <c r="A127" i="11"/>
  <c r="M90" i="11"/>
  <c r="W72" i="11"/>
  <c r="K72" i="11" s="1"/>
  <c r="K109" i="11" s="1"/>
  <c r="V72" i="11"/>
  <c r="J72" i="11" s="1"/>
  <c r="J109" i="11" s="1"/>
  <c r="T72" i="11"/>
  <c r="H72" i="11" s="1"/>
  <c r="H109" i="11" s="1"/>
  <c r="S72" i="11"/>
  <c r="G72" i="11" s="1"/>
  <c r="G109" i="11" s="1"/>
  <c r="R72" i="11"/>
  <c r="F72" i="11" s="1"/>
  <c r="F109" i="11" s="1"/>
  <c r="Q72" i="11"/>
  <c r="E72" i="11" s="1"/>
  <c r="E109" i="11" s="1"/>
  <c r="P72" i="11"/>
  <c r="D72" i="11" s="1"/>
  <c r="D109" i="11" s="1"/>
  <c r="N72" i="11"/>
  <c r="B72" i="11" s="1"/>
  <c r="B109" i="11" s="1"/>
  <c r="N12" i="28"/>
  <c r="Q15" i="28"/>
  <c r="H24" i="28"/>
  <c r="O7" i="28"/>
  <c r="I24" i="28"/>
  <c r="M8" i="28"/>
  <c r="M14" i="28"/>
  <c r="M10" i="28"/>
  <c r="M9" i="28"/>
  <c r="H26" i="28"/>
  <c r="N15" i="28"/>
  <c r="Q9" i="28"/>
  <c r="D16" i="28"/>
  <c r="P8" i="28"/>
  <c r="P14" i="28"/>
  <c r="P12" i="28"/>
  <c r="P10" i="28"/>
  <c r="P9" i="28"/>
  <c r="P6" i="28"/>
  <c r="F16" i="28"/>
  <c r="G16" i="28"/>
  <c r="M7" i="28"/>
  <c r="R13" i="28"/>
  <c r="P7" i="28"/>
  <c r="H16" i="28"/>
  <c r="N26" i="28"/>
  <c r="I16" i="28"/>
  <c r="H25" i="28"/>
  <c r="H27" i="28"/>
  <c r="O14" i="28"/>
  <c r="O10" i="28"/>
  <c r="O6" i="28"/>
  <c r="P15" i="28"/>
  <c r="N6" i="28"/>
  <c r="O25" i="28"/>
  <c r="Q12" i="28"/>
  <c r="O27" i="28"/>
  <c r="N11" i="28"/>
  <c r="N7" i="28"/>
  <c r="Q11" i="28"/>
  <c r="O26" i="28"/>
  <c r="O9" i="28"/>
  <c r="M6" i="28"/>
  <c r="O11" i="28"/>
  <c r="M12" i="28"/>
  <c r="N8" i="28"/>
  <c r="N14" i="28"/>
  <c r="N10" i="28"/>
  <c r="N9" i="28"/>
  <c r="O12" i="28"/>
  <c r="E11" i="28"/>
  <c r="Q7" i="28"/>
  <c r="Q8" i="28"/>
  <c r="Q14" i="28"/>
  <c r="Q10" i="28"/>
  <c r="Q6" i="28"/>
  <c r="E6" i="28"/>
  <c r="E12" i="28"/>
  <c r="E7" i="28"/>
  <c r="E13" i="28"/>
  <c r="E8" i="28"/>
  <c r="E14" i="28"/>
  <c r="E9" i="28"/>
  <c r="A63" i="24"/>
  <c r="A64" i="24"/>
  <c r="A65" i="24"/>
  <c r="A66" i="24"/>
  <c r="A67" i="24"/>
  <c r="A68" i="24"/>
  <c r="A69" i="24"/>
  <c r="A70" i="24"/>
  <c r="A71" i="24"/>
  <c r="A62" i="24"/>
  <c r="M62" i="24" s="1"/>
  <c r="AM33" i="24"/>
  <c r="C14" i="11"/>
  <c r="AD34" i="24"/>
  <c r="AR33" i="24"/>
  <c r="O14" i="11"/>
  <c r="AP33" i="24"/>
  <c r="AT33" i="24"/>
  <c r="AQ33" i="24"/>
  <c r="AD33" i="11"/>
  <c r="G2" i="31"/>
  <c r="AO33" i="24"/>
  <c r="AN33" i="24"/>
  <c r="AL33" i="24"/>
  <c r="C34" i="11"/>
  <c r="AP101" i="24" l="1"/>
  <c r="AM101" i="24"/>
  <c r="G60" i="51"/>
  <c r="AA129" i="11"/>
  <c r="O129" i="11"/>
  <c r="C129" i="11"/>
  <c r="C60" i="31"/>
  <c r="AA67" i="11"/>
  <c r="D35" i="51" s="1"/>
  <c r="AM128" i="11"/>
  <c r="AF3" i="31"/>
  <c r="R90" i="11"/>
  <c r="Q90" i="11"/>
  <c r="T90" i="11"/>
  <c r="W90" i="11"/>
  <c r="V90" i="11"/>
  <c r="P90" i="11"/>
  <c r="N90" i="11"/>
  <c r="S90" i="11"/>
  <c r="G11" i="31"/>
  <c r="F11" i="31"/>
  <c r="E11" i="31"/>
  <c r="D11" i="31"/>
  <c r="C11" i="31"/>
  <c r="B11" i="31"/>
  <c r="C9" i="31"/>
  <c r="D9" i="31"/>
  <c r="G9" i="31"/>
  <c r="F9" i="31"/>
  <c r="E9" i="31"/>
  <c r="B9" i="31"/>
  <c r="R9" i="28"/>
  <c r="R14" i="28"/>
  <c r="R10" i="28"/>
  <c r="A13" i="31"/>
  <c r="P16" i="28"/>
  <c r="R11" i="28"/>
  <c r="R8" i="28"/>
  <c r="R12" i="28"/>
  <c r="R15" i="28"/>
  <c r="M127" i="11"/>
  <c r="Y127" i="11" s="1"/>
  <c r="AK127" i="11" s="1"/>
  <c r="AW127" i="11" s="1"/>
  <c r="Q16" i="28"/>
  <c r="R7" i="28"/>
  <c r="M16" i="28"/>
  <c r="E16" i="28"/>
  <c r="N16" i="28"/>
  <c r="R6" i="28"/>
  <c r="O16" i="28"/>
  <c r="A63" i="11"/>
  <c r="A64" i="11"/>
  <c r="A65" i="11"/>
  <c r="A66" i="11"/>
  <c r="A67" i="11"/>
  <c r="A68" i="11"/>
  <c r="A69" i="11"/>
  <c r="A70" i="11"/>
  <c r="A71" i="11"/>
  <c r="A62" i="11"/>
  <c r="M62" i="11" s="1"/>
  <c r="AF33" i="11"/>
  <c r="O34" i="11"/>
  <c r="Z33" i="11"/>
  <c r="AA33" i="11"/>
  <c r="AI33" i="11"/>
  <c r="AA34" i="11"/>
  <c r="AC33" i="11"/>
  <c r="AH33" i="11"/>
  <c r="AB33" i="11"/>
  <c r="AE33" i="11"/>
  <c r="D35" i="31" l="1"/>
  <c r="O72" i="11"/>
  <c r="C72" i="11" s="1"/>
  <c r="O90" i="11" s="1"/>
  <c r="G13" i="31"/>
  <c r="D13" i="31"/>
  <c r="F13" i="31"/>
  <c r="E13" i="31"/>
  <c r="C13" i="31"/>
  <c r="B13" i="31"/>
  <c r="M5" i="24"/>
  <c r="M6" i="24"/>
  <c r="M7" i="24"/>
  <c r="M8" i="24"/>
  <c r="M9" i="24"/>
  <c r="M10" i="24"/>
  <c r="M11" i="24"/>
  <c r="M12" i="24"/>
  <c r="M13" i="24"/>
  <c r="A25" i="24"/>
  <c r="A26" i="24"/>
  <c r="A27" i="24"/>
  <c r="A28" i="24"/>
  <c r="A29" i="24"/>
  <c r="A30" i="24"/>
  <c r="A31" i="24"/>
  <c r="A32" i="24"/>
  <c r="A33" i="24"/>
  <c r="A24" i="24"/>
  <c r="A45" i="11"/>
  <c r="M45" i="11" s="1"/>
  <c r="Y45" i="11" s="1"/>
  <c r="A46" i="11"/>
  <c r="M46" i="11" s="1"/>
  <c r="Y46" i="11" s="1"/>
  <c r="A47" i="11"/>
  <c r="M47" i="11" s="1"/>
  <c r="Y47" i="11" s="1"/>
  <c r="A48" i="11"/>
  <c r="M48" i="11" s="1"/>
  <c r="Y48" i="11" s="1"/>
  <c r="A49" i="11"/>
  <c r="M49" i="11" s="1"/>
  <c r="Y49" i="11" s="1"/>
  <c r="A50" i="11"/>
  <c r="M50" i="11" s="1"/>
  <c r="Y50" i="11" s="1"/>
  <c r="A51" i="11"/>
  <c r="M51" i="11" s="1"/>
  <c r="Y51" i="11" s="1"/>
  <c r="A25" i="11"/>
  <c r="A26" i="11"/>
  <c r="A27" i="11"/>
  <c r="A28" i="11"/>
  <c r="A29" i="11"/>
  <c r="A30" i="11"/>
  <c r="A31" i="11"/>
  <c r="A32" i="11"/>
  <c r="A33" i="11"/>
  <c r="A24" i="11"/>
  <c r="M5" i="11"/>
  <c r="M6" i="11"/>
  <c r="M7" i="11"/>
  <c r="M8" i="11"/>
  <c r="M9" i="11"/>
  <c r="M10" i="11"/>
  <c r="M11" i="11"/>
  <c r="M12" i="11"/>
  <c r="M13" i="11"/>
  <c r="G12" i="51"/>
  <c r="F14" i="51"/>
  <c r="AZ35" i="31"/>
  <c r="K13" i="24"/>
  <c r="M35" i="31" l="1"/>
  <c r="AE9" i="51"/>
  <c r="AF8" i="51"/>
  <c r="C109" i="11"/>
  <c r="M67" i="24"/>
  <c r="M31" i="24"/>
  <c r="Y31" i="24" s="1"/>
  <c r="AK31" i="24" s="1"/>
  <c r="M32" i="24"/>
  <c r="Y32" i="24" s="1"/>
  <c r="AK32" i="24" s="1"/>
  <c r="M68" i="24"/>
  <c r="M66" i="24"/>
  <c r="M65" i="24"/>
  <c r="M64" i="24"/>
  <c r="M63" i="24"/>
  <c r="M33" i="24"/>
  <c r="Y33" i="24" s="1"/>
  <c r="AK33" i="24" s="1"/>
  <c r="M71" i="11"/>
  <c r="M30" i="11"/>
  <c r="Y30" i="11" s="1"/>
  <c r="M63" i="11"/>
  <c r="Y62" i="11" s="1"/>
  <c r="M70" i="11"/>
  <c r="M31" i="11"/>
  <c r="Y31" i="11" s="1"/>
  <c r="M29" i="11"/>
  <c r="Y29" i="11" s="1"/>
  <c r="M28" i="11"/>
  <c r="Y28" i="11" s="1"/>
  <c r="M27" i="11"/>
  <c r="Y27" i="11" s="1"/>
  <c r="M64" i="11"/>
  <c r="M24" i="11"/>
  <c r="Y24" i="11" s="1"/>
  <c r="M71" i="24"/>
  <c r="M24" i="24"/>
  <c r="Y24" i="24" s="1"/>
  <c r="AK24" i="24" s="1"/>
  <c r="M69" i="24"/>
  <c r="M26" i="24"/>
  <c r="Y26" i="24" s="1"/>
  <c r="AK26" i="24" s="1"/>
  <c r="M69" i="11"/>
  <c r="M65" i="11"/>
  <c r="M66" i="11"/>
  <c r="M33" i="11"/>
  <c r="Y33" i="11" s="1"/>
  <c r="M67" i="11"/>
  <c r="M32" i="11"/>
  <c r="Y32" i="11" s="1"/>
  <c r="M70" i="24"/>
  <c r="M25" i="24"/>
  <c r="Y25" i="24" s="1"/>
  <c r="AK25" i="24" s="1"/>
  <c r="M68" i="11"/>
  <c r="M27" i="24"/>
  <c r="Y27" i="24" s="1"/>
  <c r="AK27" i="24" s="1"/>
  <c r="M28" i="24"/>
  <c r="Y28" i="24" s="1"/>
  <c r="AK28" i="24" s="1"/>
  <c r="M29" i="24"/>
  <c r="Y29" i="24" s="1"/>
  <c r="AK29" i="24" s="1"/>
  <c r="M25" i="11"/>
  <c r="Y25" i="11" s="1"/>
  <c r="M30" i="24"/>
  <c r="Y30" i="24" s="1"/>
  <c r="AK30" i="24" s="1"/>
  <c r="M26" i="11"/>
  <c r="Y26" i="11" s="1"/>
  <c r="E2" i="31"/>
  <c r="D2" i="31"/>
  <c r="F2" i="31"/>
  <c r="B2" i="31"/>
  <c r="C2" i="31"/>
  <c r="Y66" i="11" l="1"/>
  <c r="Y64" i="11"/>
  <c r="Y65" i="11"/>
  <c r="Y63" i="11"/>
  <c r="AE3" i="31"/>
  <c r="AD3" i="31"/>
  <c r="AC3" i="31"/>
  <c r="AB3" i="31"/>
  <c r="AA3" i="31"/>
  <c r="A51" i="24"/>
  <c r="M51" i="24" s="1"/>
  <c r="Y51" i="24" s="1"/>
  <c r="A50" i="24"/>
  <c r="M50" i="24" s="1"/>
  <c r="Y50" i="24" s="1"/>
  <c r="A49" i="24"/>
  <c r="M49" i="24" s="1"/>
  <c r="Y49" i="24" s="1"/>
  <c r="A48" i="24"/>
  <c r="M48" i="24" s="1"/>
  <c r="Y48" i="24" s="1"/>
  <c r="A47" i="24"/>
  <c r="M47" i="24" s="1"/>
  <c r="Y47" i="24" s="1"/>
  <c r="A46" i="24"/>
  <c r="M46" i="24" s="1"/>
  <c r="Y46" i="24" s="1"/>
  <c r="A45" i="24"/>
  <c r="M45" i="24" s="1"/>
  <c r="Y45" i="24" s="1"/>
  <c r="A44" i="24"/>
  <c r="M44" i="24" s="1"/>
  <c r="Y44" i="24" s="1"/>
  <c r="K33" i="11"/>
  <c r="J33" i="11"/>
  <c r="D33" i="11"/>
  <c r="G33" i="11"/>
  <c r="B33" i="11"/>
  <c r="E33" i="11"/>
  <c r="F33" i="11"/>
  <c r="H33" i="11"/>
  <c r="BD130" i="11" l="1"/>
  <c r="BB130" i="11"/>
  <c r="BA130" i="11"/>
  <c r="BF130" i="11"/>
  <c r="AZ130" i="11"/>
  <c r="BG130" i="11"/>
  <c r="AX130" i="11"/>
  <c r="BC130" i="11"/>
  <c r="AF56" i="11"/>
  <c r="T56" i="11"/>
  <c r="H56" i="11"/>
  <c r="AD56" i="11"/>
  <c r="R56" i="11"/>
  <c r="F56" i="11"/>
  <c r="Q56" i="11"/>
  <c r="E56" i="11"/>
  <c r="AC56" i="11"/>
  <c r="AH56" i="11"/>
  <c r="V56" i="11"/>
  <c r="J56" i="11"/>
  <c r="P56" i="11"/>
  <c r="D56" i="11"/>
  <c r="AB56" i="11"/>
  <c r="AI56" i="11"/>
  <c r="W56" i="11"/>
  <c r="K56" i="11"/>
  <c r="B56" i="11"/>
  <c r="Z56" i="11"/>
  <c r="N56" i="11"/>
  <c r="AE56" i="11"/>
  <c r="S56" i="11"/>
  <c r="G56" i="11"/>
  <c r="AP127" i="11"/>
  <c r="AU127" i="11"/>
  <c r="AQ127" i="11"/>
  <c r="AR127" i="11"/>
  <c r="AN127" i="11"/>
  <c r="AL127" i="11"/>
  <c r="AO127" i="11"/>
  <c r="AT127" i="11"/>
  <c r="Q128" i="11"/>
  <c r="E128" i="11"/>
  <c r="AC128" i="11"/>
  <c r="R128" i="11"/>
  <c r="F128" i="11"/>
  <c r="AD128" i="11"/>
  <c r="K128" i="11"/>
  <c r="W128" i="11"/>
  <c r="AI128" i="11"/>
  <c r="S128" i="11"/>
  <c r="G128" i="11"/>
  <c r="AE128" i="11"/>
  <c r="P128" i="11"/>
  <c r="D128" i="11"/>
  <c r="AB128" i="11"/>
  <c r="B128" i="11"/>
  <c r="N128" i="11"/>
  <c r="Z128" i="11"/>
  <c r="V128" i="11"/>
  <c r="J128" i="11"/>
  <c r="AH128" i="11"/>
  <c r="T128" i="11"/>
  <c r="H128" i="11"/>
  <c r="AF128" i="11"/>
  <c r="M4" i="24"/>
  <c r="W27" i="24"/>
  <c r="W31" i="24"/>
  <c r="W26" i="24"/>
  <c r="W29" i="24"/>
  <c r="C54" i="31" l="1"/>
  <c r="K83" i="11"/>
  <c r="W83" i="11" s="1"/>
  <c r="J83" i="11"/>
  <c r="V83" i="11" s="1"/>
  <c r="I83" i="11"/>
  <c r="U83" i="11" s="1"/>
  <c r="H83" i="11"/>
  <c r="T83" i="11" s="1"/>
  <c r="G83" i="11"/>
  <c r="S83" i="11" s="1"/>
  <c r="F83" i="11"/>
  <c r="R83" i="11" s="1"/>
  <c r="E83" i="11"/>
  <c r="Q83" i="11" s="1"/>
  <c r="D83" i="11"/>
  <c r="P83" i="11" s="1"/>
  <c r="C83" i="11"/>
  <c r="O83" i="11" s="1"/>
  <c r="B83" i="11"/>
  <c r="N83" i="11" s="1"/>
  <c r="P61" i="11"/>
  <c r="AB61" i="11" s="1"/>
  <c r="Q61" i="11"/>
  <c r="AC61" i="11" s="1"/>
  <c r="R61" i="11"/>
  <c r="AD61" i="11" s="1"/>
  <c r="S61" i="11"/>
  <c r="AE61" i="11" s="1"/>
  <c r="T61" i="11"/>
  <c r="AF61" i="11" s="1"/>
  <c r="U61" i="11"/>
  <c r="AG61" i="11" s="1"/>
  <c r="V61" i="11"/>
  <c r="AH61" i="11" s="1"/>
  <c r="N61" i="11"/>
  <c r="Z61" i="11" s="1"/>
  <c r="M4" i="11"/>
  <c r="W33" i="24"/>
  <c r="W32" i="24"/>
  <c r="W30" i="24"/>
  <c r="W61" i="11" l="1"/>
  <c r="AI61" i="11" s="1"/>
  <c r="W71" i="24"/>
  <c r="O61" i="11"/>
  <c r="AA61" i="11" s="1"/>
  <c r="D29" i="51" s="1"/>
  <c r="P33" i="24"/>
  <c r="S13" i="11"/>
  <c r="C13" i="11"/>
  <c r="C13" i="24"/>
  <c r="J13" i="11"/>
  <c r="V13" i="24"/>
  <c r="F13" i="24"/>
  <c r="V13" i="11"/>
  <c r="E13" i="24"/>
  <c r="B13" i="24"/>
  <c r="D13" i="24"/>
  <c r="T33" i="24"/>
  <c r="K13" i="11"/>
  <c r="P13" i="11"/>
  <c r="G13" i="24"/>
  <c r="B33" i="24"/>
  <c r="R13" i="24"/>
  <c r="W13" i="11"/>
  <c r="N33" i="11"/>
  <c r="Q13" i="24"/>
  <c r="F13" i="11"/>
  <c r="S33" i="24"/>
  <c r="Q13" i="11"/>
  <c r="C33" i="24"/>
  <c r="H33" i="24"/>
  <c r="O13" i="24"/>
  <c r="N33" i="24"/>
  <c r="K33" i="24"/>
  <c r="C4" i="51"/>
  <c r="B6" i="51"/>
  <c r="R33" i="11"/>
  <c r="O33" i="24"/>
  <c r="P33" i="11"/>
  <c r="E33" i="24"/>
  <c r="B13" i="11"/>
  <c r="G33" i="24"/>
  <c r="R13" i="11"/>
  <c r="Q33" i="11"/>
  <c r="P13" i="24"/>
  <c r="V33" i="24"/>
  <c r="T13" i="11"/>
  <c r="H13" i="24"/>
  <c r="T33" i="11"/>
  <c r="S33" i="11"/>
  <c r="J33" i="24"/>
  <c r="W13" i="24"/>
  <c r="D13" i="11"/>
  <c r="V33" i="11"/>
  <c r="N13" i="11"/>
  <c r="Q33" i="24"/>
  <c r="S13" i="24"/>
  <c r="R33" i="24"/>
  <c r="N13" i="24"/>
  <c r="D33" i="24"/>
  <c r="E13" i="11"/>
  <c r="G13" i="11"/>
  <c r="J13" i="24"/>
  <c r="T13" i="24"/>
  <c r="H13" i="11"/>
  <c r="Q56" i="24" l="1"/>
  <c r="E56" i="24"/>
  <c r="AC56" i="24"/>
  <c r="C56" i="24"/>
  <c r="AA56" i="24"/>
  <c r="O56" i="24"/>
  <c r="AE56" i="24"/>
  <c r="S56" i="24"/>
  <c r="G56" i="24"/>
  <c r="AF56" i="24"/>
  <c r="T56" i="24"/>
  <c r="H56" i="24"/>
  <c r="B56" i="24"/>
  <c r="Z56" i="24"/>
  <c r="N56" i="24"/>
  <c r="AH56" i="24"/>
  <c r="V56" i="24"/>
  <c r="J56" i="24"/>
  <c r="P56" i="24"/>
  <c r="D56" i="24"/>
  <c r="AB56" i="24"/>
  <c r="AI56" i="24"/>
  <c r="W56" i="24"/>
  <c r="K56" i="24"/>
  <c r="B30" i="51"/>
  <c r="H30" i="51" s="1"/>
  <c r="D29" i="31"/>
  <c r="K71" i="24"/>
  <c r="N71" i="11"/>
  <c r="B71" i="11" s="1"/>
  <c r="N89" i="11" s="1"/>
  <c r="P71" i="24"/>
  <c r="D71" i="24" s="1"/>
  <c r="Q71" i="24"/>
  <c r="E71" i="24" s="1"/>
  <c r="R71" i="24"/>
  <c r="F71" i="24" s="1"/>
  <c r="S71" i="24"/>
  <c r="G71" i="24" s="1"/>
  <c r="T71" i="24"/>
  <c r="H71" i="24" s="1"/>
  <c r="V71" i="24"/>
  <c r="J71" i="24" s="1"/>
  <c r="N71" i="24"/>
  <c r="B71" i="24" s="1"/>
  <c r="O71" i="24"/>
  <c r="C71" i="24" s="1"/>
  <c r="P71" i="11"/>
  <c r="D71" i="11" s="1"/>
  <c r="P89" i="11" s="1"/>
  <c r="Q71" i="11"/>
  <c r="E71" i="11" s="1"/>
  <c r="Q89" i="11" s="1"/>
  <c r="R71" i="11"/>
  <c r="F71" i="11" s="1"/>
  <c r="R89" i="11" s="1"/>
  <c r="S71" i="11"/>
  <c r="G71" i="11" s="1"/>
  <c r="S89" i="11" s="1"/>
  <c r="T71" i="11"/>
  <c r="H71" i="11" s="1"/>
  <c r="T89" i="11" s="1"/>
  <c r="V71" i="11"/>
  <c r="J71" i="11" s="1"/>
  <c r="V89" i="11" s="1"/>
  <c r="O33" i="11"/>
  <c r="F33" i="24"/>
  <c r="C33" i="11"/>
  <c r="O13" i="11"/>
  <c r="W33" i="11"/>
  <c r="I30" i="51" l="1"/>
  <c r="AD56" i="24"/>
  <c r="R56" i="24"/>
  <c r="F56" i="24"/>
  <c r="AY130" i="11"/>
  <c r="C56" i="11"/>
  <c r="AA56" i="11"/>
  <c r="O56" i="11"/>
  <c r="G30" i="51"/>
  <c r="AM127" i="11"/>
  <c r="O128" i="11"/>
  <c r="C128" i="11"/>
  <c r="AA128" i="11"/>
  <c r="W71" i="11"/>
  <c r="K71" i="11" s="1"/>
  <c r="W89" i="11" s="1"/>
  <c r="J108" i="11"/>
  <c r="B108" i="11"/>
  <c r="G108" i="11"/>
  <c r="E108" i="11"/>
  <c r="F108" i="11"/>
  <c r="H108" i="11"/>
  <c r="D108" i="11"/>
  <c r="O71" i="11"/>
  <c r="C71" i="11" s="1"/>
  <c r="C108" i="11" s="1"/>
  <c r="K108" i="11" l="1"/>
  <c r="O89" i="11"/>
  <c r="A89" i="11"/>
  <c r="P32" i="22"/>
  <c r="O32" i="22"/>
  <c r="Q32" i="22" s="1"/>
  <c r="M32" i="22"/>
  <c r="N32" i="22" s="1"/>
  <c r="L27" i="22"/>
  <c r="M27" i="22" s="1"/>
  <c r="K27" i="22"/>
  <c r="J27" i="22"/>
  <c r="G27" i="22"/>
  <c r="F27" i="22"/>
  <c r="E27" i="22"/>
  <c r="D27" i="22"/>
  <c r="L26" i="22"/>
  <c r="M26" i="22" s="1"/>
  <c r="K26" i="22"/>
  <c r="J26" i="22"/>
  <c r="G26" i="22"/>
  <c r="F26" i="22"/>
  <c r="E26" i="22"/>
  <c r="D26" i="22"/>
  <c r="L25" i="22"/>
  <c r="M25" i="22" s="1"/>
  <c r="K25" i="22"/>
  <c r="J25" i="22"/>
  <c r="G25" i="22"/>
  <c r="F25" i="22"/>
  <c r="E25" i="22"/>
  <c r="D25" i="22"/>
  <c r="L24" i="22"/>
  <c r="M24" i="22" s="1"/>
  <c r="K24" i="22"/>
  <c r="J24" i="22"/>
  <c r="G24" i="22"/>
  <c r="F24" i="22"/>
  <c r="E24" i="22"/>
  <c r="D24" i="22"/>
  <c r="K15" i="22"/>
  <c r="I15" i="22"/>
  <c r="H15" i="22"/>
  <c r="G15" i="22"/>
  <c r="F15" i="22"/>
  <c r="D15" i="22"/>
  <c r="K14" i="22"/>
  <c r="J14" i="22"/>
  <c r="I14" i="22"/>
  <c r="H14" i="22"/>
  <c r="G14" i="22"/>
  <c r="F14" i="22"/>
  <c r="D14" i="22"/>
  <c r="Q13" i="22"/>
  <c r="P13" i="22"/>
  <c r="O13" i="22"/>
  <c r="N13" i="22"/>
  <c r="M13" i="22"/>
  <c r="K13" i="22"/>
  <c r="J13" i="22"/>
  <c r="I13" i="22"/>
  <c r="H13" i="22"/>
  <c r="G13" i="22"/>
  <c r="F13" i="22"/>
  <c r="D13" i="22"/>
  <c r="K12" i="22"/>
  <c r="J12" i="22"/>
  <c r="I12" i="22"/>
  <c r="H12" i="22"/>
  <c r="G12" i="22"/>
  <c r="F12" i="22"/>
  <c r="D12" i="22"/>
  <c r="K11" i="22"/>
  <c r="J11" i="22"/>
  <c r="I11" i="22"/>
  <c r="H11" i="22"/>
  <c r="G11" i="22"/>
  <c r="F11" i="22"/>
  <c r="D11" i="22"/>
  <c r="K10" i="22"/>
  <c r="J10" i="22"/>
  <c r="I10" i="22"/>
  <c r="H10" i="22"/>
  <c r="G10" i="22"/>
  <c r="F10" i="22"/>
  <c r="D10" i="22"/>
  <c r="K9" i="22"/>
  <c r="J9" i="22"/>
  <c r="I9" i="22"/>
  <c r="H9" i="22"/>
  <c r="G9" i="22"/>
  <c r="F9" i="22"/>
  <c r="D9" i="22"/>
  <c r="K8" i="22"/>
  <c r="J8" i="22"/>
  <c r="I8" i="22"/>
  <c r="H8" i="22"/>
  <c r="G8" i="22"/>
  <c r="F8" i="22"/>
  <c r="D8" i="22"/>
  <c r="K7" i="22"/>
  <c r="J7" i="22"/>
  <c r="I7" i="22"/>
  <c r="H7" i="22"/>
  <c r="G7" i="22"/>
  <c r="F7" i="22"/>
  <c r="D7" i="22"/>
  <c r="K6" i="22"/>
  <c r="J6" i="22"/>
  <c r="I6" i="22"/>
  <c r="H6" i="22"/>
  <c r="G6" i="22"/>
  <c r="F6" i="22"/>
  <c r="D6" i="22"/>
  <c r="P5" i="22"/>
  <c r="E5" i="22"/>
  <c r="E11" i="22" s="1"/>
  <c r="G32" i="24"/>
  <c r="T32" i="24"/>
  <c r="Q12" i="24"/>
  <c r="AB32" i="24"/>
  <c r="P32" i="24"/>
  <c r="V32" i="24"/>
  <c r="E12" i="24"/>
  <c r="B32" i="24"/>
  <c r="AD32" i="24"/>
  <c r="H12" i="24"/>
  <c r="O12" i="24"/>
  <c r="AH32" i="24"/>
  <c r="G12" i="24"/>
  <c r="T12" i="24"/>
  <c r="J12" i="24"/>
  <c r="AQ32" i="24"/>
  <c r="E32" i="24"/>
  <c r="C32" i="24"/>
  <c r="D32" i="24"/>
  <c r="V12" i="24"/>
  <c r="R12" i="24"/>
  <c r="N12" i="24"/>
  <c r="K12" i="24"/>
  <c r="AI32" i="24"/>
  <c r="F12" i="24"/>
  <c r="C12" i="24"/>
  <c r="AF32" i="24"/>
  <c r="D12" i="24"/>
  <c r="W12" i="24"/>
  <c r="B12" i="24"/>
  <c r="AE32" i="24"/>
  <c r="AA32" i="24"/>
  <c r="P12" i="24"/>
  <c r="Z32" i="24"/>
  <c r="O32" i="24"/>
  <c r="R32" i="24"/>
  <c r="S12" i="24"/>
  <c r="P55" i="24" l="1"/>
  <c r="D55" i="24"/>
  <c r="AB55" i="24"/>
  <c r="Q55" i="24"/>
  <c r="E55" i="24"/>
  <c r="AC55" i="24"/>
  <c r="C55" i="24"/>
  <c r="O55" i="24"/>
  <c r="AA55" i="24"/>
  <c r="B55" i="24"/>
  <c r="Z55" i="24"/>
  <c r="N55" i="24"/>
  <c r="AE55" i="24"/>
  <c r="S55" i="24"/>
  <c r="G55" i="24"/>
  <c r="G100" i="24"/>
  <c r="G86" i="24"/>
  <c r="D86" i="24"/>
  <c r="C86" i="24"/>
  <c r="F59" i="51" s="1"/>
  <c r="E86" i="24"/>
  <c r="B86" i="24"/>
  <c r="M89" i="11"/>
  <c r="A108" i="11"/>
  <c r="H27" i="22"/>
  <c r="P9" i="22"/>
  <c r="O8" i="22"/>
  <c r="N26" i="22"/>
  <c r="O70" i="24"/>
  <c r="C70" i="24" s="1"/>
  <c r="W70" i="24"/>
  <c r="K70" i="24" s="1"/>
  <c r="P70" i="24"/>
  <c r="D70" i="24" s="1"/>
  <c r="V70" i="24"/>
  <c r="J70" i="24" s="1"/>
  <c r="T70" i="24"/>
  <c r="H70" i="24" s="1"/>
  <c r="R70" i="24"/>
  <c r="F70" i="24" s="1"/>
  <c r="O26" i="22"/>
  <c r="R13" i="22"/>
  <c r="H24" i="22"/>
  <c r="O25" i="22"/>
  <c r="H26" i="22"/>
  <c r="O6" i="22"/>
  <c r="I26" i="22"/>
  <c r="P8" i="22"/>
  <c r="M8" i="22"/>
  <c r="M7" i="22"/>
  <c r="J16" i="22"/>
  <c r="P10" i="22"/>
  <c r="P15" i="22"/>
  <c r="M9" i="22"/>
  <c r="H25" i="22"/>
  <c r="O12" i="22"/>
  <c r="P14" i="22"/>
  <c r="O9" i="22"/>
  <c r="P7" i="22"/>
  <c r="E10" i="22"/>
  <c r="M15" i="22"/>
  <c r="N25" i="22"/>
  <c r="M11" i="22"/>
  <c r="Q8" i="22"/>
  <c r="P12" i="22"/>
  <c r="P6" i="22"/>
  <c r="M14" i="22"/>
  <c r="P11" i="22"/>
  <c r="M12" i="22"/>
  <c r="O14" i="22"/>
  <c r="I24" i="22"/>
  <c r="N27" i="22"/>
  <c r="O27" i="22"/>
  <c r="N8" i="22"/>
  <c r="Q9" i="22"/>
  <c r="Q14" i="22"/>
  <c r="D16" i="22"/>
  <c r="M10" i="22"/>
  <c r="O11" i="22"/>
  <c r="N24" i="22"/>
  <c r="F16" i="22"/>
  <c r="O10" i="22"/>
  <c r="G16" i="22"/>
  <c r="H16" i="22"/>
  <c r="I25" i="22"/>
  <c r="I16" i="22"/>
  <c r="K16" i="22"/>
  <c r="O15" i="22"/>
  <c r="I27" i="22"/>
  <c r="O7" i="22"/>
  <c r="M6" i="22"/>
  <c r="N6" i="22"/>
  <c r="Q6" i="22"/>
  <c r="N7" i="22"/>
  <c r="N10" i="22"/>
  <c r="O24" i="22"/>
  <c r="Q7" i="22"/>
  <c r="Q10" i="22"/>
  <c r="N11" i="22"/>
  <c r="N12" i="22"/>
  <c r="N14" i="22"/>
  <c r="Q12" i="22"/>
  <c r="N15" i="22"/>
  <c r="Q15" i="22"/>
  <c r="Q11" i="22"/>
  <c r="N9" i="22"/>
  <c r="E6" i="22"/>
  <c r="E12" i="22"/>
  <c r="E13" i="22"/>
  <c r="E7" i="22"/>
  <c r="E8" i="22"/>
  <c r="E14" i="22"/>
  <c r="E9" i="22"/>
  <c r="E15" i="22"/>
  <c r="P32" i="11"/>
  <c r="E12" i="11"/>
  <c r="W32" i="11"/>
  <c r="K32" i="24"/>
  <c r="AC32" i="24"/>
  <c r="AI32" i="11"/>
  <c r="G12" i="11"/>
  <c r="K12" i="11"/>
  <c r="AU32" i="24"/>
  <c r="AN32" i="24"/>
  <c r="AR32" i="24"/>
  <c r="S32" i="24"/>
  <c r="V32" i="11"/>
  <c r="F12" i="11"/>
  <c r="J12" i="11"/>
  <c r="AL32" i="24"/>
  <c r="Z32" i="11"/>
  <c r="B12" i="11"/>
  <c r="AH32" i="11"/>
  <c r="AT32" i="24"/>
  <c r="D12" i="11"/>
  <c r="R32" i="11"/>
  <c r="H32" i="24"/>
  <c r="AB32" i="11"/>
  <c r="AM32" i="24"/>
  <c r="AO32" i="24"/>
  <c r="Q32" i="24"/>
  <c r="AA32" i="11"/>
  <c r="O32" i="11"/>
  <c r="C12" i="11"/>
  <c r="AP32" i="24"/>
  <c r="AE32" i="11"/>
  <c r="Q32" i="11"/>
  <c r="AC32" i="11"/>
  <c r="S32" i="11"/>
  <c r="H12" i="11"/>
  <c r="F32" i="24"/>
  <c r="N32" i="24"/>
  <c r="AD32" i="11"/>
  <c r="AF32" i="11"/>
  <c r="AI55" i="24" l="1"/>
  <c r="W55" i="24"/>
  <c r="K55" i="24"/>
  <c r="AD55" i="24"/>
  <c r="R55" i="24"/>
  <c r="F55" i="24"/>
  <c r="AF55" i="24"/>
  <c r="T55" i="24"/>
  <c r="H55" i="24"/>
  <c r="AQ100" i="24"/>
  <c r="E100" i="24"/>
  <c r="AO100" i="24" s="1"/>
  <c r="J100" i="24"/>
  <c r="D100" i="24"/>
  <c r="C100" i="24"/>
  <c r="H100" i="24"/>
  <c r="F100" i="24"/>
  <c r="K100" i="24"/>
  <c r="B100" i="24"/>
  <c r="C59" i="31"/>
  <c r="F86" i="24"/>
  <c r="K86" i="24"/>
  <c r="H86" i="24"/>
  <c r="Q70" i="24"/>
  <c r="E70" i="24" s="1"/>
  <c r="N70" i="24"/>
  <c r="B70" i="24" s="1"/>
  <c r="S70" i="24"/>
  <c r="G70" i="24" s="1"/>
  <c r="M108" i="11"/>
  <c r="A126" i="11"/>
  <c r="R7" i="22"/>
  <c r="R15" i="22"/>
  <c r="R11" i="22"/>
  <c r="V70" i="11"/>
  <c r="R70" i="11"/>
  <c r="Q70" i="11"/>
  <c r="S70" i="11"/>
  <c r="W70" i="11"/>
  <c r="O70" i="11"/>
  <c r="P70" i="11"/>
  <c r="R12" i="22"/>
  <c r="M16" i="22"/>
  <c r="P16" i="22"/>
  <c r="R8" i="22"/>
  <c r="R9" i="22"/>
  <c r="R10" i="22"/>
  <c r="R14" i="22"/>
  <c r="O16" i="22"/>
  <c r="R6" i="22"/>
  <c r="E16" i="22"/>
  <c r="Q16" i="22"/>
  <c r="N16" i="22"/>
  <c r="T32" i="11"/>
  <c r="J32" i="24"/>
  <c r="N32" i="11"/>
  <c r="AH55" i="24" l="1"/>
  <c r="V55" i="24"/>
  <c r="J55" i="24"/>
  <c r="G59" i="51"/>
  <c r="F65" i="51" s="1"/>
  <c r="C65" i="31" s="1"/>
  <c r="AM100" i="24"/>
  <c r="AN100" i="24"/>
  <c r="AL100" i="24"/>
  <c r="AR100" i="24"/>
  <c r="AP100" i="24"/>
  <c r="AU100" i="24"/>
  <c r="H61" i="51"/>
  <c r="J86" i="24"/>
  <c r="N70" i="11"/>
  <c r="T70" i="11"/>
  <c r="M126" i="11"/>
  <c r="Y126" i="11" s="1"/>
  <c r="AK126" i="11" s="1"/>
  <c r="AW126" i="11" s="1"/>
  <c r="A88" i="11"/>
  <c r="A87" i="11"/>
  <c r="B32" i="11"/>
  <c r="D32" i="11"/>
  <c r="G32" i="11"/>
  <c r="F32" i="11"/>
  <c r="H32" i="11"/>
  <c r="E32" i="11"/>
  <c r="K32" i="11"/>
  <c r="J32" i="11"/>
  <c r="BD129" i="11" l="1"/>
  <c r="AX129" i="11"/>
  <c r="BA129" i="11"/>
  <c r="AZ129" i="11"/>
  <c r="BB129" i="11"/>
  <c r="BG129" i="11"/>
  <c r="BC129" i="11"/>
  <c r="BF129" i="11"/>
  <c r="AF55" i="11"/>
  <c r="T55" i="11"/>
  <c r="H55" i="11"/>
  <c r="B55" i="11"/>
  <c r="Z55" i="11"/>
  <c r="N55" i="11"/>
  <c r="E55" i="11"/>
  <c r="AC55" i="11"/>
  <c r="Q55" i="11"/>
  <c r="P55" i="11"/>
  <c r="D55" i="11"/>
  <c r="AB55" i="11"/>
  <c r="AD55" i="11"/>
  <c r="R55" i="11"/>
  <c r="F55" i="11"/>
  <c r="AI55" i="11"/>
  <c r="W55" i="11"/>
  <c r="K55" i="11"/>
  <c r="AE55" i="11"/>
  <c r="S55" i="11"/>
  <c r="G55" i="11"/>
  <c r="AH55" i="11"/>
  <c r="V55" i="11"/>
  <c r="J55" i="11"/>
  <c r="AT100" i="24"/>
  <c r="AC66" i="11"/>
  <c r="AH66" i="11"/>
  <c r="AB66" i="11"/>
  <c r="AF66" i="11"/>
  <c r="AI66" i="11"/>
  <c r="AD66" i="11"/>
  <c r="AE66" i="11"/>
  <c r="Z66" i="11"/>
  <c r="AI127" i="11"/>
  <c r="Z127" i="11"/>
  <c r="AF127" i="11"/>
  <c r="AE127" i="11"/>
  <c r="AH127" i="11"/>
  <c r="AD127" i="11"/>
  <c r="AB127" i="11"/>
  <c r="AC127" i="11"/>
  <c r="W127" i="11"/>
  <c r="N127" i="11"/>
  <c r="T127" i="11"/>
  <c r="S127" i="11"/>
  <c r="V127" i="11"/>
  <c r="R127" i="11"/>
  <c r="P127" i="11"/>
  <c r="Q127" i="11"/>
  <c r="K127" i="11"/>
  <c r="B127" i="11"/>
  <c r="H127" i="11"/>
  <c r="G127" i="11"/>
  <c r="J127" i="11"/>
  <c r="F127" i="11"/>
  <c r="D127" i="11"/>
  <c r="E127" i="11"/>
  <c r="AU126" i="11"/>
  <c r="A106" i="11"/>
  <c r="M87" i="11"/>
  <c r="M88" i="11"/>
  <c r="A107" i="11"/>
  <c r="AQ126" i="11"/>
  <c r="AL126" i="11"/>
  <c r="AR126" i="11"/>
  <c r="AO126" i="11"/>
  <c r="AT126" i="11"/>
  <c r="AP126" i="11"/>
  <c r="AN126" i="11"/>
  <c r="A44" i="11"/>
  <c r="M44" i="11" s="1"/>
  <c r="Y44" i="11" s="1"/>
  <c r="A86" i="11"/>
  <c r="A85" i="11"/>
  <c r="A84" i="11"/>
  <c r="O32" i="19"/>
  <c r="Q32" i="19" s="1"/>
  <c r="H11" i="19"/>
  <c r="P32" i="19"/>
  <c r="M32" i="19"/>
  <c r="N32" i="19" s="1"/>
  <c r="L27" i="19"/>
  <c r="M27" i="19" s="1"/>
  <c r="K27" i="19"/>
  <c r="J27" i="19"/>
  <c r="G27" i="19"/>
  <c r="F27" i="19"/>
  <c r="E27" i="19"/>
  <c r="D27" i="19"/>
  <c r="L26" i="19"/>
  <c r="M26" i="19" s="1"/>
  <c r="K26" i="19"/>
  <c r="J26" i="19"/>
  <c r="G26" i="19"/>
  <c r="F26" i="19"/>
  <c r="E26" i="19"/>
  <c r="D26" i="19"/>
  <c r="L25" i="19"/>
  <c r="M25" i="19" s="1"/>
  <c r="K25" i="19"/>
  <c r="J25" i="19"/>
  <c r="G25" i="19"/>
  <c r="F25" i="19"/>
  <c r="E25" i="19"/>
  <c r="D25" i="19"/>
  <c r="L24" i="19"/>
  <c r="M24" i="19" s="1"/>
  <c r="K24" i="19"/>
  <c r="J24" i="19"/>
  <c r="G24" i="19"/>
  <c r="F24" i="19"/>
  <c r="E24" i="19"/>
  <c r="D24" i="19"/>
  <c r="K15" i="19"/>
  <c r="I15" i="19"/>
  <c r="H15" i="19"/>
  <c r="G15" i="19"/>
  <c r="F15" i="19"/>
  <c r="D15" i="19"/>
  <c r="K14" i="19"/>
  <c r="J14" i="19"/>
  <c r="I14" i="19"/>
  <c r="H14" i="19"/>
  <c r="G14" i="19"/>
  <c r="F14" i="19"/>
  <c r="D14" i="19"/>
  <c r="Q13" i="19"/>
  <c r="P13" i="19"/>
  <c r="O13" i="19"/>
  <c r="N13" i="19"/>
  <c r="M13" i="19"/>
  <c r="K13" i="19"/>
  <c r="J13" i="19"/>
  <c r="I13" i="19"/>
  <c r="H13" i="19"/>
  <c r="G13" i="19"/>
  <c r="F13" i="19"/>
  <c r="D13" i="19"/>
  <c r="K12" i="19"/>
  <c r="J12" i="19"/>
  <c r="I12" i="19"/>
  <c r="H12" i="19"/>
  <c r="G12" i="19"/>
  <c r="F12" i="19"/>
  <c r="D12" i="19"/>
  <c r="K11" i="19"/>
  <c r="J11" i="19"/>
  <c r="I11" i="19"/>
  <c r="G11" i="19"/>
  <c r="F11" i="19"/>
  <c r="D11" i="19"/>
  <c r="K10" i="19"/>
  <c r="J10" i="19"/>
  <c r="I10" i="19"/>
  <c r="H10" i="19"/>
  <c r="G10" i="19"/>
  <c r="F10" i="19"/>
  <c r="D10" i="19"/>
  <c r="K9" i="19"/>
  <c r="J9" i="19"/>
  <c r="I9" i="19"/>
  <c r="H9" i="19"/>
  <c r="G9" i="19"/>
  <c r="F9" i="19"/>
  <c r="D9" i="19"/>
  <c r="K8" i="19"/>
  <c r="J8" i="19"/>
  <c r="I8" i="19"/>
  <c r="H8" i="19"/>
  <c r="G8" i="19"/>
  <c r="F8" i="19"/>
  <c r="D8" i="19"/>
  <c r="K7" i="19"/>
  <c r="J7" i="19"/>
  <c r="I7" i="19"/>
  <c r="H7" i="19"/>
  <c r="G7" i="19"/>
  <c r="F7" i="19"/>
  <c r="D7" i="19"/>
  <c r="K6" i="19"/>
  <c r="J6" i="19"/>
  <c r="I6" i="19"/>
  <c r="H6" i="19"/>
  <c r="G6" i="19"/>
  <c r="F6" i="19"/>
  <c r="D6" i="19"/>
  <c r="P5" i="19"/>
  <c r="E5" i="19"/>
  <c r="F15" i="17"/>
  <c r="H15" i="17"/>
  <c r="K11" i="24"/>
  <c r="E11" i="24"/>
  <c r="F31" i="24"/>
  <c r="AA31" i="24"/>
  <c r="V12" i="11"/>
  <c r="W11" i="24"/>
  <c r="F11" i="24"/>
  <c r="N12" i="11"/>
  <c r="O31" i="24"/>
  <c r="S31" i="24"/>
  <c r="R31" i="24"/>
  <c r="K31" i="24"/>
  <c r="O11" i="24"/>
  <c r="K29" i="24"/>
  <c r="AE31" i="24"/>
  <c r="W12" i="11"/>
  <c r="R12" i="11"/>
  <c r="B31" i="24"/>
  <c r="P11" i="24"/>
  <c r="H11" i="24"/>
  <c r="R11" i="24"/>
  <c r="S12" i="11"/>
  <c r="C32" i="11"/>
  <c r="T12" i="11"/>
  <c r="C31" i="24"/>
  <c r="B11" i="24"/>
  <c r="Q12" i="11"/>
  <c r="Z31" i="24"/>
  <c r="J11" i="24"/>
  <c r="E31" i="24"/>
  <c r="V31" i="24"/>
  <c r="P12" i="11"/>
  <c r="N31" i="24"/>
  <c r="T31" i="24"/>
  <c r="AH31" i="24"/>
  <c r="G31" i="24"/>
  <c r="T11" i="24"/>
  <c r="AB31" i="24"/>
  <c r="K9" i="24"/>
  <c r="C11" i="24"/>
  <c r="G11" i="24"/>
  <c r="V11" i="24"/>
  <c r="D31" i="24"/>
  <c r="AD31" i="24"/>
  <c r="AF31" i="24"/>
  <c r="Q31" i="24"/>
  <c r="S11" i="24"/>
  <c r="D11" i="24"/>
  <c r="Q11" i="24"/>
  <c r="AC31" i="24"/>
  <c r="J31" i="24"/>
  <c r="N11" i="24"/>
  <c r="AY129" i="11" l="1"/>
  <c r="C55" i="11"/>
  <c r="AA55" i="11"/>
  <c r="O55" i="11"/>
  <c r="R54" i="24"/>
  <c r="F54" i="24"/>
  <c r="AD54" i="24"/>
  <c r="Q54" i="24"/>
  <c r="E54" i="24"/>
  <c r="AC54" i="24"/>
  <c r="Z54" i="24"/>
  <c r="N54" i="24"/>
  <c r="B54" i="24"/>
  <c r="AI54" i="24"/>
  <c r="W54" i="24"/>
  <c r="K54" i="24"/>
  <c r="D54" i="24"/>
  <c r="P54" i="24"/>
  <c r="AB54" i="24"/>
  <c r="V54" i="24"/>
  <c r="J54" i="24"/>
  <c r="AH54" i="24"/>
  <c r="AE54" i="24"/>
  <c r="S54" i="24"/>
  <c r="G54" i="24"/>
  <c r="C54" i="24"/>
  <c r="O54" i="24"/>
  <c r="AA54" i="24"/>
  <c r="AA66" i="11"/>
  <c r="D34" i="51" s="1"/>
  <c r="AA127" i="11"/>
  <c r="O127" i="11"/>
  <c r="C127" i="11"/>
  <c r="M84" i="11"/>
  <c r="A103" i="11"/>
  <c r="M85" i="11"/>
  <c r="A104" i="11"/>
  <c r="A105" i="11"/>
  <c r="M86" i="11"/>
  <c r="M107" i="11"/>
  <c r="A125" i="11"/>
  <c r="A124" i="11"/>
  <c r="M106" i="11"/>
  <c r="AM126" i="11"/>
  <c r="W67" i="24"/>
  <c r="S69" i="24"/>
  <c r="G69" i="24" s="1"/>
  <c r="V69" i="24"/>
  <c r="J69" i="24" s="1"/>
  <c r="N69" i="24"/>
  <c r="B69" i="24" s="1"/>
  <c r="R69" i="24"/>
  <c r="F69" i="24" s="1"/>
  <c r="T69" i="24"/>
  <c r="H69" i="24" s="1"/>
  <c r="O69" i="24"/>
  <c r="C69" i="24" s="1"/>
  <c r="W69" i="24"/>
  <c r="K69" i="24" s="1"/>
  <c r="Q69" i="24"/>
  <c r="E69" i="24" s="1"/>
  <c r="D70" i="11"/>
  <c r="E70" i="11"/>
  <c r="G70" i="11"/>
  <c r="F70" i="11"/>
  <c r="K70" i="11"/>
  <c r="H70" i="11"/>
  <c r="J70" i="11"/>
  <c r="B70" i="11"/>
  <c r="L12" i="19"/>
  <c r="L15" i="17"/>
  <c r="L9" i="19"/>
  <c r="L6" i="19"/>
  <c r="L14" i="19"/>
  <c r="L7" i="19"/>
  <c r="L15" i="19"/>
  <c r="M15" i="19"/>
  <c r="L8" i="19"/>
  <c r="L11" i="19"/>
  <c r="L10" i="19"/>
  <c r="P15" i="19"/>
  <c r="O15" i="19"/>
  <c r="P8" i="19"/>
  <c r="M8" i="19"/>
  <c r="O8" i="19"/>
  <c r="N8" i="19"/>
  <c r="P6" i="19"/>
  <c r="M6" i="19"/>
  <c r="Q8" i="19"/>
  <c r="O6" i="19"/>
  <c r="Q6" i="19"/>
  <c r="N6" i="19"/>
  <c r="M9" i="19"/>
  <c r="P9" i="19"/>
  <c r="Q9" i="19"/>
  <c r="O9" i="19"/>
  <c r="N9" i="19"/>
  <c r="P14" i="19"/>
  <c r="M14" i="19"/>
  <c r="M10" i="19"/>
  <c r="O14" i="19"/>
  <c r="P10" i="19"/>
  <c r="O10" i="19"/>
  <c r="P11" i="19"/>
  <c r="M11" i="19"/>
  <c r="O11" i="19"/>
  <c r="P12" i="19"/>
  <c r="M12" i="19"/>
  <c r="O12" i="19"/>
  <c r="H26" i="19"/>
  <c r="H24" i="19"/>
  <c r="E15" i="19"/>
  <c r="E10" i="19"/>
  <c r="P7" i="19"/>
  <c r="M7" i="19"/>
  <c r="O7" i="19"/>
  <c r="H25" i="19"/>
  <c r="H27" i="19"/>
  <c r="N27" i="19"/>
  <c r="O26" i="19"/>
  <c r="I25" i="19"/>
  <c r="O25" i="19"/>
  <c r="R13" i="19"/>
  <c r="O27" i="19"/>
  <c r="H16" i="19"/>
  <c r="I16" i="19"/>
  <c r="I27" i="19"/>
  <c r="K16" i="19"/>
  <c r="N25" i="19"/>
  <c r="I24" i="19"/>
  <c r="I26" i="19"/>
  <c r="D16" i="19"/>
  <c r="N24" i="19"/>
  <c r="F16" i="19"/>
  <c r="O24" i="19"/>
  <c r="G16" i="19"/>
  <c r="N26" i="19"/>
  <c r="J16" i="19"/>
  <c r="Q14" i="19"/>
  <c r="Q10" i="19"/>
  <c r="Q15" i="19"/>
  <c r="Q11" i="19"/>
  <c r="N7" i="19"/>
  <c r="N11" i="19"/>
  <c r="N10" i="19"/>
  <c r="Q12" i="19"/>
  <c r="Q7" i="19"/>
  <c r="N15" i="19"/>
  <c r="N12" i="19"/>
  <c r="N14" i="19"/>
  <c r="E11" i="19"/>
  <c r="E6" i="19"/>
  <c r="E12" i="19"/>
  <c r="E13" i="19"/>
  <c r="E8" i="19"/>
  <c r="E14" i="19"/>
  <c r="E7" i="19"/>
  <c r="E9" i="19"/>
  <c r="D6" i="17"/>
  <c r="O32" i="18"/>
  <c r="O32" i="17"/>
  <c r="Q9" i="17"/>
  <c r="P32" i="18"/>
  <c r="M32" i="18"/>
  <c r="N32" i="18" s="1"/>
  <c r="L27" i="18"/>
  <c r="M27" i="18" s="1"/>
  <c r="K27" i="18"/>
  <c r="J27" i="18"/>
  <c r="G27" i="18"/>
  <c r="F27" i="18"/>
  <c r="E27" i="18"/>
  <c r="D27" i="18"/>
  <c r="L26" i="18"/>
  <c r="M26" i="18" s="1"/>
  <c r="K26" i="18"/>
  <c r="J26" i="18"/>
  <c r="G26" i="18"/>
  <c r="F26" i="18"/>
  <c r="E26" i="18"/>
  <c r="D26" i="18"/>
  <c r="L25" i="18"/>
  <c r="M25" i="18" s="1"/>
  <c r="K25" i="18"/>
  <c r="J25" i="18"/>
  <c r="G25" i="18"/>
  <c r="F25" i="18"/>
  <c r="E25" i="18"/>
  <c r="D25" i="18"/>
  <c r="L24" i="18"/>
  <c r="M24" i="18" s="1"/>
  <c r="K24" i="18"/>
  <c r="J24" i="18"/>
  <c r="G24" i="18"/>
  <c r="F24" i="18"/>
  <c r="E24" i="18"/>
  <c r="D24" i="18"/>
  <c r="Q15" i="18"/>
  <c r="P15" i="18"/>
  <c r="O15" i="18"/>
  <c r="N15" i="18"/>
  <c r="M15" i="18"/>
  <c r="K15" i="18"/>
  <c r="I15" i="18"/>
  <c r="H15" i="18"/>
  <c r="G15" i="18"/>
  <c r="F15" i="18"/>
  <c r="D15" i="18"/>
  <c r="K14" i="18"/>
  <c r="J14" i="18"/>
  <c r="I14" i="18"/>
  <c r="H14" i="18"/>
  <c r="G14" i="18"/>
  <c r="F14" i="18"/>
  <c r="D14" i="18"/>
  <c r="Q13" i="18"/>
  <c r="P13" i="18"/>
  <c r="O13" i="18"/>
  <c r="N13" i="18"/>
  <c r="M13" i="18"/>
  <c r="K13" i="18"/>
  <c r="J13" i="18"/>
  <c r="I13" i="18"/>
  <c r="H13" i="18"/>
  <c r="G13" i="18"/>
  <c r="F13" i="18"/>
  <c r="D13" i="18"/>
  <c r="K12" i="18"/>
  <c r="J12" i="18"/>
  <c r="I12" i="18"/>
  <c r="H12" i="18"/>
  <c r="G12" i="18"/>
  <c r="F12" i="18"/>
  <c r="D12" i="18"/>
  <c r="K11" i="18"/>
  <c r="J11" i="18"/>
  <c r="I11" i="18"/>
  <c r="H11" i="18"/>
  <c r="G11" i="18"/>
  <c r="F11" i="18"/>
  <c r="D11" i="18"/>
  <c r="K10" i="18"/>
  <c r="J10" i="18"/>
  <c r="I10" i="18"/>
  <c r="H10" i="18"/>
  <c r="G10" i="18"/>
  <c r="F10" i="18"/>
  <c r="D10" i="18"/>
  <c r="O9" i="18"/>
  <c r="K9" i="18"/>
  <c r="J9" i="18"/>
  <c r="I9" i="18"/>
  <c r="H9" i="18"/>
  <c r="G9" i="18"/>
  <c r="F9" i="18"/>
  <c r="D9" i="18"/>
  <c r="K8" i="18"/>
  <c r="J8" i="18"/>
  <c r="I8" i="18"/>
  <c r="H8" i="18"/>
  <c r="G8" i="18"/>
  <c r="F8" i="18"/>
  <c r="D8" i="18"/>
  <c r="K7" i="18"/>
  <c r="J7" i="18"/>
  <c r="I7" i="18"/>
  <c r="H7" i="18"/>
  <c r="G7" i="18"/>
  <c r="F7" i="18"/>
  <c r="D7" i="18"/>
  <c r="K6" i="18"/>
  <c r="J6" i="18"/>
  <c r="I6" i="18"/>
  <c r="H6" i="18"/>
  <c r="G6" i="18"/>
  <c r="F6" i="18"/>
  <c r="D6" i="18"/>
  <c r="P5" i="18"/>
  <c r="E5" i="18"/>
  <c r="E5" i="17"/>
  <c r="I15" i="16"/>
  <c r="G15" i="16"/>
  <c r="M32" i="17"/>
  <c r="P32" i="17"/>
  <c r="M32" i="15"/>
  <c r="N32" i="15" s="1"/>
  <c r="P9" i="17"/>
  <c r="N9" i="17"/>
  <c r="L27" i="17"/>
  <c r="M27" i="17" s="1"/>
  <c r="K27" i="17"/>
  <c r="J27" i="17"/>
  <c r="G27" i="17"/>
  <c r="F27" i="17"/>
  <c r="E27" i="17"/>
  <c r="D27" i="17"/>
  <c r="L26" i="17"/>
  <c r="M26" i="17" s="1"/>
  <c r="K26" i="17"/>
  <c r="J26" i="17"/>
  <c r="G26" i="17"/>
  <c r="F26" i="17"/>
  <c r="E26" i="17"/>
  <c r="D26" i="17"/>
  <c r="L25" i="17"/>
  <c r="M25" i="17" s="1"/>
  <c r="K25" i="17"/>
  <c r="J25" i="17"/>
  <c r="G25" i="17"/>
  <c r="F25" i="17"/>
  <c r="E25" i="17"/>
  <c r="D25" i="17"/>
  <c r="L24" i="17"/>
  <c r="M24" i="17" s="1"/>
  <c r="K24" i="17"/>
  <c r="J24" i="17"/>
  <c r="G24" i="17"/>
  <c r="F24" i="17"/>
  <c r="E24" i="17"/>
  <c r="D24" i="17"/>
  <c r="Q15" i="17"/>
  <c r="P15" i="17"/>
  <c r="O15" i="17"/>
  <c r="N15" i="17"/>
  <c r="M15" i="17"/>
  <c r="K15" i="17"/>
  <c r="I15" i="17"/>
  <c r="G15" i="17"/>
  <c r="D15" i="17"/>
  <c r="K14" i="17"/>
  <c r="J14" i="17"/>
  <c r="I14" i="17"/>
  <c r="H14" i="17"/>
  <c r="G14" i="17"/>
  <c r="F14" i="17"/>
  <c r="D14" i="17"/>
  <c r="Q13" i="17"/>
  <c r="P13" i="17"/>
  <c r="O13" i="17"/>
  <c r="N13" i="17"/>
  <c r="M13" i="17"/>
  <c r="K13" i="17"/>
  <c r="J13" i="17"/>
  <c r="I13" i="17"/>
  <c r="H13" i="17"/>
  <c r="G13" i="17"/>
  <c r="F13" i="17"/>
  <c r="D13" i="17"/>
  <c r="K12" i="17"/>
  <c r="J12" i="17"/>
  <c r="I12" i="17"/>
  <c r="H12" i="17"/>
  <c r="G12" i="17"/>
  <c r="F12" i="17"/>
  <c r="D12" i="17"/>
  <c r="K11" i="17"/>
  <c r="J11" i="17"/>
  <c r="I11" i="17"/>
  <c r="H11" i="17"/>
  <c r="G11" i="17"/>
  <c r="F11" i="17"/>
  <c r="D11" i="17"/>
  <c r="K10" i="17"/>
  <c r="J10" i="17"/>
  <c r="I10" i="17"/>
  <c r="H10" i="17"/>
  <c r="G10" i="17"/>
  <c r="F10" i="17"/>
  <c r="D10" i="17"/>
  <c r="K9" i="17"/>
  <c r="J9" i="17"/>
  <c r="I9" i="17"/>
  <c r="H9" i="17"/>
  <c r="G9" i="17"/>
  <c r="F9" i="17"/>
  <c r="D9" i="17"/>
  <c r="K8" i="17"/>
  <c r="J8" i="17"/>
  <c r="I8" i="17"/>
  <c r="H8" i="17"/>
  <c r="G8" i="17"/>
  <c r="F8" i="17"/>
  <c r="D8" i="17"/>
  <c r="K7" i="17"/>
  <c r="J7" i="17"/>
  <c r="I7" i="17"/>
  <c r="H7" i="17"/>
  <c r="G7" i="17"/>
  <c r="F7" i="17"/>
  <c r="D7" i="17"/>
  <c r="K6" i="17"/>
  <c r="J6" i="17"/>
  <c r="I6" i="17"/>
  <c r="H6" i="17"/>
  <c r="G6" i="17"/>
  <c r="F6" i="17"/>
  <c r="P5" i="17"/>
  <c r="M32" i="16"/>
  <c r="N32" i="16" s="1"/>
  <c r="M32" i="14"/>
  <c r="P32" i="16"/>
  <c r="O32" i="16"/>
  <c r="Q32" i="16" s="1"/>
  <c r="L27" i="16"/>
  <c r="M27" i="16" s="1"/>
  <c r="K27" i="16"/>
  <c r="J27" i="16"/>
  <c r="G27" i="16"/>
  <c r="F27" i="16"/>
  <c r="E27" i="16"/>
  <c r="D27" i="16"/>
  <c r="L26" i="16"/>
  <c r="M26" i="16" s="1"/>
  <c r="K26" i="16"/>
  <c r="J26" i="16"/>
  <c r="G26" i="16"/>
  <c r="F26" i="16"/>
  <c r="E26" i="16"/>
  <c r="D26" i="16"/>
  <c r="L25" i="16"/>
  <c r="M25" i="16" s="1"/>
  <c r="K25" i="16"/>
  <c r="J25" i="16"/>
  <c r="G25" i="16"/>
  <c r="F25" i="16"/>
  <c r="E25" i="16"/>
  <c r="D25" i="16"/>
  <c r="L24" i="16"/>
  <c r="M24" i="16" s="1"/>
  <c r="K24" i="16"/>
  <c r="J24" i="16"/>
  <c r="G24" i="16"/>
  <c r="F24" i="16"/>
  <c r="E24" i="16"/>
  <c r="D24" i="16"/>
  <c r="J15" i="16"/>
  <c r="H15" i="16"/>
  <c r="F15" i="16"/>
  <c r="E15" i="16"/>
  <c r="D15" i="16"/>
  <c r="J14" i="16"/>
  <c r="I14" i="16"/>
  <c r="H14" i="16"/>
  <c r="G14" i="16"/>
  <c r="F14" i="16"/>
  <c r="E14" i="16"/>
  <c r="D14" i="16"/>
  <c r="P13" i="16"/>
  <c r="O13" i="16"/>
  <c r="N13" i="16"/>
  <c r="M13" i="16"/>
  <c r="L13" i="16"/>
  <c r="J13" i="16"/>
  <c r="I13" i="16"/>
  <c r="H13" i="16"/>
  <c r="G13" i="16"/>
  <c r="F13" i="16"/>
  <c r="E13" i="16"/>
  <c r="D13" i="16"/>
  <c r="J12" i="16"/>
  <c r="I12" i="16"/>
  <c r="H12" i="16"/>
  <c r="G12" i="16"/>
  <c r="F12" i="16"/>
  <c r="E12" i="16"/>
  <c r="D12" i="16"/>
  <c r="J11" i="16"/>
  <c r="I11" i="16"/>
  <c r="H11" i="16"/>
  <c r="G11" i="16"/>
  <c r="F11" i="16"/>
  <c r="E11" i="16"/>
  <c r="D11" i="16"/>
  <c r="J10" i="16"/>
  <c r="I10" i="16"/>
  <c r="H10" i="16"/>
  <c r="G10" i="16"/>
  <c r="F10" i="16"/>
  <c r="E10" i="16"/>
  <c r="D10" i="16"/>
  <c r="J9" i="16"/>
  <c r="I9" i="16"/>
  <c r="H9" i="16"/>
  <c r="G9" i="16"/>
  <c r="F9" i="16"/>
  <c r="E9" i="16"/>
  <c r="D9" i="16"/>
  <c r="J8" i="16"/>
  <c r="I8" i="16"/>
  <c r="H8" i="16"/>
  <c r="G8" i="16"/>
  <c r="F8" i="16"/>
  <c r="E8" i="16"/>
  <c r="D8" i="16"/>
  <c r="J7" i="16"/>
  <c r="I7" i="16"/>
  <c r="H7" i="16"/>
  <c r="G7" i="16"/>
  <c r="F7" i="16"/>
  <c r="E7" i="16"/>
  <c r="D7" i="16"/>
  <c r="J6" i="16"/>
  <c r="I6" i="16"/>
  <c r="H6" i="16"/>
  <c r="G6" i="16"/>
  <c r="F6" i="16"/>
  <c r="E6" i="16"/>
  <c r="D6" i="16"/>
  <c r="O5" i="16"/>
  <c r="P32" i="15"/>
  <c r="O32" i="15"/>
  <c r="Q32" i="15" s="1"/>
  <c r="L27" i="15"/>
  <c r="M27" i="15" s="1"/>
  <c r="K27" i="15"/>
  <c r="J27" i="15"/>
  <c r="G27" i="15"/>
  <c r="F27" i="15"/>
  <c r="E27" i="15"/>
  <c r="D27" i="15"/>
  <c r="L26" i="15"/>
  <c r="M26" i="15" s="1"/>
  <c r="K26" i="15"/>
  <c r="J26" i="15"/>
  <c r="G26" i="15"/>
  <c r="F26" i="15"/>
  <c r="E26" i="15"/>
  <c r="D26" i="15"/>
  <c r="L25" i="15"/>
  <c r="M25" i="15" s="1"/>
  <c r="K25" i="15"/>
  <c r="J25" i="15"/>
  <c r="G25" i="15"/>
  <c r="F25" i="15"/>
  <c r="E25" i="15"/>
  <c r="D25" i="15"/>
  <c r="L24" i="15"/>
  <c r="M24" i="15" s="1"/>
  <c r="K24" i="15"/>
  <c r="J24" i="15"/>
  <c r="G24" i="15"/>
  <c r="F24" i="15"/>
  <c r="E24" i="15"/>
  <c r="D24" i="15"/>
  <c r="J15" i="15"/>
  <c r="H15" i="15"/>
  <c r="G15" i="15"/>
  <c r="F15" i="15"/>
  <c r="E15" i="15"/>
  <c r="D15" i="15"/>
  <c r="J14" i="15"/>
  <c r="I14" i="15"/>
  <c r="H14" i="15"/>
  <c r="G14" i="15"/>
  <c r="F14" i="15"/>
  <c r="E14" i="15"/>
  <c r="D14" i="15"/>
  <c r="J13" i="15"/>
  <c r="I13" i="15"/>
  <c r="H13" i="15"/>
  <c r="G13" i="15"/>
  <c r="F13" i="15"/>
  <c r="E13" i="15"/>
  <c r="D13" i="15"/>
  <c r="J12" i="15"/>
  <c r="I12" i="15"/>
  <c r="H12" i="15"/>
  <c r="G12" i="15"/>
  <c r="F12" i="15"/>
  <c r="E12" i="15"/>
  <c r="D12" i="15"/>
  <c r="J11" i="15"/>
  <c r="I11" i="15"/>
  <c r="H11" i="15"/>
  <c r="G11" i="15"/>
  <c r="F11" i="15"/>
  <c r="E11" i="15"/>
  <c r="D11" i="15"/>
  <c r="J10" i="15"/>
  <c r="I10" i="15"/>
  <c r="H10" i="15"/>
  <c r="G10" i="15"/>
  <c r="F10" i="15"/>
  <c r="E10" i="15"/>
  <c r="D10" i="15"/>
  <c r="J9" i="15"/>
  <c r="I9" i="15"/>
  <c r="H9" i="15"/>
  <c r="G9" i="15"/>
  <c r="F9" i="15"/>
  <c r="E9" i="15"/>
  <c r="D9" i="15"/>
  <c r="J8" i="15"/>
  <c r="I8" i="15"/>
  <c r="H8" i="15"/>
  <c r="G8" i="15"/>
  <c r="F8" i="15"/>
  <c r="E8" i="15"/>
  <c r="D8" i="15"/>
  <c r="J7" i="15"/>
  <c r="I7" i="15"/>
  <c r="H7" i="15"/>
  <c r="G7" i="15"/>
  <c r="F7" i="15"/>
  <c r="E7" i="15"/>
  <c r="D7" i="15"/>
  <c r="J6" i="15"/>
  <c r="I6" i="15"/>
  <c r="H6" i="15"/>
  <c r="G6" i="15"/>
  <c r="F6" i="15"/>
  <c r="E6" i="15"/>
  <c r="D6" i="15"/>
  <c r="O5" i="15"/>
  <c r="E10" i="14"/>
  <c r="D10" i="14"/>
  <c r="P31" i="24"/>
  <c r="R10" i="24"/>
  <c r="AN31" i="24"/>
  <c r="AO31" i="24"/>
  <c r="AP31" i="24"/>
  <c r="H31" i="24"/>
  <c r="AT31" i="24"/>
  <c r="C10" i="24"/>
  <c r="AU31" i="24"/>
  <c r="O30" i="24"/>
  <c r="AQ31" i="24"/>
  <c r="AI31" i="24"/>
  <c r="AR31" i="24"/>
  <c r="AM31" i="24"/>
  <c r="AL31" i="24"/>
  <c r="AF54" i="24" l="1"/>
  <c r="T54" i="24"/>
  <c r="H54" i="24"/>
  <c r="D34" i="31"/>
  <c r="P69" i="24"/>
  <c r="D69" i="24" s="1"/>
  <c r="S28" i="24"/>
  <c r="V28" i="24"/>
  <c r="J29" i="24"/>
  <c r="O28" i="24"/>
  <c r="N8" i="24"/>
  <c r="AI28" i="24"/>
  <c r="J30" i="24"/>
  <c r="P8" i="24"/>
  <c r="W28" i="24"/>
  <c r="R27" i="24"/>
  <c r="J27" i="24"/>
  <c r="W9" i="24"/>
  <c r="E11" i="11"/>
  <c r="AI31" i="11"/>
  <c r="K11" i="11"/>
  <c r="D10" i="24"/>
  <c r="G11" i="11"/>
  <c r="AC27" i="24"/>
  <c r="V27" i="24"/>
  <c r="Q28" i="24"/>
  <c r="D11" i="11"/>
  <c r="J10" i="24"/>
  <c r="C31" i="11"/>
  <c r="Q8" i="24"/>
  <c r="K9" i="11"/>
  <c r="R30" i="24"/>
  <c r="V11" i="11"/>
  <c r="AH28" i="24"/>
  <c r="D9" i="24"/>
  <c r="B27" i="24"/>
  <c r="E28" i="24"/>
  <c r="P27" i="24"/>
  <c r="K28" i="24"/>
  <c r="G30" i="24"/>
  <c r="N29" i="24"/>
  <c r="F7" i="24"/>
  <c r="T29" i="24"/>
  <c r="AZ34" i="31"/>
  <c r="W29" i="11"/>
  <c r="C30" i="24"/>
  <c r="B10" i="24"/>
  <c r="N11" i="11"/>
  <c r="K31" i="11"/>
  <c r="AH31" i="11"/>
  <c r="AA29" i="24"/>
  <c r="AC28" i="24"/>
  <c r="G9" i="24"/>
  <c r="AB31" i="11"/>
  <c r="K30" i="24"/>
  <c r="E30" i="24"/>
  <c r="Q31" i="11"/>
  <c r="W10" i="11"/>
  <c r="T31" i="11"/>
  <c r="G31" i="11"/>
  <c r="T8" i="24"/>
  <c r="K29" i="11"/>
  <c r="AA28" i="24"/>
  <c r="Z28" i="24"/>
  <c r="K10" i="24"/>
  <c r="K7" i="24"/>
  <c r="K8" i="24"/>
  <c r="AH27" i="24"/>
  <c r="D7" i="24"/>
  <c r="AI30" i="11"/>
  <c r="J7" i="24"/>
  <c r="AH29" i="24"/>
  <c r="H9" i="24"/>
  <c r="Q7" i="24"/>
  <c r="Q9" i="11"/>
  <c r="AD28" i="24"/>
  <c r="W10" i="24"/>
  <c r="F30" i="24"/>
  <c r="AE30" i="24"/>
  <c r="E9" i="24"/>
  <c r="AC29" i="24"/>
  <c r="E14" i="51"/>
  <c r="S29" i="24"/>
  <c r="F29" i="24"/>
  <c r="AI30" i="24"/>
  <c r="S9" i="24"/>
  <c r="R7" i="24"/>
  <c r="D31" i="11"/>
  <c r="AG27" i="24"/>
  <c r="R9" i="24"/>
  <c r="U7" i="24"/>
  <c r="B7" i="24"/>
  <c r="Q29" i="24"/>
  <c r="T28" i="24"/>
  <c r="W9" i="11"/>
  <c r="S11" i="11"/>
  <c r="V31" i="11"/>
  <c r="K10" i="11"/>
  <c r="Q30" i="24"/>
  <c r="G10" i="51"/>
  <c r="P9" i="24"/>
  <c r="K27" i="24"/>
  <c r="F12" i="51"/>
  <c r="F27" i="24"/>
  <c r="W8" i="24"/>
  <c r="O7" i="24"/>
  <c r="B9" i="24"/>
  <c r="C9" i="24"/>
  <c r="B28" i="24"/>
  <c r="O12" i="11"/>
  <c r="J9" i="24"/>
  <c r="C28" i="24"/>
  <c r="T10" i="24"/>
  <c r="G27" i="24"/>
  <c r="AE29" i="24"/>
  <c r="B31" i="11"/>
  <c r="AH30" i="24"/>
  <c r="AE31" i="11"/>
  <c r="AF30" i="24"/>
  <c r="F6" i="24"/>
  <c r="C29" i="24"/>
  <c r="Z30" i="24"/>
  <c r="W11" i="11"/>
  <c r="D30" i="24"/>
  <c r="O8" i="24"/>
  <c r="AF29" i="24"/>
  <c r="R8" i="24"/>
  <c r="B30" i="24"/>
  <c r="AA31" i="11"/>
  <c r="J28" i="24"/>
  <c r="R28" i="24"/>
  <c r="AC30" i="24"/>
  <c r="Q10" i="24"/>
  <c r="W7" i="24"/>
  <c r="AF31" i="11"/>
  <c r="H29" i="24"/>
  <c r="AD27" i="24"/>
  <c r="F8" i="24"/>
  <c r="Q29" i="11"/>
  <c r="P30" i="24"/>
  <c r="S31" i="11"/>
  <c r="G8" i="24"/>
  <c r="O31" i="11"/>
  <c r="B29" i="24"/>
  <c r="V9" i="24"/>
  <c r="S7" i="24"/>
  <c r="AB27" i="24"/>
  <c r="F9" i="24"/>
  <c r="E8" i="24"/>
  <c r="N7" i="24"/>
  <c r="F10" i="24"/>
  <c r="Z31" i="11"/>
  <c r="O9" i="24"/>
  <c r="D28" i="24"/>
  <c r="D27" i="24"/>
  <c r="C27" i="24"/>
  <c r="O29" i="24"/>
  <c r="T11" i="11"/>
  <c r="E31" i="11"/>
  <c r="H28" i="24"/>
  <c r="AI27" i="24"/>
  <c r="P31" i="11"/>
  <c r="E29" i="24"/>
  <c r="V8" i="24"/>
  <c r="G7" i="24"/>
  <c r="G10" i="24"/>
  <c r="N9" i="24"/>
  <c r="K30" i="11"/>
  <c r="H27" i="24"/>
  <c r="B8" i="24"/>
  <c r="P7" i="24"/>
  <c r="S8" i="24"/>
  <c r="G28" i="24"/>
  <c r="H11" i="11"/>
  <c r="H30" i="24"/>
  <c r="I27" i="24"/>
  <c r="AD30" i="24"/>
  <c r="AA30" i="24"/>
  <c r="C8" i="24"/>
  <c r="V10" i="24"/>
  <c r="AC31" i="11"/>
  <c r="S10" i="24"/>
  <c r="P10" i="24"/>
  <c r="U27" i="24"/>
  <c r="T30" i="24"/>
  <c r="T27" i="24"/>
  <c r="AB29" i="24"/>
  <c r="R29" i="24"/>
  <c r="N27" i="24"/>
  <c r="C11" i="11"/>
  <c r="R31" i="11"/>
  <c r="P29" i="24"/>
  <c r="N10" i="24"/>
  <c r="F11" i="11"/>
  <c r="D8" i="24"/>
  <c r="E7" i="24"/>
  <c r="V29" i="24"/>
  <c r="P11" i="11"/>
  <c r="J8" i="24"/>
  <c r="AI29" i="11"/>
  <c r="H8" i="24"/>
  <c r="AF27" i="24"/>
  <c r="Q11" i="11"/>
  <c r="B11" i="11"/>
  <c r="AB28" i="24"/>
  <c r="E27" i="24"/>
  <c r="AF28" i="24"/>
  <c r="G29" i="24"/>
  <c r="N31" i="11"/>
  <c r="T7" i="24"/>
  <c r="T9" i="24"/>
  <c r="N28" i="24"/>
  <c r="Q9" i="24"/>
  <c r="J31" i="11"/>
  <c r="V7" i="24"/>
  <c r="AB30" i="24"/>
  <c r="R11" i="11"/>
  <c r="H7" i="24"/>
  <c r="AI29" i="24"/>
  <c r="V30" i="24"/>
  <c r="E30" i="11"/>
  <c r="Z29" i="24"/>
  <c r="C7" i="24"/>
  <c r="E10" i="24"/>
  <c r="W30" i="11"/>
  <c r="N30" i="24"/>
  <c r="I7" i="24"/>
  <c r="O11" i="11"/>
  <c r="D29" i="24"/>
  <c r="AE28" i="24"/>
  <c r="AE27" i="24"/>
  <c r="H10" i="24"/>
  <c r="W31" i="11"/>
  <c r="Q27" i="24"/>
  <c r="AD31" i="11"/>
  <c r="Z27" i="24"/>
  <c r="AC29" i="11"/>
  <c r="P28" i="24"/>
  <c r="O10" i="24"/>
  <c r="J11" i="11"/>
  <c r="F28" i="24"/>
  <c r="O27" i="24"/>
  <c r="AD29" i="24"/>
  <c r="AA27" i="24"/>
  <c r="L34" i="31" l="1"/>
  <c r="AC54" i="11"/>
  <c r="AB54" i="11"/>
  <c r="AE54" i="11"/>
  <c r="AI54" i="11"/>
  <c r="Z54" i="11"/>
  <c r="AA54" i="11"/>
  <c r="AH54" i="11"/>
  <c r="Q54" i="11"/>
  <c r="P54" i="11"/>
  <c r="S54" i="11"/>
  <c r="W54" i="11"/>
  <c r="N54" i="11"/>
  <c r="O54" i="11"/>
  <c r="V54" i="11"/>
  <c r="E54" i="11"/>
  <c r="Q112" i="11" s="1"/>
  <c r="D54" i="11"/>
  <c r="P112" i="11" s="1"/>
  <c r="G54" i="11"/>
  <c r="S112" i="11" s="1"/>
  <c r="K54" i="11"/>
  <c r="B54" i="11"/>
  <c r="N112" i="11" s="1"/>
  <c r="C54" i="11"/>
  <c r="J54" i="11"/>
  <c r="AD9" i="51"/>
  <c r="AF7" i="51"/>
  <c r="AE8" i="51"/>
  <c r="AA52" i="24"/>
  <c r="AC53" i="24"/>
  <c r="AD52" i="24"/>
  <c r="AA50" i="24"/>
  <c r="AF53" i="24"/>
  <c r="Z51" i="24"/>
  <c r="AF51" i="24"/>
  <c r="AH51" i="24"/>
  <c r="AE53" i="24"/>
  <c r="AH50" i="24"/>
  <c r="Z50" i="24"/>
  <c r="AF52" i="24"/>
  <c r="AI50" i="24"/>
  <c r="AE52" i="24"/>
  <c r="AC52" i="24"/>
  <c r="AD51" i="24"/>
  <c r="AH52" i="24"/>
  <c r="AD50" i="24"/>
  <c r="AC51" i="24"/>
  <c r="AF50" i="24"/>
  <c r="Z52" i="24"/>
  <c r="AE50" i="24"/>
  <c r="AH53" i="24"/>
  <c r="AE51" i="24"/>
  <c r="AB53" i="24"/>
  <c r="Z53" i="24"/>
  <c r="AA53" i="24"/>
  <c r="AI53" i="24"/>
  <c r="AI52" i="24"/>
  <c r="AB50" i="24"/>
  <c r="AA51" i="24"/>
  <c r="AC50" i="24"/>
  <c r="AB51" i="24"/>
  <c r="AB52" i="24"/>
  <c r="AI51" i="24"/>
  <c r="AD53" i="24"/>
  <c r="E85" i="24"/>
  <c r="H85" i="24"/>
  <c r="B84" i="24"/>
  <c r="H84" i="24"/>
  <c r="J84" i="24"/>
  <c r="G85" i="24"/>
  <c r="F84" i="24"/>
  <c r="E84" i="24"/>
  <c r="J85" i="24"/>
  <c r="G84" i="24"/>
  <c r="D85" i="24"/>
  <c r="B85" i="24"/>
  <c r="C85" i="24"/>
  <c r="K85" i="24"/>
  <c r="C84" i="24"/>
  <c r="D84" i="24"/>
  <c r="K84" i="24"/>
  <c r="F85" i="24"/>
  <c r="AC65" i="11"/>
  <c r="AI65" i="11"/>
  <c r="R52" i="24"/>
  <c r="R53" i="24"/>
  <c r="N51" i="24"/>
  <c r="O52" i="24"/>
  <c r="W51" i="24"/>
  <c r="W53" i="24"/>
  <c r="W52" i="24"/>
  <c r="Q51" i="24"/>
  <c r="Q50" i="24"/>
  <c r="P51" i="24"/>
  <c r="R51" i="24"/>
  <c r="S52" i="24"/>
  <c r="P52" i="24"/>
  <c r="R50" i="24"/>
  <c r="O50" i="24"/>
  <c r="S50" i="24"/>
  <c r="T50" i="24"/>
  <c r="N52" i="24"/>
  <c r="S51" i="24"/>
  <c r="Q53" i="24"/>
  <c r="Q52" i="24"/>
  <c r="T52" i="24"/>
  <c r="O53" i="24"/>
  <c r="P50" i="24"/>
  <c r="V53" i="24"/>
  <c r="W50" i="24"/>
  <c r="T53" i="24"/>
  <c r="V50" i="24"/>
  <c r="N53" i="24"/>
  <c r="O51" i="24"/>
  <c r="P53" i="24"/>
  <c r="V52" i="24"/>
  <c r="N50" i="24"/>
  <c r="S53" i="24"/>
  <c r="V51" i="24"/>
  <c r="T51" i="24"/>
  <c r="F52" i="24"/>
  <c r="F53" i="24"/>
  <c r="B51" i="24"/>
  <c r="C52" i="24"/>
  <c r="K51" i="24"/>
  <c r="K53" i="24"/>
  <c r="K52" i="24"/>
  <c r="E51" i="24"/>
  <c r="E50" i="24"/>
  <c r="D51" i="24"/>
  <c r="F51" i="24"/>
  <c r="G52" i="24"/>
  <c r="D52" i="24"/>
  <c r="F50" i="24"/>
  <c r="C50" i="24"/>
  <c r="G50" i="24"/>
  <c r="H50" i="24"/>
  <c r="B52" i="24"/>
  <c r="G51" i="24"/>
  <c r="E53" i="24"/>
  <c r="E52" i="24"/>
  <c r="H52" i="24"/>
  <c r="C53" i="24"/>
  <c r="D50" i="24"/>
  <c r="J53" i="24"/>
  <c r="K50" i="24"/>
  <c r="H53" i="24"/>
  <c r="J50" i="24"/>
  <c r="B53" i="24"/>
  <c r="C51" i="24"/>
  <c r="D53" i="24"/>
  <c r="J52" i="24"/>
  <c r="B50" i="24"/>
  <c r="G53" i="24"/>
  <c r="J51" i="24"/>
  <c r="H51" i="24"/>
  <c r="AC53" i="11"/>
  <c r="AI52" i="11"/>
  <c r="AI53" i="11"/>
  <c r="Q53" i="11"/>
  <c r="W52" i="11"/>
  <c r="W53" i="11"/>
  <c r="E53" i="11"/>
  <c r="Q111" i="11" s="1"/>
  <c r="K52" i="11"/>
  <c r="K53" i="11"/>
  <c r="BA128" i="11"/>
  <c r="AX128" i="11"/>
  <c r="BC128" i="11"/>
  <c r="AZ128" i="11"/>
  <c r="BF128" i="11"/>
  <c r="BG128" i="11"/>
  <c r="AY128" i="11"/>
  <c r="BG126" i="11"/>
  <c r="BG127" i="11"/>
  <c r="BA127" i="11"/>
  <c r="AI126" i="11"/>
  <c r="K126" i="11"/>
  <c r="P126" i="11"/>
  <c r="W125" i="11"/>
  <c r="V126" i="11"/>
  <c r="W124" i="11"/>
  <c r="W126" i="11"/>
  <c r="Q125" i="11"/>
  <c r="Q126" i="11"/>
  <c r="N126" i="11"/>
  <c r="O126" i="11"/>
  <c r="S126" i="11"/>
  <c r="M124" i="11"/>
  <c r="Y124" i="11" s="1"/>
  <c r="AK124" i="11" s="1"/>
  <c r="AW124" i="11" s="1"/>
  <c r="M125" i="11"/>
  <c r="Y125" i="11" s="1"/>
  <c r="AK125" i="11" s="1"/>
  <c r="AW125" i="11" s="1"/>
  <c r="A123" i="11"/>
  <c r="M105" i="11"/>
  <c r="A122" i="11"/>
  <c r="M104" i="11"/>
  <c r="A121" i="11"/>
  <c r="M103" i="11"/>
  <c r="G126" i="11"/>
  <c r="D126" i="11"/>
  <c r="E126" i="11"/>
  <c r="C126" i="11"/>
  <c r="B126" i="11"/>
  <c r="J126" i="11"/>
  <c r="AE126" i="11"/>
  <c r="AB126" i="11"/>
  <c r="AC126" i="11"/>
  <c r="AA126" i="11"/>
  <c r="Z126" i="11"/>
  <c r="AH126" i="11"/>
  <c r="AI124" i="11"/>
  <c r="AI125" i="11"/>
  <c r="AC125" i="11"/>
  <c r="D107" i="11"/>
  <c r="P88" i="11"/>
  <c r="B107" i="11"/>
  <c r="N88" i="11"/>
  <c r="J107" i="11"/>
  <c r="V88" i="11"/>
  <c r="H107" i="11"/>
  <c r="T88" i="11"/>
  <c r="K107" i="11"/>
  <c r="W88" i="11"/>
  <c r="F107" i="11"/>
  <c r="R88" i="11"/>
  <c r="G107" i="11"/>
  <c r="S88" i="11"/>
  <c r="E107" i="11"/>
  <c r="Q88" i="11"/>
  <c r="AL125" i="11"/>
  <c r="AM125" i="11"/>
  <c r="AT125" i="11"/>
  <c r="AU124" i="11"/>
  <c r="AU125" i="11"/>
  <c r="AN125" i="11"/>
  <c r="AU123" i="11"/>
  <c r="AO124" i="11"/>
  <c r="AO125" i="11"/>
  <c r="AQ125" i="11"/>
  <c r="E125" i="11"/>
  <c r="K124" i="11"/>
  <c r="K125" i="11"/>
  <c r="T68" i="24"/>
  <c r="H68" i="24" s="1"/>
  <c r="U65" i="24"/>
  <c r="I65" i="24" s="1"/>
  <c r="O68" i="24"/>
  <c r="C68" i="24" s="1"/>
  <c r="W65" i="24"/>
  <c r="K65" i="24" s="1"/>
  <c r="T66" i="24"/>
  <c r="H66" i="24" s="1"/>
  <c r="T67" i="24"/>
  <c r="H67" i="24" s="1"/>
  <c r="Q68" i="24"/>
  <c r="E68" i="24" s="1"/>
  <c r="W68" i="24"/>
  <c r="K68" i="24" s="1"/>
  <c r="R66" i="24"/>
  <c r="F66" i="24" s="1"/>
  <c r="P65" i="24"/>
  <c r="D65" i="24" s="1"/>
  <c r="R65" i="24"/>
  <c r="F65" i="24" s="1"/>
  <c r="O66" i="24"/>
  <c r="C66" i="24" s="1"/>
  <c r="O67" i="24"/>
  <c r="C67" i="24" s="1"/>
  <c r="R67" i="24"/>
  <c r="F67" i="24" s="1"/>
  <c r="W66" i="24"/>
  <c r="K66" i="24" s="1"/>
  <c r="N65" i="24"/>
  <c r="B65" i="24" s="1"/>
  <c r="T65" i="24"/>
  <c r="H65" i="24" s="1"/>
  <c r="Q66" i="24"/>
  <c r="E66" i="24" s="1"/>
  <c r="Q67" i="24"/>
  <c r="E67" i="24" s="1"/>
  <c r="N68" i="24"/>
  <c r="B68" i="24" s="1"/>
  <c r="O65" i="24"/>
  <c r="C65" i="24" s="1"/>
  <c r="V65" i="24"/>
  <c r="J65" i="24" s="1"/>
  <c r="S66" i="24"/>
  <c r="G66" i="24" s="1"/>
  <c r="S67" i="24"/>
  <c r="G67" i="24" s="1"/>
  <c r="P68" i="24"/>
  <c r="D68" i="24" s="1"/>
  <c r="V68" i="24"/>
  <c r="J68" i="24" s="1"/>
  <c r="Q65" i="24"/>
  <c r="E65" i="24" s="1"/>
  <c r="N66" i="24"/>
  <c r="B66" i="24" s="1"/>
  <c r="N67" i="24"/>
  <c r="B67" i="24" s="1"/>
  <c r="V66" i="24"/>
  <c r="J66" i="24" s="1"/>
  <c r="V67" i="24"/>
  <c r="J67" i="24" s="1"/>
  <c r="P66" i="24"/>
  <c r="D66" i="24" s="1"/>
  <c r="P67" i="24"/>
  <c r="D67" i="24" s="1"/>
  <c r="R68" i="24"/>
  <c r="F68" i="24" s="1"/>
  <c r="K67" i="24"/>
  <c r="R69" i="11"/>
  <c r="N69" i="11"/>
  <c r="V69" i="11"/>
  <c r="J69" i="11" s="1"/>
  <c r="J106" i="11" s="1"/>
  <c r="T69" i="11"/>
  <c r="H69" i="11" s="1"/>
  <c r="P69" i="11"/>
  <c r="W69" i="11"/>
  <c r="S69" i="11"/>
  <c r="Q69" i="11"/>
  <c r="E69" i="11" s="1"/>
  <c r="E106" i="11" s="1"/>
  <c r="W67" i="11"/>
  <c r="W68" i="11"/>
  <c r="O69" i="11"/>
  <c r="C69" i="11" s="1"/>
  <c r="C106" i="11" s="1"/>
  <c r="C70" i="11"/>
  <c r="O88" i="11" s="1"/>
  <c r="K15" i="15"/>
  <c r="K8" i="15"/>
  <c r="L8" i="17"/>
  <c r="L7" i="17"/>
  <c r="O9" i="17"/>
  <c r="K9" i="15"/>
  <c r="K14" i="16"/>
  <c r="K11" i="15"/>
  <c r="K8" i="16"/>
  <c r="L6" i="18"/>
  <c r="L11" i="18"/>
  <c r="L16" i="19"/>
  <c r="K12" i="15"/>
  <c r="K9" i="16"/>
  <c r="L10" i="17"/>
  <c r="L7" i="18"/>
  <c r="L12" i="18"/>
  <c r="K14" i="15"/>
  <c r="K6" i="16"/>
  <c r="L9" i="17"/>
  <c r="K6" i="15"/>
  <c r="L6" i="17"/>
  <c r="K13" i="15"/>
  <c r="K10" i="16"/>
  <c r="L11" i="17"/>
  <c r="L8" i="18"/>
  <c r="L14" i="18"/>
  <c r="R15" i="19"/>
  <c r="K12" i="16"/>
  <c r="L14" i="17"/>
  <c r="K15" i="16"/>
  <c r="K10" i="15"/>
  <c r="K7" i="16"/>
  <c r="L10" i="18"/>
  <c r="K7" i="15"/>
  <c r="K11" i="16"/>
  <c r="L12" i="17"/>
  <c r="L9" i="18"/>
  <c r="L15" i="18"/>
  <c r="R8" i="19"/>
  <c r="R10" i="19"/>
  <c r="R6" i="19"/>
  <c r="R9" i="19"/>
  <c r="R14" i="19"/>
  <c r="P16" i="19"/>
  <c r="R11" i="19"/>
  <c r="M16" i="19"/>
  <c r="R12" i="19"/>
  <c r="O16" i="19"/>
  <c r="R7" i="19"/>
  <c r="N16" i="19"/>
  <c r="E16" i="19"/>
  <c r="Q16" i="19"/>
  <c r="P14" i="18"/>
  <c r="O14" i="18"/>
  <c r="N8" i="18"/>
  <c r="M14" i="18"/>
  <c r="N14" i="18"/>
  <c r="Q14" i="18"/>
  <c r="P9" i="18"/>
  <c r="Q9" i="18"/>
  <c r="P6" i="18"/>
  <c r="Q6" i="18"/>
  <c r="Q8" i="18"/>
  <c r="O8" i="18"/>
  <c r="N6" i="18"/>
  <c r="N9" i="18"/>
  <c r="P8" i="18"/>
  <c r="M6" i="18"/>
  <c r="O6" i="18"/>
  <c r="M8" i="18"/>
  <c r="M9" i="18"/>
  <c r="M10" i="18"/>
  <c r="N10" i="18"/>
  <c r="P12" i="18"/>
  <c r="N12" i="18"/>
  <c r="Q12" i="18"/>
  <c r="M12" i="18"/>
  <c r="O12" i="18"/>
  <c r="P10" i="18"/>
  <c r="Q10" i="18"/>
  <c r="O10" i="18"/>
  <c r="N11" i="18"/>
  <c r="Q32" i="18"/>
  <c r="Q7" i="18" s="1"/>
  <c r="Q32" i="17"/>
  <c r="N32" i="17"/>
  <c r="E7" i="17"/>
  <c r="E8" i="17"/>
  <c r="E9" i="17"/>
  <c r="E10" i="17"/>
  <c r="E11" i="17"/>
  <c r="E12" i="17"/>
  <c r="E13" i="17"/>
  <c r="E14" i="17"/>
  <c r="E15" i="17"/>
  <c r="E6" i="17"/>
  <c r="E7" i="18"/>
  <c r="E6" i="18"/>
  <c r="E8" i="18"/>
  <c r="E9" i="18"/>
  <c r="E10" i="18"/>
  <c r="E11" i="18"/>
  <c r="E12" i="18"/>
  <c r="E13" i="18"/>
  <c r="E14" i="18"/>
  <c r="E15" i="18"/>
  <c r="Q11" i="18"/>
  <c r="O11" i="18"/>
  <c r="M11" i="18"/>
  <c r="P11" i="18"/>
  <c r="M9" i="17"/>
  <c r="N7" i="16"/>
  <c r="O11" i="16"/>
  <c r="M8" i="16"/>
  <c r="L8" i="16"/>
  <c r="P10" i="16"/>
  <c r="N10" i="16"/>
  <c r="N7" i="18"/>
  <c r="P7" i="18"/>
  <c r="M7" i="18"/>
  <c r="O7" i="18"/>
  <c r="Q6" i="17"/>
  <c r="N6" i="17"/>
  <c r="P6" i="17"/>
  <c r="M6" i="17"/>
  <c r="O6" i="17"/>
  <c r="P8" i="17"/>
  <c r="M8" i="17"/>
  <c r="N8" i="17"/>
  <c r="Q8" i="17"/>
  <c r="O8" i="17"/>
  <c r="Q14" i="17"/>
  <c r="O14" i="17"/>
  <c r="P14" i="17"/>
  <c r="N14" i="17"/>
  <c r="M14" i="17"/>
  <c r="N11" i="17"/>
  <c r="Q11" i="17"/>
  <c r="P11" i="17"/>
  <c r="O11" i="17"/>
  <c r="M11" i="17"/>
  <c r="N12" i="17"/>
  <c r="O27" i="18"/>
  <c r="P12" i="17"/>
  <c r="Q12" i="17"/>
  <c r="M12" i="17"/>
  <c r="O12" i="17"/>
  <c r="O26" i="18"/>
  <c r="N10" i="17"/>
  <c r="P10" i="17"/>
  <c r="I25" i="18"/>
  <c r="Q10" i="17"/>
  <c r="H24" i="18"/>
  <c r="H26" i="18"/>
  <c r="M10" i="17"/>
  <c r="O10" i="17"/>
  <c r="N26" i="18"/>
  <c r="H27" i="18"/>
  <c r="K16" i="18"/>
  <c r="H26" i="17"/>
  <c r="H27" i="17"/>
  <c r="N24" i="18"/>
  <c r="O24" i="18"/>
  <c r="H25" i="18"/>
  <c r="L15" i="16"/>
  <c r="I26" i="17"/>
  <c r="N25" i="18"/>
  <c r="L10" i="15"/>
  <c r="O25" i="18"/>
  <c r="L12" i="15"/>
  <c r="I26" i="18"/>
  <c r="D16" i="18"/>
  <c r="F16" i="18"/>
  <c r="H16" i="18"/>
  <c r="I16" i="18"/>
  <c r="G16" i="18"/>
  <c r="J16" i="18"/>
  <c r="I27" i="18"/>
  <c r="I24" i="18"/>
  <c r="N27" i="18"/>
  <c r="R13" i="18"/>
  <c r="R15" i="18"/>
  <c r="O15" i="16"/>
  <c r="P15" i="16"/>
  <c r="N15" i="16"/>
  <c r="M15" i="16"/>
  <c r="M9" i="16"/>
  <c r="I27" i="17"/>
  <c r="P9" i="16"/>
  <c r="L11" i="15"/>
  <c r="M7" i="17"/>
  <c r="P7" i="17"/>
  <c r="N6" i="15"/>
  <c r="P7" i="16"/>
  <c r="O9" i="16"/>
  <c r="O7" i="17"/>
  <c r="J16" i="17"/>
  <c r="N25" i="17"/>
  <c r="I25" i="17"/>
  <c r="N24" i="17"/>
  <c r="G16" i="17"/>
  <c r="I16" i="17"/>
  <c r="K16" i="17"/>
  <c r="L9" i="16"/>
  <c r="H24" i="17"/>
  <c r="I24" i="17"/>
  <c r="N9" i="16"/>
  <c r="N26" i="17"/>
  <c r="O26" i="17"/>
  <c r="O24" i="17"/>
  <c r="H25" i="17"/>
  <c r="D16" i="17"/>
  <c r="N27" i="17"/>
  <c r="F16" i="17"/>
  <c r="O27" i="17"/>
  <c r="H16" i="17"/>
  <c r="O25" i="17"/>
  <c r="R13" i="17"/>
  <c r="R15" i="17"/>
  <c r="O10" i="16"/>
  <c r="P8" i="16"/>
  <c r="O8" i="16"/>
  <c r="L10" i="16"/>
  <c r="N8" i="16"/>
  <c r="M10" i="16"/>
  <c r="O6" i="16"/>
  <c r="P14" i="16"/>
  <c r="M6" i="16"/>
  <c r="M14" i="16"/>
  <c r="O14" i="16"/>
  <c r="N6" i="16"/>
  <c r="N14" i="16"/>
  <c r="L14" i="16"/>
  <c r="L6" i="16"/>
  <c r="P6" i="16"/>
  <c r="M12" i="16"/>
  <c r="L12" i="16"/>
  <c r="O12" i="16"/>
  <c r="P12" i="16"/>
  <c r="N12" i="16"/>
  <c r="O24" i="16"/>
  <c r="O7" i="16"/>
  <c r="O25" i="16"/>
  <c r="L11" i="16"/>
  <c r="M11" i="16"/>
  <c r="L7" i="16"/>
  <c r="P11" i="16"/>
  <c r="H27" i="16"/>
  <c r="N11" i="16"/>
  <c r="N27" i="16"/>
  <c r="H25" i="16"/>
  <c r="I25" i="16"/>
  <c r="O27" i="16"/>
  <c r="H24" i="16"/>
  <c r="I24" i="16"/>
  <c r="E16" i="16"/>
  <c r="F16" i="16"/>
  <c r="N25" i="16"/>
  <c r="G16" i="16"/>
  <c r="H16" i="16"/>
  <c r="I16" i="16"/>
  <c r="H26" i="16"/>
  <c r="J16" i="16"/>
  <c r="I26" i="16"/>
  <c r="N26" i="16"/>
  <c r="O26" i="16"/>
  <c r="I27" i="16"/>
  <c r="N24" i="16"/>
  <c r="M7" i="16"/>
  <c r="D16" i="16"/>
  <c r="Q13" i="16"/>
  <c r="N8" i="15"/>
  <c r="H26" i="15"/>
  <c r="O14" i="15"/>
  <c r="O7" i="15"/>
  <c r="N26" i="15"/>
  <c r="I27" i="15"/>
  <c r="H24" i="15"/>
  <c r="I24" i="15"/>
  <c r="I25" i="15"/>
  <c r="N25" i="15"/>
  <c r="N27" i="15"/>
  <c r="O26" i="15"/>
  <c r="P9" i="15"/>
  <c r="H16" i="15"/>
  <c r="E16" i="15"/>
  <c r="N12" i="15"/>
  <c r="P8" i="15"/>
  <c r="M9" i="15"/>
  <c r="O10" i="15"/>
  <c r="D16" i="15"/>
  <c r="F16" i="15"/>
  <c r="I26" i="15"/>
  <c r="O27" i="15"/>
  <c r="O8" i="15"/>
  <c r="N14" i="15"/>
  <c r="L14" i="15"/>
  <c r="O9" i="15"/>
  <c r="P15" i="15"/>
  <c r="G16" i="15"/>
  <c r="P14" i="15"/>
  <c r="N13" i="15"/>
  <c r="O15" i="15"/>
  <c r="H25" i="15"/>
  <c r="M6" i="15"/>
  <c r="O13" i="15"/>
  <c r="L7" i="15"/>
  <c r="I16" i="15"/>
  <c r="L6" i="15"/>
  <c r="O11" i="15"/>
  <c r="J16" i="15"/>
  <c r="N11" i="15"/>
  <c r="O6" i="15"/>
  <c r="H27" i="15"/>
  <c r="N7" i="15"/>
  <c r="O12" i="15"/>
  <c r="L13" i="15"/>
  <c r="M13" i="15"/>
  <c r="M8" i="15"/>
  <c r="M10" i="15"/>
  <c r="N24" i="15"/>
  <c r="O24" i="15"/>
  <c r="N9" i="15"/>
  <c r="L8" i="15"/>
  <c r="L9" i="15"/>
  <c r="M15" i="15"/>
  <c r="N10" i="15"/>
  <c r="O25" i="15"/>
  <c r="L15" i="15"/>
  <c r="N15" i="15"/>
  <c r="E6" i="14"/>
  <c r="AM29" i="24"/>
  <c r="AO30" i="24"/>
  <c r="AT30" i="24"/>
  <c r="AL29" i="24"/>
  <c r="AU29" i="24"/>
  <c r="F31" i="11"/>
  <c r="AN29" i="24"/>
  <c r="S30" i="24"/>
  <c r="AM30" i="24"/>
  <c r="AN30" i="24"/>
  <c r="AQ30" i="24"/>
  <c r="AP29" i="24"/>
  <c r="AT29" i="24"/>
  <c r="AR30" i="24"/>
  <c r="AQ29" i="24"/>
  <c r="AL30" i="24"/>
  <c r="H31" i="11"/>
  <c r="AP30" i="24"/>
  <c r="AR29" i="24"/>
  <c r="AO29" i="24"/>
  <c r="AU30" i="24"/>
  <c r="W112" i="11" l="1"/>
  <c r="K93" i="11"/>
  <c r="P90" i="24"/>
  <c r="AB90" i="24"/>
  <c r="AH90" i="24"/>
  <c r="V90" i="24"/>
  <c r="AD90" i="24"/>
  <c r="R90" i="24"/>
  <c r="AE90" i="24"/>
  <c r="S90" i="24"/>
  <c r="Z90" i="24"/>
  <c r="N90" i="24"/>
  <c r="AI90" i="24"/>
  <c r="W90" i="24"/>
  <c r="AF90" i="24"/>
  <c r="T90" i="24"/>
  <c r="F58" i="51"/>
  <c r="E63" i="51" s="1"/>
  <c r="AA90" i="24"/>
  <c r="O90" i="24"/>
  <c r="Q90" i="24"/>
  <c r="AC90" i="24"/>
  <c r="J93" i="11"/>
  <c r="V112" i="11"/>
  <c r="C93" i="11"/>
  <c r="O112" i="11"/>
  <c r="E93" i="11"/>
  <c r="B93" i="11"/>
  <c r="G93" i="11"/>
  <c r="D93" i="11"/>
  <c r="AA89" i="24"/>
  <c r="S89" i="24"/>
  <c r="AE89" i="24"/>
  <c r="Q89" i="24"/>
  <c r="AC89" i="24"/>
  <c r="R89" i="24"/>
  <c r="AD89" i="24"/>
  <c r="W89" i="24"/>
  <c r="AI89" i="24"/>
  <c r="AH89" i="24"/>
  <c r="AB89" i="24"/>
  <c r="T89" i="24"/>
  <c r="AF89" i="24"/>
  <c r="Z89" i="24"/>
  <c r="V89" i="24"/>
  <c r="P89" i="24"/>
  <c r="F57" i="51"/>
  <c r="O89" i="24"/>
  <c r="N89" i="24"/>
  <c r="K92" i="11"/>
  <c r="W111" i="11"/>
  <c r="E92" i="11"/>
  <c r="AF54" i="11"/>
  <c r="AD54" i="11"/>
  <c r="T54" i="11"/>
  <c r="R54" i="11"/>
  <c r="H54" i="11"/>
  <c r="T112" i="11" s="1"/>
  <c r="F54" i="11"/>
  <c r="R112" i="11" s="1"/>
  <c r="K99" i="24"/>
  <c r="J98" i="24"/>
  <c r="J99" i="24"/>
  <c r="H98" i="24"/>
  <c r="G99" i="24"/>
  <c r="F98" i="24"/>
  <c r="G98" i="24"/>
  <c r="F99" i="24"/>
  <c r="E98" i="24"/>
  <c r="E99" i="24"/>
  <c r="D98" i="24"/>
  <c r="D99" i="24"/>
  <c r="C98" i="24"/>
  <c r="H99" i="24"/>
  <c r="B99" i="24"/>
  <c r="C99" i="24"/>
  <c r="B98" i="24"/>
  <c r="K98" i="24"/>
  <c r="C57" i="31"/>
  <c r="C58" i="31"/>
  <c r="S68" i="24"/>
  <c r="G68" i="24" s="1"/>
  <c r="BB128" i="11"/>
  <c r="F126" i="11"/>
  <c r="AD126" i="11"/>
  <c r="AP125" i="11"/>
  <c r="R126" i="11"/>
  <c r="BD128" i="11"/>
  <c r="K91" i="11"/>
  <c r="W110" i="11"/>
  <c r="T126" i="11"/>
  <c r="AF126" i="11"/>
  <c r="AR125" i="11"/>
  <c r="H126" i="11"/>
  <c r="T87" i="11"/>
  <c r="D8" i="11"/>
  <c r="V27" i="11"/>
  <c r="C28" i="11"/>
  <c r="AA28" i="11"/>
  <c r="AF29" i="11"/>
  <c r="R9" i="11"/>
  <c r="S30" i="11"/>
  <c r="AH30" i="11"/>
  <c r="S9" i="11"/>
  <c r="D30" i="11"/>
  <c r="S8" i="11"/>
  <c r="D9" i="11"/>
  <c r="D28" i="11"/>
  <c r="K28" i="11"/>
  <c r="R7" i="11"/>
  <c r="O30" i="11"/>
  <c r="R30" i="11"/>
  <c r="Q28" i="11"/>
  <c r="V8" i="11"/>
  <c r="F30" i="11"/>
  <c r="V29" i="11"/>
  <c r="E9" i="11"/>
  <c r="AD29" i="11"/>
  <c r="N29" i="11"/>
  <c r="B6" i="24"/>
  <c r="Q8" i="11"/>
  <c r="R28" i="11"/>
  <c r="AB28" i="11"/>
  <c r="T29" i="11"/>
  <c r="V28" i="11"/>
  <c r="U7" i="11"/>
  <c r="W7" i="11"/>
  <c r="T28" i="11"/>
  <c r="F7" i="11"/>
  <c r="B28" i="11"/>
  <c r="F28" i="11"/>
  <c r="D29" i="11"/>
  <c r="G7" i="11"/>
  <c r="F9" i="11"/>
  <c r="F29" i="11"/>
  <c r="B9" i="11"/>
  <c r="N27" i="11"/>
  <c r="AA30" i="11"/>
  <c r="H10" i="11"/>
  <c r="J28" i="11"/>
  <c r="B27" i="11"/>
  <c r="Q10" i="11"/>
  <c r="G28" i="11"/>
  <c r="AI28" i="11"/>
  <c r="AI27" i="11"/>
  <c r="P29" i="11"/>
  <c r="J29" i="11"/>
  <c r="J9" i="11"/>
  <c r="K27" i="11"/>
  <c r="AH27" i="11"/>
  <c r="Z29" i="11"/>
  <c r="H9" i="11"/>
  <c r="I27" i="11"/>
  <c r="S27" i="11"/>
  <c r="AC28" i="11"/>
  <c r="N8" i="11"/>
  <c r="B29" i="11"/>
  <c r="C30" i="11"/>
  <c r="T27" i="11"/>
  <c r="J7" i="11"/>
  <c r="C10" i="11"/>
  <c r="J30" i="11"/>
  <c r="N10" i="11"/>
  <c r="H28" i="11"/>
  <c r="W27" i="11"/>
  <c r="E8" i="11"/>
  <c r="D27" i="11"/>
  <c r="D10" i="11"/>
  <c r="Z28" i="11"/>
  <c r="AE30" i="11"/>
  <c r="AF28" i="11"/>
  <c r="T10" i="11"/>
  <c r="W8" i="11"/>
  <c r="R10" i="11"/>
  <c r="P9" i="11"/>
  <c r="P28" i="11"/>
  <c r="C8" i="11"/>
  <c r="S27" i="24"/>
  <c r="Q7" i="11"/>
  <c r="S28" i="11"/>
  <c r="C9" i="11"/>
  <c r="S29" i="11"/>
  <c r="AB30" i="11"/>
  <c r="B8" i="11"/>
  <c r="O27" i="11"/>
  <c r="AE29" i="11"/>
  <c r="P27" i="11"/>
  <c r="O28" i="11"/>
  <c r="Z30" i="11"/>
  <c r="N28" i="11"/>
  <c r="G29" i="11"/>
  <c r="O10" i="11"/>
  <c r="R29" i="11"/>
  <c r="W28" i="11"/>
  <c r="H27" i="11"/>
  <c r="G30" i="11"/>
  <c r="B10" i="11"/>
  <c r="R8" i="11"/>
  <c r="G10" i="11"/>
  <c r="AC30" i="11"/>
  <c r="C7" i="11"/>
  <c r="I7" i="11"/>
  <c r="H8" i="11"/>
  <c r="H30" i="11"/>
  <c r="F27" i="11"/>
  <c r="J8" i="11"/>
  <c r="P8" i="11"/>
  <c r="U27" i="11"/>
  <c r="N30" i="11"/>
  <c r="AD30" i="11"/>
  <c r="E7" i="11"/>
  <c r="C29" i="11"/>
  <c r="P7" i="11"/>
  <c r="E27" i="11"/>
  <c r="Q27" i="11"/>
  <c r="B30" i="11"/>
  <c r="J27" i="11"/>
  <c r="F10" i="11"/>
  <c r="AH28" i="11"/>
  <c r="G27" i="11"/>
  <c r="N9" i="11"/>
  <c r="P30" i="11"/>
  <c r="C27" i="11"/>
  <c r="V9" i="11"/>
  <c r="T8" i="11"/>
  <c r="R27" i="11"/>
  <c r="J10" i="11"/>
  <c r="B7" i="11"/>
  <c r="H7" i="11"/>
  <c r="K7" i="11"/>
  <c r="G9" i="11"/>
  <c r="Q30" i="11"/>
  <c r="H29" i="11"/>
  <c r="AB29" i="11"/>
  <c r="AB27" i="11"/>
  <c r="AF30" i="11"/>
  <c r="E29" i="11"/>
  <c r="S10" i="11"/>
  <c r="O8" i="11"/>
  <c r="AH29" i="11"/>
  <c r="P10" i="11"/>
  <c r="T9" i="11"/>
  <c r="E10" i="11"/>
  <c r="O29" i="11"/>
  <c r="AC27" i="11"/>
  <c r="N7" i="11"/>
  <c r="D7" i="11"/>
  <c r="E28" i="11"/>
  <c r="AE28" i="11"/>
  <c r="G8" i="11"/>
  <c r="K8" i="11"/>
  <c r="V10" i="11"/>
  <c r="T30" i="11"/>
  <c r="F8" i="11"/>
  <c r="B62" i="51" l="1"/>
  <c r="E62" i="51"/>
  <c r="G58" i="51"/>
  <c r="F64" i="51" s="1"/>
  <c r="B63" i="51"/>
  <c r="G123" i="24"/>
  <c r="J123" i="24"/>
  <c r="B123" i="24"/>
  <c r="K123" i="24"/>
  <c r="F123" i="24"/>
  <c r="E123" i="24"/>
  <c r="C123" i="24"/>
  <c r="H123" i="24"/>
  <c r="D123" i="24"/>
  <c r="AI104" i="24"/>
  <c r="W104" i="24"/>
  <c r="AA104" i="24"/>
  <c r="O104" i="24"/>
  <c r="P104" i="24"/>
  <c r="AB104" i="24"/>
  <c r="Q104" i="24"/>
  <c r="AC104" i="24"/>
  <c r="Z104" i="24"/>
  <c r="N104" i="24"/>
  <c r="AD104" i="24"/>
  <c r="R104" i="24"/>
  <c r="AF104" i="24"/>
  <c r="T104" i="24"/>
  <c r="AH104" i="24"/>
  <c r="V104" i="24"/>
  <c r="AE104" i="24"/>
  <c r="S104" i="24"/>
  <c r="F93" i="11"/>
  <c r="H93" i="11"/>
  <c r="C122" i="24"/>
  <c r="C62" i="51"/>
  <c r="G57" i="51"/>
  <c r="B122" i="24"/>
  <c r="E122" i="24"/>
  <c r="H122" i="24"/>
  <c r="K122" i="24"/>
  <c r="F122" i="24"/>
  <c r="D122" i="24"/>
  <c r="J122" i="24"/>
  <c r="G122" i="24"/>
  <c r="S103" i="24"/>
  <c r="AE103" i="24"/>
  <c r="R103" i="24"/>
  <c r="AD103" i="24"/>
  <c r="AH103" i="24"/>
  <c r="AA103" i="24"/>
  <c r="T103" i="24"/>
  <c r="AF103" i="24"/>
  <c r="P103" i="24"/>
  <c r="AB103" i="24"/>
  <c r="W103" i="24"/>
  <c r="AI103" i="24"/>
  <c r="N103" i="24"/>
  <c r="Z103" i="24"/>
  <c r="AC103" i="24"/>
  <c r="V103" i="24"/>
  <c r="O103" i="24"/>
  <c r="Q103" i="24"/>
  <c r="AA102" i="24"/>
  <c r="Z102" i="24"/>
  <c r="N102" i="24"/>
  <c r="AH102" i="24"/>
  <c r="AB102" i="24"/>
  <c r="AC102" i="24"/>
  <c r="AE102" i="24"/>
  <c r="AI102" i="24"/>
  <c r="AD102" i="24"/>
  <c r="AF102" i="24"/>
  <c r="Q102" i="24"/>
  <c r="S102" i="24"/>
  <c r="V102" i="24"/>
  <c r="P102" i="24"/>
  <c r="O102" i="24"/>
  <c r="R102" i="24"/>
  <c r="W102" i="24"/>
  <c r="T102" i="24"/>
  <c r="T98" i="24"/>
  <c r="AT99" i="24"/>
  <c r="AT98" i="24"/>
  <c r="AU99" i="24"/>
  <c r="AC98" i="24"/>
  <c r="AB98" i="24"/>
  <c r="AE98" i="24"/>
  <c r="AD98" i="24"/>
  <c r="AQ99" i="24"/>
  <c r="AF98" i="24"/>
  <c r="AR99" i="24"/>
  <c r="V100" i="24"/>
  <c r="V98" i="24"/>
  <c r="AH99" i="24"/>
  <c r="N98" i="24"/>
  <c r="AL99" i="24"/>
  <c r="Z99" i="24"/>
  <c r="AA101" i="24"/>
  <c r="AD101" i="24"/>
  <c r="AF99" i="24"/>
  <c r="AL98" i="24"/>
  <c r="AP98" i="24"/>
  <c r="AR98" i="24"/>
  <c r="AA99" i="24"/>
  <c r="AM98" i="24"/>
  <c r="AI101" i="24"/>
  <c r="O98" i="24"/>
  <c r="O99" i="24"/>
  <c r="AA98" i="24"/>
  <c r="Z101" i="24"/>
  <c r="S98" i="24"/>
  <c r="AN98" i="24"/>
  <c r="AB101" i="24"/>
  <c r="P98" i="24"/>
  <c r="AA100" i="24"/>
  <c r="AE99" i="24"/>
  <c r="AE100" i="24"/>
  <c r="AE101" i="24"/>
  <c r="V99" i="24"/>
  <c r="AM99" i="24"/>
  <c r="R98" i="24"/>
  <c r="W99" i="24"/>
  <c r="Z100" i="24"/>
  <c r="AU98" i="24"/>
  <c r="S100" i="24"/>
  <c r="Z98" i="24"/>
  <c r="O100" i="24"/>
  <c r="T99" i="24"/>
  <c r="R100" i="24"/>
  <c r="AP99" i="24"/>
  <c r="R99" i="24"/>
  <c r="T100" i="24"/>
  <c r="O101" i="24"/>
  <c r="R101" i="24"/>
  <c r="AQ98" i="24"/>
  <c r="AD99" i="24"/>
  <c r="AF101" i="24"/>
  <c r="AD100" i="24"/>
  <c r="Q100" i="24"/>
  <c r="AH100" i="24"/>
  <c r="AH98" i="24"/>
  <c r="V101" i="24"/>
  <c r="T101" i="24"/>
  <c r="AH101" i="24"/>
  <c r="W98" i="24"/>
  <c r="Q98" i="24"/>
  <c r="Q99" i="24"/>
  <c r="S99" i="24"/>
  <c r="AF100" i="24"/>
  <c r="W101" i="24"/>
  <c r="AO98" i="24"/>
  <c r="S101" i="24"/>
  <c r="N100" i="24"/>
  <c r="N101" i="24"/>
  <c r="W100" i="24"/>
  <c r="AI100" i="24"/>
  <c r="N99" i="24"/>
  <c r="Q101" i="24"/>
  <c r="P99" i="24"/>
  <c r="AC100" i="24"/>
  <c r="P100" i="24"/>
  <c r="AC99" i="24"/>
  <c r="P101" i="24"/>
  <c r="AC101" i="24"/>
  <c r="AB100" i="24"/>
  <c r="AI98" i="24"/>
  <c r="AN99" i="24"/>
  <c r="AB99" i="24"/>
  <c r="AI99" i="24"/>
  <c r="AO99" i="24"/>
  <c r="H60" i="51"/>
  <c r="H59" i="51"/>
  <c r="AA64" i="11"/>
  <c r="D32" i="51" s="1"/>
  <c r="AE65" i="11"/>
  <c r="AF65" i="11"/>
  <c r="AF64" i="11"/>
  <c r="AH64" i="11"/>
  <c r="AC64" i="11"/>
  <c r="AD64" i="11"/>
  <c r="AE64" i="11"/>
  <c r="AI64" i="11"/>
  <c r="AH65" i="11"/>
  <c r="AD65" i="11"/>
  <c r="AB65" i="11"/>
  <c r="AB64" i="11"/>
  <c r="AA65" i="11"/>
  <c r="D33" i="51" s="1"/>
  <c r="Z65" i="11"/>
  <c r="Z64" i="11"/>
  <c r="AC51" i="11"/>
  <c r="AF52" i="11"/>
  <c r="AB50" i="11"/>
  <c r="AE53" i="11"/>
  <c r="AA51" i="11"/>
  <c r="AI51" i="11"/>
  <c r="AB53" i="11"/>
  <c r="AH52" i="11"/>
  <c r="AD50" i="11"/>
  <c r="AE50" i="11"/>
  <c r="AF53" i="11"/>
  <c r="AH51" i="11"/>
  <c r="AH53" i="11"/>
  <c r="AD53" i="11"/>
  <c r="AC52" i="11"/>
  <c r="AB51" i="11"/>
  <c r="Z53" i="11"/>
  <c r="AE52" i="11"/>
  <c r="AA53" i="11"/>
  <c r="Z50" i="11"/>
  <c r="AD52" i="11"/>
  <c r="Z52" i="11"/>
  <c r="AA52" i="11"/>
  <c r="AE51" i="11"/>
  <c r="AA50" i="11"/>
  <c r="AF51" i="11"/>
  <c r="Z51" i="11"/>
  <c r="AI50" i="11"/>
  <c r="AF50" i="11"/>
  <c r="AD51" i="11"/>
  <c r="AC50" i="11"/>
  <c r="AH50" i="11"/>
  <c r="AB52" i="11"/>
  <c r="Q51" i="11"/>
  <c r="T52" i="11"/>
  <c r="P50" i="11"/>
  <c r="S53" i="11"/>
  <c r="O51" i="11"/>
  <c r="W51" i="11"/>
  <c r="P53" i="11"/>
  <c r="V52" i="11"/>
  <c r="R50" i="11"/>
  <c r="S50" i="11"/>
  <c r="T53" i="11"/>
  <c r="V51" i="11"/>
  <c r="V53" i="11"/>
  <c r="R53" i="11"/>
  <c r="Q52" i="11"/>
  <c r="P51" i="11"/>
  <c r="N53" i="11"/>
  <c r="S52" i="11"/>
  <c r="O53" i="11"/>
  <c r="N50" i="11"/>
  <c r="R52" i="11"/>
  <c r="N52" i="11"/>
  <c r="O52" i="11"/>
  <c r="S51" i="11"/>
  <c r="O50" i="11"/>
  <c r="T51" i="11"/>
  <c r="N51" i="11"/>
  <c r="W50" i="11"/>
  <c r="T50" i="11"/>
  <c r="R51" i="11"/>
  <c r="Q50" i="11"/>
  <c r="V50" i="11"/>
  <c r="P52" i="11"/>
  <c r="C53" i="11"/>
  <c r="E51" i="11"/>
  <c r="H52" i="11"/>
  <c r="D50" i="11"/>
  <c r="G53" i="11"/>
  <c r="S111" i="11" s="1"/>
  <c r="C51" i="11"/>
  <c r="K51" i="11"/>
  <c r="D53" i="11"/>
  <c r="J52" i="11"/>
  <c r="F50" i="11"/>
  <c r="G50" i="11"/>
  <c r="H53" i="11"/>
  <c r="T111" i="11" s="1"/>
  <c r="J51" i="11"/>
  <c r="J53" i="11"/>
  <c r="F53" i="11"/>
  <c r="E52" i="11"/>
  <c r="D51" i="11"/>
  <c r="B53" i="11"/>
  <c r="N111" i="11" s="1"/>
  <c r="G52" i="11"/>
  <c r="B50" i="11"/>
  <c r="F52" i="11"/>
  <c r="B52" i="11"/>
  <c r="C52" i="11"/>
  <c r="G51" i="11"/>
  <c r="C50" i="11"/>
  <c r="H51" i="11"/>
  <c r="B51" i="11"/>
  <c r="K50" i="11"/>
  <c r="H50" i="11"/>
  <c r="F51" i="11"/>
  <c r="E50" i="11"/>
  <c r="J50" i="11"/>
  <c r="D52" i="11"/>
  <c r="BB124" i="11"/>
  <c r="AX127" i="11"/>
  <c r="BD127" i="11"/>
  <c r="AZ124" i="11"/>
  <c r="BD125" i="11"/>
  <c r="BG125" i="11"/>
  <c r="AX124" i="11"/>
  <c r="AY127" i="11"/>
  <c r="BC126" i="11"/>
  <c r="BC124" i="11"/>
  <c r="BA124" i="11"/>
  <c r="AY125" i="11"/>
  <c r="BF125" i="11"/>
  <c r="AZ125" i="11"/>
  <c r="AX126" i="11"/>
  <c r="BF126" i="11"/>
  <c r="AZ126" i="11"/>
  <c r="BD124" i="11"/>
  <c r="AY126" i="11"/>
  <c r="BA126" i="11"/>
  <c r="BC127" i="11"/>
  <c r="BF127" i="11"/>
  <c r="BB125" i="11"/>
  <c r="BB126" i="11"/>
  <c r="BB127" i="11"/>
  <c r="AZ127" i="11"/>
  <c r="AX125" i="11"/>
  <c r="BG124" i="11"/>
  <c r="BD126" i="11"/>
  <c r="BF124" i="11"/>
  <c r="AY124" i="11"/>
  <c r="BC125" i="11"/>
  <c r="BA125" i="11"/>
  <c r="S65" i="24"/>
  <c r="G65" i="24" s="1"/>
  <c r="Q123" i="11"/>
  <c r="T123" i="11"/>
  <c r="T125" i="11"/>
  <c r="V122" i="11"/>
  <c r="V124" i="11"/>
  <c r="O123" i="11"/>
  <c r="O125" i="11"/>
  <c r="S122" i="11"/>
  <c r="S124" i="11"/>
  <c r="W122" i="11"/>
  <c r="P122" i="11"/>
  <c r="P124" i="11"/>
  <c r="Q122" i="11"/>
  <c r="Q124" i="11"/>
  <c r="N122" i="11"/>
  <c r="N124" i="11"/>
  <c r="R123" i="11"/>
  <c r="R125" i="11"/>
  <c r="P123" i="11"/>
  <c r="P125" i="11"/>
  <c r="W123" i="11"/>
  <c r="T122" i="11"/>
  <c r="T124" i="11"/>
  <c r="S123" i="11"/>
  <c r="S125" i="11"/>
  <c r="O122" i="11"/>
  <c r="O124" i="11"/>
  <c r="V123" i="11"/>
  <c r="V125" i="11"/>
  <c r="R122" i="11"/>
  <c r="R124" i="11"/>
  <c r="N123" i="11"/>
  <c r="N125" i="11"/>
  <c r="M121" i="11"/>
  <c r="Y121" i="11" s="1"/>
  <c r="AK121" i="11" s="1"/>
  <c r="AW121" i="11" s="1"/>
  <c r="M122" i="11"/>
  <c r="Y122" i="11" s="1"/>
  <c r="AK122" i="11" s="1"/>
  <c r="AW122" i="11" s="1"/>
  <c r="M123" i="11"/>
  <c r="Y123" i="11" s="1"/>
  <c r="AK123" i="11" s="1"/>
  <c r="AW123" i="11" s="1"/>
  <c r="AH124" i="11"/>
  <c r="AH125" i="11"/>
  <c r="AE123" i="11"/>
  <c r="AA123" i="11"/>
  <c r="AD124" i="11"/>
  <c r="AD125" i="11"/>
  <c r="AE124" i="11"/>
  <c r="AE125" i="11"/>
  <c r="AD122" i="11"/>
  <c r="AD123" i="11"/>
  <c r="Z123" i="11"/>
  <c r="AB122" i="11"/>
  <c r="AF123" i="11"/>
  <c r="AB124" i="11"/>
  <c r="AB125" i="11"/>
  <c r="AE122" i="11"/>
  <c r="AH123" i="11"/>
  <c r="AH122" i="11"/>
  <c r="Z122" i="11"/>
  <c r="AI122" i="11"/>
  <c r="AI123" i="11"/>
  <c r="AB123" i="11"/>
  <c r="AF124" i="11"/>
  <c r="AF125" i="11"/>
  <c r="Z124" i="11"/>
  <c r="Z125" i="11"/>
  <c r="AC122" i="11"/>
  <c r="AC123" i="11"/>
  <c r="AC124" i="11"/>
  <c r="AA124" i="11"/>
  <c r="AA125" i="11"/>
  <c r="AA122" i="11"/>
  <c r="AF122" i="11"/>
  <c r="O87" i="11"/>
  <c r="V87" i="11"/>
  <c r="C107" i="11"/>
  <c r="Q87" i="11"/>
  <c r="H106" i="11"/>
  <c r="AL123" i="11"/>
  <c r="AL124" i="11"/>
  <c r="AL122" i="11"/>
  <c r="AM122" i="11"/>
  <c r="AN122" i="11"/>
  <c r="AQ123" i="11"/>
  <c r="AQ124" i="11"/>
  <c r="AP123" i="11"/>
  <c r="AP124" i="11"/>
  <c r="AM123" i="11"/>
  <c r="AM124" i="11"/>
  <c r="AT121" i="11"/>
  <c r="AQ121" i="11"/>
  <c r="AL121" i="11"/>
  <c r="AR123" i="11"/>
  <c r="AR124" i="11"/>
  <c r="AP121" i="11"/>
  <c r="AM121" i="11"/>
  <c r="AO121" i="11"/>
  <c r="AR122" i="11"/>
  <c r="AQ122" i="11"/>
  <c r="AT123" i="11"/>
  <c r="AT124" i="11"/>
  <c r="AN121" i="11"/>
  <c r="AN123" i="11"/>
  <c r="AN124" i="11"/>
  <c r="AT122" i="11"/>
  <c r="AP122" i="11"/>
  <c r="AR121" i="11"/>
  <c r="AU121" i="11"/>
  <c r="AU122" i="11"/>
  <c r="AO122" i="11"/>
  <c r="AO123" i="11"/>
  <c r="K122" i="11"/>
  <c r="C122" i="11"/>
  <c r="C124" i="11"/>
  <c r="D122" i="11"/>
  <c r="D124" i="11"/>
  <c r="G123" i="11"/>
  <c r="G125" i="11"/>
  <c r="F123" i="11"/>
  <c r="F125" i="11"/>
  <c r="C123" i="11"/>
  <c r="C125" i="11"/>
  <c r="H123" i="11"/>
  <c r="H125" i="11"/>
  <c r="E123" i="11"/>
  <c r="H122" i="11"/>
  <c r="H124" i="11"/>
  <c r="G122" i="11"/>
  <c r="G124" i="11"/>
  <c r="J123" i="11"/>
  <c r="J125" i="11"/>
  <c r="D123" i="11"/>
  <c r="D125" i="11"/>
  <c r="J122" i="11"/>
  <c r="J124" i="11"/>
  <c r="F122" i="11"/>
  <c r="F124" i="11"/>
  <c r="K123" i="11"/>
  <c r="E122" i="11"/>
  <c r="E124" i="11"/>
  <c r="B123" i="11"/>
  <c r="B125" i="11"/>
  <c r="B122" i="11"/>
  <c r="B124" i="11"/>
  <c r="B69" i="11"/>
  <c r="G69" i="11"/>
  <c r="K68" i="11"/>
  <c r="F69" i="11"/>
  <c r="K69" i="11"/>
  <c r="O67" i="11"/>
  <c r="R65" i="11"/>
  <c r="F65" i="11" s="1"/>
  <c r="O68" i="11"/>
  <c r="C68" i="11" s="1"/>
  <c r="C105" i="11" s="1"/>
  <c r="O65" i="11"/>
  <c r="T66" i="11"/>
  <c r="S65" i="11"/>
  <c r="R67" i="11"/>
  <c r="R68" i="11"/>
  <c r="U65" i="11"/>
  <c r="I65" i="11" s="1"/>
  <c r="R66" i="11"/>
  <c r="W66" i="11"/>
  <c r="K66" i="11" s="1"/>
  <c r="K103" i="11" s="1"/>
  <c r="S67" i="11"/>
  <c r="Q68" i="11"/>
  <c r="N66" i="11"/>
  <c r="B66" i="11" s="1"/>
  <c r="B103" i="11" s="1"/>
  <c r="V66" i="11"/>
  <c r="P66" i="11"/>
  <c r="P65" i="11"/>
  <c r="S66" i="11"/>
  <c r="G66" i="11" s="1"/>
  <c r="G103" i="11" s="1"/>
  <c r="N68" i="11"/>
  <c r="B68" i="11" s="1"/>
  <c r="B105" i="11" s="1"/>
  <c r="P67" i="11"/>
  <c r="N67" i="11"/>
  <c r="B67" i="11" s="1"/>
  <c r="B104" i="11" s="1"/>
  <c r="V67" i="11"/>
  <c r="Q65" i="11"/>
  <c r="E65" i="11" s="1"/>
  <c r="P68" i="11"/>
  <c r="Q67" i="11"/>
  <c r="E67" i="11" s="1"/>
  <c r="E104" i="11" s="1"/>
  <c r="T68" i="11"/>
  <c r="O66" i="11"/>
  <c r="W65" i="11"/>
  <c r="K65" i="11" s="1"/>
  <c r="Q66" i="11"/>
  <c r="T65" i="11"/>
  <c r="T67" i="11"/>
  <c r="N65" i="11"/>
  <c r="V65" i="11"/>
  <c r="S68" i="11"/>
  <c r="G68" i="11" s="1"/>
  <c r="G105" i="11" s="1"/>
  <c r="K67" i="11"/>
  <c r="D69" i="11"/>
  <c r="K16" i="16"/>
  <c r="R9" i="17"/>
  <c r="L16" i="18"/>
  <c r="L16" i="17"/>
  <c r="K16" i="15"/>
  <c r="R9" i="18"/>
  <c r="R14" i="18"/>
  <c r="R8" i="18"/>
  <c r="R6" i="18"/>
  <c r="R10" i="18"/>
  <c r="Q7" i="17"/>
  <c r="R12" i="18"/>
  <c r="N16" i="18"/>
  <c r="E16" i="17"/>
  <c r="E16" i="18"/>
  <c r="O16" i="18"/>
  <c r="N7" i="17"/>
  <c r="Q16" i="18"/>
  <c r="R11" i="18"/>
  <c r="M16" i="18"/>
  <c r="P16" i="18"/>
  <c r="Q7" i="16"/>
  <c r="R6" i="17"/>
  <c r="R7" i="18"/>
  <c r="R8" i="17"/>
  <c r="R14" i="17"/>
  <c r="R11" i="17"/>
  <c r="R12" i="17"/>
  <c r="R10" i="17"/>
  <c r="P16" i="17"/>
  <c r="O16" i="17"/>
  <c r="Q12" i="15"/>
  <c r="R7" i="17"/>
  <c r="M16" i="17"/>
  <c r="Q15" i="16"/>
  <c r="Q11" i="15"/>
  <c r="M12" i="15"/>
  <c r="Q10" i="15"/>
  <c r="Q9" i="16"/>
  <c r="Q10" i="16"/>
  <c r="Q8" i="16"/>
  <c r="M11" i="15"/>
  <c r="Q6" i="16"/>
  <c r="Q14" i="16"/>
  <c r="Q11" i="16"/>
  <c r="Q12" i="16"/>
  <c r="P16" i="16"/>
  <c r="L16" i="16"/>
  <c r="O16" i="16"/>
  <c r="M16" i="16"/>
  <c r="N16" i="16"/>
  <c r="Q8" i="15"/>
  <c r="P10" i="15"/>
  <c r="P6" i="15"/>
  <c r="M14" i="15"/>
  <c r="M7" i="15"/>
  <c r="P7" i="15"/>
  <c r="P12" i="15"/>
  <c r="P13" i="15"/>
  <c r="P11" i="15"/>
  <c r="Q6" i="15"/>
  <c r="L16" i="15"/>
  <c r="O16" i="15"/>
  <c r="Q7" i="15"/>
  <c r="Q9" i="15"/>
  <c r="Q13" i="15"/>
  <c r="Q14" i="15"/>
  <c r="Q15" i="15"/>
  <c r="N16" i="15"/>
  <c r="N11" i="14"/>
  <c r="P32" i="14"/>
  <c r="O32" i="14"/>
  <c r="Q32" i="14" s="1"/>
  <c r="N32" i="14"/>
  <c r="L27" i="14"/>
  <c r="M27" i="14" s="1"/>
  <c r="K27" i="14"/>
  <c r="J27" i="14"/>
  <c r="G27" i="14"/>
  <c r="F27" i="14"/>
  <c r="E27" i="14"/>
  <c r="D27" i="14"/>
  <c r="L26" i="14"/>
  <c r="M26" i="14" s="1"/>
  <c r="K26" i="14"/>
  <c r="J26" i="14"/>
  <c r="G26" i="14"/>
  <c r="F26" i="14"/>
  <c r="E26" i="14"/>
  <c r="D26" i="14"/>
  <c r="L25" i="14"/>
  <c r="M25" i="14" s="1"/>
  <c r="K25" i="14"/>
  <c r="J25" i="14"/>
  <c r="G25" i="14"/>
  <c r="F25" i="14"/>
  <c r="E25" i="14"/>
  <c r="D25" i="14"/>
  <c r="L24" i="14"/>
  <c r="M24" i="14" s="1"/>
  <c r="K24" i="14"/>
  <c r="J24" i="14"/>
  <c r="G24" i="14"/>
  <c r="F24" i="14"/>
  <c r="E24" i="14"/>
  <c r="D24" i="14"/>
  <c r="J15" i="14"/>
  <c r="H15" i="14"/>
  <c r="G15" i="14"/>
  <c r="F15" i="14"/>
  <c r="E15" i="14"/>
  <c r="D15" i="14"/>
  <c r="J14" i="14"/>
  <c r="I14" i="14"/>
  <c r="H14" i="14"/>
  <c r="G14" i="14"/>
  <c r="F14" i="14"/>
  <c r="E14" i="14"/>
  <c r="D14" i="14"/>
  <c r="J13" i="14"/>
  <c r="I13" i="14"/>
  <c r="H13" i="14"/>
  <c r="G13" i="14"/>
  <c r="F13" i="14"/>
  <c r="E13" i="14"/>
  <c r="D13" i="14"/>
  <c r="J12" i="14"/>
  <c r="I12" i="14"/>
  <c r="H12" i="14"/>
  <c r="G12" i="14"/>
  <c r="F12" i="14"/>
  <c r="E12" i="14"/>
  <c r="D12" i="14"/>
  <c r="J11" i="14"/>
  <c r="I11" i="14"/>
  <c r="H11" i="14"/>
  <c r="G11" i="14"/>
  <c r="F11" i="14"/>
  <c r="E11" i="14"/>
  <c r="D11" i="14"/>
  <c r="J10" i="14"/>
  <c r="I10" i="14"/>
  <c r="H10" i="14"/>
  <c r="G10" i="14"/>
  <c r="F10" i="14"/>
  <c r="J9" i="14"/>
  <c r="I9" i="14"/>
  <c r="H9" i="14"/>
  <c r="G9" i="14"/>
  <c r="F9" i="14"/>
  <c r="E9" i="14"/>
  <c r="D9" i="14"/>
  <c r="J8" i="14"/>
  <c r="I8" i="14"/>
  <c r="H8" i="14"/>
  <c r="G8" i="14"/>
  <c r="F8" i="14"/>
  <c r="E8" i="14"/>
  <c r="D8" i="14"/>
  <c r="J7" i="14"/>
  <c r="I7" i="14"/>
  <c r="H7" i="14"/>
  <c r="G7" i="14"/>
  <c r="F7" i="14"/>
  <c r="E7" i="14"/>
  <c r="D7" i="14"/>
  <c r="J6" i="14"/>
  <c r="I6" i="14"/>
  <c r="H6" i="14"/>
  <c r="G6" i="14"/>
  <c r="F6" i="14"/>
  <c r="D6" i="14"/>
  <c r="O5" i="14"/>
  <c r="I10" i="13"/>
  <c r="P6" i="24"/>
  <c r="AA27" i="11"/>
  <c r="G26" i="11"/>
  <c r="U6" i="24"/>
  <c r="B26" i="24"/>
  <c r="R25" i="24"/>
  <c r="D26" i="24"/>
  <c r="S26" i="24"/>
  <c r="V30" i="11"/>
  <c r="R6" i="24"/>
  <c r="AA29" i="11"/>
  <c r="AD28" i="11"/>
  <c r="H26" i="24"/>
  <c r="C6" i="24"/>
  <c r="J6" i="24"/>
  <c r="Z27" i="11"/>
  <c r="O6" i="24"/>
  <c r="F26" i="24"/>
  <c r="AE27" i="11"/>
  <c r="Q6" i="24"/>
  <c r="AE26" i="24"/>
  <c r="V26" i="24"/>
  <c r="I6" i="24"/>
  <c r="AA26" i="24"/>
  <c r="N26" i="24"/>
  <c r="Z26" i="24"/>
  <c r="AB26" i="24"/>
  <c r="D6" i="24"/>
  <c r="AG27" i="11"/>
  <c r="K26" i="24"/>
  <c r="AD27" i="11"/>
  <c r="AI26" i="24"/>
  <c r="W6" i="24"/>
  <c r="G6" i="24"/>
  <c r="S6" i="24"/>
  <c r="AH26" i="24"/>
  <c r="AD26" i="24"/>
  <c r="N6" i="24"/>
  <c r="AF27" i="11"/>
  <c r="E6" i="24"/>
  <c r="H6" i="24"/>
  <c r="T6" i="24"/>
  <c r="R26" i="24"/>
  <c r="AC26" i="24"/>
  <c r="P26" i="24"/>
  <c r="G26" i="24"/>
  <c r="U26" i="24"/>
  <c r="O26" i="24"/>
  <c r="V6" i="24"/>
  <c r="AF26" i="24"/>
  <c r="Q26" i="24"/>
  <c r="AG26" i="24"/>
  <c r="K6" i="24"/>
  <c r="I26" i="24"/>
  <c r="C26" i="24"/>
  <c r="J26" i="24"/>
  <c r="T26" i="24"/>
  <c r="E26" i="24"/>
  <c r="E65" i="51" l="1"/>
  <c r="E64" i="51"/>
  <c r="C64" i="31"/>
  <c r="B65" i="51"/>
  <c r="B64" i="51"/>
  <c r="T123" i="24"/>
  <c r="V123" i="24"/>
  <c r="O123" i="24"/>
  <c r="W123" i="24"/>
  <c r="S123" i="24"/>
  <c r="Q123" i="24"/>
  <c r="R123" i="24"/>
  <c r="P123" i="24"/>
  <c r="N123" i="24"/>
  <c r="C63" i="51"/>
  <c r="V122" i="24"/>
  <c r="Q122" i="24"/>
  <c r="O122" i="24"/>
  <c r="R122" i="24"/>
  <c r="N122" i="24"/>
  <c r="S122" i="24"/>
  <c r="W122" i="24"/>
  <c r="P122" i="24"/>
  <c r="T122" i="24"/>
  <c r="B37" i="51"/>
  <c r="C37" i="51"/>
  <c r="C36" i="51"/>
  <c r="B36" i="51"/>
  <c r="C92" i="11"/>
  <c r="O111" i="11"/>
  <c r="D92" i="11"/>
  <c r="P111" i="11"/>
  <c r="J92" i="11"/>
  <c r="V111" i="11"/>
  <c r="F92" i="11"/>
  <c r="R111" i="11"/>
  <c r="G92" i="11"/>
  <c r="B92" i="11"/>
  <c r="H92" i="11"/>
  <c r="N121" i="24"/>
  <c r="S121" i="24"/>
  <c r="Q121" i="24"/>
  <c r="P121" i="24"/>
  <c r="V121" i="24"/>
  <c r="O121" i="24"/>
  <c r="T121" i="24"/>
  <c r="W121" i="24"/>
  <c r="R121" i="24"/>
  <c r="S120" i="24"/>
  <c r="T117" i="24"/>
  <c r="AF105" i="24"/>
  <c r="W120" i="24"/>
  <c r="N117" i="24"/>
  <c r="Q117" i="24"/>
  <c r="O120" i="24"/>
  <c r="V118" i="24"/>
  <c r="V117" i="24"/>
  <c r="R117" i="24"/>
  <c r="S117" i="24"/>
  <c r="J105" i="24"/>
  <c r="V119" i="24"/>
  <c r="P120" i="24"/>
  <c r="N120" i="24"/>
  <c r="P117" i="24"/>
  <c r="V120" i="24"/>
  <c r="R120" i="24"/>
  <c r="Q120" i="24"/>
  <c r="T120" i="24"/>
  <c r="T118" i="24"/>
  <c r="N118" i="24"/>
  <c r="O117" i="24"/>
  <c r="W118" i="24"/>
  <c r="O118" i="24"/>
  <c r="S118" i="24"/>
  <c r="O119" i="24"/>
  <c r="W119" i="24"/>
  <c r="T119" i="24"/>
  <c r="N119" i="24"/>
  <c r="W117" i="24"/>
  <c r="R118" i="24"/>
  <c r="S119" i="24"/>
  <c r="R119" i="24"/>
  <c r="Q119" i="24"/>
  <c r="Q118" i="24"/>
  <c r="P119" i="24"/>
  <c r="P118" i="24"/>
  <c r="D33" i="31"/>
  <c r="D32" i="31"/>
  <c r="AC49" i="24"/>
  <c r="AF49" i="24"/>
  <c r="Z49" i="24"/>
  <c r="AD49" i="24"/>
  <c r="AE49" i="24"/>
  <c r="AB49" i="24"/>
  <c r="AH49" i="24"/>
  <c r="AI49" i="24"/>
  <c r="AA49" i="24"/>
  <c r="E83" i="24"/>
  <c r="H83" i="24"/>
  <c r="B83" i="24"/>
  <c r="F83" i="24"/>
  <c r="G83" i="24"/>
  <c r="D83" i="24"/>
  <c r="I83" i="24"/>
  <c r="J83" i="24"/>
  <c r="K83" i="24"/>
  <c r="C83" i="24"/>
  <c r="F56" i="51" s="1"/>
  <c r="AE63" i="11"/>
  <c r="P49" i="24"/>
  <c r="S49" i="24"/>
  <c r="N49" i="24"/>
  <c r="T49" i="24"/>
  <c r="Q49" i="24"/>
  <c r="R49" i="24"/>
  <c r="O49" i="24"/>
  <c r="W49" i="24"/>
  <c r="V49" i="24"/>
  <c r="D49" i="24"/>
  <c r="G49" i="24"/>
  <c r="B49" i="24"/>
  <c r="H49" i="24"/>
  <c r="E49" i="24"/>
  <c r="F49" i="24"/>
  <c r="C49" i="24"/>
  <c r="K49" i="24"/>
  <c r="J49" i="24"/>
  <c r="AE49" i="11"/>
  <c r="S49" i="11"/>
  <c r="G49" i="11"/>
  <c r="T109" i="11"/>
  <c r="N109" i="11"/>
  <c r="V109" i="11"/>
  <c r="P109" i="11"/>
  <c r="R109" i="11"/>
  <c r="W109" i="11"/>
  <c r="S110" i="11"/>
  <c r="S109" i="11"/>
  <c r="Q109" i="11"/>
  <c r="B91" i="11"/>
  <c r="N110" i="11"/>
  <c r="D91" i="11"/>
  <c r="P110" i="11"/>
  <c r="C91" i="11"/>
  <c r="O110" i="11"/>
  <c r="F91" i="11"/>
  <c r="R110" i="11"/>
  <c r="H91" i="11"/>
  <c r="T110" i="11"/>
  <c r="J91" i="11"/>
  <c r="V110" i="11"/>
  <c r="E91" i="11"/>
  <c r="Q110" i="11"/>
  <c r="G91" i="11"/>
  <c r="BC123" i="11"/>
  <c r="O109" i="11"/>
  <c r="J90" i="11"/>
  <c r="K90" i="11"/>
  <c r="E90" i="11"/>
  <c r="B90" i="11"/>
  <c r="C90" i="11"/>
  <c r="D90" i="11"/>
  <c r="F90" i="11"/>
  <c r="G90" i="11"/>
  <c r="H90" i="11"/>
  <c r="AU134" i="11"/>
  <c r="AO134" i="11"/>
  <c r="AM134" i="11"/>
  <c r="AR134" i="11"/>
  <c r="AP134" i="11"/>
  <c r="AQ134" i="11"/>
  <c r="AN134" i="11"/>
  <c r="AT134" i="11"/>
  <c r="AL134" i="11"/>
  <c r="B89" i="11"/>
  <c r="D89" i="11"/>
  <c r="F89" i="11"/>
  <c r="C89" i="11"/>
  <c r="G89" i="11"/>
  <c r="E89" i="11"/>
  <c r="K89" i="11"/>
  <c r="J89" i="11"/>
  <c r="H89" i="11"/>
  <c r="W108" i="11"/>
  <c r="Q108" i="11"/>
  <c r="Q16" i="17"/>
  <c r="V68" i="11"/>
  <c r="J68" i="11" s="1"/>
  <c r="S121" i="11"/>
  <c r="R108" i="11"/>
  <c r="N108" i="11"/>
  <c r="O108" i="11"/>
  <c r="V108" i="11"/>
  <c r="P108" i="11"/>
  <c r="T108" i="11"/>
  <c r="S108" i="11"/>
  <c r="AE121" i="11"/>
  <c r="AE134" i="11" s="1"/>
  <c r="D106" i="11"/>
  <c r="P87" i="11"/>
  <c r="K104" i="11"/>
  <c r="W85" i="11"/>
  <c r="K106" i="11"/>
  <c r="W87" i="11"/>
  <c r="W84" i="11"/>
  <c r="N86" i="11"/>
  <c r="K105" i="11"/>
  <c r="W86" i="11"/>
  <c r="F106" i="11"/>
  <c r="R87" i="11"/>
  <c r="G106" i="11"/>
  <c r="S87" i="11"/>
  <c r="B106" i="11"/>
  <c r="B116" i="11" s="1"/>
  <c r="N87" i="11"/>
  <c r="Q85" i="11"/>
  <c r="S86" i="11"/>
  <c r="S84" i="11"/>
  <c r="N85" i="11"/>
  <c r="O86" i="11"/>
  <c r="N84" i="11"/>
  <c r="G121" i="11"/>
  <c r="G134" i="11" s="1"/>
  <c r="W64" i="24"/>
  <c r="K64" i="24" s="1"/>
  <c r="T64" i="24"/>
  <c r="H64" i="24" s="1"/>
  <c r="R64" i="24"/>
  <c r="F64" i="24" s="1"/>
  <c r="V64" i="24"/>
  <c r="J64" i="24" s="1"/>
  <c r="P64" i="24"/>
  <c r="D64" i="24" s="1"/>
  <c r="O64" i="24"/>
  <c r="C64" i="24" s="1"/>
  <c r="S64" i="24"/>
  <c r="G64" i="24" s="1"/>
  <c r="N64" i="24"/>
  <c r="B64" i="24" s="1"/>
  <c r="Q64" i="24"/>
  <c r="E64" i="24" s="1"/>
  <c r="U64" i="24"/>
  <c r="I64" i="24" s="1"/>
  <c r="K10" i="14"/>
  <c r="K6" i="14"/>
  <c r="D66" i="11"/>
  <c r="D65" i="11"/>
  <c r="J66" i="11"/>
  <c r="F66" i="11"/>
  <c r="G67" i="11"/>
  <c r="F68" i="11"/>
  <c r="H66" i="11"/>
  <c r="E66" i="11"/>
  <c r="J67" i="11"/>
  <c r="H68" i="11"/>
  <c r="C66" i="11"/>
  <c r="D68" i="11"/>
  <c r="D67" i="11"/>
  <c r="F67" i="11"/>
  <c r="E68" i="11"/>
  <c r="H67" i="11"/>
  <c r="B65" i="11"/>
  <c r="K7" i="14"/>
  <c r="K8" i="14"/>
  <c r="K12" i="14"/>
  <c r="N16" i="17"/>
  <c r="K15" i="14"/>
  <c r="K13" i="14"/>
  <c r="K14" i="14"/>
  <c r="K9" i="14"/>
  <c r="K11" i="14"/>
  <c r="M16" i="15"/>
  <c r="P16" i="15"/>
  <c r="O15" i="14"/>
  <c r="L15" i="14"/>
  <c r="N15" i="14"/>
  <c r="O8" i="14"/>
  <c r="O10" i="14"/>
  <c r="O6" i="14"/>
  <c r="O9" i="14"/>
  <c r="L9" i="14"/>
  <c r="L10" i="14"/>
  <c r="N6" i="14"/>
  <c r="H24" i="14"/>
  <c r="O14" i="14"/>
  <c r="O7" i="14"/>
  <c r="H25" i="14"/>
  <c r="N27" i="14"/>
  <c r="I26" i="14"/>
  <c r="I24" i="14"/>
  <c r="N24" i="14"/>
  <c r="H16" i="14"/>
  <c r="O24" i="14"/>
  <c r="I25" i="14"/>
  <c r="H27" i="14"/>
  <c r="I27" i="14"/>
  <c r="H26" i="14"/>
  <c r="O27" i="14"/>
  <c r="J16" i="14"/>
  <c r="O25" i="14"/>
  <c r="L7" i="14"/>
  <c r="L8" i="14"/>
  <c r="O12" i="14"/>
  <c r="I16" i="14"/>
  <c r="L11" i="14"/>
  <c r="P15" i="14"/>
  <c r="O11" i="14"/>
  <c r="L12" i="14"/>
  <c r="D16" i="14"/>
  <c r="N8" i="14"/>
  <c r="O13" i="14"/>
  <c r="E16" i="14"/>
  <c r="N12" i="14"/>
  <c r="F16" i="14"/>
  <c r="N26" i="14"/>
  <c r="N14" i="14"/>
  <c r="G16" i="14"/>
  <c r="N7" i="14"/>
  <c r="N10" i="14"/>
  <c r="M9" i="14"/>
  <c r="N9" i="14"/>
  <c r="L13" i="14"/>
  <c r="N25" i="14"/>
  <c r="L6" i="14"/>
  <c r="P11" i="14"/>
  <c r="P7" i="14"/>
  <c r="P10" i="14"/>
  <c r="M13" i="14"/>
  <c r="M7" i="14"/>
  <c r="O26" i="14"/>
  <c r="P13" i="14"/>
  <c r="N13" i="14"/>
  <c r="M12" i="14"/>
  <c r="L14" i="14"/>
  <c r="M10" i="14"/>
  <c r="M32" i="13"/>
  <c r="N32" i="13" s="1"/>
  <c r="O32" i="13"/>
  <c r="Q32" i="13" s="1"/>
  <c r="P32" i="13"/>
  <c r="N15" i="13"/>
  <c r="L15" i="13"/>
  <c r="O9" i="13"/>
  <c r="N6" i="13"/>
  <c r="L6" i="13"/>
  <c r="L27" i="13"/>
  <c r="M27" i="13" s="1"/>
  <c r="K27" i="13"/>
  <c r="J27" i="13"/>
  <c r="G27" i="13"/>
  <c r="F27" i="13"/>
  <c r="E27" i="13"/>
  <c r="D27" i="13"/>
  <c r="L26" i="13"/>
  <c r="M26" i="13" s="1"/>
  <c r="K26" i="13"/>
  <c r="J26" i="13"/>
  <c r="G26" i="13"/>
  <c r="F26" i="13"/>
  <c r="E26" i="13"/>
  <c r="D26" i="13"/>
  <c r="L25" i="13"/>
  <c r="M25" i="13" s="1"/>
  <c r="K25" i="13"/>
  <c r="J25" i="13"/>
  <c r="G25" i="13"/>
  <c r="F25" i="13"/>
  <c r="E25" i="13"/>
  <c r="D25" i="13"/>
  <c r="L24" i="13"/>
  <c r="M24" i="13" s="1"/>
  <c r="K24" i="13"/>
  <c r="J24" i="13"/>
  <c r="G24" i="13"/>
  <c r="F24" i="13"/>
  <c r="E24" i="13"/>
  <c r="D24" i="13"/>
  <c r="O15" i="13"/>
  <c r="J15" i="13"/>
  <c r="I15" i="13"/>
  <c r="H15" i="13"/>
  <c r="G15" i="13"/>
  <c r="F15" i="13"/>
  <c r="E15" i="13"/>
  <c r="D15" i="13"/>
  <c r="P14" i="13"/>
  <c r="O14" i="13"/>
  <c r="N14" i="13"/>
  <c r="M14" i="13"/>
  <c r="L14" i="13"/>
  <c r="J14" i="13"/>
  <c r="I14" i="13"/>
  <c r="H14" i="13"/>
  <c r="G14" i="13"/>
  <c r="F14" i="13"/>
  <c r="E14" i="13"/>
  <c r="D14" i="13"/>
  <c r="J13" i="13"/>
  <c r="I13" i="13"/>
  <c r="H13" i="13"/>
  <c r="G13" i="13"/>
  <c r="F13" i="13"/>
  <c r="E13" i="13"/>
  <c r="D13" i="13"/>
  <c r="J12" i="13"/>
  <c r="I12" i="13"/>
  <c r="H12" i="13"/>
  <c r="G12" i="13"/>
  <c r="F12" i="13"/>
  <c r="E12" i="13"/>
  <c r="D12" i="13"/>
  <c r="J11" i="13"/>
  <c r="I11" i="13"/>
  <c r="H11" i="13"/>
  <c r="G11" i="13"/>
  <c r="F11" i="13"/>
  <c r="E11" i="13"/>
  <c r="D11" i="13"/>
  <c r="J10" i="13"/>
  <c r="H10" i="13"/>
  <c r="G10" i="13"/>
  <c r="F10" i="13"/>
  <c r="E10" i="13"/>
  <c r="D10" i="13"/>
  <c r="N9" i="13"/>
  <c r="L9" i="13"/>
  <c r="J9" i="13"/>
  <c r="I9" i="13"/>
  <c r="H9" i="13"/>
  <c r="G9" i="13"/>
  <c r="F9" i="13"/>
  <c r="E9" i="13"/>
  <c r="D9" i="13"/>
  <c r="J8" i="13"/>
  <c r="I8" i="13"/>
  <c r="H8" i="13"/>
  <c r="G8" i="13"/>
  <c r="F8" i="13"/>
  <c r="E8" i="13"/>
  <c r="D8" i="13"/>
  <c r="J7" i="13"/>
  <c r="I7" i="13"/>
  <c r="H7" i="13"/>
  <c r="G7" i="13"/>
  <c r="F7" i="13"/>
  <c r="E7" i="13"/>
  <c r="D7" i="13"/>
  <c r="O6" i="13"/>
  <c r="J6" i="13"/>
  <c r="I6" i="13"/>
  <c r="H6" i="13"/>
  <c r="G6" i="13"/>
  <c r="F6" i="13"/>
  <c r="E6" i="13"/>
  <c r="D6" i="13"/>
  <c r="O5" i="13"/>
  <c r="O32" i="10"/>
  <c r="N14" i="10"/>
  <c r="O14" i="10"/>
  <c r="P14" i="10"/>
  <c r="P32" i="10"/>
  <c r="O5" i="10"/>
  <c r="M14" i="10"/>
  <c r="G9" i="10"/>
  <c r="L14" i="10"/>
  <c r="M32" i="10"/>
  <c r="N32" i="10" s="1"/>
  <c r="E6" i="10"/>
  <c r="D6" i="10"/>
  <c r="L27" i="10"/>
  <c r="M27" i="10" s="1"/>
  <c r="K27" i="10"/>
  <c r="J27" i="10"/>
  <c r="G27" i="10"/>
  <c r="F27" i="10"/>
  <c r="E27" i="10"/>
  <c r="D27" i="10"/>
  <c r="L26" i="10"/>
  <c r="M26" i="10" s="1"/>
  <c r="K26" i="10"/>
  <c r="J26" i="10"/>
  <c r="G26" i="10"/>
  <c r="F26" i="10"/>
  <c r="E26" i="10"/>
  <c r="D26" i="10"/>
  <c r="L25" i="10"/>
  <c r="M25" i="10" s="1"/>
  <c r="K25" i="10"/>
  <c r="J25" i="10"/>
  <c r="G25" i="10"/>
  <c r="F25" i="10"/>
  <c r="E25" i="10"/>
  <c r="D25" i="10"/>
  <c r="L24" i="10"/>
  <c r="M24" i="10" s="1"/>
  <c r="K24" i="10"/>
  <c r="J24" i="10"/>
  <c r="G24" i="10"/>
  <c r="F24" i="10"/>
  <c r="E24" i="10"/>
  <c r="D24" i="10"/>
  <c r="J15" i="10"/>
  <c r="I15" i="10"/>
  <c r="H15" i="10"/>
  <c r="G15" i="10"/>
  <c r="F15" i="10"/>
  <c r="E15" i="10"/>
  <c r="D15" i="10"/>
  <c r="J14" i="10"/>
  <c r="I14" i="10"/>
  <c r="H14" i="10"/>
  <c r="G14" i="10"/>
  <c r="F14" i="10"/>
  <c r="E14" i="10"/>
  <c r="D14" i="10"/>
  <c r="J13" i="10"/>
  <c r="I13" i="10"/>
  <c r="H13" i="10"/>
  <c r="G13" i="10"/>
  <c r="F13" i="10"/>
  <c r="E13" i="10"/>
  <c r="D13" i="10"/>
  <c r="J12" i="10"/>
  <c r="I12" i="10"/>
  <c r="H12" i="10"/>
  <c r="G12" i="10"/>
  <c r="F12" i="10"/>
  <c r="E12" i="10"/>
  <c r="D12" i="10"/>
  <c r="J11" i="10"/>
  <c r="I11" i="10"/>
  <c r="H11" i="10"/>
  <c r="G11" i="10"/>
  <c r="F11" i="10"/>
  <c r="E11" i="10"/>
  <c r="D11" i="10"/>
  <c r="J10" i="10"/>
  <c r="I10" i="10"/>
  <c r="H10" i="10"/>
  <c r="G10" i="10"/>
  <c r="F10" i="10"/>
  <c r="E10" i="10"/>
  <c r="D10" i="10"/>
  <c r="J9" i="10"/>
  <c r="I9" i="10"/>
  <c r="H9" i="10"/>
  <c r="F9" i="10"/>
  <c r="E9" i="10"/>
  <c r="D9" i="10"/>
  <c r="J8" i="10"/>
  <c r="I8" i="10"/>
  <c r="H8" i="10"/>
  <c r="G8" i="10"/>
  <c r="F8" i="10"/>
  <c r="E8" i="10"/>
  <c r="D8" i="10"/>
  <c r="J7" i="10"/>
  <c r="I7" i="10"/>
  <c r="H7" i="10"/>
  <c r="G7" i="10"/>
  <c r="F7" i="10"/>
  <c r="E7" i="10"/>
  <c r="D7" i="10"/>
  <c r="J6" i="10"/>
  <c r="I6" i="10"/>
  <c r="H6" i="10"/>
  <c r="G6" i="10"/>
  <c r="F6" i="10"/>
  <c r="G6" i="31"/>
  <c r="U26" i="11"/>
  <c r="J5" i="11"/>
  <c r="U25" i="24"/>
  <c r="H6" i="11"/>
  <c r="W4" i="24"/>
  <c r="E24" i="24"/>
  <c r="D12" i="51"/>
  <c r="I4" i="24"/>
  <c r="Q25" i="11"/>
  <c r="I6" i="11"/>
  <c r="AB24" i="24"/>
  <c r="C14" i="31"/>
  <c r="G5" i="24"/>
  <c r="AC24" i="24"/>
  <c r="T26" i="11"/>
  <c r="W25" i="24"/>
  <c r="B25" i="11"/>
  <c r="U5" i="24"/>
  <c r="Z24" i="24"/>
  <c r="G8" i="31"/>
  <c r="K5" i="24"/>
  <c r="F10" i="31"/>
  <c r="D26" i="11"/>
  <c r="N5" i="24"/>
  <c r="T5" i="24"/>
  <c r="B24" i="24"/>
  <c r="E6" i="11"/>
  <c r="K24" i="24"/>
  <c r="AB25" i="24"/>
  <c r="B37" i="31"/>
  <c r="U24" i="24"/>
  <c r="F5" i="24"/>
  <c r="AZ33" i="31"/>
  <c r="N25" i="11"/>
  <c r="W25" i="11"/>
  <c r="H24" i="24"/>
  <c r="AE25" i="24"/>
  <c r="C4" i="24"/>
  <c r="N24" i="24"/>
  <c r="G4" i="24"/>
  <c r="R5" i="24"/>
  <c r="J6" i="11"/>
  <c r="E4" i="24"/>
  <c r="AG24" i="24"/>
  <c r="AF24" i="24"/>
  <c r="AA26" i="11"/>
  <c r="Q6" i="11"/>
  <c r="V7" i="11"/>
  <c r="F14" i="31"/>
  <c r="Q24" i="24"/>
  <c r="C5" i="24"/>
  <c r="B5" i="11"/>
  <c r="AE24" i="24"/>
  <c r="AI24" i="24"/>
  <c r="R6" i="11"/>
  <c r="O25" i="24"/>
  <c r="J26" i="11"/>
  <c r="C6" i="11"/>
  <c r="O5" i="24"/>
  <c r="E26" i="11"/>
  <c r="S24" i="24"/>
  <c r="G12" i="31"/>
  <c r="F8" i="31"/>
  <c r="D14" i="31"/>
  <c r="E14" i="31"/>
  <c r="G10" i="31"/>
  <c r="W5" i="24"/>
  <c r="Z25" i="24"/>
  <c r="U6" i="11"/>
  <c r="S5" i="24"/>
  <c r="W26" i="11"/>
  <c r="D5" i="24"/>
  <c r="C26" i="11"/>
  <c r="AF25" i="24"/>
  <c r="E25" i="11"/>
  <c r="B4" i="24"/>
  <c r="AA24" i="24"/>
  <c r="P4" i="24"/>
  <c r="H26" i="11"/>
  <c r="S7" i="11"/>
  <c r="F8" i="51"/>
  <c r="E5" i="11"/>
  <c r="J5" i="24"/>
  <c r="O9" i="11"/>
  <c r="B25" i="24"/>
  <c r="G24" i="24"/>
  <c r="AD25" i="24"/>
  <c r="AA25" i="24"/>
  <c r="N4" i="24"/>
  <c r="S4" i="24"/>
  <c r="V26" i="11"/>
  <c r="I25" i="24"/>
  <c r="I24" i="24"/>
  <c r="R4" i="24"/>
  <c r="S25" i="24"/>
  <c r="E12" i="31"/>
  <c r="P25" i="24"/>
  <c r="J25" i="24"/>
  <c r="D24" i="24"/>
  <c r="D12" i="31"/>
  <c r="V25" i="24"/>
  <c r="F12" i="31"/>
  <c r="P5" i="24"/>
  <c r="AH25" i="11"/>
  <c r="S26" i="11"/>
  <c r="I26" i="11"/>
  <c r="O7" i="11"/>
  <c r="J25" i="11"/>
  <c r="U4" i="24"/>
  <c r="H4" i="24"/>
  <c r="AD26" i="11"/>
  <c r="K4" i="24"/>
  <c r="F4" i="24"/>
  <c r="P24" i="24"/>
  <c r="AG25" i="24"/>
  <c r="G25" i="24"/>
  <c r="H5" i="24"/>
  <c r="C24" i="24"/>
  <c r="AE26" i="11"/>
  <c r="O4" i="24"/>
  <c r="C36" i="31"/>
  <c r="T25" i="24"/>
  <c r="AZ32" i="31"/>
  <c r="H25" i="24"/>
  <c r="AH25" i="24"/>
  <c r="T7" i="11"/>
  <c r="B5" i="24"/>
  <c r="K26" i="11"/>
  <c r="C37" i="31"/>
  <c r="C14" i="51"/>
  <c r="V5" i="24"/>
  <c r="B36" i="31"/>
  <c r="E12" i="51"/>
  <c r="D14" i="51"/>
  <c r="Q26" i="11"/>
  <c r="K25" i="11"/>
  <c r="N25" i="24"/>
  <c r="O6" i="11"/>
  <c r="AG26" i="11"/>
  <c r="AI26" i="11"/>
  <c r="D25" i="24"/>
  <c r="Q5" i="24"/>
  <c r="N26" i="11"/>
  <c r="V5" i="11"/>
  <c r="C25" i="24"/>
  <c r="B26" i="11"/>
  <c r="P26" i="11"/>
  <c r="T24" i="24"/>
  <c r="K25" i="24"/>
  <c r="G6" i="51"/>
  <c r="V25" i="11"/>
  <c r="F24" i="24"/>
  <c r="T4" i="24"/>
  <c r="G8" i="51"/>
  <c r="F25" i="24"/>
  <c r="Q4" i="24"/>
  <c r="F6" i="11"/>
  <c r="AC25" i="24"/>
  <c r="B6" i="11"/>
  <c r="K5" i="11"/>
  <c r="K6" i="11"/>
  <c r="E5" i="24"/>
  <c r="R24" i="24"/>
  <c r="I5" i="24"/>
  <c r="D6" i="11"/>
  <c r="E25" i="24"/>
  <c r="T6" i="11"/>
  <c r="AD24" i="24"/>
  <c r="W24" i="24"/>
  <c r="E10" i="31"/>
  <c r="G6" i="11"/>
  <c r="Q25" i="24"/>
  <c r="O24" i="24"/>
  <c r="R26" i="11"/>
  <c r="O26" i="11"/>
  <c r="F26" i="11"/>
  <c r="D4" i="24"/>
  <c r="E10" i="51"/>
  <c r="F10" i="51"/>
  <c r="C65" i="51" l="1"/>
  <c r="B61" i="51"/>
  <c r="E61" i="51"/>
  <c r="C64" i="51"/>
  <c r="M32" i="31"/>
  <c r="K33" i="31"/>
  <c r="AE8" i="31"/>
  <c r="AF7" i="31"/>
  <c r="AD9" i="31"/>
  <c r="AF8" i="31"/>
  <c r="AE9" i="31"/>
  <c r="J149" i="11"/>
  <c r="G56" i="51"/>
  <c r="J148" i="11"/>
  <c r="N88" i="24"/>
  <c r="Z88" i="24"/>
  <c r="P88" i="24"/>
  <c r="AB88" i="24"/>
  <c r="S88" i="24"/>
  <c r="AE88" i="24"/>
  <c r="R88" i="24"/>
  <c r="AD88" i="24"/>
  <c r="T88" i="24"/>
  <c r="AF88" i="24"/>
  <c r="Q88" i="24"/>
  <c r="AC88" i="24"/>
  <c r="O88" i="24"/>
  <c r="AA88" i="24"/>
  <c r="W88" i="24"/>
  <c r="AI88" i="24"/>
  <c r="V88" i="24"/>
  <c r="AH88" i="24"/>
  <c r="AH105" i="24"/>
  <c r="AH106" i="24" s="1"/>
  <c r="AA105" i="24"/>
  <c r="AI105" i="24"/>
  <c r="AI106" i="24" s="1"/>
  <c r="AF106" i="24"/>
  <c r="AE105" i="24"/>
  <c r="AD105" i="24"/>
  <c r="AD106" i="24" s="1"/>
  <c r="Z105" i="24"/>
  <c r="Z106" i="24" s="1"/>
  <c r="O105" i="24"/>
  <c r="C105" i="24"/>
  <c r="C106" i="24" s="1"/>
  <c r="J106" i="24"/>
  <c r="K105" i="24"/>
  <c r="K106" i="24" s="1"/>
  <c r="H105" i="24"/>
  <c r="H106" i="24" s="1"/>
  <c r="F105" i="24"/>
  <c r="F106" i="24" s="1"/>
  <c r="E105" i="24"/>
  <c r="E106" i="24" s="1"/>
  <c r="G105" i="24"/>
  <c r="G106" i="24" s="1"/>
  <c r="D105" i="24"/>
  <c r="D106" i="24" s="1"/>
  <c r="B105" i="24"/>
  <c r="AT97" i="24"/>
  <c r="AU97" i="24"/>
  <c r="AN97" i="24"/>
  <c r="AQ97" i="24"/>
  <c r="AR97" i="24"/>
  <c r="AP97" i="24"/>
  <c r="AO97" i="24"/>
  <c r="AL97" i="24"/>
  <c r="AM97" i="24"/>
  <c r="AF5" i="51"/>
  <c r="AE6" i="51"/>
  <c r="AB9" i="51"/>
  <c r="AD7" i="51"/>
  <c r="AC8" i="51"/>
  <c r="AC8" i="31"/>
  <c r="AE6" i="31"/>
  <c r="AD7" i="31"/>
  <c r="AF5" i="31"/>
  <c r="AB9" i="31"/>
  <c r="AC9" i="51"/>
  <c r="AE7" i="51"/>
  <c r="AF6" i="51"/>
  <c r="AD8" i="51"/>
  <c r="AC9" i="31"/>
  <c r="AE7" i="31"/>
  <c r="AD8" i="31"/>
  <c r="AF6" i="31"/>
  <c r="C56" i="31"/>
  <c r="AH45" i="24"/>
  <c r="AH48" i="24"/>
  <c r="AH46" i="24"/>
  <c r="AH47" i="24"/>
  <c r="AD44" i="24"/>
  <c r="AD45" i="24"/>
  <c r="AD46" i="24"/>
  <c r="AD47" i="24"/>
  <c r="AE48" i="24"/>
  <c r="AB45" i="24"/>
  <c r="AB44" i="24"/>
  <c r="AB46" i="24"/>
  <c r="AB47" i="24"/>
  <c r="AG44" i="24"/>
  <c r="AG45" i="24"/>
  <c r="Z48" i="24"/>
  <c r="Z44" i="24"/>
  <c r="Z47" i="24"/>
  <c r="Z45" i="24"/>
  <c r="Z46" i="24"/>
  <c r="AC48" i="24"/>
  <c r="AD48" i="24"/>
  <c r="AI44" i="24"/>
  <c r="AI45" i="24"/>
  <c r="AI46" i="24"/>
  <c r="AI47" i="24"/>
  <c r="AA48" i="24"/>
  <c r="AE44" i="24"/>
  <c r="AE47" i="24"/>
  <c r="AE45" i="24"/>
  <c r="AE46" i="24"/>
  <c r="AA47" i="24"/>
  <c r="AA45" i="24"/>
  <c r="AA44" i="24"/>
  <c r="AA46" i="24"/>
  <c r="AF48" i="24"/>
  <c r="AF44" i="24"/>
  <c r="AF45" i="24"/>
  <c r="AF46" i="24"/>
  <c r="AF47" i="24"/>
  <c r="AI48" i="24"/>
  <c r="AC47" i="24"/>
  <c r="AC46" i="24"/>
  <c r="AC44" i="24"/>
  <c r="AC45" i="24"/>
  <c r="AB48" i="24"/>
  <c r="J82" i="24"/>
  <c r="F82" i="24"/>
  <c r="D82" i="24"/>
  <c r="I82" i="24"/>
  <c r="B82" i="24"/>
  <c r="K82" i="24"/>
  <c r="G82" i="24"/>
  <c r="C82" i="24"/>
  <c r="F55" i="51" s="1"/>
  <c r="H82" i="24"/>
  <c r="E82" i="24"/>
  <c r="AH62" i="11"/>
  <c r="AD63" i="11"/>
  <c r="AC63" i="11"/>
  <c r="AI63" i="11"/>
  <c r="AB63" i="11"/>
  <c r="AF63" i="11"/>
  <c r="AG63" i="11"/>
  <c r="AH63" i="11"/>
  <c r="AA63" i="11"/>
  <c r="D31" i="51" s="1"/>
  <c r="Z63" i="11"/>
  <c r="K116" i="11"/>
  <c r="O48" i="24"/>
  <c r="T48" i="24"/>
  <c r="P48" i="24"/>
  <c r="Q48" i="24"/>
  <c r="W48" i="24"/>
  <c r="N48" i="24"/>
  <c r="R48" i="24"/>
  <c r="S48" i="24"/>
  <c r="V48" i="24"/>
  <c r="Q47" i="24"/>
  <c r="S47" i="24"/>
  <c r="W47" i="24"/>
  <c r="T47" i="24"/>
  <c r="R47" i="24"/>
  <c r="P47" i="24"/>
  <c r="V47" i="24"/>
  <c r="O47" i="24"/>
  <c r="N47" i="24"/>
  <c r="C48" i="24"/>
  <c r="H48" i="24"/>
  <c r="D48" i="24"/>
  <c r="E48" i="24"/>
  <c r="K48" i="24"/>
  <c r="B48" i="24"/>
  <c r="F48" i="24"/>
  <c r="G48" i="24"/>
  <c r="J48" i="24"/>
  <c r="E47" i="24"/>
  <c r="G47" i="24"/>
  <c r="K47" i="24"/>
  <c r="H47" i="24"/>
  <c r="F47" i="24"/>
  <c r="D47" i="24"/>
  <c r="J47" i="24"/>
  <c r="C47" i="24"/>
  <c r="B47" i="24"/>
  <c r="AH49" i="11"/>
  <c r="AI48" i="11"/>
  <c r="Z48" i="11"/>
  <c r="AA49" i="11"/>
  <c r="Z49" i="11"/>
  <c r="AH48" i="11"/>
  <c r="AD49" i="11"/>
  <c r="AI49" i="11"/>
  <c r="AF49" i="11"/>
  <c r="AB49" i="11"/>
  <c r="AC48" i="11"/>
  <c r="AC49" i="11"/>
  <c r="AH47" i="11"/>
  <c r="V49" i="11"/>
  <c r="W48" i="11"/>
  <c r="N48" i="11"/>
  <c r="O49" i="11"/>
  <c r="N49" i="11"/>
  <c r="V48" i="11"/>
  <c r="R49" i="11"/>
  <c r="W49" i="11"/>
  <c r="T49" i="11"/>
  <c r="P49" i="11"/>
  <c r="Q48" i="11"/>
  <c r="Q49" i="11"/>
  <c r="V47" i="11"/>
  <c r="J49" i="11"/>
  <c r="K48" i="11"/>
  <c r="B48" i="11"/>
  <c r="C49" i="11"/>
  <c r="B49" i="11"/>
  <c r="J48" i="11"/>
  <c r="F49" i="11"/>
  <c r="K49" i="11"/>
  <c r="H49" i="11"/>
  <c r="D49" i="11"/>
  <c r="E48" i="11"/>
  <c r="E49" i="11"/>
  <c r="J47" i="11"/>
  <c r="J147" i="11"/>
  <c r="BA123" i="11"/>
  <c r="BF122" i="11"/>
  <c r="AY123" i="11"/>
  <c r="AX123" i="11"/>
  <c r="AZ123" i="11"/>
  <c r="BB123" i="11"/>
  <c r="AX122" i="11"/>
  <c r="BG123" i="11"/>
  <c r="BA122" i="11"/>
  <c r="BD123" i="11"/>
  <c r="BF123" i="11"/>
  <c r="BG122" i="11"/>
  <c r="AH46" i="11"/>
  <c r="AH45" i="11"/>
  <c r="Q46" i="24"/>
  <c r="Q45" i="24"/>
  <c r="Q44" i="24"/>
  <c r="O45" i="24"/>
  <c r="O46" i="24"/>
  <c r="O44" i="24"/>
  <c r="W44" i="24"/>
  <c r="W45" i="24"/>
  <c r="W46" i="24"/>
  <c r="P46" i="24"/>
  <c r="P45" i="24"/>
  <c r="P44" i="24"/>
  <c r="T44" i="24"/>
  <c r="T45" i="24"/>
  <c r="T46" i="24"/>
  <c r="S44" i="24"/>
  <c r="S46" i="24"/>
  <c r="S45" i="24"/>
  <c r="R46" i="24"/>
  <c r="R44" i="24"/>
  <c r="R45" i="24"/>
  <c r="U44" i="24"/>
  <c r="U45" i="24"/>
  <c r="V45" i="24"/>
  <c r="V46" i="24"/>
  <c r="N45" i="24"/>
  <c r="N46" i="24"/>
  <c r="N44" i="24"/>
  <c r="V46" i="11"/>
  <c r="V45" i="11"/>
  <c r="J146" i="11"/>
  <c r="G88" i="11"/>
  <c r="S107" i="11"/>
  <c r="J145" i="11"/>
  <c r="J144" i="11"/>
  <c r="J143" i="11"/>
  <c r="J141" i="11"/>
  <c r="J140" i="11"/>
  <c r="J142" i="11"/>
  <c r="E44" i="24"/>
  <c r="E45" i="24"/>
  <c r="E46" i="24"/>
  <c r="J45" i="24"/>
  <c r="J46" i="24"/>
  <c r="G44" i="24"/>
  <c r="G45" i="24"/>
  <c r="G46" i="24"/>
  <c r="D44" i="24"/>
  <c r="D46" i="24"/>
  <c r="D45" i="24"/>
  <c r="F44" i="24"/>
  <c r="F45" i="24"/>
  <c r="F46" i="24"/>
  <c r="I44" i="24"/>
  <c r="B46" i="24"/>
  <c r="B44" i="24"/>
  <c r="B45" i="24"/>
  <c r="K45" i="24"/>
  <c r="K46" i="24"/>
  <c r="K44" i="24"/>
  <c r="C46" i="24"/>
  <c r="C45" i="24"/>
  <c r="C44" i="24"/>
  <c r="H44" i="24"/>
  <c r="H45" i="24"/>
  <c r="H46" i="24"/>
  <c r="J46" i="11"/>
  <c r="J45" i="11"/>
  <c r="K16" i="14"/>
  <c r="R121" i="11"/>
  <c r="O121" i="11"/>
  <c r="V121" i="11"/>
  <c r="T121" i="11"/>
  <c r="P121" i="11"/>
  <c r="W121" i="11"/>
  <c r="Q121" i="11"/>
  <c r="N121" i="11"/>
  <c r="AD121" i="11"/>
  <c r="AD134" i="11" s="1"/>
  <c r="AB121" i="11"/>
  <c r="AB134" i="11" s="1"/>
  <c r="AA121" i="11"/>
  <c r="AA134" i="11" s="1"/>
  <c r="AI121" i="11"/>
  <c r="AI134" i="11" s="1"/>
  <c r="AH121" i="11"/>
  <c r="AH134" i="11" s="1"/>
  <c r="AF121" i="11"/>
  <c r="AF134" i="11" s="1"/>
  <c r="AC121" i="11"/>
  <c r="AC134" i="11" s="1"/>
  <c r="Z121" i="11"/>
  <c r="Z134" i="11" s="1"/>
  <c r="H103" i="11"/>
  <c r="T84" i="11"/>
  <c r="F105" i="11"/>
  <c r="R86" i="11"/>
  <c r="G104" i="11"/>
  <c r="G116" i="11" s="1"/>
  <c r="S85" i="11"/>
  <c r="H104" i="11"/>
  <c r="T85" i="11"/>
  <c r="F103" i="11"/>
  <c r="R84" i="11"/>
  <c r="E105" i="11"/>
  <c r="Q86" i="11"/>
  <c r="J103" i="11"/>
  <c r="V84" i="11"/>
  <c r="F104" i="11"/>
  <c r="R85" i="11"/>
  <c r="D104" i="11"/>
  <c r="P85" i="11"/>
  <c r="J105" i="11"/>
  <c r="V86" i="11"/>
  <c r="D105" i="11"/>
  <c r="P86" i="11"/>
  <c r="D103" i="11"/>
  <c r="P84" i="11"/>
  <c r="C103" i="11"/>
  <c r="O84" i="11"/>
  <c r="H105" i="11"/>
  <c r="T86" i="11"/>
  <c r="J104" i="11"/>
  <c r="V85" i="11"/>
  <c r="E103" i="11"/>
  <c r="Q84" i="11"/>
  <c r="H121" i="11"/>
  <c r="D121" i="11"/>
  <c r="E121" i="11"/>
  <c r="F121" i="11"/>
  <c r="J121" i="11"/>
  <c r="K121" i="11"/>
  <c r="C121" i="11"/>
  <c r="B121" i="11"/>
  <c r="S62" i="24"/>
  <c r="G62" i="24" s="1"/>
  <c r="Q62" i="24"/>
  <c r="E62" i="24" s="1"/>
  <c r="R63" i="24"/>
  <c r="F63" i="24" s="1"/>
  <c r="O62" i="24"/>
  <c r="C62" i="24" s="1"/>
  <c r="P63" i="24"/>
  <c r="D63" i="24" s="1"/>
  <c r="U62" i="24"/>
  <c r="I62" i="24" s="1"/>
  <c r="O63" i="24"/>
  <c r="C63" i="24" s="1"/>
  <c r="T63" i="24"/>
  <c r="H63" i="24" s="1"/>
  <c r="N62" i="24"/>
  <c r="B62" i="24" s="1"/>
  <c r="U63" i="24"/>
  <c r="I63" i="24" s="1"/>
  <c r="P62" i="24"/>
  <c r="D62" i="24" s="1"/>
  <c r="W62" i="24"/>
  <c r="K62" i="24" s="1"/>
  <c r="Q63" i="24"/>
  <c r="E63" i="24" s="1"/>
  <c r="V63" i="24"/>
  <c r="J63" i="24" s="1"/>
  <c r="W63" i="24"/>
  <c r="K63" i="24" s="1"/>
  <c r="R62" i="24"/>
  <c r="F62" i="24" s="1"/>
  <c r="N63" i="24"/>
  <c r="B63" i="24" s="1"/>
  <c r="T62" i="24"/>
  <c r="H62" i="24" s="1"/>
  <c r="S63" i="24"/>
  <c r="G63" i="24" s="1"/>
  <c r="K8" i="13"/>
  <c r="K13" i="13"/>
  <c r="V64" i="11"/>
  <c r="U64" i="11"/>
  <c r="I64" i="11" s="1"/>
  <c r="N63" i="11"/>
  <c r="Q63" i="11"/>
  <c r="V63" i="11"/>
  <c r="J63" i="11" s="1"/>
  <c r="T64" i="11"/>
  <c r="H64" i="11" s="1"/>
  <c r="W63" i="11"/>
  <c r="R64" i="11"/>
  <c r="F64" i="11" s="1"/>
  <c r="S64" i="11"/>
  <c r="Q64" i="11"/>
  <c r="E64" i="11" s="1"/>
  <c r="P64" i="11"/>
  <c r="O64" i="11"/>
  <c r="C64" i="11" s="1"/>
  <c r="N64" i="11"/>
  <c r="W64" i="11"/>
  <c r="G65" i="11"/>
  <c r="H65" i="11"/>
  <c r="C67" i="11"/>
  <c r="J65" i="11"/>
  <c r="C65" i="11"/>
  <c r="K8" i="10"/>
  <c r="K9" i="13"/>
  <c r="K14" i="13"/>
  <c r="K15" i="13"/>
  <c r="K6" i="10"/>
  <c r="K7" i="10"/>
  <c r="K13" i="10"/>
  <c r="K15" i="10"/>
  <c r="K10" i="10"/>
  <c r="K12" i="10"/>
  <c r="K9" i="10"/>
  <c r="K11" i="10"/>
  <c r="K6" i="13"/>
  <c r="K11" i="13"/>
  <c r="K10" i="13"/>
  <c r="K7" i="13"/>
  <c r="K12" i="13"/>
  <c r="Q11" i="14"/>
  <c r="Q15" i="14"/>
  <c r="M11" i="14"/>
  <c r="M15" i="14"/>
  <c r="P12" i="14"/>
  <c r="P8" i="14"/>
  <c r="M8" i="14"/>
  <c r="Q6" i="14"/>
  <c r="Q9" i="14"/>
  <c r="P9" i="14"/>
  <c r="Q10" i="14"/>
  <c r="M6" i="14"/>
  <c r="M14" i="14"/>
  <c r="P6" i="14"/>
  <c r="P14" i="14"/>
  <c r="Q7" i="14"/>
  <c r="Q8" i="14"/>
  <c r="O16" i="14"/>
  <c r="Q13" i="14"/>
  <c r="Q12" i="14"/>
  <c r="Q14" i="14"/>
  <c r="L16" i="14"/>
  <c r="N16" i="14"/>
  <c r="O11" i="13"/>
  <c r="P11" i="13"/>
  <c r="L11" i="13"/>
  <c r="O10" i="13"/>
  <c r="L10" i="13"/>
  <c r="P13" i="13"/>
  <c r="N13" i="13"/>
  <c r="O13" i="13"/>
  <c r="L13" i="13"/>
  <c r="M13" i="13"/>
  <c r="N8" i="13"/>
  <c r="O8" i="13"/>
  <c r="L8" i="13"/>
  <c r="L12" i="13"/>
  <c r="O13" i="10"/>
  <c r="O12" i="13"/>
  <c r="N12" i="13"/>
  <c r="M13" i="10"/>
  <c r="P13" i="10"/>
  <c r="L13" i="10"/>
  <c r="N13" i="10"/>
  <c r="H24" i="13"/>
  <c r="H25" i="13"/>
  <c r="O7" i="13"/>
  <c r="L7" i="13"/>
  <c r="N7" i="13"/>
  <c r="H27" i="13"/>
  <c r="Q14" i="13"/>
  <c r="F16" i="13"/>
  <c r="N27" i="13"/>
  <c r="G16" i="13"/>
  <c r="O25" i="13"/>
  <c r="I25" i="13"/>
  <c r="J16" i="13"/>
  <c r="I24" i="13"/>
  <c r="I26" i="13"/>
  <c r="Q9" i="13"/>
  <c r="N24" i="13"/>
  <c r="I16" i="13"/>
  <c r="H16" i="13"/>
  <c r="I27" i="13"/>
  <c r="N25" i="13"/>
  <c r="H26" i="13"/>
  <c r="D16" i="13"/>
  <c r="E16" i="13"/>
  <c r="N26" i="13"/>
  <c r="P7" i="13"/>
  <c r="O26" i="13"/>
  <c r="P8" i="13"/>
  <c r="M10" i="13"/>
  <c r="M9" i="13"/>
  <c r="P10" i="13"/>
  <c r="P9" i="13"/>
  <c r="M7" i="13"/>
  <c r="O27" i="13"/>
  <c r="M6" i="13"/>
  <c r="Q15" i="13"/>
  <c r="Q6" i="13"/>
  <c r="M11" i="13"/>
  <c r="P15" i="13"/>
  <c r="O24" i="13"/>
  <c r="N10" i="13"/>
  <c r="M15" i="13"/>
  <c r="N11" i="13"/>
  <c r="P6" i="13"/>
  <c r="P12" i="13"/>
  <c r="L15" i="10"/>
  <c r="N6" i="10"/>
  <c r="O15" i="10"/>
  <c r="O7" i="10"/>
  <c r="P10" i="10"/>
  <c r="N11" i="10"/>
  <c r="N12" i="10"/>
  <c r="O9" i="10"/>
  <c r="O8" i="10"/>
  <c r="L9" i="10"/>
  <c r="P6" i="10"/>
  <c r="O6" i="10"/>
  <c r="P11" i="10"/>
  <c r="P12" i="10"/>
  <c r="P8" i="10"/>
  <c r="N7" i="10"/>
  <c r="O11" i="10"/>
  <c r="O12" i="10"/>
  <c r="M15" i="10"/>
  <c r="N15" i="10"/>
  <c r="N8" i="10"/>
  <c r="O10" i="10"/>
  <c r="Q32" i="10"/>
  <c r="P7" i="10" s="1"/>
  <c r="P9" i="10"/>
  <c r="N10" i="10"/>
  <c r="N9" i="10"/>
  <c r="P15" i="10"/>
  <c r="M9" i="10"/>
  <c r="Q14" i="10"/>
  <c r="M10" i="10"/>
  <c r="M11" i="10"/>
  <c r="M6" i="10"/>
  <c r="M8" i="10"/>
  <c r="M7" i="10"/>
  <c r="M12" i="10"/>
  <c r="L12" i="10"/>
  <c r="L11" i="10"/>
  <c r="L10" i="10"/>
  <c r="I24" i="10"/>
  <c r="I26" i="10"/>
  <c r="N27" i="10"/>
  <c r="N24" i="10"/>
  <c r="N26" i="10"/>
  <c r="H25" i="10"/>
  <c r="H27" i="10"/>
  <c r="L6" i="10"/>
  <c r="L8" i="10"/>
  <c r="L7" i="10"/>
  <c r="N25" i="10"/>
  <c r="I25" i="10"/>
  <c r="O27" i="10"/>
  <c r="H26" i="10"/>
  <c r="D16" i="10"/>
  <c r="F16" i="10"/>
  <c r="J16" i="10"/>
  <c r="I27" i="10"/>
  <c r="I16" i="10"/>
  <c r="E16" i="10"/>
  <c r="H24" i="10"/>
  <c r="G16" i="10"/>
  <c r="H16" i="10"/>
  <c r="O26" i="10"/>
  <c r="O25" i="10"/>
  <c r="O24" i="10"/>
  <c r="AE24" i="11"/>
  <c r="B24" i="11"/>
  <c r="K24" i="11"/>
  <c r="D5" i="11"/>
  <c r="Q5" i="11"/>
  <c r="C24" i="11"/>
  <c r="AA25" i="11"/>
  <c r="G24" i="11"/>
  <c r="AF26" i="11"/>
  <c r="D25" i="11"/>
  <c r="W24" i="11"/>
  <c r="I25" i="11"/>
  <c r="C25" i="11"/>
  <c r="P4" i="11"/>
  <c r="P6" i="11"/>
  <c r="E4" i="11"/>
  <c r="AF24" i="11"/>
  <c r="N24" i="11"/>
  <c r="T24" i="11"/>
  <c r="AA24" i="11"/>
  <c r="W5" i="11"/>
  <c r="U25" i="11"/>
  <c r="D4" i="11"/>
  <c r="AB24" i="11"/>
  <c r="S5" i="11"/>
  <c r="AI24" i="11"/>
  <c r="N4" i="11"/>
  <c r="S6" i="11"/>
  <c r="F24" i="11"/>
  <c r="AD25" i="11"/>
  <c r="H24" i="11"/>
  <c r="S25" i="11"/>
  <c r="G25" i="11"/>
  <c r="D24" i="11"/>
  <c r="AI25" i="11"/>
  <c r="T25" i="11"/>
  <c r="O5" i="11"/>
  <c r="R5" i="11"/>
  <c r="G5" i="11"/>
  <c r="H25" i="11"/>
  <c r="R24" i="11"/>
  <c r="AG25" i="11"/>
  <c r="AC24" i="11"/>
  <c r="AH26" i="11"/>
  <c r="W6" i="11"/>
  <c r="I5" i="11"/>
  <c r="O4" i="11"/>
  <c r="E24" i="11"/>
  <c r="B4" i="11"/>
  <c r="Z25" i="11"/>
  <c r="P24" i="11"/>
  <c r="I4" i="11"/>
  <c r="U4" i="11"/>
  <c r="AB26" i="11"/>
  <c r="Z26" i="11"/>
  <c r="I24" i="11"/>
  <c r="K4" i="11"/>
  <c r="AE25" i="11"/>
  <c r="P25" i="11"/>
  <c r="Q4" i="11"/>
  <c r="AF25" i="11"/>
  <c r="Q24" i="11"/>
  <c r="N6" i="11"/>
  <c r="C4" i="11"/>
  <c r="Z24" i="11"/>
  <c r="S24" i="11"/>
  <c r="F4" i="11"/>
  <c r="R4" i="11"/>
  <c r="G4" i="11"/>
  <c r="AC25" i="11"/>
  <c r="S4" i="11"/>
  <c r="C5" i="11"/>
  <c r="R25" i="11"/>
  <c r="U24" i="11"/>
  <c r="F25" i="11"/>
  <c r="H5" i="11"/>
  <c r="N5" i="11"/>
  <c r="T4" i="11"/>
  <c r="H4" i="11"/>
  <c r="AD24" i="11"/>
  <c r="W4" i="11"/>
  <c r="AC26" i="11"/>
  <c r="O25" i="11"/>
  <c r="AB25" i="11"/>
  <c r="AG24" i="11"/>
  <c r="O24" i="11"/>
  <c r="V6" i="11"/>
  <c r="U5" i="11"/>
  <c r="F5" i="11"/>
  <c r="AI25" i="24"/>
  <c r="E56" i="51" l="1"/>
  <c r="E57" i="51"/>
  <c r="E58" i="51"/>
  <c r="E59" i="51"/>
  <c r="E60" i="51"/>
  <c r="B56" i="51"/>
  <c r="B57" i="51"/>
  <c r="B58" i="51"/>
  <c r="B59" i="51"/>
  <c r="B60" i="51"/>
  <c r="D61" i="31"/>
  <c r="B61" i="31"/>
  <c r="C61" i="51"/>
  <c r="D61" i="51" s="1"/>
  <c r="F149" i="11"/>
  <c r="K149" i="11"/>
  <c r="D149" i="11"/>
  <c r="G149" i="11"/>
  <c r="H149" i="11"/>
  <c r="C149" i="11"/>
  <c r="B149" i="11"/>
  <c r="E149" i="11"/>
  <c r="H55" i="51"/>
  <c r="H57" i="51"/>
  <c r="H56" i="51"/>
  <c r="E55" i="51"/>
  <c r="B55" i="51"/>
  <c r="G55" i="51"/>
  <c r="B35" i="51"/>
  <c r="G62" i="51"/>
  <c r="D148" i="11"/>
  <c r="E148" i="11"/>
  <c r="C148" i="11"/>
  <c r="G148" i="11"/>
  <c r="H148" i="11"/>
  <c r="B148" i="11"/>
  <c r="F148" i="11"/>
  <c r="K148" i="11"/>
  <c r="E121" i="24"/>
  <c r="J121" i="24"/>
  <c r="F121" i="24"/>
  <c r="H121" i="24"/>
  <c r="B121" i="24"/>
  <c r="K121" i="24"/>
  <c r="G121" i="24"/>
  <c r="C121" i="24"/>
  <c r="D121" i="24"/>
  <c r="O124" i="24"/>
  <c r="AA106" i="24"/>
  <c r="AC105" i="24"/>
  <c r="AC106" i="24" s="1"/>
  <c r="AE106" i="24"/>
  <c r="O106" i="24"/>
  <c r="P105" i="24"/>
  <c r="B106" i="24"/>
  <c r="AM96" i="24"/>
  <c r="AO96" i="24"/>
  <c r="AR96" i="24"/>
  <c r="AQ96" i="24"/>
  <c r="AU96" i="24"/>
  <c r="AN96" i="24"/>
  <c r="AP96" i="24"/>
  <c r="AT96" i="24"/>
  <c r="AL96" i="24"/>
  <c r="AA87" i="24"/>
  <c r="AH87" i="24"/>
  <c r="AF87" i="24"/>
  <c r="AI87" i="24"/>
  <c r="AE87" i="24"/>
  <c r="AD87" i="24"/>
  <c r="AC87" i="24"/>
  <c r="AB87" i="24"/>
  <c r="Z87" i="24"/>
  <c r="AB83" i="24"/>
  <c r="AB84" i="24"/>
  <c r="AB86" i="24"/>
  <c r="AB85" i="24"/>
  <c r="AD84" i="24"/>
  <c r="AD83" i="24"/>
  <c r="AD86" i="24"/>
  <c r="AD85" i="24"/>
  <c r="AH86" i="24"/>
  <c r="AH85" i="24"/>
  <c r="AH84" i="24"/>
  <c r="AH83" i="24"/>
  <c r="AC83" i="24"/>
  <c r="AC85" i="24"/>
  <c r="AC86" i="24"/>
  <c r="AC84" i="24"/>
  <c r="AF85" i="24"/>
  <c r="AF84" i="24"/>
  <c r="AF83" i="24"/>
  <c r="AF86" i="24"/>
  <c r="AA83" i="24"/>
  <c r="AA86" i="24"/>
  <c r="AA85" i="24"/>
  <c r="AA84" i="24"/>
  <c r="AE84" i="24"/>
  <c r="AE83" i="24"/>
  <c r="AE85" i="24"/>
  <c r="AE86" i="24"/>
  <c r="AI86" i="24"/>
  <c r="AI85" i="24"/>
  <c r="AI84" i="24"/>
  <c r="AI83" i="24"/>
  <c r="Z86" i="24"/>
  <c r="Z85" i="24"/>
  <c r="Z84" i="24"/>
  <c r="Z83" i="24"/>
  <c r="AG83" i="24"/>
  <c r="P87" i="24"/>
  <c r="AB82" i="24"/>
  <c r="R87" i="24"/>
  <c r="AD82" i="24"/>
  <c r="V87" i="24"/>
  <c r="AH82" i="24"/>
  <c r="Q87" i="24"/>
  <c r="AC82" i="24"/>
  <c r="T87" i="24"/>
  <c r="AF82" i="24"/>
  <c r="O87" i="24"/>
  <c r="AA82" i="24"/>
  <c r="S87" i="24"/>
  <c r="AE82" i="24"/>
  <c r="W87" i="24"/>
  <c r="AI82" i="24"/>
  <c r="AG82" i="24"/>
  <c r="N87" i="24"/>
  <c r="Z82" i="24"/>
  <c r="P82" i="24"/>
  <c r="P84" i="24"/>
  <c r="P83" i="24"/>
  <c r="P86" i="24"/>
  <c r="P85" i="24"/>
  <c r="R82" i="24"/>
  <c r="R85" i="24"/>
  <c r="R83" i="24"/>
  <c r="R84" i="24"/>
  <c r="R86" i="24"/>
  <c r="V82" i="24"/>
  <c r="V86" i="24"/>
  <c r="V85" i="24"/>
  <c r="V84" i="24"/>
  <c r="V83" i="24"/>
  <c r="Q82" i="24"/>
  <c r="Q84" i="24"/>
  <c r="Q83" i="24"/>
  <c r="Q86" i="24"/>
  <c r="Q85" i="24"/>
  <c r="T82" i="24"/>
  <c r="T86" i="24"/>
  <c r="T84" i="24"/>
  <c r="T83" i="24"/>
  <c r="T85" i="24"/>
  <c r="O82" i="24"/>
  <c r="O83" i="24"/>
  <c r="O86" i="24"/>
  <c r="O85" i="24"/>
  <c r="O84" i="24"/>
  <c r="S82" i="24"/>
  <c r="S85" i="24"/>
  <c r="S84" i="24"/>
  <c r="S83" i="24"/>
  <c r="S86" i="24"/>
  <c r="W82" i="24"/>
  <c r="W86" i="24"/>
  <c r="W85" i="24"/>
  <c r="W84" i="24"/>
  <c r="W83" i="24"/>
  <c r="N82" i="24"/>
  <c r="N83" i="24"/>
  <c r="N86" i="24"/>
  <c r="N85" i="24"/>
  <c r="N84" i="24"/>
  <c r="U82" i="24"/>
  <c r="U83" i="24"/>
  <c r="C55" i="31"/>
  <c r="F37" i="51"/>
  <c r="E37" i="51"/>
  <c r="L37" i="51"/>
  <c r="D31" i="31"/>
  <c r="I36" i="51"/>
  <c r="H36" i="51"/>
  <c r="G36" i="51"/>
  <c r="F36" i="51"/>
  <c r="E36" i="51"/>
  <c r="L36" i="51"/>
  <c r="H58" i="51"/>
  <c r="G37" i="51"/>
  <c r="I37" i="51"/>
  <c r="H37" i="51"/>
  <c r="AD62" i="11"/>
  <c r="AE62" i="11"/>
  <c r="AC62" i="11"/>
  <c r="AB62" i="11"/>
  <c r="AF62" i="11"/>
  <c r="AI62" i="11"/>
  <c r="AG62" i="11"/>
  <c r="AA62" i="11"/>
  <c r="D30" i="51" s="1"/>
  <c r="Z62" i="11"/>
  <c r="D134" i="11"/>
  <c r="H134" i="11"/>
  <c r="C134" i="11"/>
  <c r="E134" i="11"/>
  <c r="K134" i="11"/>
  <c r="J134" i="11"/>
  <c r="F134" i="11"/>
  <c r="B134" i="11"/>
  <c r="E116" i="11"/>
  <c r="D116" i="11"/>
  <c r="J116" i="11"/>
  <c r="H116" i="11"/>
  <c r="F116" i="11"/>
  <c r="AB48" i="11"/>
  <c r="AF48" i="11"/>
  <c r="AD48" i="11"/>
  <c r="AA48" i="11"/>
  <c r="AE48" i="11"/>
  <c r="AE47" i="11"/>
  <c r="AC47" i="11"/>
  <c r="AF47" i="11"/>
  <c r="AI47" i="11"/>
  <c r="AB47" i="11"/>
  <c r="AA47" i="11"/>
  <c r="AD47" i="11"/>
  <c r="Z47" i="11"/>
  <c r="P48" i="11"/>
  <c r="T48" i="11"/>
  <c r="R48" i="11"/>
  <c r="O48" i="11"/>
  <c r="S48" i="11"/>
  <c r="S47" i="11"/>
  <c r="Q47" i="11"/>
  <c r="T47" i="11"/>
  <c r="W47" i="11"/>
  <c r="P47" i="11"/>
  <c r="O47" i="11"/>
  <c r="R47" i="11"/>
  <c r="N47" i="11"/>
  <c r="D48" i="11"/>
  <c r="H48" i="11"/>
  <c r="F48" i="11"/>
  <c r="C48" i="11"/>
  <c r="G48" i="11"/>
  <c r="G47" i="11"/>
  <c r="E47" i="11"/>
  <c r="H47" i="11"/>
  <c r="K47" i="11"/>
  <c r="D47" i="11"/>
  <c r="C47" i="11"/>
  <c r="F47" i="11"/>
  <c r="B47" i="11"/>
  <c r="B147" i="11"/>
  <c r="G147" i="11"/>
  <c r="E147" i="11"/>
  <c r="H147" i="11"/>
  <c r="K147" i="11"/>
  <c r="D147" i="11"/>
  <c r="C147" i="11"/>
  <c r="F147" i="11"/>
  <c r="BB122" i="11"/>
  <c r="BD122" i="11"/>
  <c r="BC122" i="11"/>
  <c r="AY122" i="11"/>
  <c r="AZ122" i="11"/>
  <c r="AZ121" i="11"/>
  <c r="BA121" i="11"/>
  <c r="BA134" i="11" s="1"/>
  <c r="BC121" i="11"/>
  <c r="BD121" i="11"/>
  <c r="BB121" i="11"/>
  <c r="BG121" i="11"/>
  <c r="BG134" i="11" s="1"/>
  <c r="AY121" i="11"/>
  <c r="AX121" i="11"/>
  <c r="BF134" i="11"/>
  <c r="AI46" i="11"/>
  <c r="AI45" i="11"/>
  <c r="AE46" i="11"/>
  <c r="AE45" i="11"/>
  <c r="AA45" i="11"/>
  <c r="AA46" i="11"/>
  <c r="Z45" i="11"/>
  <c r="Z46" i="11"/>
  <c r="AD46" i="11"/>
  <c r="AD45" i="11"/>
  <c r="AB45" i="11"/>
  <c r="AB46" i="11"/>
  <c r="AG45" i="11"/>
  <c r="AC46" i="11"/>
  <c r="AC45" i="11"/>
  <c r="AF46" i="11"/>
  <c r="AF45" i="11"/>
  <c r="AI44" i="11"/>
  <c r="AE44" i="11"/>
  <c r="AA44" i="11"/>
  <c r="AD44" i="11"/>
  <c r="AB44" i="11"/>
  <c r="AG44" i="11"/>
  <c r="AC44" i="11"/>
  <c r="AF44" i="11"/>
  <c r="Z44" i="11"/>
  <c r="O46" i="11"/>
  <c r="O45" i="11"/>
  <c r="U45" i="11"/>
  <c r="W46" i="11"/>
  <c r="W45" i="11"/>
  <c r="S46" i="11"/>
  <c r="S45" i="11"/>
  <c r="R46" i="11"/>
  <c r="R45" i="11"/>
  <c r="Q45" i="11"/>
  <c r="Q46" i="11"/>
  <c r="P45" i="11"/>
  <c r="P46" i="11"/>
  <c r="N45" i="11"/>
  <c r="N46" i="11"/>
  <c r="T46" i="11"/>
  <c r="T45" i="11"/>
  <c r="O44" i="11"/>
  <c r="U44" i="11"/>
  <c r="W44" i="11"/>
  <c r="S44" i="11"/>
  <c r="R44" i="11"/>
  <c r="Q44" i="11"/>
  <c r="P44" i="11"/>
  <c r="T44" i="11"/>
  <c r="N44" i="11"/>
  <c r="K146" i="11"/>
  <c r="D146" i="11"/>
  <c r="G146" i="11"/>
  <c r="H146" i="11"/>
  <c r="E146" i="11"/>
  <c r="B146" i="11"/>
  <c r="C146" i="11"/>
  <c r="F146" i="11"/>
  <c r="J153" i="11"/>
  <c r="K88" i="11"/>
  <c r="J85" i="11"/>
  <c r="J88" i="11"/>
  <c r="D88" i="11"/>
  <c r="F88" i="11"/>
  <c r="C88" i="11"/>
  <c r="J84" i="11"/>
  <c r="J87" i="11"/>
  <c r="B88" i="11"/>
  <c r="J86" i="11"/>
  <c r="K87" i="11"/>
  <c r="B87" i="11"/>
  <c r="E88" i="11"/>
  <c r="E87" i="11"/>
  <c r="H88" i="11"/>
  <c r="H145" i="11"/>
  <c r="H144" i="11"/>
  <c r="H143" i="11"/>
  <c r="H140" i="11"/>
  <c r="H141" i="11"/>
  <c r="H142" i="11"/>
  <c r="D145" i="11"/>
  <c r="D144" i="11"/>
  <c r="D143" i="11"/>
  <c r="D142" i="11"/>
  <c r="D140" i="11"/>
  <c r="D141" i="11"/>
  <c r="G145" i="11"/>
  <c r="G144" i="11"/>
  <c r="G143" i="11"/>
  <c r="G142" i="11"/>
  <c r="G141" i="11"/>
  <c r="G140" i="11"/>
  <c r="F145" i="11"/>
  <c r="F144" i="11"/>
  <c r="F143" i="11"/>
  <c r="F142" i="11"/>
  <c r="F141" i="11"/>
  <c r="F140" i="11"/>
  <c r="C145" i="11"/>
  <c r="C144" i="11"/>
  <c r="C143" i="11"/>
  <c r="C140" i="11"/>
  <c r="C142" i="11"/>
  <c r="C141" i="11"/>
  <c r="E145" i="11"/>
  <c r="E144" i="11"/>
  <c r="E142" i="11"/>
  <c r="E143" i="11"/>
  <c r="E141" i="11"/>
  <c r="E140" i="11"/>
  <c r="K145" i="11"/>
  <c r="K144" i="11"/>
  <c r="K141" i="11"/>
  <c r="K142" i="11"/>
  <c r="K143" i="11"/>
  <c r="K140" i="11"/>
  <c r="B145" i="11"/>
  <c r="B144" i="11"/>
  <c r="B143" i="11"/>
  <c r="B140" i="11"/>
  <c r="B141" i="11"/>
  <c r="B142" i="11"/>
  <c r="W107" i="11"/>
  <c r="V106" i="11"/>
  <c r="V107" i="11"/>
  <c r="W106" i="11"/>
  <c r="Q107" i="11"/>
  <c r="R107" i="11"/>
  <c r="O107" i="11"/>
  <c r="P107" i="11"/>
  <c r="Q106" i="11"/>
  <c r="T107" i="11"/>
  <c r="N107" i="11"/>
  <c r="N106" i="11"/>
  <c r="C46" i="11"/>
  <c r="C45" i="11"/>
  <c r="E45" i="11"/>
  <c r="E46" i="11"/>
  <c r="K45" i="11"/>
  <c r="K46" i="11"/>
  <c r="G46" i="11"/>
  <c r="G45" i="11"/>
  <c r="F45" i="11"/>
  <c r="F46" i="11"/>
  <c r="B46" i="11"/>
  <c r="B45" i="11"/>
  <c r="H46" i="11"/>
  <c r="H45" i="11"/>
  <c r="D46" i="11"/>
  <c r="D45" i="11"/>
  <c r="V105" i="11"/>
  <c r="C44" i="11"/>
  <c r="E44" i="11"/>
  <c r="K44" i="11"/>
  <c r="G44" i="11"/>
  <c r="F44" i="11"/>
  <c r="H44" i="11"/>
  <c r="I44" i="11"/>
  <c r="D44" i="11"/>
  <c r="B44" i="11"/>
  <c r="V103" i="11"/>
  <c r="V104" i="11"/>
  <c r="C104" i="11"/>
  <c r="C116" i="11" s="1"/>
  <c r="O85" i="11"/>
  <c r="S63" i="11"/>
  <c r="G63" i="11" s="1"/>
  <c r="T63" i="11"/>
  <c r="Q62" i="11"/>
  <c r="E62" i="11" s="1"/>
  <c r="O63" i="11"/>
  <c r="C63" i="11" s="1"/>
  <c r="P63" i="11"/>
  <c r="N62" i="11"/>
  <c r="B62" i="11" s="1"/>
  <c r="R63" i="11"/>
  <c r="F63" i="11" s="1"/>
  <c r="P62" i="11"/>
  <c r="D62" i="11" s="1"/>
  <c r="R62" i="11"/>
  <c r="F62" i="11" s="1"/>
  <c r="U63" i="11"/>
  <c r="I63" i="11" s="1"/>
  <c r="S62" i="11"/>
  <c r="G62" i="11" s="1"/>
  <c r="W62" i="11"/>
  <c r="K62" i="11" s="1"/>
  <c r="U62" i="11"/>
  <c r="I62" i="11" s="1"/>
  <c r="O62" i="11"/>
  <c r="C62" i="11" s="1"/>
  <c r="T62" i="11"/>
  <c r="H62" i="11" s="1"/>
  <c r="K64" i="11"/>
  <c r="D64" i="11"/>
  <c r="B63" i="11"/>
  <c r="E63" i="11"/>
  <c r="K63" i="11"/>
  <c r="B64" i="11"/>
  <c r="G64" i="11"/>
  <c r="J64" i="11"/>
  <c r="K16" i="10"/>
  <c r="K16" i="13"/>
  <c r="M16" i="14"/>
  <c r="P16" i="14"/>
  <c r="Q13" i="10"/>
  <c r="Q11" i="13"/>
  <c r="Q10" i="13"/>
  <c r="Q13" i="13"/>
  <c r="Q8" i="13"/>
  <c r="L16" i="13"/>
  <c r="Q12" i="13"/>
  <c r="Q15" i="10"/>
  <c r="M8" i="13"/>
  <c r="M12" i="13"/>
  <c r="O16" i="13"/>
  <c r="Q9" i="10"/>
  <c r="Q7" i="13"/>
  <c r="P16" i="13"/>
  <c r="N16" i="13"/>
  <c r="O16" i="10"/>
  <c r="Q6" i="10"/>
  <c r="Q11" i="10"/>
  <c r="Q12" i="10"/>
  <c r="Q7" i="10"/>
  <c r="Q10" i="10"/>
  <c r="Q8" i="10"/>
  <c r="P16" i="10"/>
  <c r="M16" i="10"/>
  <c r="L16" i="10"/>
  <c r="N16" i="10"/>
  <c r="C6" i="51"/>
  <c r="C12" i="51"/>
  <c r="B8" i="51"/>
  <c r="E4" i="51"/>
  <c r="C8" i="51"/>
  <c r="G4" i="31"/>
  <c r="F6" i="51"/>
  <c r="C12" i="31"/>
  <c r="E8" i="31"/>
  <c r="C35" i="31"/>
  <c r="F6" i="31"/>
  <c r="B14" i="51"/>
  <c r="G4" i="51"/>
  <c r="T5" i="11"/>
  <c r="D10" i="31"/>
  <c r="B14" i="31"/>
  <c r="B10" i="51"/>
  <c r="D10" i="51"/>
  <c r="D6" i="51"/>
  <c r="E8" i="51"/>
  <c r="D4" i="51"/>
  <c r="P5" i="11"/>
  <c r="B35" i="31"/>
  <c r="B56" i="31" l="1"/>
  <c r="B57" i="31"/>
  <c r="B58" i="31"/>
  <c r="B59" i="31"/>
  <c r="B60" i="31"/>
  <c r="D56" i="31"/>
  <c r="D57" i="31"/>
  <c r="D58" i="31"/>
  <c r="D59" i="31"/>
  <c r="D60" i="31"/>
  <c r="C59" i="51"/>
  <c r="D59" i="51" s="1"/>
  <c r="C55" i="51"/>
  <c r="D55" i="51" s="1"/>
  <c r="C58" i="51"/>
  <c r="D58" i="51" s="1"/>
  <c r="C57" i="51"/>
  <c r="D57" i="51" s="1"/>
  <c r="C56" i="51"/>
  <c r="D56" i="51" s="1"/>
  <c r="C60" i="51"/>
  <c r="D60" i="51" s="1"/>
  <c r="L31" i="31"/>
  <c r="G59" i="31"/>
  <c r="G57" i="31"/>
  <c r="G55" i="31"/>
  <c r="G56" i="31"/>
  <c r="G58" i="31"/>
  <c r="D55" i="31"/>
  <c r="B55" i="31"/>
  <c r="C35" i="51"/>
  <c r="C30" i="51"/>
  <c r="B31" i="51"/>
  <c r="C33" i="51"/>
  <c r="C31" i="51"/>
  <c r="B32" i="51"/>
  <c r="B34" i="51"/>
  <c r="C34" i="51"/>
  <c r="C32" i="51"/>
  <c r="B33" i="51"/>
  <c r="G63" i="51"/>
  <c r="N105" i="24"/>
  <c r="N124" i="24" s="1"/>
  <c r="S105" i="24"/>
  <c r="S124" i="24" s="1"/>
  <c r="O125" i="24"/>
  <c r="AB105" i="24"/>
  <c r="AB106" i="24" s="1"/>
  <c r="R105" i="24"/>
  <c r="R124" i="24" s="1"/>
  <c r="T105" i="24"/>
  <c r="T124" i="24" s="1"/>
  <c r="E120" i="24"/>
  <c r="P106" i="24"/>
  <c r="B120" i="24"/>
  <c r="W105" i="24"/>
  <c r="D120" i="24"/>
  <c r="V105" i="24"/>
  <c r="V124" i="24" s="1"/>
  <c r="J120" i="24"/>
  <c r="Q105" i="24"/>
  <c r="Q124" i="24" s="1"/>
  <c r="AH91" i="24"/>
  <c r="F120" i="24"/>
  <c r="K120" i="24"/>
  <c r="G120" i="24"/>
  <c r="C120" i="24"/>
  <c r="H120" i="24"/>
  <c r="J115" i="24"/>
  <c r="G115" i="24"/>
  <c r="F117" i="24"/>
  <c r="H91" i="24"/>
  <c r="C62" i="31"/>
  <c r="E119" i="24"/>
  <c r="C116" i="24"/>
  <c r="B119" i="24"/>
  <c r="D117" i="24"/>
  <c r="E118" i="24"/>
  <c r="B118" i="24"/>
  <c r="C119" i="24"/>
  <c r="G117" i="24"/>
  <c r="E116" i="24"/>
  <c r="C115" i="24"/>
  <c r="G116" i="24"/>
  <c r="B116" i="24"/>
  <c r="F116" i="24"/>
  <c r="D116" i="24"/>
  <c r="K118" i="24"/>
  <c r="H117" i="24"/>
  <c r="B117" i="24"/>
  <c r="G118" i="24"/>
  <c r="C118" i="24"/>
  <c r="E115" i="24"/>
  <c r="D119" i="24"/>
  <c r="J117" i="24"/>
  <c r="J119" i="24"/>
  <c r="F119" i="24"/>
  <c r="C117" i="24"/>
  <c r="K115" i="24"/>
  <c r="H116" i="24"/>
  <c r="G119" i="24"/>
  <c r="H119" i="24"/>
  <c r="F118" i="24"/>
  <c r="F115" i="24"/>
  <c r="E117" i="24"/>
  <c r="D118" i="24"/>
  <c r="K116" i="24"/>
  <c r="K117" i="24"/>
  <c r="J116" i="24"/>
  <c r="K119" i="24"/>
  <c r="H118" i="24"/>
  <c r="J118" i="24"/>
  <c r="H115" i="24"/>
  <c r="D115" i="24"/>
  <c r="B115" i="24"/>
  <c r="G60" i="31"/>
  <c r="AE5" i="51"/>
  <c r="AF4" i="51"/>
  <c r="AF10" i="51" s="1"/>
  <c r="AC7" i="51"/>
  <c r="AD6" i="51"/>
  <c r="AA9" i="51"/>
  <c r="AB8" i="51"/>
  <c r="AC7" i="31"/>
  <c r="AE5" i="31"/>
  <c r="AF4" i="31"/>
  <c r="AA9" i="31"/>
  <c r="AD6" i="31"/>
  <c r="AB8" i="31"/>
  <c r="H62" i="51"/>
  <c r="D30" i="31"/>
  <c r="V116" i="11"/>
  <c r="BH120" i="11"/>
  <c r="BH119" i="11"/>
  <c r="BD134" i="11"/>
  <c r="AZ134" i="11"/>
  <c r="BC134" i="11"/>
  <c r="BB134" i="11"/>
  <c r="AY134" i="11"/>
  <c r="AX134" i="11"/>
  <c r="E153" i="11"/>
  <c r="B153" i="11"/>
  <c r="K153" i="11"/>
  <c r="G153" i="11"/>
  <c r="C153" i="11"/>
  <c r="H153" i="11"/>
  <c r="F153" i="11"/>
  <c r="D153" i="11"/>
  <c r="J97" i="11"/>
  <c r="D86" i="11"/>
  <c r="C84" i="11"/>
  <c r="D85" i="11"/>
  <c r="F85" i="11"/>
  <c r="C87" i="11"/>
  <c r="H86" i="11"/>
  <c r="H84" i="11"/>
  <c r="K86" i="11"/>
  <c r="H85" i="11"/>
  <c r="H87" i="11"/>
  <c r="F84" i="11"/>
  <c r="C86" i="11"/>
  <c r="G86" i="11"/>
  <c r="K85" i="11"/>
  <c r="E85" i="11"/>
  <c r="B85" i="11"/>
  <c r="B84" i="11"/>
  <c r="E86" i="11"/>
  <c r="B86" i="11"/>
  <c r="K84" i="11"/>
  <c r="E84" i="11"/>
  <c r="F86" i="11"/>
  <c r="F87" i="11"/>
  <c r="C85" i="11"/>
  <c r="G87" i="11"/>
  <c r="D87" i="11"/>
  <c r="G84" i="11"/>
  <c r="D84" i="11"/>
  <c r="G85" i="11"/>
  <c r="O104" i="11"/>
  <c r="N103" i="11"/>
  <c r="W103" i="11"/>
  <c r="R104" i="11"/>
  <c r="Q103" i="11"/>
  <c r="P104" i="11"/>
  <c r="T106" i="11"/>
  <c r="R106" i="11"/>
  <c r="S106" i="11"/>
  <c r="P106" i="11"/>
  <c r="O106" i="11"/>
  <c r="T104" i="11"/>
  <c r="W104" i="11"/>
  <c r="Q104" i="11"/>
  <c r="S105" i="11"/>
  <c r="S104" i="11"/>
  <c r="T105" i="11"/>
  <c r="W105" i="11"/>
  <c r="Q105" i="11"/>
  <c r="R105" i="11"/>
  <c r="P105" i="11"/>
  <c r="O105" i="11"/>
  <c r="N105" i="11"/>
  <c r="N104" i="11"/>
  <c r="X120" i="11"/>
  <c r="X119" i="11"/>
  <c r="O103" i="11"/>
  <c r="S103" i="11"/>
  <c r="T103" i="11"/>
  <c r="P103" i="11"/>
  <c r="R103" i="11"/>
  <c r="AJ119" i="11"/>
  <c r="AJ120" i="11"/>
  <c r="AV119" i="11"/>
  <c r="AV120" i="11"/>
  <c r="H63" i="11"/>
  <c r="D63" i="11"/>
  <c r="M16" i="13"/>
  <c r="B30" i="31"/>
  <c r="AZ31" i="31"/>
  <c r="B4" i="31"/>
  <c r="AY35" i="31"/>
  <c r="AX35" i="31"/>
  <c r="B65" i="31" l="1"/>
  <c r="B64" i="31"/>
  <c r="B62" i="31"/>
  <c r="B63" i="31"/>
  <c r="D65" i="31"/>
  <c r="D64" i="31"/>
  <c r="D62" i="31"/>
  <c r="D63" i="31"/>
  <c r="AP35" i="31"/>
  <c r="I30" i="31"/>
  <c r="G30" i="31"/>
  <c r="H30" i="31"/>
  <c r="T30" i="31"/>
  <c r="T31" i="31" s="1"/>
  <c r="T32" i="31" s="1"/>
  <c r="T33" i="31" s="1"/>
  <c r="T34" i="31" s="1"/>
  <c r="T35" i="31" s="1"/>
  <c r="T36" i="31" s="1"/>
  <c r="C32" i="31"/>
  <c r="C4" i="31"/>
  <c r="C6" i="31"/>
  <c r="D8" i="51"/>
  <c r="B31" i="31"/>
  <c r="C30" i="31"/>
  <c r="D4" i="31"/>
  <c r="E6" i="51"/>
  <c r="F4" i="51"/>
  <c r="F4" i="31"/>
  <c r="B12" i="51"/>
  <c r="AX31" i="31"/>
  <c r="B12" i="31"/>
  <c r="C10" i="51"/>
  <c r="C31" i="31"/>
  <c r="B10" i="31"/>
  <c r="D6" i="31"/>
  <c r="C10" i="31"/>
  <c r="E6" i="31"/>
  <c r="C8" i="31"/>
  <c r="AY31" i="31"/>
  <c r="B6" i="31"/>
  <c r="E4" i="31"/>
  <c r="B32" i="31"/>
  <c r="B8" i="31"/>
  <c r="B34" i="31"/>
  <c r="C33" i="31"/>
  <c r="T37" i="31" l="1"/>
  <c r="K30" i="31"/>
  <c r="AA4" i="31"/>
  <c r="AA5" i="31"/>
  <c r="AB4" i="31"/>
  <c r="AH123" i="24"/>
  <c r="AA7" i="31"/>
  <c r="AB6" i="31"/>
  <c r="AA6" i="31"/>
  <c r="AB5" i="31"/>
  <c r="AC5" i="31"/>
  <c r="AA123" i="24"/>
  <c r="AD4" i="31"/>
  <c r="AC4" i="31"/>
  <c r="AB123" i="24"/>
  <c r="AI123" i="24"/>
  <c r="AC123" i="24"/>
  <c r="AF123" i="24"/>
  <c r="AD123" i="24"/>
  <c r="AE123" i="24"/>
  <c r="Z123" i="24"/>
  <c r="E59" i="31"/>
  <c r="F59" i="31"/>
  <c r="E58" i="31"/>
  <c r="F58" i="31"/>
  <c r="E57" i="31"/>
  <c r="F57" i="31"/>
  <c r="E56" i="31"/>
  <c r="F56" i="31"/>
  <c r="E55" i="31"/>
  <c r="F55" i="31"/>
  <c r="AA122" i="24"/>
  <c r="Z122" i="24"/>
  <c r="AH122" i="24"/>
  <c r="AI122" i="24"/>
  <c r="AD122" i="24"/>
  <c r="AC122" i="24"/>
  <c r="AE122" i="24"/>
  <c r="AF122" i="24"/>
  <c r="AB122" i="24"/>
  <c r="F91" i="24"/>
  <c r="F92" i="24" s="1"/>
  <c r="AP106" i="24" s="1"/>
  <c r="H36" i="31"/>
  <c r="G36" i="31"/>
  <c r="I36" i="31"/>
  <c r="E36" i="31"/>
  <c r="F36" i="31"/>
  <c r="H33" i="51"/>
  <c r="G33" i="51"/>
  <c r="I33" i="51"/>
  <c r="E32" i="51"/>
  <c r="F32" i="51"/>
  <c r="I32" i="51"/>
  <c r="G32" i="51"/>
  <c r="H32" i="51"/>
  <c r="E31" i="51"/>
  <c r="F31" i="51"/>
  <c r="E33" i="51"/>
  <c r="F33" i="51"/>
  <c r="H31" i="51"/>
  <c r="I31" i="51"/>
  <c r="G31" i="51"/>
  <c r="E30" i="51"/>
  <c r="F30" i="51"/>
  <c r="B38" i="51"/>
  <c r="G91" i="24"/>
  <c r="G92" i="24" s="1"/>
  <c r="AQ106" i="24" s="1"/>
  <c r="AB121" i="24"/>
  <c r="AE121" i="24"/>
  <c r="AF121" i="24"/>
  <c r="AA121" i="24"/>
  <c r="AD121" i="24"/>
  <c r="AH121" i="24"/>
  <c r="Z121" i="24"/>
  <c r="AI121" i="24"/>
  <c r="AC121" i="24"/>
  <c r="E91" i="24"/>
  <c r="E92" i="24" s="1"/>
  <c r="AO106" i="24" s="1"/>
  <c r="J91" i="24"/>
  <c r="J92" i="24" s="1"/>
  <c r="AT106" i="24" s="1"/>
  <c r="H92" i="24"/>
  <c r="AR106" i="24" s="1"/>
  <c r="AR105" i="24"/>
  <c r="K91" i="24"/>
  <c r="B91" i="24"/>
  <c r="D91" i="24"/>
  <c r="F60" i="31"/>
  <c r="E60" i="31"/>
  <c r="Z120" i="24"/>
  <c r="AD120" i="24"/>
  <c r="AF120" i="24"/>
  <c r="AC120" i="24"/>
  <c r="AE120" i="24"/>
  <c r="AB120" i="24"/>
  <c r="AH120" i="24"/>
  <c r="AI120" i="24"/>
  <c r="AA120" i="24"/>
  <c r="AC116" i="24"/>
  <c r="AC119" i="24"/>
  <c r="AC118" i="24"/>
  <c r="AC117" i="24"/>
  <c r="AD116" i="24"/>
  <c r="AD119" i="24"/>
  <c r="AD118" i="24"/>
  <c r="AD117" i="24"/>
  <c r="AE117" i="24"/>
  <c r="AE116" i="24"/>
  <c r="AE119" i="24"/>
  <c r="AE118" i="24"/>
  <c r="AB116" i="24"/>
  <c r="AB119" i="24"/>
  <c r="AB118" i="24"/>
  <c r="AB117" i="24"/>
  <c r="AF117" i="24"/>
  <c r="AF116" i="24"/>
  <c r="AF119" i="24"/>
  <c r="AF118" i="24"/>
  <c r="AH118" i="24"/>
  <c r="AH117" i="24"/>
  <c r="AH116" i="24"/>
  <c r="AH119" i="24"/>
  <c r="AI118" i="24"/>
  <c r="AI117" i="24"/>
  <c r="AI116" i="24"/>
  <c r="AI119" i="24"/>
  <c r="AA119" i="24"/>
  <c r="AA118" i="24"/>
  <c r="AA117" i="24"/>
  <c r="AA116" i="24"/>
  <c r="Z118" i="24"/>
  <c r="Z119" i="24"/>
  <c r="Z117" i="24"/>
  <c r="Z116" i="24"/>
  <c r="N106" i="24"/>
  <c r="N125" i="24" s="1"/>
  <c r="S106" i="24"/>
  <c r="S125" i="24" s="1"/>
  <c r="R106" i="24"/>
  <c r="R125" i="24" s="1"/>
  <c r="P125" i="24"/>
  <c r="T106" i="24"/>
  <c r="T125" i="24" s="1"/>
  <c r="P124" i="24"/>
  <c r="V106" i="24"/>
  <c r="V125" i="24" s="1"/>
  <c r="W124" i="24"/>
  <c r="W106" i="24"/>
  <c r="W125" i="24" s="1"/>
  <c r="Q106" i="24"/>
  <c r="Q125" i="24" s="1"/>
  <c r="AI91" i="24"/>
  <c r="Z91" i="24"/>
  <c r="Z92" i="24" s="1"/>
  <c r="AB91" i="24"/>
  <c r="AB92" i="24" s="1"/>
  <c r="AE91" i="24"/>
  <c r="AH92" i="24"/>
  <c r="AF91" i="24"/>
  <c r="G61" i="31"/>
  <c r="G34" i="31"/>
  <c r="AC6" i="51"/>
  <c r="AC10" i="51" s="1"/>
  <c r="AB7" i="51"/>
  <c r="AB10" i="51" s="1"/>
  <c r="AE4" i="51"/>
  <c r="AE10" i="51" s="1"/>
  <c r="AD5" i="51"/>
  <c r="AD10" i="51" s="1"/>
  <c r="AA8" i="51"/>
  <c r="AA10" i="51" s="1"/>
  <c r="AD5" i="31"/>
  <c r="AB7" i="31"/>
  <c r="AE4" i="31"/>
  <c r="AE10" i="31" s="1"/>
  <c r="AA8" i="31"/>
  <c r="D62" i="51"/>
  <c r="E35" i="51"/>
  <c r="L35" i="51"/>
  <c r="F35" i="51"/>
  <c r="H35" i="51"/>
  <c r="I35" i="51"/>
  <c r="G35" i="51"/>
  <c r="C38" i="51"/>
  <c r="E37" i="31"/>
  <c r="F37" i="31"/>
  <c r="H37" i="31"/>
  <c r="I37" i="31"/>
  <c r="G37" i="31"/>
  <c r="P116" i="11"/>
  <c r="O116" i="11"/>
  <c r="N116" i="11"/>
  <c r="R116" i="11"/>
  <c r="T116" i="11"/>
  <c r="Q116" i="11"/>
  <c r="S116" i="11"/>
  <c r="W116" i="11"/>
  <c r="E35" i="31"/>
  <c r="F35" i="31"/>
  <c r="G35" i="31"/>
  <c r="H35" i="31"/>
  <c r="I35" i="31"/>
  <c r="C97" i="11"/>
  <c r="D97" i="11"/>
  <c r="G97" i="11"/>
  <c r="E97" i="11"/>
  <c r="K97" i="11"/>
  <c r="H97" i="11"/>
  <c r="F97" i="11"/>
  <c r="B97" i="11"/>
  <c r="A134" i="11"/>
  <c r="L134" i="11"/>
  <c r="D8" i="31"/>
  <c r="AY36" i="31"/>
  <c r="B33" i="31"/>
  <c r="AX36" i="31"/>
  <c r="C34" i="31"/>
  <c r="B38" i="31"/>
  <c r="C38" i="31"/>
  <c r="AX34" i="31"/>
  <c r="AP36" i="31" l="1"/>
  <c r="AD10" i="31"/>
  <c r="AB10" i="31"/>
  <c r="AA10" i="31"/>
  <c r="AC6" i="31"/>
  <c r="AC10" i="31" s="1"/>
  <c r="Q35" i="31"/>
  <c r="Q36" i="31"/>
  <c r="Q37" i="31"/>
  <c r="AP105" i="24"/>
  <c r="E30" i="31"/>
  <c r="F30" i="31"/>
  <c r="G31" i="31"/>
  <c r="I31" i="31"/>
  <c r="H31" i="31"/>
  <c r="E31" i="31"/>
  <c r="F31" i="31"/>
  <c r="G32" i="31"/>
  <c r="I32" i="31"/>
  <c r="H32" i="31"/>
  <c r="F32" i="31"/>
  <c r="E32" i="31"/>
  <c r="G33" i="31"/>
  <c r="H33" i="31"/>
  <c r="I33" i="31"/>
  <c r="F33" i="31"/>
  <c r="E33" i="31"/>
  <c r="B39" i="51"/>
  <c r="H39" i="51" s="1"/>
  <c r="G64" i="51"/>
  <c r="AQ105" i="24"/>
  <c r="AO105" i="24"/>
  <c r="AT105" i="24"/>
  <c r="K92" i="24"/>
  <c r="AU106" i="24" s="1"/>
  <c r="AU105" i="24"/>
  <c r="AN105" i="24"/>
  <c r="D92" i="24"/>
  <c r="AN106" i="24" s="1"/>
  <c r="AL105" i="24"/>
  <c r="B92" i="24"/>
  <c r="AL106" i="24" s="1"/>
  <c r="E61" i="31"/>
  <c r="F61" i="31"/>
  <c r="T91" i="24"/>
  <c r="R91" i="24"/>
  <c r="AI92" i="24"/>
  <c r="AA91" i="24"/>
  <c r="AA92" i="24" s="1"/>
  <c r="AE92" i="24"/>
  <c r="AC91" i="24"/>
  <c r="AC92" i="24" s="1"/>
  <c r="AD91" i="24"/>
  <c r="AD92" i="24" s="1"/>
  <c r="AF92" i="24"/>
  <c r="C91" i="24"/>
  <c r="AM105" i="24" s="1"/>
  <c r="G62" i="31"/>
  <c r="E62" i="31"/>
  <c r="E34" i="31"/>
  <c r="I34" i="31"/>
  <c r="F34" i="31"/>
  <c r="H34" i="31"/>
  <c r="D39" i="51"/>
  <c r="B40" i="51" s="1"/>
  <c r="E38" i="51"/>
  <c r="L38" i="51"/>
  <c r="F38" i="51"/>
  <c r="L33" i="51"/>
  <c r="L32" i="51"/>
  <c r="L31" i="51"/>
  <c r="H63" i="51"/>
  <c r="L30" i="51"/>
  <c r="I34" i="51"/>
  <c r="H34" i="51"/>
  <c r="G34" i="51"/>
  <c r="L34" i="51"/>
  <c r="F34" i="51"/>
  <c r="E34" i="51"/>
  <c r="H38" i="51"/>
  <c r="G38" i="51"/>
  <c r="I38" i="51"/>
  <c r="E38" i="31"/>
  <c r="G38" i="31"/>
  <c r="H38" i="31"/>
  <c r="I38" i="31"/>
  <c r="F38" i="31"/>
  <c r="L97" i="11"/>
  <c r="A97" i="11"/>
  <c r="AY34" i="31"/>
  <c r="AX33" i="31"/>
  <c r="G14" i="31"/>
  <c r="AY33" i="31"/>
  <c r="AY32" i="31"/>
  <c r="AX32" i="31"/>
  <c r="AP33" i="31" l="1"/>
  <c r="AP34" i="31"/>
  <c r="AP32" i="31"/>
  <c r="AP49" i="31"/>
  <c r="AP48" i="31"/>
  <c r="AP47" i="31"/>
  <c r="AF9" i="31"/>
  <c r="AF10" i="31" s="1"/>
  <c r="M38" i="31"/>
  <c r="T38" i="31"/>
  <c r="D39" i="31" s="1"/>
  <c r="C39" i="51"/>
  <c r="F39" i="51" s="1"/>
  <c r="S37" i="31"/>
  <c r="S36" i="31"/>
  <c r="S35" i="31"/>
  <c r="R38" i="31"/>
  <c r="Q34" i="31"/>
  <c r="Q32" i="31"/>
  <c r="AQ44" i="31" s="1"/>
  <c r="Q33" i="31"/>
  <c r="Q38" i="31"/>
  <c r="O32" i="31"/>
  <c r="L32" i="31" s="1"/>
  <c r="R36" i="31"/>
  <c r="AQ48" i="31" s="1"/>
  <c r="R37" i="31"/>
  <c r="AQ49" i="31" s="1"/>
  <c r="O31" i="31"/>
  <c r="K31" i="31" s="1"/>
  <c r="O30" i="31"/>
  <c r="F62" i="31"/>
  <c r="O91" i="24"/>
  <c r="C124" i="24" s="1"/>
  <c r="AA124" i="24" s="1"/>
  <c r="H124" i="24"/>
  <c r="T92" i="24"/>
  <c r="H125" i="24" s="1"/>
  <c r="S91" i="24"/>
  <c r="Q91" i="24"/>
  <c r="R92" i="24"/>
  <c r="F125" i="24" s="1"/>
  <c r="F124" i="24"/>
  <c r="W91" i="24"/>
  <c r="V91" i="24"/>
  <c r="N91" i="24"/>
  <c r="B124" i="24" s="1"/>
  <c r="Z124" i="24" s="1"/>
  <c r="P91" i="24"/>
  <c r="C92" i="24"/>
  <c r="AM106" i="24" s="1"/>
  <c r="I39" i="51"/>
  <c r="G39" i="51"/>
  <c r="D40" i="51"/>
  <c r="C40" i="51" s="1"/>
  <c r="F40" i="51" s="1"/>
  <c r="G65" i="51"/>
  <c r="D63" i="51"/>
  <c r="C39" i="31"/>
  <c r="AZ37" i="31"/>
  <c r="B39" i="31"/>
  <c r="AQ50" i="31" l="1"/>
  <c r="AR48" i="31"/>
  <c r="AR49" i="31"/>
  <c r="AP50" i="31"/>
  <c r="AP45" i="31"/>
  <c r="AP46" i="31"/>
  <c r="AP44" i="31"/>
  <c r="AR44" i="31" s="1"/>
  <c r="E39" i="31"/>
  <c r="F39" i="31"/>
  <c r="I39" i="31"/>
  <c r="H39" i="31"/>
  <c r="G39" i="31"/>
  <c r="E39" i="51"/>
  <c r="L39" i="51"/>
  <c r="S38" i="31"/>
  <c r="S33" i="31"/>
  <c r="S34" i="31"/>
  <c r="S32" i="31"/>
  <c r="O37" i="31"/>
  <c r="K37" i="31" s="1"/>
  <c r="O36" i="31"/>
  <c r="M36" i="31" s="1"/>
  <c r="O38" i="31"/>
  <c r="L38" i="31" s="1"/>
  <c r="R39" i="31"/>
  <c r="R34" i="31"/>
  <c r="AQ46" i="31" s="1"/>
  <c r="R33" i="31"/>
  <c r="AQ45" i="31" s="1"/>
  <c r="R35" i="31"/>
  <c r="AQ47" i="31" s="1"/>
  <c r="AR47" i="31" s="1"/>
  <c r="AD125" i="24"/>
  <c r="AD124" i="24"/>
  <c r="AF125" i="24"/>
  <c r="AF124" i="24"/>
  <c r="O92" i="24"/>
  <c r="C125" i="24" s="1"/>
  <c r="AA125" i="24" s="1"/>
  <c r="V92" i="24"/>
  <c r="J125" i="24" s="1"/>
  <c r="J124" i="24"/>
  <c r="W92" i="24"/>
  <c r="K125" i="24" s="1"/>
  <c r="K124" i="24"/>
  <c r="AI124" i="24" s="1"/>
  <c r="Q92" i="24"/>
  <c r="E125" i="24" s="1"/>
  <c r="E124" i="24"/>
  <c r="P92" i="24"/>
  <c r="D125" i="24" s="1"/>
  <c r="D124" i="24"/>
  <c r="S92" i="24"/>
  <c r="G125" i="24" s="1"/>
  <c r="G124" i="24"/>
  <c r="AE124" i="24" s="1"/>
  <c r="N92" i="24"/>
  <c r="B125" i="24" s="1"/>
  <c r="G63" i="31"/>
  <c r="L40" i="51"/>
  <c r="E40" i="51"/>
  <c r="G40" i="51"/>
  <c r="H40" i="51"/>
  <c r="I40" i="51"/>
  <c r="H64" i="51"/>
  <c r="AX37" i="31"/>
  <c r="AY37" i="31"/>
  <c r="AR50" i="31" l="1"/>
  <c r="AR46" i="31"/>
  <c r="AR45" i="31"/>
  <c r="AP37" i="31"/>
  <c r="K39" i="31"/>
  <c r="Q39" i="31"/>
  <c r="AQ51" i="31" s="1"/>
  <c r="T39" i="31"/>
  <c r="D40" i="31" s="1"/>
  <c r="O39" i="31"/>
  <c r="M39" i="31" s="1"/>
  <c r="O33" i="31"/>
  <c r="M33" i="31" s="1"/>
  <c r="O34" i="31"/>
  <c r="K34" i="31" s="1"/>
  <c r="O35" i="31"/>
  <c r="L35" i="31" s="1"/>
  <c r="J29" i="51"/>
  <c r="J37" i="51" s="1"/>
  <c r="E63" i="31"/>
  <c r="F63" i="31"/>
  <c r="AE125" i="24"/>
  <c r="AC125" i="24"/>
  <c r="AI125" i="24"/>
  <c r="AB125" i="24"/>
  <c r="AB124" i="24"/>
  <c r="AH124" i="24"/>
  <c r="AH125" i="24"/>
  <c r="AC124" i="24"/>
  <c r="Z125" i="24"/>
  <c r="D64" i="51"/>
  <c r="C40" i="31"/>
  <c r="B40" i="31"/>
  <c r="AP51" i="31" l="1"/>
  <c r="AR51" i="31" s="1"/>
  <c r="H40" i="31"/>
  <c r="I40" i="31"/>
  <c r="G40" i="31"/>
  <c r="E40" i="31"/>
  <c r="F40" i="31"/>
  <c r="R40" i="31"/>
  <c r="S39" i="31"/>
  <c r="J38" i="51"/>
  <c r="J40" i="51"/>
  <c r="J33" i="51"/>
  <c r="J34" i="51"/>
  <c r="J31" i="51"/>
  <c r="J39" i="51"/>
  <c r="J32" i="51"/>
  <c r="J35" i="51"/>
  <c r="J30" i="51"/>
  <c r="J36" i="51"/>
  <c r="G64" i="31"/>
  <c r="H65" i="51"/>
  <c r="J33" i="31"/>
  <c r="J36" i="31"/>
  <c r="J34" i="31"/>
  <c r="J35" i="31"/>
  <c r="J39" i="31"/>
  <c r="J38" i="31"/>
  <c r="J37" i="31"/>
  <c r="J31" i="31"/>
  <c r="J32" i="31"/>
  <c r="J30" i="31"/>
  <c r="J40" i="31" l="1"/>
  <c r="O40" i="31"/>
  <c r="K40" i="31" s="1"/>
  <c r="L40" i="31"/>
  <c r="Q40" i="31"/>
  <c r="AQ52" i="31" s="1"/>
  <c r="T40" i="31"/>
  <c r="E64" i="31"/>
  <c r="F64" i="31"/>
  <c r="D65" i="51"/>
  <c r="AP52" i="31" l="1"/>
  <c r="AR52" i="31" s="1"/>
  <c r="S40" i="31"/>
  <c r="G65" i="31"/>
  <c r="F65" i="31" l="1"/>
  <c r="E65" i="31"/>
</calcChain>
</file>

<file path=xl/sharedStrings.xml><?xml version="1.0" encoding="utf-8"?>
<sst xmlns="http://schemas.openxmlformats.org/spreadsheetml/2006/main" count="17031" uniqueCount="3844">
  <si>
    <t>Sprintverschiebung</t>
  </si>
  <si>
    <t>SODA</t>
  </si>
  <si>
    <t>Stacked &amp; Ordered Development-Accomplished</t>
  </si>
  <si>
    <t>Butterfly</t>
  </si>
  <si>
    <t>MCO</t>
  </si>
  <si>
    <t>Vlinder</t>
  </si>
  <si>
    <t>BTF@MCO</t>
  </si>
  <si>
    <t>AC</t>
  </si>
  <si>
    <t>SCO</t>
  </si>
  <si>
    <t>Papillon</t>
  </si>
  <si>
    <t>BTF@SCO</t>
  </si>
  <si>
    <t>AI</t>
  </si>
  <si>
    <t>Payment</t>
  </si>
  <si>
    <t>The Pay-Team</t>
  </si>
  <si>
    <t>PAY@MCO</t>
  </si>
  <si>
    <t>AA</t>
  </si>
  <si>
    <t>Two Fingered Sloth</t>
  </si>
  <si>
    <t>TFS</t>
  </si>
  <si>
    <t>PAY@SCO</t>
  </si>
  <si>
    <t>AF</t>
  </si>
  <si>
    <t>Value</t>
  </si>
  <si>
    <t>Synergy</t>
  </si>
  <si>
    <t>VLU@MCO</t>
  </si>
  <si>
    <t>AH</t>
  </si>
  <si>
    <t>TNT</t>
  </si>
  <si>
    <t>VLU@SCO</t>
  </si>
  <si>
    <t>AE</t>
  </si>
  <si>
    <t>Sales</t>
  </si>
  <si>
    <t>Team S</t>
  </si>
  <si>
    <t>SLS@MCO</t>
  </si>
  <si>
    <t>AB</t>
  </si>
  <si>
    <t>The Till Titans</t>
  </si>
  <si>
    <t>TTT</t>
  </si>
  <si>
    <t>SLS@SCO</t>
  </si>
  <si>
    <t>AD</t>
  </si>
  <si>
    <t>Engineering</t>
  </si>
  <si>
    <t>CHO</t>
  </si>
  <si>
    <t>ENG@CHO</t>
  </si>
  <si>
    <t>Z</t>
  </si>
  <si>
    <t>IDL</t>
  </si>
  <si>
    <t>Interleaved, Differentiating, Levelled</t>
  </si>
  <si>
    <t>VALE</t>
  </si>
  <si>
    <t>Velocity Attribution with Logical Explanations</t>
  </si>
  <si>
    <t>Standardabweichung</t>
  </si>
  <si>
    <t xml:space="preserve">  Average Velocity (4 Sprints prior)</t>
  </si>
  <si>
    <t xml:space="preserve">  IDL Sprint Velocity</t>
  </si>
  <si>
    <t xml:space="preserve">  Alarming</t>
  </si>
  <si>
    <t xml:space="preserve">  Concerning</t>
  </si>
  <si>
    <t xml:space="preserve">  Healthy</t>
  </si>
  <si>
    <t xml:space="preserve">  Spot-On</t>
  </si>
  <si>
    <t xml:space="preserve">  Lively</t>
  </si>
  <si>
    <t xml:space="preserve">  Bloated</t>
  </si>
  <si>
    <t>Target</t>
  </si>
  <si>
    <t>Sprint 4_4+5</t>
  </si>
  <si>
    <t>Sprint 4_6/7+8</t>
  </si>
  <si>
    <t>Sprint 1_1+2</t>
  </si>
  <si>
    <t>Sprint 1_3+4</t>
  </si>
  <si>
    <t>Sprint 1_5+6</t>
  </si>
  <si>
    <t>Sprint 2_1+2</t>
  </si>
  <si>
    <t>Sprint 2_3/4</t>
  </si>
  <si>
    <t>Sprint 2_5/6</t>
  </si>
  <si>
    <t>Sprint 3_1/2</t>
  </si>
  <si>
    <t>Sprint 3_3/4</t>
  </si>
  <si>
    <t>Sprint 3_5/6</t>
  </si>
  <si>
    <t>HIL</t>
  </si>
  <si>
    <t>Hieratic, Incremental, Librating</t>
  </si>
  <si>
    <t xml:space="preserve"> </t>
  </si>
  <si>
    <t>Standard Deviation</t>
  </si>
  <si>
    <t>95% factor</t>
  </si>
  <si>
    <t xml:space="preserve">  95% VELOCITY</t>
  </si>
  <si>
    <t xml:space="preserve">  Mean Velocity (Current + 5)</t>
  </si>
  <si>
    <t xml:space="preserve">  HIL Sprint Velocity</t>
  </si>
  <si>
    <t>FTE corrected</t>
  </si>
  <si>
    <t xml:space="preserve">  Median</t>
  </si>
  <si>
    <t>FTE</t>
  </si>
  <si>
    <t>Special Effects</t>
  </si>
  <si>
    <t xml:space="preserve">  Average Velocity</t>
  </si>
  <si>
    <t xml:space="preserve">  RZ: Alarming</t>
  </si>
  <si>
    <t xml:space="preserve">  RZ: Concerning</t>
  </si>
  <si>
    <t xml:space="preserve">  RZ: Healthy</t>
  </si>
  <si>
    <t xml:space="preserve">  RZ: Spot-On</t>
  </si>
  <si>
    <t xml:space="preserve">  RZ: Lively</t>
  </si>
  <si>
    <t xml:space="preserve">  RZ: Bloated</t>
  </si>
  <si>
    <t xml:space="preserve">  Target Trajectory</t>
  </si>
  <si>
    <t>tt</t>
  </si>
  <si>
    <t>Target Velocity</t>
  </si>
  <si>
    <t>calc range</t>
  </si>
  <si>
    <t>zone</t>
  </si>
  <si>
    <t>target zone</t>
  </si>
  <si>
    <t>RAINBOW</t>
  </si>
  <si>
    <t>Ratingzone Adjustment Into Normalized Bands Of Unambiguous Understanding</t>
  </si>
  <si>
    <t>Velocity</t>
  </si>
  <si>
    <t>Alarming</t>
  </si>
  <si>
    <t>Concerning</t>
  </si>
  <si>
    <t>Healthy</t>
  </si>
  <si>
    <t>Spot-On</t>
  </si>
  <si>
    <t>Lively</t>
  </si>
  <si>
    <t>Bloated</t>
  </si>
  <si>
    <t>REAL</t>
  </si>
  <si>
    <t>Relative Excess, Absolute Location</t>
  </si>
  <si>
    <t>Delta 2 Ideal</t>
  </si>
  <si>
    <t>Delta 2 Target</t>
  </si>
  <si>
    <t>Real KPI</t>
  </si>
  <si>
    <t xml:space="preserve">  95%-Success VELOCITY</t>
  </si>
  <si>
    <t xml:space="preserve">  99% VELOCITY</t>
  </si>
  <si>
    <t>Initially Planned</t>
  </si>
  <si>
    <t>Pulled after Start</t>
  </si>
  <si>
    <t>0-Noise</t>
  </si>
  <si>
    <t>Sprint_4_4</t>
  </si>
  <si>
    <t>Sprint_4_5</t>
  </si>
  <si>
    <t>Sprint_4_6</t>
  </si>
  <si>
    <t>Sprint_4_8</t>
  </si>
  <si>
    <t>Sprint_1_1</t>
  </si>
  <si>
    <t>Sprint_1_2</t>
  </si>
  <si>
    <t>Sprint_1_3</t>
  </si>
  <si>
    <t>Sprint_1_4</t>
  </si>
  <si>
    <t>Sprint_1_5</t>
  </si>
  <si>
    <t>Sprint_1_6</t>
  </si>
  <si>
    <t>Sprint_2_1</t>
  </si>
  <si>
    <t>Sprint_2_2</t>
  </si>
  <si>
    <t>Sprint_2_3u4</t>
  </si>
  <si>
    <t>Sprint_2_5u6</t>
  </si>
  <si>
    <t>Sprint_3_1u2</t>
  </si>
  <si>
    <t>Sprint_3_3u4</t>
  </si>
  <si>
    <t>Sprint_3_5u6</t>
  </si>
  <si>
    <t>Completed</t>
  </si>
  <si>
    <t>Removed</t>
  </si>
  <si>
    <t>Not Completed</t>
  </si>
  <si>
    <t>Completed Items</t>
  </si>
  <si>
    <t>Mittelwert</t>
  </si>
  <si>
    <t>Mittlere Abweichung vom Mittelwert</t>
  </si>
  <si>
    <t>TRULY AGILE Scope (Initially Planned + Pulled after Start - Removed)</t>
  </si>
  <si>
    <t>FAIRLY AGILE Scope (Initially Planned - Removed)</t>
  </si>
  <si>
    <t>SP Completed PSEUDO-4-weeks Sprints</t>
  </si>
  <si>
    <t>Sprint 2024-4-4+5</t>
  </si>
  <si>
    <t>Sprint 2024-4-6/7+8</t>
  </si>
  <si>
    <t>Sprint 2025-1-1+2</t>
  </si>
  <si>
    <t>Sprint 2025-1-3+4</t>
  </si>
  <si>
    <t>Sprint 2025-1-5+6</t>
  </si>
  <si>
    <t>Sprint 2025-2-1+2</t>
  </si>
  <si>
    <t>Sprint 2025-2-3/4</t>
  </si>
  <si>
    <t>Sprint 2025-2-5/6</t>
  </si>
  <si>
    <t>Sprint 2025-3-1/2</t>
  </si>
  <si>
    <t>Sprint 2025-3-3/4</t>
  </si>
  <si>
    <t>Sprint 2025-3-5/6</t>
  </si>
  <si>
    <t>Items Completed PSEUDO-4-weeks Sprints</t>
  </si>
  <si>
    <t>Durchschnittliche Komplexität</t>
  </si>
  <si>
    <t>95% Success Rate Velocity</t>
  </si>
  <si>
    <t>95% Success Rate item Count</t>
  </si>
  <si>
    <t>Correlation Velocity VS item Count</t>
  </si>
  <si>
    <t>Completed PSEUDO-4-weeks Sprints</t>
  </si>
  <si>
    <t>Velocity KPI</t>
  </si>
  <si>
    <t>Plan-Velocity-Match (Completed vs. FAIRLY AGILE Scope)</t>
  </si>
  <si>
    <t>Initially Planned vs. TrueScope</t>
  </si>
  <si>
    <t>Initially Planned vs. Mean Velocity</t>
  </si>
  <si>
    <t>Velocity KPI (Rang aus 3 Sprints: Verlauf und Tendenz)</t>
  </si>
  <si>
    <t>Velocity KPI ("Enginered": mittleren Sprint ignorieren)</t>
  </si>
  <si>
    <t>Velocity KPI ("Gegen den Trend":Naive Prognose vs. Tatsächlicher Wert)</t>
  </si>
  <si>
    <t>Velocity KPI (Delta Trend-Trend-Prognose zu Startwert, rel. zu Endwert)</t>
  </si>
  <si>
    <t>Velocity vs. Linear Projection</t>
  </si>
  <si>
    <t>Velocity KPI (Rang aus allen Sprints: Verlauf und Tendenz)</t>
  </si>
  <si>
    <t>Sprint 2025_2-3, 13.05.2025 - 27.05.2025, Status at Sprint Completion</t>
  </si>
  <si>
    <t>Team Summary</t>
  </si>
  <si>
    <r>
      <rPr>
        <sz val="10"/>
        <color rgb="FFFF0000"/>
        <rFont val="Aptos"/>
        <family val="2"/>
      </rPr>
      <t xml:space="preserve">v  v  v  Use exactly these </t>
    </r>
    <r>
      <rPr>
        <b/>
        <sz val="10"/>
        <color rgb="FFFF0000"/>
        <rFont val="Aptos"/>
        <family val="2"/>
      </rPr>
      <t>statuses</t>
    </r>
    <r>
      <rPr>
        <sz val="10"/>
        <color rgb="FFFF0000"/>
        <rFont val="Aptos"/>
        <family val="2"/>
      </rPr>
      <t xml:space="preserve">   v  v  v</t>
    </r>
  </si>
  <si>
    <t>Issue Count</t>
  </si>
  <si>
    <t>Story Points Sum</t>
  </si>
  <si>
    <t>Story Points Sum (Spill-Over sensitive [SOs] and Carry-Over sensitive [COs])</t>
  </si>
  <si>
    <t>Team</t>
  </si>
  <si>
    <t>Epic</t>
  </si>
  <si>
    <t>CSOsSP Completed ABS</t>
  </si>
  <si>
    <t>CSOsSP Completed REL</t>
  </si>
  <si>
    <t>Sprint Scope</t>
  </si>
  <si>
    <t>Total</t>
  </si>
  <si>
    <t>Completed vs. Initially Planned</t>
  </si>
  <si>
    <r>
      <t xml:space="preserve">&gt;
&gt;
&gt;
&gt;
Use exactly these </t>
    </r>
    <r>
      <rPr>
        <b/>
        <sz val="10"/>
        <color rgb="FFFF0000"/>
        <rFont val="Comic Sans MS"/>
        <family val="4"/>
      </rPr>
      <t>team names</t>
    </r>
    <r>
      <rPr>
        <sz val="10"/>
        <color rgb="FFFF0000"/>
        <rFont val="Comic Sans MS"/>
        <family val="4"/>
      </rPr>
      <t>!
&gt;
&gt;
&gt;
&gt;</t>
    </r>
  </si>
  <si>
    <t>Epic #1</t>
  </si>
  <si>
    <t>Epic #10</t>
  </si>
  <si>
    <t>Epic #2</t>
  </si>
  <si>
    <t>Epic #3</t>
  </si>
  <si>
    <t>Epic #4</t>
  </si>
  <si>
    <t>Epic #5</t>
  </si>
  <si>
    <t>Epic #6</t>
  </si>
  <si>
    <t>Epic #7</t>
  </si>
  <si>
    <t>Epic #8</t>
  </si>
  <si>
    <t>Epic #9</t>
  </si>
  <si>
    <t>---</t>
  </si>
  <si>
    <t>Category Summary</t>
  </si>
  <si>
    <t>Planned</t>
  </si>
  <si>
    <r>
      <t xml:space="preserve"> Estimated </t>
    </r>
    <r>
      <rPr>
        <sz val="10"/>
        <color rgb="FFFFFFFF"/>
        <rFont val="Aptos"/>
        <family val="2"/>
      </rPr>
      <t>(Jira Story Points = #)</t>
    </r>
  </si>
  <si>
    <r>
      <rPr>
        <b/>
        <sz val="10"/>
        <color rgb="FFFFFFFF"/>
        <rFont val="Aptos"/>
        <family val="2"/>
      </rPr>
      <t xml:space="preserve">Not Estimated </t>
    </r>
    <r>
      <rPr>
        <sz val="10"/>
        <color rgb="FFFFFFFF"/>
        <rFont val="Aptos"/>
        <family val="2"/>
      </rPr>
      <t>(Jira Story Points = -)</t>
    </r>
  </si>
  <si>
    <t>Count</t>
  </si>
  <si>
    <t>SP</t>
  </si>
  <si>
    <t>Scope</t>
  </si>
  <si>
    <t>Flat Rate for "-" Story Points</t>
  </si>
  <si>
    <t>Key</t>
  </si>
  <si>
    <t>Summary</t>
  </si>
  <si>
    <t>Issue Type</t>
  </si>
  <si>
    <t>Priority</t>
  </si>
  <si>
    <t>Jira Status</t>
  </si>
  <si>
    <t>Jira Story Points</t>
  </si>
  <si>
    <t>Notes</t>
  </si>
  <si>
    <t>Status</t>
  </si>
  <si>
    <t>Carry-over</t>
  </si>
  <si>
    <t>Spill-over</t>
  </si>
  <si>
    <t>COsSP Initially Planned</t>
  </si>
  <si>
    <t>COsSP Pulled after Start</t>
  </si>
  <si>
    <t>CSOsSP Completed</t>
  </si>
  <si>
    <t>CSOsSP Removed</t>
  </si>
  <si>
    <t>CSOsSP Not Completed</t>
  </si>
  <si>
    <t>yes</t>
  </si>
  <si>
    <t>-</t>
  </si>
  <si>
    <t>Sprint 2025_3_1/2, 08.07.2025 - 05.08.2025, Status at Sprint Completion</t>
  </si>
  <si>
    <r>
      <rPr>
        <sz val="10"/>
        <color rgb="FFFF0000"/>
        <rFont val="Aptos"/>
      </rPr>
      <t xml:space="preserve">v  v  v  Use exactly these </t>
    </r>
    <r>
      <rPr>
        <b/>
        <sz val="10"/>
        <color rgb="FFFF0000"/>
        <rFont val="Aptos"/>
      </rPr>
      <t>statuses</t>
    </r>
    <r>
      <rPr>
        <sz val="10"/>
        <color rgb="FFFF0000"/>
        <rFont val="Aptos"/>
      </rPr>
      <t xml:space="preserve">   v  v  v</t>
    </r>
  </si>
  <si>
    <t>ANP-29057</t>
  </si>
  <si>
    <t>Parameter replication is not working on till level/Tills had to be manually rebooted to trigger update</t>
  </si>
  <si>
    <t>bug</t>
  </si>
  <si>
    <t>closed</t>
  </si>
  <si>
    <t>M</t>
  </si>
  <si>
    <t>ANP-28913</t>
  </si>
  <si>
    <t>Workaround for TIM Terminal 3.41 issue for NEWPOSS 4.12.0</t>
  </si>
  <si>
    <t>ANP-25440</t>
  </si>
  <si>
    <t>Logfiles: Multi-Lane Till Development</t>
  </si>
  <si>
    <t>story</t>
  </si>
  <si>
    <t>[ANP-22244] Collect Logfiles in /var/log</t>
  </si>
  <si>
    <t>ANP-27041</t>
  </si>
  <si>
    <t>Switch Transaction Data Endpoints</t>
  </si>
  <si>
    <t>in acceptance</t>
  </si>
  <si>
    <t>PD</t>
  </si>
  <si>
    <t>[ANP-25952] Backoffice Transaction Data Refactoring - Switch Transaction data endpoints (MCO)</t>
  </si>
  <si>
    <t>ANP-28397</t>
  </si>
  <si>
    <t>EFT IT - Card information mapping to MeansOfPayment (MCO)</t>
  </si>
  <si>
    <t>M; preliminary retrospective estimation by RE</t>
  </si>
  <si>
    <t>ANP-28543</t>
  </si>
  <si>
    <t>refine short-notice bugs prior to processing</t>
  </si>
  <si>
    <t>task</t>
  </si>
  <si>
    <t>M; preliminary value summing up analysis for ANP-28399, 28370, 28170</t>
  </si>
  <si>
    <t>ANP-25064</t>
  </si>
  <si>
    <t>Store- credit card payments against signature, the merchant receipt will no longer be printed- EM: no</t>
  </si>
  <si>
    <t>in development</t>
  </si>
  <si>
    <t>PD; issue type changed from bug to story</t>
  </si>
  <si>
    <t>[ANP-24505] MCO #04 | [INT] Transaction Data</t>
  </si>
  <si>
    <t>ANP-28370</t>
  </si>
  <si>
    <t>Integrate POS-3724: Means of Payment cannot be resolved for MCO with TIM implementation</t>
  </si>
  <si>
    <t>concept design</t>
  </si>
  <si>
    <t>ANP-28399</t>
  </si>
  <si>
    <t>Integrate POS-3729: Means of Payment cannot be resolved for MCO with direct implementation for IT</t>
  </si>
  <si>
    <t>M; retrospective estimation by RE</t>
  </si>
  <si>
    <t>ANP-28170</t>
  </si>
  <si>
    <t>Integrate POS-3728: INC5253414 - Means of Payment cannot be resolved for MCO</t>
  </si>
  <si>
    <t>ANP-28571</t>
  </si>
  <si>
    <t>[MCO] AT: Fiscalization error</t>
  </si>
  <si>
    <t>[ANP-27720] MCO #01 | Fiscalization</t>
  </si>
  <si>
    <t>ANP-25955</t>
  </si>
  <si>
    <t>Customers get charged more than the total receipt sum</t>
  </si>
  <si>
    <t>blocked</t>
  </si>
  <si>
    <t>ANP-28354</t>
  </si>
  <si>
    <t>INC5323862 - Unrecoverable error (UK)</t>
  </si>
  <si>
    <t>M; moved to CHO</t>
  </si>
  <si>
    <t>ANP-28355</t>
  </si>
  <si>
    <t>INC5366201 - Unrecoverable error (UK) during logIn process</t>
  </si>
  <si>
    <t>ANP-28469</t>
  </si>
  <si>
    <t>Till prints wrong card payment information and doesn't charge customer after failed payment</t>
  </si>
  <si>
    <t>ANP-28506</t>
  </si>
  <si>
    <t>set up testlab for ANP-25541</t>
  </si>
  <si>
    <t>in progress</t>
  </si>
  <si>
    <t>ANP-28536</t>
  </si>
  <si>
    <t>[SPIKE] Prep&amp;Spec: POS&lt;-&gt;ACI Interface</t>
  </si>
  <si>
    <t>[ANP-27742] MCO Base - Conceptional preparation for HFBC (Healthy Food Benefits Card)</t>
  </si>
  <si>
    <t>ANP-28938</t>
  </si>
  <si>
    <t>Pick Tickets for 4.7.15</t>
  </si>
  <si>
    <t>RT</t>
  </si>
  <si>
    <t>ANP-28946</t>
  </si>
  <si>
    <t>Pick Tickets for 4.7.16</t>
  </si>
  <si>
    <t>open</t>
  </si>
  <si>
    <t>ANP-27222</t>
  </si>
  <si>
    <t>Analysis of ANP-26719: EFT after Total / Discount coupon in advanced tendering mode leads to a lost receipt</t>
  </si>
  <si>
    <t>NPSCO-22216</t>
  </si>
  <si>
    <t>Cherry Pick 4.23.1</t>
  </si>
  <si>
    <t>CLOSED</t>
  </si>
  <si>
    <t>NPSCO-21098</t>
  </si>
  <si>
    <t>Cherry Pick Down Merge EGC Maintenance Release 4.13.3</t>
  </si>
  <si>
    <t>IN PROGRESS</t>
  </si>
  <si>
    <t>NPSCO-22347</t>
  </si>
  <si>
    <t>Adjust Means of Payments values in CFRM parameter for SCO</t>
  </si>
  <si>
    <t>NPSCO-22101</t>
  </si>
  <si>
    <t>For failed card payments the SCO sends paymentTypes unknown to the BO</t>
  </si>
  <si>
    <t>NPSCO-22302</t>
  </si>
  <si>
    <t>[AUS] EFT devices constantly loose connection</t>
  </si>
  <si>
    <t>IN DEVELOPMENT</t>
  </si>
  <si>
    <t>NPSCO-21717</t>
  </si>
  <si>
    <t>EFT IT - Card information mapping to MeansOfPayment (SCO)</t>
  </si>
  <si>
    <t>IN REVIEW</t>
  </si>
  <si>
    <t>NPSCO-21824</t>
  </si>
  <si>
    <t>EFT data is missing with autocommit = false in the tim config</t>
  </si>
  <si>
    <t>NPSCO-15181</t>
  </si>
  <si>
    <t>Restrict iptables rule to EFT Terminals </t>
  </si>
  <si>
    <t>BLOCKED</t>
  </si>
  <si>
    <t>NPSCO-21799</t>
  </si>
  <si>
    <t>[SCO CH] Apply rounding logic for EGC payment</t>
  </si>
  <si>
    <t>NPSCO-21166</t>
  </si>
  <si>
    <t>Timeout when paying with event voucher only restricted items</t>
  </si>
  <si>
    <t>NPSCO-20230</t>
  </si>
  <si>
    <t>Implement Jenkins client for building and following jobs</t>
  </si>
  <si>
    <t>NPSCO-21910</t>
  </si>
  <si>
    <t>Test - Pick EGC features to ER 4.1</t>
  </si>
  <si>
    <t>NPSCO-21181</t>
  </si>
  <si>
    <t>Test Task Release 4.13.2</t>
  </si>
  <si>
    <t>READY</t>
  </si>
  <si>
    <t>NPSCO-21831</t>
  </si>
  <si>
    <t>Onboarding Claudia Wipperfeld</t>
  </si>
  <si>
    <t>NPSCO-21833</t>
  </si>
  <si>
    <t>Onboarding Simone Lindner</t>
  </si>
  <si>
    <t>NPSCO-21835</t>
  </si>
  <si>
    <t>Onboarding Timothy Ernst</t>
  </si>
  <si>
    <t>NPSCO-22269</t>
  </si>
  <si>
    <t>Test Task Release 4.23.1</t>
  </si>
  <si>
    <t>NPSCO-22409</t>
  </si>
  <si>
    <t xml:space="preserve">	EFT data is missing with autocommit = false in the tim config - Releases 4.23.2 &amp; 5.0.0</t>
  </si>
  <si>
    <t>NPSCO-22396</t>
  </si>
  <si>
    <t>Cherry Pick for Maintenance Release 4.13.2</t>
  </si>
  <si>
    <t>NPSCO-22382</t>
  </si>
  <si>
    <t>SCO adds cash payment to receipt after pressing contactless resulting in a loss for ALDI</t>
  </si>
  <si>
    <t>NPSCO-21992</t>
  </si>
  <si>
    <t>Cherry Pick 3.18.8</t>
  </si>
  <si>
    <t>Closed</t>
  </si>
  <si>
    <t>NPSCO-20297</t>
  </si>
  <si>
    <t>Pick EGC features to ER 4.1 (Sales)</t>
  </si>
  <si>
    <t>In Development</t>
  </si>
  <si>
    <t>NPSCO-21115</t>
  </si>
  <si>
    <t>Test - Pick EGC features to ER 4.1 (Sales)</t>
  </si>
  <si>
    <t>In Progress</t>
  </si>
  <si>
    <t>NPSCO-20414</t>
  </si>
  <si>
    <t>Change DN call for driver licence button</t>
  </si>
  <si>
    <t>NPSCO-21296</t>
  </si>
  <si>
    <t>Customer Intervention when scanning EGC is not shown when "recharge" is selected</t>
  </si>
  <si>
    <t>NPSCO-21706</t>
  </si>
  <si>
    <t>EGC payment is not labeled on the CH receipt</t>
  </si>
  <si>
    <t>NPSCO-21840</t>
  </si>
  <si>
    <t>Include receipt number in the requests to the etc interface</t>
  </si>
  <si>
    <t>NPSCO-21681</t>
  </si>
  <si>
    <t>Purchase clears the finalized transaction after 24h (not 3h)</t>
  </si>
  <si>
    <t>NPSCO-21491</t>
  </si>
  <si>
    <t>[UK] Customer intervention in Sales</t>
  </si>
  <si>
    <t>NPSCO-20797</t>
  </si>
  <si>
    <t>Change LayoutIDs for PinPrinting</t>
  </si>
  <si>
    <t>NPSCO-20648</t>
  </si>
  <si>
    <t>Discounts are using wrong format on the receipt/Ejournal</t>
  </si>
  <si>
    <t>NPSCO-18838</t>
  </si>
  <si>
    <t>Attendant intervention for weight input is not triggered immediately after a WERW item is added by itemid</t>
  </si>
  <si>
    <t>NPSCO-22081</t>
  </si>
  <si>
    <t>Gather data for main driver SCO #02 | [INT] SCOs Offline &amp; SCOs showing offline on ATS</t>
  </si>
  <si>
    <t>Ready</t>
  </si>
  <si>
    <t>NPSCO-21815</t>
  </si>
  <si>
    <t>Split up deposit values per tax class on the Till Reports</t>
  </si>
  <si>
    <t>NPSCO-21855</t>
  </si>
  <si>
    <t>Cherry Pick to Release 4.23.1 (ER 4.2C.1)</t>
  </si>
  <si>
    <t>NPSCO-22034</t>
  </si>
  <si>
    <t>Release Test 4.23.1</t>
  </si>
  <si>
    <t>NPSCO-22073</t>
  </si>
  <si>
    <t>Release test 3.18.8</t>
  </si>
  <si>
    <t>NPSCO-22373</t>
  </si>
  <si>
    <t>Release Test 4.13.2</t>
  </si>
  <si>
    <t>NPSCO-22428</t>
  </si>
  <si>
    <t>US Tax calculation for PinPrinting</t>
  </si>
  <si>
    <t>NPSCO-20447</t>
  </si>
  <si>
    <t>Epay export failure after an empty card was ringed (Mock only)</t>
  </si>
  <si>
    <t>NPSCO-22361</t>
  </si>
  <si>
    <t>Check if Delta Update for Articles deletes Entry in DB or sets it to Deleted and import newer version</t>
  </si>
  <si>
    <t>NPSCO-22522</t>
  </si>
  <si>
    <t>Analysis and support for VSS-2258</t>
  </si>
  <si>
    <t>ANP-26854</t>
  </si>
  <si>
    <t>Avoid boot loops due to unnecessary restarts triggered due to unavailable NEWPOSS Store Server</t>
  </si>
  <si>
    <t>Story</t>
  </si>
  <si>
    <t>ANP-27133</t>
  </si>
  <si>
    <t>Warranty text is not printed on receipt</t>
  </si>
  <si>
    <t>Bug</t>
  </si>
  <si>
    <t>ANP-27150</t>
  </si>
  <si>
    <t>[Infinity] SAP FICO - problems with the sales foreign currency postings - no em</t>
  </si>
  <si>
    <t>ANP-27424</t>
  </si>
  <si>
    <t>Implementation of new till sharing functionality 21+CODE for GB/IE</t>
  </si>
  <si>
    <t>ANP-27468</t>
  </si>
  <si>
    <t>Determine differences between receipt layout configuration in production and provided configuration scripts</t>
  </si>
  <si>
    <t>Task</t>
  </si>
  <si>
    <t>ANP-27483</t>
  </si>
  <si>
    <t>StringTokenizer does not return empty tokens, leading to multiple line breaks being unrecognized</t>
  </si>
  <si>
    <t>ANP-27580</t>
  </si>
  <si>
    <t>Analysis capturing of lottery items and related receipt position creation [half a day]</t>
  </si>
  <si>
    <t>ANP-27613</t>
  </si>
  <si>
    <t>Remove capturing and printing of pensioner ids</t>
  </si>
  <si>
    <t>ANP-27638</t>
  </si>
  <si>
    <t>RIE [Stores] Multiple Articles affected - Wrong price for the single bottle. (Pfandartikel)</t>
  </si>
  <si>
    <t>ANP-27693</t>
  </si>
  <si>
    <t>Build MCO part of NEWPOSS release 4.7.12</t>
  </si>
  <si>
    <t>ANP-27698</t>
  </si>
  <si>
    <t>Adjust US receipt layout regarding weight and tare label</t>
  </si>
  <si>
    <t>ANP-27713</t>
  </si>
  <si>
    <t>Brainstorming on fraud protection mechanism on MCO</t>
  </si>
  <si>
    <t>ANP-27715</t>
  </si>
  <si>
    <t>PI Planning and effort estimation</t>
  </si>
  <si>
    <t>ANP-27716</t>
  </si>
  <si>
    <t>Pick of the compacting mechanism to ER 4.1/NEWPOSS 4.7</t>
  </si>
  <si>
    <t>ANP-27718</t>
  </si>
  <si>
    <t>ANP-27761</t>
  </si>
  <si>
    <t>Analyse and Fix Nullpointer in HUFCUFixture fixtures.pos.fiscalization.hu.hufcu, HUEuroSwitchFixture fixtures.pos.fiscalization.hu.hueuroswitch and HUFiscalizationTillFixture fixtures.pos.fiscalization.hu.hufiscalizationtill</t>
  </si>
  <si>
    <t>ANP-27769</t>
  </si>
  <si>
    <t>Remove layout tests from HU related integrity tests</t>
  </si>
  <si>
    <t>ANP-27974</t>
  </si>
  <si>
    <t>HU 4.7.11/1.26.7.11 HU Special Characters in Layout are shown as '?'</t>
  </si>
  <si>
    <t>ANP-27993</t>
  </si>
  <si>
    <t>[UK] EFT EndOfDay not triggered by ACO tilljobevent</t>
  </si>
  <si>
    <t>ANP-27997</t>
  </si>
  <si>
    <t>[UK] EndOfDay not triggered by quartz scheduler</t>
  </si>
  <si>
    <t>ANP-28000</t>
  </si>
  <si>
    <t>Re-enable owasp plugin for all MCO repositories</t>
  </si>
  <si>
    <t>ANP-28165</t>
  </si>
  <si>
    <t>Build MCO part of NEWPOSS release 4.7.13</t>
  </si>
  <si>
    <t>ANP-28175</t>
  </si>
  <si>
    <t>Till restart message appearing on MCO #1</t>
  </si>
  <si>
    <t>ANP-28205</t>
  </si>
  <si>
    <t>Build MCO part of NEWPOSS release 4.10.1</t>
  </si>
  <si>
    <t>ANP-28356</t>
  </si>
  <si>
    <t>Build MCO part of NEWPOSS release 4.7.14</t>
  </si>
  <si>
    <t>ANP-28405</t>
  </si>
  <si>
    <t>[US] Till requests pickup drop before the cash limit is reached</t>
  </si>
  <si>
    <t>ANP-17348</t>
  </si>
  <si>
    <t>Validate master data retrieved from back office server via ACO before import</t>
  </si>
  <si>
    <t>ANP-25038</t>
  </si>
  <si>
    <t>Maven install command fails</t>
  </si>
  <si>
    <t>ANP-26738</t>
  </si>
  <si>
    <t>Analyse back office communication and prevent calls in offline state</t>
  </si>
  <si>
    <t>ANP-26888</t>
  </si>
  <si>
    <t>Remove non-layout business logic from AldiItemReceiptPosition BO</t>
  </si>
  <si>
    <t>ANP-27170</t>
  </si>
  <si>
    <t>Items with UPC-A Barcode starting with "26" are added to receipt with quantity of zero</t>
  </si>
  <si>
    <t>ANP-28174</t>
  </si>
  <si>
    <t>ESL - incorrect receipt info on product - N/A</t>
  </si>
  <si>
    <t>ANP-28226</t>
  </si>
  <si>
    <t>AU Store - Articles/Items printed double on receipts</t>
  </si>
  <si>
    <t>ANP-28359</t>
  </si>
  <si>
    <t>Support with manual tests in testlab</t>
  </si>
  <si>
    <t>ANP-28385</t>
  </si>
  <si>
    <t>Adjust receipt layout differences (CFRM vs till-dev) based on analysis results</t>
  </si>
  <si>
    <t>ANP-28500</t>
  </si>
  <si>
    <t>[MCO] Superfluous lines on receipts - 4.1C5 version</t>
  </si>
  <si>
    <t>ANP-26491</t>
  </si>
  <si>
    <t>Harmonize Voiding for POSA and POR items</t>
  </si>
  <si>
    <t>ANP-28557</t>
  </si>
  <si>
    <t>Improve documentation for Till Sharing feature</t>
  </si>
  <si>
    <t>Open</t>
  </si>
  <si>
    <t>ANP-28559</t>
  </si>
  <si>
    <t>Review of the backlog</t>
  </si>
  <si>
    <t>ANP-28560</t>
  </si>
  <si>
    <t>Knowledge transfer and overview regarding Till Sharing</t>
  </si>
  <si>
    <t>ANP-28349</t>
  </si>
  <si>
    <t>Show all available tax classes in respective country on the Till/Financial Reports (18/8+Code)</t>
  </si>
  <si>
    <t>ANP-28350</t>
  </si>
  <si>
    <t>Adapt the displaying of the currency on the Till/Financial Reports (18/8+Code)</t>
  </si>
  <si>
    <t>ANP-25700</t>
  </si>
  <si>
    <t>Harmonize suspend &amp; retrieve workflow for POSA and POR items</t>
  </si>
  <si>
    <t>Sprint 2025_2-5/6, 10.06.2025 - 08.07.2025, Status at Sprint Completion</t>
  </si>
  <si>
    <t>Completed of Initially Planned</t>
  </si>
  <si>
    <t>Completed of Pulled after Sprint</t>
  </si>
  <si>
    <t>ANP-28241</t>
  </si>
  <si>
    <t>EFTPOS key not working on 4.1 C6</t>
  </si>
  <si>
    <t>ANP-28122</t>
  </si>
  <si>
    <t>Authorisation Code not sent with EFT Transaction on OPI</t>
  </si>
  <si>
    <t>ANP-27669</t>
  </si>
  <si>
    <t>[UK] Integrate POS Core for OPI boolean fix</t>
  </si>
  <si>
    <t>ANP-27197</t>
  </si>
  <si>
    <t>Build MCO part of NEWPOSS release 4.10.0</t>
  </si>
  <si>
    <t>ANP-27238</t>
  </si>
  <si>
    <t>[ANP-26021] OPS &amp; Support Initiative</t>
  </si>
  <si>
    <t>ANP-27564</t>
  </si>
  <si>
    <t>Analysis of ANP-24330: POS3 - CHOP - NCR 7199 PinPrinting not correct</t>
  </si>
  <si>
    <t>ANP-27245</t>
  </si>
  <si>
    <t>additional Analysis of ANP-25541: [CHOP] Global Blue (12+Code) not working for card payments and last receipt</t>
  </si>
  <si>
    <t>[ANP-18572] CHOP AT [DMND0061403]</t>
  </si>
  <si>
    <t>ANP-28132</t>
  </si>
  <si>
    <t>Integrate POS-Core 2.7.61 in MCO Till</t>
  </si>
  <si>
    <t>ANP-27211</t>
  </si>
  <si>
    <t>Build MCO part of NEWPOSS release 4.11.0</t>
  </si>
  <si>
    <t>M; formal spill-over</t>
  </si>
  <si>
    <t>ANP-26704]</t>
  </si>
  <si>
    <t>[SPIKE] Multilane Mock improvement for application tests</t>
  </si>
  <si>
    <t>[ANP-9451] Development Improvements for MCO</t>
  </si>
  <si>
    <t>ANP-28374</t>
  </si>
  <si>
    <t>Pick Tickets to 4.7.14</t>
  </si>
  <si>
    <t>NPSCO-17305</t>
  </si>
  <si>
    <t>Deploy POS-App-Adapter in the combined services JVM</t>
  </si>
  <si>
    <t>NPSCO-20626</t>
  </si>
  <si>
    <t>SCO No POS Connection after Update (postrgres migration fails)</t>
  </si>
  <si>
    <t>NPSCO-19917</t>
  </si>
  <si>
    <t>SCO | [KW14] 0% VAT rate mapping issues</t>
  </si>
  <si>
    <t>NPSCO-19395</t>
  </si>
  <si>
    <t>Update RP Services</t>
  </si>
  <si>
    <t>NPSCO-16137</t>
  </si>
  <si>
    <t>SCO device manager hardware device information interface</t>
  </si>
  <si>
    <t>NPSCO-20363</t>
  </si>
  <si>
    <t>Adapt configure.xml to provide monitored item MQTT user and secret</t>
  </si>
  <si>
    <t>NPSCO-20806</t>
  </si>
  <si>
    <t>Extension of the heartbeat message to include "unsentmessages" and "unsenterromessages"</t>
  </si>
  <si>
    <t>NPSCO-20799</t>
  </si>
  <si>
    <t>Incorrect creation of log file path [RP Services Log Files]</t>
  </si>
  <si>
    <t>NPSCO-21174</t>
  </si>
  <si>
    <t>Test Release 4.22</t>
  </si>
  <si>
    <t>NPSCO-21079</t>
  </si>
  <si>
    <t>Transmit correct unit quantity</t>
  </si>
  <si>
    <t>NPSCO-21175</t>
  </si>
  <si>
    <t>[Spike] Evaluate if PosCore changes to support AIDs with increased length break payment processing</t>
  </si>
  <si>
    <t>NPSCO-21241</t>
  </si>
  <si>
    <t>JAXB-IMPL missing after Java 17 upgrade when paying by card in UK</t>
  </si>
  <si>
    <t>NPSCO-21381</t>
  </si>
  <si>
    <t>Setup docker images for Rocky Linux based VSS International R32</t>
  </si>
  <si>
    <t>NPSCO-21274</t>
  </si>
  <si>
    <t>Error in pos connection after restarting infra adaper</t>
  </si>
  <si>
    <t>NPSCO-21480</t>
  </si>
  <si>
    <t>Test Release 4.23</t>
  </si>
  <si>
    <t>NPSCO-21519</t>
  </si>
  <si>
    <t>Build Hotfix 4.22.1</t>
  </si>
  <si>
    <t>NPSCO-21545</t>
  </si>
  <si>
    <t>Analyse SCO freeze live incident INC5353424</t>
  </si>
  <si>
    <t>NPSCO-18575</t>
  </si>
  <si>
    <t>[DE] Receipt sometimes shows "TSE not reachable" for no apparent reason</t>
  </si>
  <si>
    <t>NPSCO-16394</t>
  </si>
  <si>
    <t>Integrate Purchase Service into single JVM deployment</t>
  </si>
  <si>
    <t>NPSCO-19202</t>
  </si>
  <si>
    <t>Implement Firewalld Configuration for SCO</t>
  </si>
  <si>
    <t>NPSCO-15567</t>
  </si>
  <si>
    <t>Open Port 5665 for CheckMK</t>
  </si>
  <si>
    <t>NPSCO-17964</t>
  </si>
  <si>
    <t>Set taxBase value to the second BOGOF item in export</t>
  </si>
  <si>
    <t>NPSCO-20879</t>
  </si>
  <si>
    <t>Create Masterdata Service</t>
  </si>
  <si>
    <t>NPSCO-21276</t>
  </si>
  <si>
    <t>Some Celonis events are missing values</t>
  </si>
  <si>
    <t>NPSCO-21123</t>
  </si>
  <si>
    <t>Enhancement item price</t>
  </si>
  <si>
    <t>NPSCO-21122</t>
  </si>
  <si>
    <t>on/off switch for publishing events</t>
  </si>
  <si>
    <t>NPSCO-17408</t>
  </si>
  <si>
    <t>[Tech Debt Task] Implement a purchase command for adding extension properties only - follow up</t>
  </si>
  <si>
    <t>NPSCO-21067</t>
  </si>
  <si>
    <t>[Spike] Collect usage statistics for Monitored Item Adapter</t>
  </si>
  <si>
    <t>NPSCO-21310</t>
  </si>
  <si>
    <t>[UK] Transactions can't be processed in BO after switching from pepper to direct integration (opi)</t>
  </si>
  <si>
    <t>NPSCO-21478</t>
  </si>
  <si>
    <t>Authorisation Code not Sent with EFT Transaction on OPI</t>
  </si>
  <si>
    <t>NPSCO-20690</t>
  </si>
  <si>
    <t>Deactivate Force close in UK</t>
  </si>
  <si>
    <t>NPSCO-21169</t>
  </si>
  <si>
    <t>Test event voucher after epay adjustments (aHead)</t>
  </si>
  <si>
    <t>NPSCO-20446</t>
  </si>
  <si>
    <t>Add objectType to cardTransactionData object</t>
  </si>
  <si>
    <t>NPSCO-21298</t>
  </si>
  <si>
    <t>Card transaction data for voided EFT payments are not printed on the receipt.</t>
  </si>
  <si>
    <t>NPSCO-21482</t>
  </si>
  <si>
    <t>[UK] Prevent Force Close: Restrict partial/split payments with EGC items to avoid incorrect transactions</t>
  </si>
  <si>
    <t>NPSCO-21099</t>
  </si>
  <si>
    <t>Build Maintenance Release 4.13.2</t>
  </si>
  <si>
    <t>NPSCO-21183</t>
  </si>
  <si>
    <t>Test Task Release 4.22.1</t>
  </si>
  <si>
    <t>NPSCO-21100</t>
  </si>
  <si>
    <t>Test Task Release 4.22.0</t>
  </si>
  <si>
    <t>NPSCO-21084</t>
  </si>
  <si>
    <t>NPSCO-20317</t>
  </si>
  <si>
    <t>Follow up RP ticket purchase error after power off</t>
  </si>
  <si>
    <t>NPSCO-20793</t>
  </si>
  <si>
    <t>Correction of Customer Intervention for insufficient Balance during payment</t>
  </si>
  <si>
    <t>NPSCO-21177</t>
  </si>
  <si>
    <t>Build Release 4.23.0</t>
  </si>
  <si>
    <t>NPSCO-21178</t>
  </si>
  <si>
    <t>Build Maintenance Release 4.13.3</t>
  </si>
  <si>
    <t>NPSCO-21180</t>
  </si>
  <si>
    <t>Test Task Release 4.23.0</t>
  </si>
  <si>
    <t>Test Task Release 4.13.3</t>
  </si>
  <si>
    <t>NPSCO-20795</t>
  </si>
  <si>
    <t>Test event voucher (legacy)</t>
  </si>
  <si>
    <t>NPSCO-21371</t>
  </si>
  <si>
    <t>Estimations for upcoming PI-3</t>
  </si>
  <si>
    <t>NPSCO-21601</t>
  </si>
  <si>
    <t>NPSCO-21602</t>
  </si>
  <si>
    <t>NPSCO-21633</t>
  </si>
  <si>
    <t>ANP-26106</t>
  </si>
  <si>
    <t>NCR CX8 x CS300 not working in 4.1 release</t>
  </si>
  <si>
    <t>ANP-26705</t>
  </si>
  <si>
    <t>Provide printer configuration to HU fiscal middleware</t>
  </si>
  <si>
    <t>ANP-27085</t>
  </si>
  <si>
    <t>MCO part of CHO-6158</t>
  </si>
  <si>
    <t>ANP-28169</t>
  </si>
  <si>
    <t>Configure LFS for till-msi maintenance branches</t>
  </si>
  <si>
    <t>ANP-28197</t>
  </si>
  <si>
    <t>MCO Part for CHO-6370</t>
  </si>
  <si>
    <t>CHO-4600</t>
  </si>
  <si>
    <t>Implement CheckMK check that monitors DN scanners on an SCO till</t>
  </si>
  <si>
    <t>CHO-4826</t>
  </si>
  <si>
    <t>[HU] Retain relevant HU middleware files during installation from scratch</t>
  </si>
  <si>
    <t>CHO-5041</t>
  </si>
  <si>
    <t>Provide SCO DN-managed devices information to HWLM</t>
  </si>
  <si>
    <t>CHO-6370</t>
  </si>
  <si>
    <t>Extend device information for Bizerba C2 scale to CMDB</t>
  </si>
  <si>
    <t>CHO-6529</t>
  </si>
  <si>
    <t>Update HU fiscal middleware artifact</t>
  </si>
  <si>
    <t>CHO-6651</t>
  </si>
  <si>
    <t>HWLM: differentiate between Quest 720 and 850 terminals for cmdb</t>
  </si>
  <si>
    <t>CHO-6706</t>
  </si>
  <si>
    <t>AUS: Scanner/Scales not responding.</t>
  </si>
  <si>
    <t>CHO-6707</t>
  </si>
  <si>
    <t>ATS - Stuck in boot loop post 3.2 update</t>
  </si>
  <si>
    <t>CHO-6750</t>
  </si>
  <si>
    <t>Ensure consistent till updates</t>
  </si>
  <si>
    <t>CHO-6762</t>
  </si>
  <si>
    <t>Add option to reinstall as different till number for support cases</t>
  </si>
  <si>
    <t>CHO-6813</t>
  </si>
  <si>
    <t>Release CHO Artifacts for Store 2014 4.2B</t>
  </si>
  <si>
    <t>CHO-6821</t>
  </si>
  <si>
    <t>Release CHO Artifacts for Store 2014 4.1C6</t>
  </si>
  <si>
    <t>CHO-6833</t>
  </si>
  <si>
    <t>CHO Part of ANP-26705</t>
  </si>
  <si>
    <t>ANP-20457</t>
  </si>
  <si>
    <t>Refactor till msi build from its current state to a standard maven build</t>
  </si>
  <si>
    <t>ANP-27533</t>
  </si>
  <si>
    <t>Update 3.2B9 to 4.1TB2 fails</t>
  </si>
  <si>
    <t>ANP-27815</t>
  </si>
  <si>
    <t>Software Journal: Faulty permissions prevent Journal.txt to be updated</t>
  </si>
  <si>
    <t xml:space="preserve">ANP-28172 </t>
  </si>
  <si>
    <t>POS update 3.18.3.1&gt;&gt;3.18.4.1 not automatically triggered</t>
  </si>
  <si>
    <t xml:space="preserve">ANP-28187 </t>
  </si>
  <si>
    <t>Bizerba C2 with Datalogic 9900i encounters "Ausnahmefehler" if cashiers try to weigh with speed</t>
  </si>
  <si>
    <t>In Test</t>
  </si>
  <si>
    <t>ANP-28248</t>
  </si>
  <si>
    <t>Part of CHO-6651 quest model name mapping</t>
  </si>
  <si>
    <t>CHO-4825</t>
  </si>
  <si>
    <t>[HU] Add relevant HU middleware files to debug shortcut</t>
  </si>
  <si>
    <t>CHO-6523</t>
  </si>
  <si>
    <t>Automatically document release artifact dependencies</t>
  </si>
  <si>
    <t>CHO-6665</t>
  </si>
  <si>
    <t>Release Sprint 2025_PI2-5/6 Artifacts</t>
  </si>
  <si>
    <t>Blocked</t>
  </si>
  <si>
    <t>CHO-6733</t>
  </si>
  <si>
    <t>4.1C4 - DN Beetle requires manual input after BIOS update</t>
  </si>
  <si>
    <t>CHO-6806</t>
  </si>
  <si>
    <t>HU middleware monitoring</t>
  </si>
  <si>
    <t>In Review</t>
  </si>
  <si>
    <t>CHO-6831</t>
  </si>
  <si>
    <t>Support for MCO + SCO for firewall configuration</t>
  </si>
  <si>
    <t>CHO-6832</t>
  </si>
  <si>
    <t>Testlab maintenance</t>
  </si>
  <si>
    <t xml:space="preserve">CHO-6877 </t>
  </si>
  <si>
    <t>Support for Niko Lamertz @Aldi</t>
  </si>
  <si>
    <t>CHO-7029</t>
  </si>
  <si>
    <t>Support HU test setups</t>
  </si>
  <si>
    <t>NPSCO-19621</t>
  </si>
  <si>
    <t>Customer button for PinPrinting-DIC menu</t>
  </si>
  <si>
    <t>NPSCO-19620</t>
  </si>
  <si>
    <t>Export of PinPrinting items</t>
  </si>
  <si>
    <t>NPSCO-20440</t>
  </si>
  <si>
    <t>Button order for Multipack screens</t>
  </si>
  <si>
    <t>NPSCO-20856</t>
  </si>
  <si>
    <t>Build 4.22.0 Release</t>
  </si>
  <si>
    <t>NPSCO-21179</t>
  </si>
  <si>
    <t>TEST 4.22.0 Release</t>
  </si>
  <si>
    <t>NPSCO-21182</t>
  </si>
  <si>
    <t>Test 4.2B Release</t>
  </si>
  <si>
    <t>NPSCO-20855</t>
  </si>
  <si>
    <t>Cancel request for EGC and PinPrinting items to the provider (ETC) failed</t>
  </si>
  <si>
    <t>NPSCO-20647</t>
  </si>
  <si>
    <t>[Spike] Change DN call for driver licence button</t>
  </si>
  <si>
    <t>NPSCO-20959</t>
  </si>
  <si>
    <t>PIN printing articles are unaffected by promotions</t>
  </si>
  <si>
    <t>NPSCO-20854</t>
  </si>
  <si>
    <t>PinPrinting items is not counted on SalesReceipt</t>
  </si>
  <si>
    <t>NPSCO-21641</t>
  </si>
  <si>
    <t>Requesting balance of EGC does not work if EGC is scanned after clicking the EGC button</t>
  </si>
  <si>
    <t>NPSCO-21116</t>
  </si>
  <si>
    <t>PI Planning and estimation</t>
  </si>
  <si>
    <t>NPSCO-21117</t>
  </si>
  <si>
    <t>Refund analysis</t>
  </si>
  <si>
    <t>NPSCO-21269</t>
  </si>
  <si>
    <t>ExitGate Barcode Time format should be 24h</t>
  </si>
  <si>
    <t>NPSCO-21656</t>
  </si>
  <si>
    <t>SPR Analysis</t>
  </si>
  <si>
    <t>NPSCO-21290</t>
  </si>
  <si>
    <t>Add [es-US] translation for EGC Customer intervention in Sales</t>
  </si>
  <si>
    <t>NPSCO-21697</t>
  </si>
  <si>
    <t>Customer is falsely told EGC payment is not possbile</t>
  </si>
  <si>
    <t>ANP-27563</t>
  </si>
  <si>
    <t>Pick missing test adjustments for fiscal till id number to 4.7 application tests</t>
  </si>
  <si>
    <t>ANP-25386</t>
  </si>
  <si>
    <t>HU DRS: Implement Voucher Processing Flow for Partial Cash-Out</t>
  </si>
  <si>
    <t>ANP-25643</t>
  </si>
  <si>
    <t>HU Md: NEWPOSS tests</t>
  </si>
  <si>
    <t>ANP-25832</t>
  </si>
  <si>
    <t>HU Md: Update services in the workflow: suspendandretrieve (Updating the interfaces)</t>
  </si>
  <si>
    <t>ANP-25915</t>
  </si>
  <si>
    <t>HU DRS: Change/update existing Integrity tests</t>
  </si>
  <si>
    <t>ANP-26502</t>
  </si>
  <si>
    <t>HU DRS: Fix printer error after suspend (CreateDepositReturnPayoutReceiptActivity)</t>
  </si>
  <si>
    <t>ANP-26746</t>
  </si>
  <si>
    <t>We detected a problem with bottle deposit in AHEAD</t>
  </si>
  <si>
    <t>ANP-26792</t>
  </si>
  <si>
    <t>HU Md: Manual testing for egc.autorefund</t>
  </si>
  <si>
    <t>ANP-26793</t>
  </si>
  <si>
    <t>HU Md: Manual testing for cancelreceipt</t>
  </si>
  <si>
    <t>ANP-26799</t>
  </si>
  <si>
    <t>HU Md: Manual testing for recieptfiscalnumber</t>
  </si>
  <si>
    <t>ANP-26800</t>
  </si>
  <si>
    <t>HU Md: Manual testing for refund</t>
  </si>
  <si>
    <t>ANP-26801</t>
  </si>
  <si>
    <t>HU Md: Manual testing for suspendandretrieve</t>
  </si>
  <si>
    <t>ANP-26802</t>
  </si>
  <si>
    <t>HU Md: Manual testing for tendering</t>
  </si>
  <si>
    <t>ANP-26803</t>
  </si>
  <si>
    <t>HU Md: Manual testing for voiding</t>
  </si>
  <si>
    <t>ANP-26829</t>
  </si>
  <si>
    <t>HU Md: Manual testing for errorhandling</t>
  </si>
  <si>
    <t>ANP-27555</t>
  </si>
  <si>
    <t>ANP-27755</t>
  </si>
  <si>
    <t>Code 89 is displayed in the list and triggers specific data on the till screen</t>
  </si>
  <si>
    <t>ANP-27756</t>
  </si>
  <si>
    <t>Error message appears after each successful code list printing</t>
  </si>
  <si>
    <t>ANP-27757</t>
  </si>
  <si>
    <t>Full receipt printing with code 15 for selected period</t>
  </si>
  <si>
    <t>ANP-27759</t>
  </si>
  <si>
    <t>Error on Login after logging out from till</t>
  </si>
  <si>
    <t>ANP-27762</t>
  </si>
  <si>
    <t>Print Receipt Header and Footer</t>
  </si>
  <si>
    <t>ANP-27763</t>
  </si>
  <si>
    <t>Refund with receipt reference is not working</t>
  </si>
  <si>
    <t>ANP-27766</t>
  </si>
  <si>
    <t>Receipt Cancellation through void leads to exception</t>
  </si>
  <si>
    <t>ANP-27768</t>
  </si>
  <si>
    <t>Closing a receipt with negative amount leads to till freeze</t>
  </si>
  <si>
    <t>ANP-27777</t>
  </si>
  <si>
    <t>Receipt printing starts without paper warning and triggers non-resettable error</t>
  </si>
  <si>
    <t>ANP-27784</t>
  </si>
  <si>
    <t>[SPIKE] Integration requirements analysis</t>
  </si>
  <si>
    <t>ANP-27786</t>
  </si>
  <si>
    <t>No fiscal memory data printed for the date when no transactions occurred on the selected day</t>
  </si>
  <si>
    <t>ANP-27936 *</t>
  </si>
  <si>
    <t>Error when using 33 code</t>
  </si>
  <si>
    <t>ANP-27988 *</t>
  </si>
  <si>
    <t>Error when paying by receipt in cash above the amount of the receipt</t>
  </si>
  <si>
    <t>ANP-27989 *</t>
  </si>
  <si>
    <t>The change is not displayed correctly on the receipt</t>
  </si>
  <si>
    <t>ANP-27990 *</t>
  </si>
  <si>
    <t>The first opening day fiscal receipt does not show the amount of cash deposited</t>
  </si>
  <si>
    <t>ANP-27991 *</t>
  </si>
  <si>
    <t>Euros deposited at the till are shown as Hungarian currency on the receipt</t>
  </si>
  <si>
    <t>ANP-27992 *</t>
  </si>
  <si>
    <t>Printer error VÁRATLAN HIBA is displayed on the screen every time after logging in</t>
  </si>
  <si>
    <t>ANP-28063 *</t>
  </si>
  <si>
    <t>Exception occurs when canceling receipt and receipt not printed</t>
  </si>
  <si>
    <t>ANP-28108 *</t>
  </si>
  <si>
    <t>Interruption of the receipt when opening a fiscal day and depositing euros</t>
  </si>
  <si>
    <t>ANP-28133 *</t>
  </si>
  <si>
    <t>Original receipt is deleted instead of being closed when switching to invoice mode</t>
  </si>
  <si>
    <t>ANP-28138 *</t>
  </si>
  <si>
    <t>SUBTOTAL ("RÉSZÖSSZESEN") line is missing on a receipt</t>
  </si>
  <si>
    <t>ANP-28139 *</t>
  </si>
  <si>
    <t>Error and freezing of till when a receipt is suspended</t>
  </si>
  <si>
    <t>ANP-28140 *</t>
  </si>
  <si>
    <t>Impossible to retrieve an invoice receipt after suspend</t>
  </si>
  <si>
    <t>ANP-28141 *</t>
  </si>
  <si>
    <t>Error when scanning a weight item</t>
  </si>
  <si>
    <t>ANP-28163 *</t>
  </si>
  <si>
    <t>Error and till freezing of till when a receipt with negative amount</t>
  </si>
  <si>
    <t>ANP-28171 *</t>
  </si>
  <si>
    <t>Replace EGC in limitation period not working anymore</t>
  </si>
  <si>
    <t>ANP-28173 *</t>
  </si>
  <si>
    <t>Error and freezing of till when using refund</t>
  </si>
  <si>
    <t>ANP-28176 *</t>
  </si>
  <si>
    <t>Barcode is not printed on the receipt</t>
  </si>
  <si>
    <t>ANP-28177 *</t>
  </si>
  <si>
    <t>Receipt for PIN Printing items is not printed</t>
  </si>
  <si>
    <t>ANP-28178 *</t>
  </si>
  <si>
    <t>Barcode with receipt suspension cannot be scanned</t>
  </si>
  <si>
    <t>ANP-28180 *</t>
  </si>
  <si>
    <t>Receipt Prints Immediately on Void Before Confirmation</t>
  </si>
  <si>
    <t>ANP-28181 *</t>
  </si>
  <si>
    <t>There are 2 receipts are printed if it is an invoice receipt</t>
  </si>
  <si>
    <t>ANP-28184 *</t>
  </si>
  <si>
    <t>Error and till freeze when voiding an item</t>
  </si>
  <si>
    <t>ANP-28188 *</t>
  </si>
  <si>
    <t>Unable to void an invoice receipt</t>
  </si>
  <si>
    <t>ANP-28191 *</t>
  </si>
  <si>
    <t>Error and freezing of till if the printer is unplugged</t>
  </si>
  <si>
    <t>ANP-28198 *</t>
  </si>
  <si>
    <t>Cash drawer not recognized by till</t>
  </si>
  <si>
    <t>ANP-28204 *</t>
  </si>
  <si>
    <t>Unable to сomplete Wastage Log process</t>
  </si>
  <si>
    <t>ANP-28219 *</t>
  </si>
  <si>
    <t>The till does not start up</t>
  </si>
  <si>
    <t>ANP-28220 *</t>
  </si>
  <si>
    <t>Make possible adding regular items when the first item in a receipt was a Bottle Refund</t>
  </si>
  <si>
    <t>ANP-28239 *</t>
  </si>
  <si>
    <t>CFRM configuration before launching the till in the test lab</t>
  </si>
  <si>
    <t>ANP-28240 *</t>
  </si>
  <si>
    <t>Receipt fiscalization does not work</t>
  </si>
  <si>
    <t>ANP-28259 *</t>
  </si>
  <si>
    <t>Failed to perform backup on the till</t>
  </si>
  <si>
    <t>ANP-28261 *</t>
  </si>
  <si>
    <t>Impossible to open a fiscal day</t>
  </si>
  <si>
    <t>ANP-28262 *</t>
  </si>
  <si>
    <t>Receipt Cannot Be Voided Completely</t>
  </si>
  <si>
    <t>ANP-28281 *</t>
  </si>
  <si>
    <t>Error not being handled during fiscalization</t>
  </si>
  <si>
    <t>ANP-28287 *</t>
  </si>
  <si>
    <t>Cash In Receipt during login contains wrong amount if fiscal day was closed during login</t>
  </si>
  <si>
    <t>ANP-28303 *</t>
  </si>
  <si>
    <t>No receipt is printed when canceling a sale</t>
  </si>
  <si>
    <t>ANP-28318 *</t>
  </si>
  <si>
    <t>Gift card status receipt cannot be printed</t>
  </si>
  <si>
    <t>ANP-28328 *</t>
  </si>
  <si>
    <t>PLU report cannot be printed</t>
  </si>
  <si>
    <t>ANP-28344 *</t>
  </si>
  <si>
    <t>Non-bottle deposit return items can be added to bottle refund receipt</t>
  </si>
  <si>
    <t>ANP-28345 *</t>
  </si>
  <si>
    <t>Wrong error msg is shown when trying to print cash register report with open printer cover</t>
  </si>
  <si>
    <t>ANP-28346 *</t>
  </si>
  <si>
    <t>Printer error Nincs nyomtató is displayed on the screen every time after logging in</t>
  </si>
  <si>
    <t>ANP-28358 *</t>
  </si>
  <si>
    <t>Complete void of receipt containing multi-purpose EGC leads to exception</t>
  </si>
  <si>
    <t>ANP-28365 *</t>
  </si>
  <si>
    <t>A term nem uzemkesz error when suspend receipt with bottle deposit</t>
  </si>
  <si>
    <t>ANP-28390 *</t>
  </si>
  <si>
    <t>Cancellation receipt printed with barcode and number to retrieve</t>
  </si>
  <si>
    <t>ANP-28412 *</t>
  </si>
  <si>
    <t>Error message is cleared on the second attempt only if the paper runs out during a sale</t>
  </si>
  <si>
    <t>ANP-24512</t>
  </si>
  <si>
    <t>ITA the refund reference number is not the expected with old format barcode refund.</t>
  </si>
  <si>
    <t>ANP-25641</t>
  </si>
  <si>
    <t>HU Md: Bug fixing</t>
  </si>
  <si>
    <t>ANP-25914</t>
  </si>
  <si>
    <t>HU DRS: Smoke testing</t>
  </si>
  <si>
    <t>ANP-26735</t>
  </si>
  <si>
    <t>[2] Main Driver: Conduction of RCA for "Waage inaktiv/Scale inactive"</t>
  </si>
  <si>
    <t>ANP-27557</t>
  </si>
  <si>
    <t>ANP-28166 *</t>
  </si>
  <si>
    <t>HU: Middleware + DRS merge into one branch</t>
  </si>
  <si>
    <t>ANP-28361 *</t>
  </si>
  <si>
    <t>Errors when voiding a receipt with SINGLEUSE_DEPOSIT_RETURN items</t>
  </si>
  <si>
    <t>ANP-28364 *</t>
  </si>
  <si>
    <t>Receipt isn't printed when cancel invoice receipt with negative amount</t>
  </si>
  <si>
    <t>ANP-28387 *</t>
  </si>
  <si>
    <t>Unnecessary data on gift card receipts</t>
  </si>
  <si>
    <t>ANP-28388 *</t>
  </si>
  <si>
    <t>Add proper error handling for fiscal day state management operations</t>
  </si>
  <si>
    <t>ANP-28389 *</t>
  </si>
  <si>
    <t>Invoice receipt is interrupted if the value of bottle deposits exceeds the total amount of articles</t>
  </si>
  <si>
    <t>ANP-28403 *</t>
  </si>
  <si>
    <t>Printer screen retains last payment information persistently</t>
  </si>
  <si>
    <t>ANP-28404 *</t>
  </si>
  <si>
    <t>Adding bottles to an invoice receipt converts it into a sale receipеt</t>
  </si>
  <si>
    <t>ANP-28411 *</t>
  </si>
  <si>
    <t>Suspend receipt is interrupted if the paper runs out</t>
  </si>
  <si>
    <t>ANP-28435 *</t>
  </si>
  <si>
    <t>Receipt error during a refund if only bottle deposits remain in the transaction</t>
  </si>
  <si>
    <t>ANP-26775</t>
  </si>
  <si>
    <t>HU Md: Manual testing for postlogin</t>
  </si>
  <si>
    <t>ANP-26795</t>
  </si>
  <si>
    <t>HU Md: Manual testing for login</t>
  </si>
  <si>
    <t>ANP-26796</t>
  </si>
  <si>
    <t>HU Md: Manual testing for logout</t>
  </si>
  <si>
    <t>ANP-26797</t>
  </si>
  <si>
    <t>HU Md: Manual testing for postlogout</t>
  </si>
  <si>
    <t>ANP-23589</t>
  </si>
  <si>
    <t>BF-226 Text</t>
  </si>
  <si>
    <t>ANP-27710</t>
  </si>
  <si>
    <t>BF-1540 Waiting..-Bug with cashier login</t>
  </si>
  <si>
    <t>ANP-27711</t>
  </si>
  <si>
    <t>BF-1595 Waiting..-Bug with suspend</t>
  </si>
  <si>
    <t>ANP-27712</t>
  </si>
  <si>
    <t>BF-1594 Aggr. EGC in sale and void</t>
  </si>
  <si>
    <t>ANP-27980</t>
  </si>
  <si>
    <t>BF-1605 Bug - 2nd refund</t>
  </si>
  <si>
    <t>ANP-27981</t>
  </si>
  <si>
    <t>BF-1620 Bug - Transmission of dimension</t>
  </si>
  <si>
    <t>ANP-28111 *</t>
  </si>
  <si>
    <t>BF-1400 Restore state after tendering</t>
  </si>
  <si>
    <t>ANP-28326 *</t>
  </si>
  <si>
    <t>BF-1643 Waiting..-Bug with partial payment</t>
  </si>
  <si>
    <t>ANP-24908 *</t>
  </si>
  <si>
    <t>BF-776 copy with item voids</t>
  </si>
  <si>
    <t>ANP-26551</t>
  </si>
  <si>
    <t>BF-836 Agg. for PDF</t>
  </si>
  <si>
    <t>ANP-27534</t>
  </si>
  <si>
    <t>AHEAD Parameter Guard in Java Code</t>
  </si>
  <si>
    <t>ANP-27622</t>
  </si>
  <si>
    <t>BF-1473 remove via code function</t>
  </si>
  <si>
    <t>ANP-27624</t>
  </si>
  <si>
    <t>BF-239 disable receipt printing</t>
  </si>
  <si>
    <t>ANP-27706</t>
  </si>
  <si>
    <t>BF-1592 Waiting..-Bug with cash-payment</t>
  </si>
  <si>
    <t>ANP-27982</t>
  </si>
  <si>
    <t>BF-1256 PDF rendering</t>
  </si>
  <si>
    <t>ANP-28157 *</t>
  </si>
  <si>
    <t>BF-1614 line duplication in PDF</t>
  </si>
  <si>
    <t>ANP-28270 *</t>
  </si>
  <si>
    <t>BF-1645 - Support Tests PI_2-5&amp;6</t>
  </si>
  <si>
    <t>BF-507</t>
  </si>
  <si>
    <t>[ADAPTER] Add ability to send sale void receipts to Yocuda</t>
  </si>
  <si>
    <t>completed</t>
  </si>
  <si>
    <t>BF-1412</t>
  </si>
  <si>
    <t>[ADAPTER] Revise BF adapter tests and test data</t>
  </si>
  <si>
    <t>BF-1616</t>
  </si>
  <si>
    <t>[SCO] Release tests PI-2-5(&amp;6)</t>
  </si>
  <si>
    <t>BF-1625 *</t>
  </si>
  <si>
    <t>[ADAPTER] Add PDF and processing state to GetSerializedReceiptByNumber response</t>
  </si>
  <si>
    <t>BF-1635 *</t>
  </si>
  <si>
    <t>[ADAPTER] Calculation of remaining quantities should return correct count in production and mock profile</t>
  </si>
  <si>
    <t>BF-1661 *</t>
  </si>
  <si>
    <t>[SCO] Test - Removal of Unavailable SCO image on POSGetStatusView</t>
  </si>
  <si>
    <t>BF-1672 *</t>
  </si>
  <si>
    <t>[SCO] The Yocuda article_id item property is filled with the article number for a financial transaction position and not the article id</t>
  </si>
  <si>
    <t>NPSCO-8198</t>
  </si>
  <si>
    <t>Reorganise local config</t>
  </si>
  <si>
    <t>NPSCO-8693</t>
  </si>
  <si>
    <t>Rework till start</t>
  </si>
  <si>
    <t>NPSCO-20671</t>
  </si>
  <si>
    <t>SCO exports wrong values in the TaxInformation-&gt;taxClass filed for sold EGCs.</t>
  </si>
  <si>
    <t>NPSCO-20701</t>
  </si>
  <si>
    <t>[SCO] Update of CH receipts analogous to MCO</t>
  </si>
  <si>
    <t>NPSCO-21040</t>
  </si>
  <si>
    <t>Receipt header and footer are not in line with CFRM</t>
  </si>
  <si>
    <t>NPSCO-21238</t>
  </si>
  <si>
    <t>Taxes cannot be calculated for receipts with EGC positions in US</t>
  </si>
  <si>
    <t>BF-1609 *</t>
  </si>
  <si>
    <t>[ADAPTER][SCO] Check state of messages in Butterfly adapter before deleting the database or message queues</t>
  </si>
  <si>
    <t>not completed</t>
  </si>
  <si>
    <t>BF-1615</t>
  </si>
  <si>
    <t>[SCO][ADAPTER] Update Butterfly adapter in combined service PI-2-5(&amp;6)</t>
  </si>
  <si>
    <t>0.5</t>
  </si>
  <si>
    <t>BF-1617</t>
  </si>
  <si>
    <t>[SCO] Deployment and test support PI-2-5(&amp;6)</t>
  </si>
  <si>
    <t>BF-1658 *</t>
  </si>
  <si>
    <t>Onboarding Kateryna</t>
  </si>
  <si>
    <t>NPSCO-4758</t>
  </si>
  <si>
    <t>Refactor AsyncDomainEventSink</t>
  </si>
  <si>
    <t>NPSCO-12862</t>
  </si>
  <si>
    <t>Create minimal fail-fast config read at system start</t>
  </si>
  <si>
    <t xml:space="preserve">there were more unknown dependencies than expected, so there is a SP adjustment from 5 to 13 SP. </t>
  </si>
  <si>
    <t>NPSCO-13007</t>
  </si>
  <si>
    <t>Consolidation of the access to configuration options that are based on environment variables</t>
  </si>
  <si>
    <t xml:space="preserve">The ticket was reverted due to failing on the tills. Now we´re analyzing again how to fix it. </t>
  </si>
  <si>
    <t>NPSCO-19696</t>
  </si>
  <si>
    <t>Use Spring Boot gRPC server instead of custom NettyServerBuilder usage (pos-adapter)</t>
  </si>
  <si>
    <t>NPSCO-20702 *</t>
  </si>
  <si>
    <t>[SCO] F&amp;V Bags Selection Screen</t>
  </si>
  <si>
    <t>NPSCO-20703 *</t>
  </si>
  <si>
    <t>[SCO] Auto Void F&amp;V Bag Items</t>
  </si>
  <si>
    <t>NPSCO-21252</t>
  </si>
  <si>
    <t>Rework DomainEventSinkManager</t>
  </si>
  <si>
    <t>Sprint 2025_2-3/4, 13.05.2025 - 10.06.2025, Status at Sprint Completion</t>
  </si>
  <si>
    <t>ANP-25421</t>
  </si>
  <si>
    <t>EFT - Foreign cards transactions (Carrefour France, Ukraine) were not successful according to cash register, but charged to customer</t>
  </si>
  <si>
    <t>ANP-25572</t>
  </si>
  <si>
    <t>Display Separate Receipt Total and Cashback Amount in Switzerland at Monolane and Multilane Till</t>
  </si>
  <si>
    <t>PD; was created as Bug, but then it turned out to be more than a just a fix and a more thorough specification was made</t>
  </si>
  <si>
    <t>[ANP-25743] Fix critical CHOP SIT/UAT findings (Payment)</t>
  </si>
  <si>
    <t>ANP-25550</t>
  </si>
  <si>
    <t>[CHOP] 90+CODE does not print printer and terminal information</t>
  </si>
  <si>
    <t>ANP-26616</t>
  </si>
  <si>
    <t>Analysis of ANP-25064: Store- credit card payments against signature, the merchant receipt will no longer be printed- EM: no</t>
  </si>
  <si>
    <t>ANP-25453</t>
  </si>
  <si>
    <t>[CHOP] The 1st in-sale Subtotal line on receipt is incorrect ( = the final subtotal amount of the receipt, which has additional items ringed after pressing the subtotal button)</t>
  </si>
  <si>
    <t>ANP-27102</t>
  </si>
  <si>
    <t>CHOP: Clean up Multilane dependencies and move OSGI Runtime dependencies to maven</t>
  </si>
  <si>
    <t>[ANP-25418] Hypercare for CHOP AT/CH Pilots (Payment) - Q2</t>
  </si>
  <si>
    <t>ANP-27106</t>
  </si>
  <si>
    <t>Missing ressources/translations for CHOP CH Italian/French language for cashback</t>
  </si>
  <si>
    <t>M; re-estimated from 2SP to 3SP retrospectively</t>
  </si>
  <si>
    <t>ANP-27464</t>
  </si>
  <si>
    <t>Pick Ticket for 4.7.11 Release</t>
  </si>
  <si>
    <t>ANP-27463</t>
  </si>
  <si>
    <t>Set up terminal for TIM middleware</t>
  </si>
  <si>
    <t>RT; estimated retrospectively</t>
  </si>
  <si>
    <t>ready</t>
  </si>
  <si>
    <t>M; re-estimated from 1SP to 2SP retrospectively</t>
  </si>
  <si>
    <t>ANP-27241</t>
  </si>
  <si>
    <t>Analysis of ANP-27238: EFT data is missing with autocommit = false in the tim config</t>
  </si>
  <si>
    <t>ANP-27565</t>
  </si>
  <si>
    <t>Pick Till Application Test 19941 and 19414 to Version 4.7</t>
  </si>
  <si>
    <t>ANP-27521</t>
  </si>
  <si>
    <t>analyse debug-info shortcut script for inclusion of multilane logs from var/log/newposs</t>
  </si>
  <si>
    <t>ANP-26706</t>
  </si>
  <si>
    <t>check if refactoring for getHighestPiorityState is needed</t>
  </si>
  <si>
    <t>ANP-26704</t>
  </si>
  <si>
    <t>RT; spill-over estimated by RE</t>
  </si>
  <si>
    <t>NPSCO-20463</t>
  </si>
  <si>
    <t>SCO includes the complete value of a lottery item in the totalSalesSum</t>
  </si>
  <si>
    <t>NPSCO-20401</t>
  </si>
  <si>
    <t>Cherry-pick release 4.13.1 [TTT]</t>
  </si>
  <si>
    <t>NPSCO-20852</t>
  </si>
  <si>
    <t>Build Hotfix 3.18.7</t>
  </si>
  <si>
    <t>NPSCO-20453</t>
  </si>
  <si>
    <t>Build Maintenance Release 4.13.1</t>
  </si>
  <si>
    <t>NPSCO-20458</t>
  </si>
  <si>
    <t>Test Maintenance Release 4.13.1</t>
  </si>
  <si>
    <t>NPSCO-20002</t>
  </si>
  <si>
    <t>Sprint build 422</t>
  </si>
  <si>
    <t>NPSCO-20091</t>
  </si>
  <si>
    <t>All SCOs - Asking customers if they want to print receipt</t>
  </si>
  <si>
    <t>NPSCO-19618</t>
  </si>
  <si>
    <t>Errorhandling for PinPrinting</t>
  </si>
  <si>
    <t>NPSCO-19346</t>
  </si>
  <si>
    <t>[Test] Margin calculation</t>
  </si>
  <si>
    <t>NPSCO-19619</t>
  </si>
  <si>
    <t>Pin Printing receipt</t>
  </si>
  <si>
    <t>NPSCO-20041</t>
  </si>
  <si>
    <t>Sprint test 421</t>
  </si>
  <si>
    <t>NPSCO-20370</t>
  </si>
  <si>
    <t>[TEST] cancel-/ suspend transaction and discounts with PinPrinting articles</t>
  </si>
  <si>
    <t>NPSCO-20188</t>
  </si>
  <si>
    <t>The merchantLocation in the Request for an EGC of BLACKHAWK is exceeding the maximum Length of '40' characters</t>
  </si>
  <si>
    <t>NPSCO-19995</t>
  </si>
  <si>
    <t>SCO - Incorrect Syntax for Attempt to Discount Item Over Limit</t>
  </si>
  <si>
    <t>NPSCO-20605</t>
  </si>
  <si>
    <t>Broken messages when violating the discount limit on price override</t>
  </si>
  <si>
    <t>Release build 4.22.0</t>
  </si>
  <si>
    <t>NPSCO-20364</t>
  </si>
  <si>
    <t>Leftover rocky linux migration job is still executed on Rocky and can interrupt other updater processes</t>
  </si>
  <si>
    <t>NPSCO-20374</t>
  </si>
  <si>
    <t>Maintenance Release 4.13.1Cherry Pick</t>
  </si>
  <si>
    <t>NPSCO-20326</t>
  </si>
  <si>
    <t>SCO CH, EFT payment with TIM integration - EFT payment failed due to error "TRX_LIMIT_EXCEEDED" on EFT terminal</t>
  </si>
  <si>
    <t>NPSCO-19093</t>
  </si>
  <si>
    <t>Unclear Customer Intervention for empty ePay Gift Cards</t>
  </si>
  <si>
    <t>NPSCO-19962</t>
  </si>
  <si>
    <t>Support epay event vouchers (Legacy mode)</t>
  </si>
  <si>
    <t>NPSCO-19833</t>
  </si>
  <si>
    <t>Re-enable EGC Payment button</t>
  </si>
  <si>
    <t>NPSCO-20316</t>
  </si>
  <si>
    <t>Only one event voucher per transaction (ahead)</t>
  </si>
  <si>
    <t>NPSCO-19141</t>
  </si>
  <si>
    <t>[UK] payment order incorrect on the virtual receipt</t>
  </si>
  <si>
    <t>NPSCO-20815</t>
  </si>
  <si>
    <t>Test Task Hotfix 3.18.7</t>
  </si>
  <si>
    <t>NPSCO-20466</t>
  </si>
  <si>
    <t>Test Task Maintenance Release 4.13.1</t>
  </si>
  <si>
    <t>NPSCO-20809</t>
  </si>
  <si>
    <t>Test Task Sprint 422</t>
  </si>
  <si>
    <t>NPSCO-20794</t>
  </si>
  <si>
    <t>Test event voucher (aHead)</t>
  </si>
  <si>
    <t>NPSCO-20763</t>
  </si>
  <si>
    <t>Only one event voucher per transaction (legacy)</t>
  </si>
  <si>
    <t>NPSCO-20634</t>
  </si>
  <si>
    <t>Deactivated customer intervention in payment for event voucher</t>
  </si>
  <si>
    <t>ANP-27490</t>
  </si>
  <si>
    <t>Print till identification number on fiscal receipts in AT</t>
  </si>
  <si>
    <t>ANP-27678</t>
  </si>
  <si>
    <t>Temporary AU Software Version in BUNDLE_VERSIONS for NEWPOSS 4.7.x</t>
  </si>
  <si>
    <t>ANP-27559</t>
  </si>
  <si>
    <t>Prepare "Sprint-Review Checkout Base, Checkout Client" meeting</t>
  </si>
  <si>
    <t>ANP-27138</t>
  </si>
  <si>
    <t>POS 3 freezing</t>
  </si>
  <si>
    <t>ANP-27230</t>
  </si>
  <si>
    <t>Unable to activate Internal EGC on IRL Test Store (982-116).</t>
  </si>
  <si>
    <t>ANP-27221</t>
  </si>
  <si>
    <t>Integrate till with HU Middleware (simulator) in till-application-tests</t>
  </si>
  <si>
    <t>ANP-27466</t>
  </si>
  <si>
    <t>Provide AHEAD parameter guards missing in recent releases</t>
  </si>
  <si>
    <t>ANP-27471</t>
  </si>
  <si>
    <t>Enable usage of 33+CODE (Cash Lift) during the cash lift till blocking prompt</t>
  </si>
  <si>
    <t>ANP-27472</t>
  </si>
  <si>
    <t>Swap functionality of 94+CODE (Till Lock Fallback) and 33+CODE (Cash Lift) for US</t>
  </si>
  <si>
    <t>ANP-26752</t>
  </si>
  <si>
    <t>Create circuit breaker for NEWPOSS Store Server REST calls from MCO</t>
  </si>
  <si>
    <t>ANP-26423</t>
  </si>
  <si>
    <t>MCO's no longer logging when out of sync</t>
  </si>
  <si>
    <t>ANP-26978</t>
  </si>
  <si>
    <t>Merge HU Pensioners Card stories to the 4.7 maintenance branch</t>
  </si>
  <si>
    <t>ANP-26961</t>
  </si>
  <si>
    <t>Move HU pensioner ID test to new use case</t>
  </si>
  <si>
    <t>ANP-26889</t>
  </si>
  <si>
    <t>Add checkMK monitoring value for database size</t>
  </si>
  <si>
    <t>ANP-27172</t>
  </si>
  <si>
    <t>Enable cash lift code functionality (33+CODE) for US</t>
  </si>
  <si>
    <t>ANP-27175</t>
  </si>
  <si>
    <t>Cash drawer remains closed following a drawer takeover after till sharing logout (20+CODE)</t>
  </si>
  <si>
    <t>ANP-27196</t>
  </si>
  <si>
    <t>Build MCO part of NEWPOSS release 4.7.11</t>
  </si>
  <si>
    <t>ANP-27064</t>
  </si>
  <si>
    <t>31 code to print PLU list is not working</t>
  </si>
  <si>
    <t>ANP-27413</t>
  </si>
  <si>
    <t>Setup HU2 test system for demo</t>
  </si>
  <si>
    <t>ANP-27883</t>
  </si>
  <si>
    <t xml:space="preserve">Disable Owasp plugin temporarily until the plugin is fixed </t>
  </si>
  <si>
    <t>ANP-27244</t>
  </si>
  <si>
    <t>[DN P1200] Cannot operate DN P1200 due to missing directories and correlating permissions</t>
  </si>
  <si>
    <t>ANP-27545</t>
  </si>
  <si>
    <t>[MCO] Auto-Start of Compound Service: Long-Term Solution</t>
  </si>
  <si>
    <t>ANP-27593</t>
  </si>
  <si>
    <t>Configure Azure Proxy for butterfly-adapter in MCO</t>
  </si>
  <si>
    <t>ANP-27612</t>
  </si>
  <si>
    <t>mco-storedata.txt file is missing mandatory header content for CheckMK</t>
  </si>
  <si>
    <t>CHO-4824</t>
  </si>
  <si>
    <t>Install HU middleware in a basic way</t>
  </si>
  <si>
    <t>CHO-6000</t>
  </si>
  <si>
    <t>Provide device information for the DN P1200 printer to CMDB</t>
  </si>
  <si>
    <t>CHO-6318</t>
  </si>
  <si>
    <t>Enable distinguishing of Gryphon scanners</t>
  </si>
  <si>
    <t>CHO-6422</t>
  </si>
  <si>
    <t>[IT] No Fiscal Data transmitted to Fiscal Server</t>
  </si>
  <si>
    <t>CHO-6514</t>
  </si>
  <si>
    <t>NCR line display is displayed as “CR 5976” in devices.xml</t>
  </si>
  <si>
    <t>CHO-6520</t>
  </si>
  <si>
    <t>New DN Touch Screens ( D2156 D1156) not working</t>
  </si>
  <si>
    <t>CHO-6522</t>
  </si>
  <si>
    <t>Error message when checking the scale firmware - big problem when calibartion officer ("Eichamtsperson") wants to check the scales</t>
  </si>
  <si>
    <t>CHO-6550</t>
  </si>
  <si>
    <t>SCO prompting for entry of passphrase for disk</t>
  </si>
  <si>
    <t>CHO-6586</t>
  </si>
  <si>
    <t>[NCR 7199] Scripts required for execution of 222 code are not rolled out for 1.25Ev2/3.2B9 for several Stores</t>
  </si>
  <si>
    <t>CHO-6674</t>
  </si>
  <si>
    <t>CHO-6675</t>
  </si>
  <si>
    <t>Update from CHO-Platform 6.13 to 6.16 does not provide credentials for monitored item adapter</t>
  </si>
  <si>
    <t>CHO-6676</t>
  </si>
  <si>
    <t>Verify Bizerba c2 artifact for software update and compatibility with Rocky 9.5</t>
  </si>
  <si>
    <t>CHO-6698</t>
  </si>
  <si>
    <t>Integrate fixed Bizerba C2 driver</t>
  </si>
  <si>
    <t>CHO-6720</t>
  </si>
  <si>
    <t>[IT] Bump Fiscal adapter version to 2.0.9-0</t>
  </si>
  <si>
    <t>CHO-6771</t>
  </si>
  <si>
    <t>[UK] EFT payments with signature fail with OPI direct integration</t>
  </si>
  <si>
    <t>NPSCO-20043</t>
  </si>
  <si>
    <t>devices.xml must be readable by user or group discovery_stores</t>
  </si>
  <si>
    <t>NPSCO-20853</t>
  </si>
  <si>
    <t>Configure Azure Proxy for butterfly-adapter for SCO</t>
  </si>
  <si>
    <t>[QA][Tr-Stores-IIT-Legacy testroom] TILL does not always update to NP 4.9.0.1 from lower versions during Ivanti update path tests for Releases 4.1TB2</t>
  </si>
  <si>
    <t>HWLM: differentiate between Quest 720 and 850 terminals</t>
  </si>
  <si>
    <t>ANP-25637</t>
  </si>
  <si>
    <t>HU Md: Update current worklow: suspendandretrieve</t>
  </si>
  <si>
    <t>ANP-26295</t>
  </si>
  <si>
    <t>HU DRS: CSR handling (TESTING only)</t>
  </si>
  <si>
    <t>ANP-25776</t>
  </si>
  <si>
    <t>HU DRS: Implement local saving of redeemed vouchers/check if the voucher was redeemed on use (TESTING only)</t>
  </si>
  <si>
    <t>ANP-26771</t>
  </si>
  <si>
    <t>HU Md: Manual testing for personalize</t>
  </si>
  <si>
    <t>ANP-26715</t>
  </si>
  <si>
    <t>HU DRS: Implement separate error messages for LOCAL voucher validation</t>
  </si>
  <si>
    <t>ANP-26450</t>
  </si>
  <si>
    <t>HU DRS: Check Item Restrictions during Ringing</t>
  </si>
  <si>
    <t>ANP-26891</t>
  </si>
  <si>
    <t>HU DRS: Retrieve Process for RVM Vouchers (after suspend)</t>
  </si>
  <si>
    <t>ANP-25831</t>
  </si>
  <si>
    <t>HU Md: Update services in the workflow: refund</t>
  </si>
  <si>
    <t>ANP-26893</t>
  </si>
  <si>
    <t>HU Md: Update services in the workflow: suspendandretrieve (Connecting new adapter to the service)</t>
  </si>
  <si>
    <t>ANP-25834</t>
  </si>
  <si>
    <t>HU Md: Update services in the workflow: voiding</t>
  </si>
  <si>
    <t>ANP-25627</t>
  </si>
  <si>
    <t>HU Md: Update current worklow: errorhandling </t>
  </si>
  <si>
    <t>ANP-25824</t>
  </si>
  <si>
    <t>HU Md: Update services in the workflow: errorhandling (Updating the interfaces)</t>
  </si>
  <si>
    <t>ANP-26892</t>
  </si>
  <si>
    <t>HU Md: Update services in the workflow: errorhandling (Connecting new adapter to the service)</t>
  </si>
  <si>
    <t>ANP-25987</t>
  </si>
  <si>
    <t>AHEAD Stores - MCO to MCO Suspend/Retrieve Transactions are not Applying Chicago Water Bottle Tax Correctly.</t>
  </si>
  <si>
    <t>HU DRS: Implement Voucher Processing Flow for Partial Cash-Out </t>
  </si>
  <si>
    <t>HU DRS: Change/update existing Integrity tests </t>
  </si>
  <si>
    <t>OPEN</t>
  </si>
  <si>
    <t>ANP-27538</t>
  </si>
  <si>
    <t>MCO - Implement Firewall Configuration for NEWPOSS </t>
  </si>
  <si>
    <t>ANP-27187</t>
  </si>
  <si>
    <t>HU Md: Update non-fiscal receipt (code)</t>
  </si>
  <si>
    <t>ANP-27184</t>
  </si>
  <si>
    <t>HU Md: Mapping</t>
  </si>
  <si>
    <t>ANP-27554</t>
  </si>
  <si>
    <t>ANP-27556</t>
  </si>
  <si>
    <t>ANP-25461</t>
  </si>
  <si>
    <t>HU DRS: Training mode implementation (TESTING only)</t>
  </si>
  <si>
    <t>ANP-26798</t>
  </si>
  <si>
    <t>HU Md: Manual testing for prestart, login, postlogin, logout, postlogout</t>
  </si>
  <si>
    <t>ANP-26774</t>
  </si>
  <si>
    <t>HU Md: Manual testing for codes</t>
  </si>
  <si>
    <t>ANP-26794</t>
  </si>
  <si>
    <t>HU Md: Manual testing for fiscalmenu</t>
  </si>
  <si>
    <t>ANP-26105</t>
  </si>
  <si>
    <t>HU DRS: Make expiration date for voucher configurable / refactoring (TESTING only)</t>
  </si>
  <si>
    <t>NPSCO-19728</t>
  </si>
  <si>
    <t>post_update.jobs not performed during package update</t>
  </si>
  <si>
    <t>NPSCO-20365</t>
  </si>
  <si>
    <t>Amounts of salesPerTaxRate, the amount is not the same as totalSales</t>
  </si>
  <si>
    <t>NPSCO-20569</t>
  </si>
  <si>
    <t>Cherry-pick release 4.13.1 [TNT]</t>
  </si>
  <si>
    <t>NPSCO-15234</t>
  </si>
  <si>
    <t>Use postgres 16 with Alpine</t>
  </si>
  <si>
    <t>NPSCO-17559</t>
  </si>
  <si>
    <t>Add spans and traces to all services</t>
  </si>
  <si>
    <t>NPSCO-20127</t>
  </si>
  <si>
    <t>SCO - Infrastructure Adapter Java Upgrade 17</t>
  </si>
  <si>
    <t>NPSCO-19998</t>
  </si>
  <si>
    <t>POS-Core-Update to 3.99</t>
  </si>
  <si>
    <t>NPSCO-18835</t>
  </si>
  <si>
    <t>Replace own tiles of infrastructure-adapter by warp-tiles</t>
  </si>
  <si>
    <t>NPSCO-20318</t>
  </si>
  <si>
    <t>Setup Jira/Confluence Access</t>
  </si>
  <si>
    <t>NPSCO-20459</t>
  </si>
  <si>
    <t>Build MSIs for Sprint 421</t>
  </si>
  <si>
    <t>NPSCO-20465</t>
  </si>
  <si>
    <t>Test SCO Sprint 421</t>
  </si>
  <si>
    <t>NPSCO-20672</t>
  </si>
  <si>
    <t>SCO totalSalesSum calculation</t>
  </si>
  <si>
    <t>NPSCO-20814</t>
  </si>
  <si>
    <t>Test SCO Sprint 422</t>
  </si>
  <si>
    <t>NPSCO-21016</t>
  </si>
  <si>
    <t>Test Hotfix Release 3.18.7</t>
  </si>
  <si>
    <t>NPSCO-21023</t>
  </si>
  <si>
    <t>NPSCO-21058</t>
  </si>
  <si>
    <t>Analyse SCO freeze live incident INC5286646</t>
  </si>
  <si>
    <t>BF-1530</t>
  </si>
  <si>
    <t>[ADAPTER] Fix code coverage in adapter to include all tests</t>
  </si>
  <si>
    <t>BF-1549 *</t>
  </si>
  <si>
    <t>[ADAPTER] Calculation of remaining quantities should not remove items</t>
  </si>
  <si>
    <t>BF-1561 *</t>
  </si>
  <si>
    <t>[SCO] Update Product Branding Name - FUT</t>
  </si>
  <si>
    <t>NPSCO-18029</t>
  </si>
  <si>
    <t>Extract and cleanup component tests from pos-app-adapter</t>
  </si>
  <si>
    <t>NPSCO-18531</t>
  </si>
  <si>
    <t>Remove conditional Bean creation in pricing service</t>
  </si>
  <si>
    <t>NPSCO-18556</t>
  </si>
  <si>
    <t>Copying of the .Xauthority-diebold file is no longer necessary for the infrastructure adapter</t>
  </si>
  <si>
    <t>NPSCO-18806</t>
  </si>
  <si>
    <t>pos-app-adapter maven clean phase does not work alone</t>
  </si>
  <si>
    <t>NPSCO-19363</t>
  </si>
  <si>
    <t>Merge the three article lookup methods into one</t>
  </si>
  <si>
    <t>adjusted estimation from 8 SP to 13</t>
  </si>
  <si>
    <t>NPSCO-20600 *</t>
  </si>
  <si>
    <t>Fix TaxRequest in assco-rp-pricing sent to middleware causing null TaxResponse</t>
  </si>
  <si>
    <t>NPSCO-20711 *</t>
  </si>
  <si>
    <t>When Exit Gate is printed the EFT customer lines are also printed.</t>
  </si>
  <si>
    <t>NPSCO-20775 *</t>
  </si>
  <si>
    <t>[Spike] Evaluate how we can parallelize the component tests</t>
  </si>
  <si>
    <t>NPSCO-21002 *</t>
  </si>
  <si>
    <t>When customer selects start for transaction to begin SCO will display "starting transaction" for 6-8 seconds which is considerably longer than normal behaviour</t>
  </si>
  <si>
    <t>NPSCO-21102 *</t>
  </si>
  <si>
    <t>[SCO] Enable QR-Code scan of eGift Card during tendering in US</t>
  </si>
  <si>
    <t>NPSCO-21104 *</t>
  </si>
  <si>
    <t>[SCO] Test applicability of Bar-code for eGift Cards</t>
  </si>
  <si>
    <t>BF-1532</t>
  </si>
  <si>
    <t>[SCO][ADAPTER] Update Butterfly adapter in combined service PI-2-3</t>
  </si>
  <si>
    <t>BF-1533</t>
  </si>
  <si>
    <t>[SCO] Release tests PI-2-3</t>
  </si>
  <si>
    <t>BF-1534</t>
  </si>
  <si>
    <t>[SCO] Deployment and test support PI-2-3</t>
  </si>
  <si>
    <t>BF-1550 *</t>
  </si>
  <si>
    <t>Onboarding Jonas</t>
  </si>
  <si>
    <t>In Acceptance</t>
  </si>
  <si>
    <t>The work on this story has only been scarcely distributed over the current sprint as the changes relate to test data only and the sprint being (again) packed with more important tasks. The remaining estimate is 0,5 SP.</t>
  </si>
  <si>
    <t>Is done, but as this ticket has been split from BF-507: [ADAPTER] Add ability to send sale void receipts to Yocuda
In Acceptance and thus also developed together with BF-507: [ADAPTER] Add ability to send sale void receipts to Yocuda
In Acceptance both tickets have to be done to merge the related changes</t>
  </si>
  <si>
    <t>NPSCO-12862 *</t>
  </si>
  <si>
    <t>NPSCO-13007 *</t>
  </si>
  <si>
    <t>NPSCO-20671 *</t>
  </si>
  <si>
    <t>NPSCO-20701 *</t>
  </si>
  <si>
    <t>NPSCO-20798 *</t>
  </si>
  <si>
    <t>[SCO] Adaption of single bottle and multipack button icons</t>
  </si>
  <si>
    <t>ANP-26548 *</t>
  </si>
  <si>
    <t>BF-1088 Test aggregation</t>
  </si>
  <si>
    <t>ANP-26552</t>
  </si>
  <si>
    <t>BF-1315 Export voids</t>
  </si>
  <si>
    <t>ANP-26553</t>
  </si>
  <si>
    <t>BF-1237 PoD with CEP</t>
  </si>
  <si>
    <t>ANP-26728 *</t>
  </si>
  <si>
    <t>BF-1321 integrity tests for BF-73</t>
  </si>
  <si>
    <t>ANP-26743 *</t>
  </si>
  <si>
    <t>BF-1416 Bug PDF in Yocuda</t>
  </si>
  <si>
    <t>ANP-26904 *</t>
  </si>
  <si>
    <t>BF-843 Promotions on Display</t>
  </si>
  <si>
    <t>ANP-26905 *</t>
  </si>
  <si>
    <t>BF-175 Change refund workflow</t>
  </si>
  <si>
    <t>ANP-27067 *</t>
  </si>
  <si>
    <t>BF-1476 - Bug for mapping</t>
  </si>
  <si>
    <t>ANP-27173</t>
  </si>
  <si>
    <t>BF-1472 Add URID to EGC-Auto-Refunds</t>
  </si>
  <si>
    <t>ANP-27219 *</t>
  </si>
  <si>
    <t>BF-1517 - Repo API update</t>
  </si>
  <si>
    <t>ANP-27350 *</t>
  </si>
  <si>
    <t>BF-777 Case No PDF created</t>
  </si>
  <si>
    <t>ANP-27568 *</t>
  </si>
  <si>
    <t>[MCO] Update transmission of EGC and PIN printing article in transaction data due to changes caused by BF-623</t>
  </si>
  <si>
    <t>SP adjusted from 0 to 5</t>
  </si>
  <si>
    <t>ANP-27579 *</t>
  </si>
  <si>
    <t>BF-1584 - Test Build PI_2-3 (1st half)</t>
  </si>
  <si>
    <t>SP adjusted from 0 to 3</t>
  </si>
  <si>
    <t>ANP-27707 *</t>
  </si>
  <si>
    <t>BF-1597 Waiting..-Bug with failed card payment</t>
  </si>
  <si>
    <t>ANP-27708 *</t>
  </si>
  <si>
    <t>BF-1596 Waiting..-Bug with Sale Void</t>
  </si>
  <si>
    <t>ANP-26547 *</t>
  </si>
  <si>
    <t>BF-835 Agg. printed receipts</t>
  </si>
  <si>
    <t>ANP-27177</t>
  </si>
  <si>
    <t>BF-1535 Test support PI-2-3</t>
  </si>
  <si>
    <t>ANP-27220 *</t>
  </si>
  <si>
    <t>BF-1354 - Return position properties</t>
  </si>
  <si>
    <t>SP adjusted from 3 to 5</t>
  </si>
  <si>
    <t>ANP-27534 *</t>
  </si>
  <si>
    <t>ANP-27620 *</t>
  </si>
  <si>
    <t>BF-1562 sale and refund receipt</t>
  </si>
  <si>
    <t>ANP-27706 *</t>
  </si>
  <si>
    <t>ANP-27779 *</t>
  </si>
  <si>
    <t>Fix for failed test cep0311</t>
  </si>
  <si>
    <t>Ergebnis</t>
  </si>
  <si>
    <t>Sprint 2025_2-2, 29.04.2025 - 13.05.2025, Status at Sprint Completion</t>
  </si>
  <si>
    <t>Story Points Sum (Spill-over sensitive [SOS] and Carry-over sensitive [COS])</t>
  </si>
  <si>
    <t>SP Initially Planned (COS)</t>
  </si>
  <si>
    <t>SP Pulled after Start (COS)</t>
  </si>
  <si>
    <t>SP Completed (COS &amp; SOS)</t>
  </si>
  <si>
    <t>SP Removed (COS &amp; SOS)</t>
  </si>
  <si>
    <t>SP Not Completed (COS &amp; SOS)</t>
  </si>
  <si>
    <t>ANP-26181</t>
  </si>
  <si>
    <t>List integrated scale as separate device in devices.xml</t>
  </si>
  <si>
    <t>CHO-6319</t>
  </si>
  <si>
    <t>Document device names for HWLM</t>
  </si>
  <si>
    <t>CHO-6448</t>
  </si>
  <si>
    <t>CMDB: 6.5" display not recorded</t>
  </si>
  <si>
    <t>CHO-6449</t>
  </si>
  <si>
    <t>CMDB: GM4500 scanner not present in cmdb.py output</t>
  </si>
  <si>
    <t>102-125 Scale Port error - 4.7.2.1 - Datalogic Bizerba Serial_virtual_usb</t>
  </si>
  <si>
    <t>CHO-6158</t>
  </si>
  <si>
    <t>Provide HWLM information for Preh keyboards</t>
  </si>
  <si>
    <t>CHO-6560</t>
  </si>
  <si>
    <t>Release Sprint 2025_PI2-2 Artifacts</t>
  </si>
  <si>
    <t>CHO-6569</t>
  </si>
  <si>
    <t>CHO-6655</t>
  </si>
  <si>
    <t>CHO Part of NPSCO-17577: extend mqtt config</t>
  </si>
  <si>
    <t>ANP-26869</t>
  </si>
  <si>
    <t>Analysis of ANP-26718: [1] Main Driver: Conduction of RCA for "no printer"</t>
  </si>
  <si>
    <t>ANP-27068</t>
  </si>
  <si>
    <t>Terminals wont initialize after login</t>
  </si>
  <si>
    <t>M; assumed estimate</t>
  </si>
  <si>
    <t>ANP-23958</t>
  </si>
  <si>
    <t>[IT Ejournal] Error during Ejournal entry creation with EPSON Fiscal Printer</t>
  </si>
  <si>
    <t>ANP-26614</t>
  </si>
  <si>
    <t>Analysis of ANP-25550: [CHOP] 90+CODE does not print printer and terminal information</t>
  </si>
  <si>
    <t>ANP-26615</t>
  </si>
  <si>
    <t>Analysis of ANP-25417: when multilane till is restarted during unfinished sales of 2 customers, only 1 cancelled sale receipt appears in db instead of two</t>
  </si>
  <si>
    <t>ANP-26974</t>
  </si>
  <si>
    <t>test maturity assessment</t>
  </si>
  <si>
    <t>ANP-26617</t>
  </si>
  <si>
    <t>Analysis of ANP-25453: [CHOP] The 1st in-sale Subtotal line on receipt is incorrect ( = the final subtotal amount of the receipt, which has additional items ringed after pressing the subtotal button)</t>
  </si>
  <si>
    <t>ANP-27095</t>
  </si>
  <si>
    <t>attend meeting regarding ANP-24559 "HU: NEWPOSS Middleware solution for Hungary / Testing Efforts for Payment (2025_PI2)"</t>
  </si>
  <si>
    <t>ANP-27103</t>
  </si>
  <si>
    <t>[QA][Tr-Stores-IIT-Legacy] Blackhawk EGC direct integration error on till - service error</t>
  </si>
  <si>
    <t>ANP-26747</t>
  </si>
  <si>
    <t>ER 4.1 HU - legacy - Unexpected scale error on MCO</t>
  </si>
  <si>
    <t>ANP-27109</t>
  </si>
  <si>
    <t>Provide missing AHEAD parameter guard in 4.8.0/1.27.8.0</t>
  </si>
  <si>
    <t>ANP-26387</t>
  </si>
  <si>
    <t>Enable database compacting with scheduled application restarts</t>
  </si>
  <si>
    <t>ANP-26377</t>
  </si>
  <si>
    <t>[QA] No authorization is requested when voiding a receipt over the cashier's void limit.</t>
  </si>
  <si>
    <t>Reopened; Analysis will continue with newly provided information</t>
  </si>
  <si>
    <t>ANP-26665</t>
  </si>
  <si>
    <t>Perform documentation export after NEWPOSS 4.8.0 release</t>
  </si>
  <si>
    <t>ANP-26340</t>
  </si>
  <si>
    <t>Performance Analysis - Conduct analysis regarding masterdata provison processing</t>
  </si>
  <si>
    <t>ANP-12281</t>
  </si>
  <si>
    <t>Remove non-layout business logic from BOs</t>
  </si>
  <si>
    <t>ANP-27089</t>
  </si>
  <si>
    <t>Mask the HU pensioner ID to the till log files</t>
  </si>
  <si>
    <t>ANP-26977</t>
  </si>
  <si>
    <t>Implement Parameter workaround for ACOClientMessagingSenderConfiguration on 4.7 maintenance</t>
  </si>
  <si>
    <t>0 SP since effort was taken into account within the relase story</t>
  </si>
  <si>
    <t>ANP-27058</t>
  </si>
  <si>
    <t>Build MCO part of NEWPOSS release 4.7.9</t>
  </si>
  <si>
    <t>ANP-25837</t>
  </si>
  <si>
    <t>HU DRS: Implement voucher state management</t>
  </si>
  <si>
    <t>ANP-25829</t>
  </si>
  <si>
    <t>HU Md: Update services in the workflow: postlogout</t>
  </si>
  <si>
    <t>ANP-25827</t>
  </si>
  <si>
    <t>HU Md: Update services in the workflow: logout</t>
  </si>
  <si>
    <t>ANP-25830</t>
  </si>
  <si>
    <t>HU Md: Update services in the workflow: recieptfiscalnumber</t>
  </si>
  <si>
    <t>ANP-25636</t>
  </si>
  <si>
    <t>HU Md: Update current worklow: refund</t>
  </si>
  <si>
    <t>ANP-25638</t>
  </si>
  <si>
    <t>HU Md: Update current worklow: tendering</t>
  </si>
  <si>
    <t>ANP-25833</t>
  </si>
  <si>
    <t>HU Md: Update services in the workflow: tendering</t>
  </si>
  <si>
    <t>ANP-25626</t>
  </si>
  <si>
    <t>HU Md: Update current worklow: egc.autorefund</t>
  </si>
  <si>
    <t>ANP-25823</t>
  </si>
  <si>
    <t>HU Md: Update services in the workflow: egc.autorefund</t>
  </si>
  <si>
    <t>ANP-26886</t>
  </si>
  <si>
    <t>HU Md: Update current worklow: voiding - Find fcu dependencies</t>
  </si>
  <si>
    <t>ANP-25639</t>
  </si>
  <si>
    <t>HU Md: Update current worklow: voiding - Changing parts to fit the new adapter</t>
  </si>
  <si>
    <t>ANP-26903</t>
  </si>
  <si>
    <t>Hu MD: Update tasks description +diagrams</t>
  </si>
  <si>
    <t>ANP-26107</t>
  </si>
  <si>
    <t>HU DRS: Suspend Process for RVM Vouchers</t>
  </si>
  <si>
    <t>ANP-25388</t>
  </si>
  <si>
    <t>HU DRS: Handle API Failures </t>
  </si>
  <si>
    <t>ANP-26022</t>
  </si>
  <si>
    <t>HU DRS: Offline Scenarios handling</t>
  </si>
  <si>
    <t>ANP-25733</t>
  </si>
  <si>
    <t>[SPIKE] Till unresponsive after display show "Resource for de.gebi"</t>
  </si>
  <si>
    <t>ANP-27090</t>
  </si>
  <si>
    <t>Build MCO part of NEWPOSS release 4.7.10</t>
  </si>
  <si>
    <t>ANP-27099</t>
  </si>
  <si>
    <t>Build MCO part of NEWPOSS release 4.9.0</t>
  </si>
  <si>
    <t>NPSCO-20089</t>
  </si>
  <si>
    <t>Calculate eligible sum for event vouchers</t>
  </si>
  <si>
    <t>NPSCO-19961</t>
  </si>
  <si>
    <t>Support epay event vouchers</t>
  </si>
  <si>
    <t>NPSCO-18834</t>
  </si>
  <si>
    <t>Prevent Force Close: Restrict partial/split payments with EGC items to avoid incorrect transactions [US only]</t>
  </si>
  <si>
    <t>NPSCO-18025</t>
  </si>
  <si>
    <t>SCO 9 (lane 5) - Is showing signs of double charge SCO bug</t>
  </si>
  <si>
    <t>NPSCO-19094</t>
  </si>
  <si>
    <t>Unclear Customer Intervention for insufficient Balance during payment</t>
  </si>
  <si>
    <t>NPSCO-20187</t>
  </si>
  <si>
    <t>Card payment screen includes split payment option</t>
  </si>
  <si>
    <t>NPSCO-20152</t>
  </si>
  <si>
    <t>Onboarding Thien-Phuoc Hoang</t>
  </si>
  <si>
    <t>NPSCO-19913</t>
  </si>
  <si>
    <t>Testing monitored item adapter implementation</t>
  </si>
  <si>
    <t>NPSCO-20078</t>
  </si>
  <si>
    <t>Releasetesting 4.21</t>
  </si>
  <si>
    <t>NPSCO-20189</t>
  </si>
  <si>
    <t>Knowledge Transfer for QF-Test PoC </t>
  </si>
  <si>
    <t>NPSCO-20190</t>
  </si>
  <si>
    <t>Knowledge Transfer for gRPC Performance Test</t>
  </si>
  <si>
    <t>NPSCO-20200</t>
  </si>
  <si>
    <t>Exchange of ideas to find solutions (Frozen SCO)</t>
  </si>
  <si>
    <t>Onboarding Bashar Deeb</t>
  </si>
  <si>
    <t>NPSCO-20441</t>
  </si>
  <si>
    <t>Provide MSIs Containing Celonis</t>
  </si>
  <si>
    <t>WRONG CHECK DIGIT intervention is not triggered immediately after a WERW item is added to receipt by itemid</t>
  </si>
  <si>
    <t>Bocked, waiting for alignment with DN</t>
  </si>
  <si>
    <t>NPSCO-20192</t>
  </si>
  <si>
    <t>Barcode is wrongly detected as PERW item</t>
  </si>
  <si>
    <t>NPSCO-19980</t>
  </si>
  <si>
    <t>Java Error when closing and opening lane</t>
  </si>
  <si>
    <t>NPSCO-19990</t>
  </si>
  <si>
    <t>Release Tests 4.21.0</t>
  </si>
  <si>
    <t>NPSCO-18840</t>
  </si>
  <si>
    <t>Remove first prepareCharge call when pressing charge after scanning EGC (EPAY only)</t>
  </si>
  <si>
    <t>NPSCO-19181</t>
  </si>
  <si>
    <t>Correct workflow for entering invalid EGC</t>
  </si>
  <si>
    <t>NPSCO-18829</t>
  </si>
  <si>
    <t>[US] Customer intervention in Sales</t>
  </si>
  <si>
    <t>NPSCO-19147</t>
  </si>
  <si>
    <t>Correct error messages</t>
  </si>
  <si>
    <t>NPSCO-20205</t>
  </si>
  <si>
    <t>Knowledge Transfer for TNT</t>
  </si>
  <si>
    <t>NPSCO-19347</t>
  </si>
  <si>
    <t>Customer intervention after entering PinPrinting item</t>
  </si>
  <si>
    <t>NPSCO-17173</t>
  </si>
  <si>
    <t>Clean up TODOs [1 PD] (follow up)</t>
  </si>
  <si>
    <t>ANP-26547</t>
  </si>
  <si>
    <t>ANP-26728</t>
  </si>
  <si>
    <t>ANP-26743</t>
  </si>
  <si>
    <t>ANP-26963</t>
  </si>
  <si>
    <t>BF-1458 Build MSI</t>
  </si>
  <si>
    <t>ANP-26959</t>
  </si>
  <si>
    <t>BF-1457 Test Support</t>
  </si>
  <si>
    <t>ANP-26904</t>
  </si>
  <si>
    <t>ANP-26905</t>
  </si>
  <si>
    <t>ANP-26973</t>
  </si>
  <si>
    <t xml:space="preserve">BF-1425 Bug - receipt with EFT-payment </t>
  </si>
  <si>
    <t>ANP-27087</t>
  </si>
  <si>
    <t>BF-1477 Bug EFT identifcation</t>
  </si>
  <si>
    <t>ANP-26902</t>
  </si>
  <si>
    <t>Update technical documentation</t>
  </si>
  <si>
    <t>ANP-27067</t>
  </si>
  <si>
    <t>BF-1409</t>
  </si>
  <si>
    <t>[SCO] Integrate POS core version 3.1.37 and integrate changes to NFC capturing implementation</t>
  </si>
  <si>
    <t>BF-1419</t>
  </si>
  <si>
    <t>[SCO] Remove retailer receipt from customer receipt PDF</t>
  </si>
  <si>
    <t>BF-1427</t>
  </si>
  <si>
    <t>[ADAPTER] Add receipt_position_type and receipt_position_article_type information</t>
  </si>
  <si>
    <t>BF-1429</t>
  </si>
  <si>
    <t>[SCO] Set value to indicate whether a financial transaction (EGC/PP) is a SALE or a RETURN</t>
  </si>
  <si>
    <t>BF-1437 </t>
  </si>
  <si>
    <t>[ADAPTER] Update receipt repository API in Butterfly adapter</t>
  </si>
  <si>
    <t>BF-1438</t>
  </si>
  <si>
    <t>[SCO] Refund Functionality has to be configured in order to activate Repository based Refund</t>
  </si>
  <si>
    <t>BF-1442</t>
  </si>
  <si>
    <t>[SCO][ADAPTER] Update Butterfly adapter in combined service PI-2-2</t>
  </si>
  <si>
    <t>BF-1443</t>
  </si>
  <si>
    <t>[SCO] Do not print unique receipt ID and flag receipts, that have been closed via "Force Close"</t>
  </si>
  <si>
    <t>BF-1459</t>
  </si>
  <si>
    <t>[ADAPTER] Do not forward receipts closed via "Force Close" to Yocuda</t>
  </si>
  <si>
    <t>BF-1474 </t>
  </si>
  <si>
    <t>[SCO] Add parameter to steer whether the customer card reminder pop-up should be displayed</t>
  </si>
  <si>
    <t>BF-1484 </t>
  </si>
  <si>
    <t>[ADAPTER] use OpenAPI mapping in Yocuda mock to increase code coverage</t>
  </si>
  <si>
    <t>NPSCO-18815</t>
  </si>
  <si>
    <t>FTH: Fix all bugs and vulnerabilities listed in Sonar</t>
  </si>
  <si>
    <t>NPSCO-18817 </t>
  </si>
  <si>
    <t>Pricing: Fix all bugs and vulnerabilities listed in Sonar</t>
  </si>
  <si>
    <t>NPSCO-20021</t>
  </si>
  <si>
    <t>[SCO] Update SCO parameter documentation</t>
  </si>
  <si>
    <t>BF-1440</t>
  </si>
  <si>
    <t>[SCO] Deployment and test support PI-2-2</t>
  </si>
  <si>
    <t>BF-1441</t>
  </si>
  <si>
    <t>[SCO] Release tests PI-2-2</t>
  </si>
  <si>
    <t>The story not being closed is primarily related to more important tasks taking precedence with the review of the created test data being put on the back burner.</t>
  </si>
  <si>
    <t>Is done, but as this ticket has been split from BF-507: [ADAPTER] Add ability to send sale void receipts to Yocuda and thus also developed together with BF-507: [ADAPTER] Add ability to send sale void receipts to Yocuda. both tickets have to be done to merge the related changes.</t>
  </si>
  <si>
    <t>BF-1505 </t>
  </si>
  <si>
    <t>NPSCO-18531 </t>
  </si>
  <si>
    <t>re-estimated to 13 SP due to lots of open questions</t>
  </si>
  <si>
    <t>BF-1530 </t>
  </si>
  <si>
    <t>Sprint 2025_2-1, 16.04.2025 - 29.04.2025, Status at Sprint Completion</t>
  </si>
  <si>
    <t>ANP-26712</t>
  </si>
  <si>
    <t>Integrate new SI FURS certificate for fiscalisation</t>
  </si>
  <si>
    <t>CHO-6200</t>
  </si>
  <si>
    <t>Power Button on Beetle PCs not working</t>
  </si>
  <si>
    <t>CHO-6435</t>
  </si>
  <si>
    <t>CMDB: Printer vendor equals model number</t>
  </si>
  <si>
    <t>CHO-6452</t>
  </si>
  <si>
    <t>Discuss MCO virtualisation with Sascha Küppers (ADX QA)</t>
  </si>
  <si>
    <t>CHO-6462</t>
  </si>
  <si>
    <t>Determine NCR printer firmware versions currently in production</t>
  </si>
  <si>
    <t>CHO-6470</t>
  </si>
  <si>
    <t>Improve RPM Vulnerability Report</t>
  </si>
  <si>
    <t>CHO-6505</t>
  </si>
  <si>
    <t>Support NIT UK in mapping card types to means of payment for P400 over TransaxEFT OPI</t>
  </si>
  <si>
    <t>CHO-6519</t>
  </si>
  <si>
    <t>Pick CHO-4864 into 1.25E2 release</t>
  </si>
  <si>
    <t>CHO-6521</t>
  </si>
  <si>
    <t>CHO-Part of ANP-26712 (Add new Slovenian certificate to CHO-artefacts)</t>
  </si>
  <si>
    <t>CHO-6543</t>
  </si>
  <si>
    <t>Support SCO with udate-problems</t>
  </si>
  <si>
    <t>CHO-6438</t>
  </si>
  <si>
    <t>CMDB: 2x20 character display is always present in cmdb.py output</t>
  </si>
  <si>
    <t>CHO-6445</t>
  </si>
  <si>
    <t>CMDB: Integrate &lt;spec&gt; elements as &lt;component&gt; elements</t>
  </si>
  <si>
    <t>CHO-6475</t>
  </si>
  <si>
    <t>Release Sprint 2025_PI2-1 Artifacts</t>
  </si>
  <si>
    <t>CHO-6485</t>
  </si>
  <si>
    <t>NPSCO-19939</t>
  </si>
  <si>
    <t>Receive CHO environment configuration for butterfly</t>
  </si>
  <si>
    <t>ANP-26411</t>
  </si>
  <si>
    <t>CHOP AT | receipt signature timestamp not considered as leading ordering data in DEP</t>
  </si>
  <si>
    <t>ANP-</t>
  </si>
  <si>
    <t>ANP-26447</t>
  </si>
  <si>
    <t>Pick Tickets for Releases 4.7.6 and 4.7.7</t>
  </si>
  <si>
    <t>ANP-26109</t>
  </si>
  <si>
    <t>Build MCO part of NEWPOSS release 4.7.6</t>
  </si>
  <si>
    <t>ANP-26500</t>
  </si>
  <si>
    <t>Clean stale branches</t>
  </si>
  <si>
    <t>[CHOP] Incorrect POS display message during Cashback</t>
  </si>
  <si>
    <t>ANP-25479</t>
  </si>
  <si>
    <t>[CHOP] 97+CODE does not trigger the print of the dayend receipt</t>
  </si>
  <si>
    <t>ANP-26506</t>
  </si>
  <si>
    <t>Analysis of ANP-25572: [CHOP] Incorrect POS display message during Cashback</t>
  </si>
  <si>
    <t>ANP-26507</t>
  </si>
  <si>
    <t>Analysis of ANP-25544: [CHOP] Main printer does not indicate empty paper roll</t>
  </si>
  <si>
    <t>ANP-26613</t>
  </si>
  <si>
    <t>Analysis of ANP-25567: [CHOP] Lane status do not show "Low Paper" Warning</t>
  </si>
  <si>
    <t>ANP-26379</t>
  </si>
  <si>
    <t>Unable to sell articles on 3 out of 4 tills</t>
  </si>
  <si>
    <t>ANP-26612</t>
  </si>
  <si>
    <t>4 out of 6 tills are non operational, they can not be used for trading.</t>
  </si>
  <si>
    <t>ANP-26717</t>
  </si>
  <si>
    <t>[QA] only offline balancing available after 1.25E1 update</t>
  </si>
  <si>
    <t>ANP-26456</t>
  </si>
  <si>
    <t>Scanning of pensioners card at ringing</t>
  </si>
  <si>
    <t>ANP-26458</t>
  </si>
  <si>
    <t>Print pensioners ID number on the receipt</t>
  </si>
  <si>
    <t>ANP-26056</t>
  </si>
  <si>
    <t>Build MCO part of NEWPOSS release 4.8.0</t>
  </si>
  <si>
    <t>ANP-26448</t>
  </si>
  <si>
    <t>Build MCO part of NEWPOSS release 4.7.7</t>
  </si>
  <si>
    <t>ANP-26870</t>
  </si>
  <si>
    <t>Build MCO part of NEWPOSS release 4.7.8</t>
  </si>
  <si>
    <t>ANP-25623</t>
  </si>
  <si>
    <t>HU Md: Update current worklow: cancelreceipt</t>
  </si>
  <si>
    <t>ANP-25628</t>
  </si>
  <si>
    <t>HU Md: Update current worklow: fiscalmenu</t>
  </si>
  <si>
    <t>ANP-25630</t>
  </si>
  <si>
    <t>HU Md: Update current worklow: logout</t>
  </si>
  <si>
    <t>ANP-25640</t>
  </si>
  <si>
    <t>HU Md: Update services in the workflow: prestart</t>
  </si>
  <si>
    <t>ANP-25822</t>
  </si>
  <si>
    <t>HU Md: Update services in the workflow: cancelreceipt</t>
  </si>
  <si>
    <t>ANP-25825</t>
  </si>
  <si>
    <t>HU Md: Update services in the workflow: fiscalmenu</t>
  </si>
  <si>
    <t>ANP-25826</t>
  </si>
  <si>
    <t>HU Md: Update services in the workflow: login</t>
  </si>
  <si>
    <t>ANP-25836</t>
  </si>
  <si>
    <t>HU DRS: Connection to back office API to check validity online</t>
  </si>
  <si>
    <t>ANP-26012</t>
  </si>
  <si>
    <t>ROUND_TAX_AMOUNT tax rounding method not working as expected</t>
  </si>
  <si>
    <t>NPSCO-19102</t>
  </si>
  <si>
    <t>[ITA] Stuck in the transaction after broken fiscalisation and egc</t>
  </si>
  <si>
    <t>NPSCO-19773</t>
  </si>
  <si>
    <t>[Bug] Receipt cannot be found after power off</t>
  </si>
  <si>
    <t>NPSCO-20087</t>
  </si>
  <si>
    <t>Prepare event vouchers test data</t>
  </si>
  <si>
    <t>NPSCO-20022</t>
  </si>
  <si>
    <t>Test Task 4.19.0</t>
  </si>
  <si>
    <t>NPSCO-20023</t>
  </si>
  <si>
    <t>Release Build 4.21.0</t>
  </si>
  <si>
    <t>NPSCO-20148</t>
  </si>
  <si>
    <t>Test Task 4.21.0</t>
  </si>
  <si>
    <t>NPSCO-20144</t>
  </si>
  <si>
    <t>NPSCO-19497</t>
  </si>
  <si>
    <t>[8] Move configuration to CFRM</t>
  </si>
  <si>
    <t>NPSCO-19400</t>
  </si>
  <si>
    <t>SCO Freezes ASSCO 3.13.5</t>
  </si>
  <si>
    <t>NPSCO-19730</t>
  </si>
  <si>
    <t>Install and document memory related tools in the test lab</t>
  </si>
  <si>
    <t>NPSCO-17533</t>
  </si>
  <si>
    <t>[Infinity] DRS/RVM causing balancing issues on SCOs.</t>
  </si>
  <si>
    <t>NPSCO-19714</t>
  </si>
  <si>
    <t>[Spike 3 Days] Getting traceids with opentelemetry between grpc calls</t>
  </si>
  <si>
    <t>NPSCO-19873</t>
  </si>
  <si>
    <t>RVM voucher selling is not possible on IRL SCO</t>
  </si>
  <si>
    <t>NPSCO-20042</t>
  </si>
  <si>
    <t>Testing Sprint 419 MSIs</t>
  </si>
  <si>
    <t>NPSCO-19991</t>
  </si>
  <si>
    <t>Mock extension for event voucher</t>
  </si>
  <si>
    <t>NPSCO-17958</t>
  </si>
  <si>
    <t>Integrate CHO's MQTT service</t>
  </si>
  <si>
    <t>NPSCO-15130</t>
  </si>
  <si>
    <t>Allow maintenance of SixpackConfig.xml via CFRM</t>
  </si>
  <si>
    <t>NPSCO-18801</t>
  </si>
  <si>
    <t>Adapt Medion/ETC provider to support PIN printing items</t>
  </si>
  <si>
    <t>NPSCO-18823</t>
  </si>
  <si>
    <t>[Receipt Archive] Some receipts in the receipt archive lead to an error and can not be printed</t>
  </si>
  <si>
    <t>Further investigation requried, possibly code change in SCO required</t>
  </si>
  <si>
    <t>NPSCO-19915</t>
  </si>
  <si>
    <t>Till Report - changing layout for display currency</t>
  </si>
  <si>
    <t>ANP-25605</t>
  </si>
  <si>
    <t>BF-73 [MCO] Customer ID - Identify customer ID via EFT device with NFC during ringing - 2-tap-solution</t>
  </si>
  <si>
    <t>SP adjusted from 8 to 13</t>
  </si>
  <si>
    <t>ANP-26128</t>
  </si>
  <si>
    <t>BF-1181 Bug for BF-458</t>
  </si>
  <si>
    <t>ANP-26180</t>
  </si>
  <si>
    <t>BF-1287 Build MSI on 16.04.2025</t>
  </si>
  <si>
    <t>ANP-26445</t>
  </si>
  <si>
    <t>BF-1364 Bug - regular items in structured data</t>
  </si>
  <si>
    <t>ANP-26550 *</t>
  </si>
  <si>
    <t>BF-1247 Bug for BF-620</t>
  </si>
  <si>
    <t>ANP-26753 *</t>
  </si>
  <si>
    <t>Standards &amp; Trainings</t>
  </si>
  <si>
    <t>ANP-25192</t>
  </si>
  <si>
    <t>BF-833 Aggregation Pt.3</t>
  </si>
  <si>
    <t>ANP-26546</t>
  </si>
  <si>
    <t>BF-1163 Ref. Refund</t>
  </si>
  <si>
    <t>ANP-26604</t>
  </si>
  <si>
    <t>BF-1389 Test Support</t>
  </si>
  <si>
    <t>ANP-26760 *</t>
  </si>
  <si>
    <t>BF-1415 Aggregation Pt. 5</t>
  </si>
  <si>
    <t>Bottleneck RE approval</t>
  </si>
  <si>
    <t>BF-1409 </t>
  </si>
  <si>
    <t>Only test and merge remain.</t>
  </si>
  <si>
    <t>BF-1412 </t>
  </si>
  <si>
    <t xml:space="preserve"> was created on the basis of BF-507 and pulled directly into the sprint</t>
  </si>
  <si>
    <t>BF-1419 </t>
  </si>
  <si>
    <t>was puled just before end of sprint</t>
  </si>
  <si>
    <t>Updated to 8 SP because of the additional creation of the masterdata service. 7 SP remaining</t>
  </si>
  <si>
    <t>BF-511</t>
  </si>
  <si>
    <t>[ADAPTER] Extend Butterfly adapter documentation with a general description of the adapter</t>
  </si>
  <si>
    <t>BF-1159</t>
  </si>
  <si>
    <t>[ADAPTER] Extend return information provision for multi-receipt cases with special article types (intermediate refund functionality with quantity checks only)</t>
  </si>
  <si>
    <t>BF-1316</t>
  </si>
  <si>
    <t>[ADAPTER][SCO] Create and test installation artifacts for system integration test at ALDI (due 16.04.25 EOB)</t>
  </si>
  <si>
    <t>BF-1317</t>
  </si>
  <si>
    <t>[SCO] Add customer card capturing method parameterization</t>
  </si>
  <si>
    <t>BF-1318</t>
  </si>
  <si>
    <t>[ADAPTER] Add the option to provide returnPositionProperties on position level and forward this information to Yocuda</t>
  </si>
  <si>
    <t>BF-1378</t>
  </si>
  <si>
    <t>[SCO] Deployment and test support PI-2-1</t>
  </si>
  <si>
    <t>BF-1379</t>
  </si>
  <si>
    <t>[SCO] Release tests 4.21.0</t>
  </si>
  <si>
    <t>BF-1380</t>
  </si>
  <si>
    <t>[SCO][ADAPTER] Update Butterfly adapter in combined service PI-2-1</t>
  </si>
  <si>
    <t>NPSCO-18816</t>
  </si>
  <si>
    <t>Purchase: Fix all bugs and vulnerabilities listed in Sonar</t>
  </si>
  <si>
    <t>NPSCO-20174 </t>
  </si>
  <si>
    <t>Autoupdate fails due to interference from CHO updater</t>
  </si>
  <si>
    <t>Sprint 2025_1-6, 02.04.2025 - 15.04.2025, Status at Sprint Completion</t>
  </si>
  <si>
    <t>ANP-25478</t>
  </si>
  <si>
    <t>[CHOP] Till restarts lead to unresolvable error since no customer scanner was found</t>
  </si>
  <si>
    <t>ANP-21583</t>
  </si>
  <si>
    <t>Refactor Multilane State</t>
  </si>
  <si>
    <t>PD; practially completed; retroacitvely re-estimated (was 8SP)</t>
  </si>
  <si>
    <t>ANP-25381</t>
  </si>
  <si>
    <t>Implement Remedy Feature for ANP-25351</t>
  </si>
  <si>
    <t>ANP-25543</t>
  </si>
  <si>
    <t>[CHOP] EFT dayend only works after first cashier login</t>
  </si>
  <si>
    <t>ANP-26166</t>
  </si>
  <si>
    <t>Pick Tickets for Releases 3.18.11 and 4.7.6</t>
  </si>
  <si>
    <t>ANP-25992</t>
  </si>
  <si>
    <t>Build MCO part of NEWPOSS release 3.18.11</t>
  </si>
  <si>
    <t>RT; probably completed by end of sprint</t>
  </si>
  <si>
    <t>ANP-26124</t>
  </si>
  <si>
    <t>create merge request and follow up ANP-23958</t>
  </si>
  <si>
    <t>M; estimated retroactively</t>
  </si>
  <si>
    <t>ANP-26125</t>
  </si>
  <si>
    <t>attend Q&amp;A meeting for CDC</t>
  </si>
  <si>
    <t>PD; estimated retroactively</t>
  </si>
  <si>
    <t>ANP-26402</t>
  </si>
  <si>
    <t>Documentation of CHOP AT Specification</t>
  </si>
  <si>
    <t>PD; will be estimated retroactively</t>
  </si>
  <si>
    <t>ANP-26446</t>
  </si>
  <si>
    <t>Analysis of ANP-26411</t>
  </si>
  <si>
    <t>PD; will be closed by sprint end</t>
  </si>
  <si>
    <t>ANP-26451</t>
  </si>
  <si>
    <t>check if ANP-25573 has been fixed (by fixing ANP-25478)</t>
  </si>
  <si>
    <t>ANP-26015</t>
  </si>
  <si>
    <t>Proact. - POS - Manual EOD needed on all tills - NO EM</t>
  </si>
  <si>
    <t>ANP-24755</t>
  </si>
  <si>
    <t>Evaluate capabilities of the receipt layouter component in context of print on demand and receipt shooting</t>
  </si>
  <si>
    <t>ANP-26110</t>
  </si>
  <si>
    <t>[Analysis] UK March 2025 Till reboots</t>
  </si>
  <si>
    <t>ANP-26111</t>
  </si>
  <si>
    <t>Build till sharing test artifacts for BO #2</t>
  </si>
  <si>
    <t>ANP-25739</t>
  </si>
  <si>
    <t>Merge till sharing feature adaptations to Master</t>
  </si>
  <si>
    <t>ANP-25949</t>
  </si>
  <si>
    <t>Adjust internal data model for POR items in regards to workflow harmonization</t>
  </si>
  <si>
    <t>ANP-25704</t>
  </si>
  <si>
    <t>Harmonize ringing workflow of POSA and POR items (Invoice)</t>
  </si>
  <si>
    <t>ANP-25169</t>
  </si>
  <si>
    <t>Harmonize ringing workflow of POSA and POR items (Inventory/Wastage)</t>
  </si>
  <si>
    <t>ANP-25699</t>
  </si>
  <si>
    <t>Harmonize ringing workflow of POSA and POR items (Sale)</t>
  </si>
  <si>
    <t>ANP-23825</t>
  </si>
  <si>
    <t>General improvements in receipt layout files</t>
  </si>
  <si>
    <t>ANP-25613</t>
  </si>
  <si>
    <t>[HU] Typo displayed on till when void is not possible</t>
  </si>
  <si>
    <t>ANP-25738</t>
  </si>
  <si>
    <t>Server mock does not properly simulate Masterdata update</t>
  </si>
  <si>
    <t>ANP-26294</t>
  </si>
  <si>
    <t>Pick ANP-23677 to 3.18</t>
  </si>
  <si>
    <t>ANP-24855</t>
  </si>
  <si>
    <t>Till workflow stuck in CHOP workflow activity after closing a receipt</t>
  </si>
  <si>
    <t>was pulled after start and it was clear that it is not possible to complete it</t>
  </si>
  <si>
    <t>ANP-26397</t>
  </si>
  <si>
    <t>Analyse newposs-application test memory issues</t>
  </si>
  <si>
    <t>ANP-25039</t>
  </si>
  <si>
    <t>ITA Warranty - Non deductable extra text does not appear on the receipt</t>
  </si>
  <si>
    <t>ANP-25631</t>
  </si>
  <si>
    <t>Update current worklow+service: personalize</t>
  </si>
  <si>
    <t>ANP-25751</t>
  </si>
  <si>
    <t>HU DRS: Automate Applying Vouchers to Transactions</t>
  </si>
  <si>
    <t>ANP-25838</t>
  </si>
  <si>
    <t>HU DRS: Test documentation</t>
  </si>
  <si>
    <t>ANP-25629</t>
  </si>
  <si>
    <t>Update current worklow: login</t>
  </si>
  <si>
    <t>ANP-25632</t>
  </si>
  <si>
    <t>Update current worklow: postlogin</t>
  </si>
  <si>
    <t>ANP-25644</t>
  </si>
  <si>
    <t>Update services in the workflow: codes</t>
  </si>
  <si>
    <t>ANP-25828</t>
  </si>
  <si>
    <t>Update services in the workflow: postlogin</t>
  </si>
  <si>
    <t>ANP-26080</t>
  </si>
  <si>
    <t>HU DRS: Rejection of Quantity for RVM Vouchers</t>
  </si>
  <si>
    <t>ANP-26108</t>
  </si>
  <si>
    <t>[SPIKE] Suspend &amp; Retrieve Process for RVM Vouchers</t>
  </si>
  <si>
    <t>ANP-26380 *</t>
  </si>
  <si>
    <t>Sonar Challenge. Rename this constant name to match the regular expression. u2013 - U2013.</t>
  </si>
  <si>
    <t>ANP-25635</t>
  </si>
  <si>
    <t>Update current worklow: recieptfiscalnumber</t>
  </si>
  <si>
    <t>NPSCO-19715</t>
  </si>
  <si>
    <t>1.25E UAT ITA | Fiscal Block Error in SCO Receipt Block</t>
  </si>
  <si>
    <t>NPSCO-19717</t>
  </si>
  <si>
    <t>[Spike] workflow for event voucher (DE)</t>
  </si>
  <si>
    <t>NPSCO-19695</t>
  </si>
  <si>
    <t>[SPIKE] Force close in US</t>
  </si>
  <si>
    <t>NPSCO-19630</t>
  </si>
  <si>
    <t>SCO Receipt is showing Variant numbers (9 digits) - Should only show sellable Generic/ Single</t>
  </si>
  <si>
    <t>NPSCO-15156</t>
  </si>
  <si>
    <t>Dismantle workaround of start Fiscalisation Service only in countries where it's needed</t>
  </si>
  <si>
    <t>NPSCO-19795</t>
  </si>
  <si>
    <t>Test Task 4.18.0</t>
  </si>
  <si>
    <t>NPSCO-19797</t>
  </si>
  <si>
    <t>Cherry Pick 3.18.6</t>
  </si>
  <si>
    <t>NPSCO-19944</t>
  </si>
  <si>
    <t>Test Task 3.18.6</t>
  </si>
  <si>
    <t>NPSCO-18312</t>
  </si>
  <si>
    <t>Small field-local changes in receipt exports</t>
  </si>
  <si>
    <t>NPSCO-18803</t>
  </si>
  <si>
    <t>[Test] Adjust tax rate to 6 decimal places</t>
  </si>
  <si>
    <t>NPSCO-19189</t>
  </si>
  <si>
    <t>The heartbeat frequency should be changed to 10 seconds</t>
  </si>
  <si>
    <t>NPSCO-19790</t>
  </si>
  <si>
    <t>Test SCO Sprint 418</t>
  </si>
  <si>
    <t>NPSCO-19145</t>
  </si>
  <si>
    <t>Open transactions not always checked after reboot or shutdown of the pos adaper</t>
  </si>
  <si>
    <t>NPSCO-19123</t>
  </si>
  <si>
    <t>[UK] Export and Notifcation of canceld transaction missing after hard shutdown</t>
  </si>
  <si>
    <t>NPSCO-19151</t>
  </si>
  <si>
    <t>Full Resync of SCO not working in Gebit testlab</t>
  </si>
  <si>
    <t>SCO Freezing randomly</t>
  </si>
  <si>
    <t>NPSCO-19922</t>
  </si>
  <si>
    <t>Test 3.18.6</t>
  </si>
  <si>
    <t>NPSCO-18665</t>
  </si>
  <si>
    <t>Testing every existing promotions</t>
  </si>
  <si>
    <t>NPSCO-19952</t>
  </si>
  <si>
    <t>[AUS] Cancel payment button leads to wrong attendant intervention </t>
  </si>
  <si>
    <t>NPSCO-19455</t>
  </si>
  <si>
    <t>Scanned Grapes (9317948011236) causing intervention for price on SCO</t>
  </si>
  <si>
    <t>NPSCO-19299</t>
  </si>
  <si>
    <t>Product Block did not work on 25th of Januar for 826704 &amp; 810998 in multiple stores</t>
  </si>
  <si>
    <t>NPSCO-19793</t>
  </si>
  <si>
    <t>Hot fix build 3.18.6</t>
  </si>
  <si>
    <t>NPSCO-19794</t>
  </si>
  <si>
    <t>Release test 3.18.6</t>
  </si>
  <si>
    <t>NPSCO-19734</t>
  </si>
  <si>
    <t>Sprint Test 418</t>
  </si>
  <si>
    <t>not enough knowledge at the beginning and much more complex than expected</t>
  </si>
  <si>
    <t>NPSCO-18819</t>
  </si>
  <si>
    <t>simplify teststart</t>
  </si>
  <si>
    <t>trouble with the local IDE resulted in test problems</t>
  </si>
  <si>
    <t>NPSCO-18215</t>
  </si>
  <si>
    <t>Test of assco-java-grpc-test-client on Different SCO Systems</t>
  </si>
  <si>
    <t>NPSCO-19344</t>
  </si>
  <si>
    <t>Implement CFRM parameter for PinPrinting</t>
  </si>
  <si>
    <t>testing not yet completed</t>
  </si>
  <si>
    <t>NPSCO-19471</t>
  </si>
  <si>
    <t>Sprint build 419</t>
  </si>
  <si>
    <t>ANP-26112</t>
  </si>
  <si>
    <t>BF-1259 Build MSI</t>
  </si>
  <si>
    <t>ANP-26127 *</t>
  </si>
  <si>
    <t>BF-796 Bug for BF-64</t>
  </si>
  <si>
    <t>ANP-26129</t>
  </si>
  <si>
    <t>BF-1154 GetReceiptReturnInformationByNumber</t>
  </si>
  <si>
    <t>ANP-24907</t>
  </si>
  <si>
    <t>BF-775 double item lines</t>
  </si>
  <si>
    <t>LTC creation took longer than expected</t>
  </si>
  <si>
    <t>Start/Stop listening to VAS-NFC-chip more complex than expected</t>
  </si>
  <si>
    <t>ANP-25778</t>
  </si>
  <si>
    <t>BF-1080 Adapter changes</t>
  </si>
  <si>
    <t>ANP-26113</t>
  </si>
  <si>
    <t>BF-1260 Support Tests</t>
  </si>
  <si>
    <t>ANP-26123</t>
  </si>
  <si>
    <t>ANP-26126</t>
  </si>
  <si>
    <t>BF-923 Discount info Bug</t>
  </si>
  <si>
    <t>ANP-26180 *</t>
  </si>
  <si>
    <t>Story pulled into wrong sprint</t>
  </si>
  <si>
    <t>ANP-24318</t>
  </si>
  <si>
    <t>EFT: Double debiting of card payments</t>
  </si>
  <si>
    <t>ANP-25045</t>
  </si>
  <si>
    <t>Add butterfly-adapter/combined RPM to release</t>
  </si>
  <si>
    <t>CHO-5513</t>
  </si>
  <si>
    <t>NHPI reconfiguration may fail without exit code indicating an error</t>
  </si>
  <si>
    <t>CHO-5573</t>
  </si>
  <si>
    <t>[5PT] Analyze Hardware information for C2 scale</t>
  </si>
  <si>
    <t>CHO-5875</t>
  </si>
  <si>
    <t>Provide device information for integrated Datalogic scales</t>
  </si>
  <si>
    <t>CHO-6054</t>
  </si>
  <si>
    <t>Fix the jenkins pipeline for cho-ansible 1.2 and 1.9</t>
  </si>
  <si>
    <t>CHO-6338</t>
  </si>
  <si>
    <t>Adjust mosquitto configuration for integration</t>
  </si>
  <si>
    <t>CHO-6399</t>
  </si>
  <si>
    <t>Tills are stuck in GRUB after update 1.23E11 -&gt; 3.1.A13</t>
  </si>
  <si>
    <t>CHO-6414</t>
  </si>
  <si>
    <t>Create documentation for the configuration of the Verifone M424</t>
  </si>
  <si>
    <t>ANP-26455</t>
  </si>
  <si>
    <t>ANP Part of BF-779</t>
  </si>
  <si>
    <t>BF-779</t>
  </si>
  <si>
    <t>Provide configuration for Butterfly to tills</t>
  </si>
  <si>
    <t>CHO-5877</t>
  </si>
  <si>
    <t>Provide device information for P400 (OPI) EFT devices to CMDB</t>
  </si>
  <si>
    <t>CHO-5878</t>
  </si>
  <si>
    <t>[3PD] Analyze hardware information for Verifone M424 EFTs</t>
  </si>
  <si>
    <t>CHO-6201</t>
  </si>
  <si>
    <t>Fix testlab CCV Pads</t>
  </si>
  <si>
    <t>CHO-6324</t>
  </si>
  <si>
    <t>NCR 7606, NCR 7607 USB device issues on first rocky versions (UDEV?)</t>
  </si>
  <si>
    <t>CHO-6341</t>
  </si>
  <si>
    <t>Release Sprint 2025_PI1-6 Artifacts</t>
  </si>
  <si>
    <t>CHO-6356</t>
  </si>
  <si>
    <t>TLRD Task</t>
  </si>
  <si>
    <t>CHO-6417</t>
  </si>
  <si>
    <t>Support team Vlinder in integrating listening for VAS data via NFC Taps</t>
  </si>
  <si>
    <t>CHO-6455</t>
  </si>
  <si>
    <t>CHO part of BF-779</t>
  </si>
  <si>
    <t>NPSCO-19874</t>
  </si>
  <si>
    <t>NPSCO-19939 *</t>
  </si>
  <si>
    <t>CHO-6466</t>
  </si>
  <si>
    <t>Support team Vlinder for butterfly test system configuration integration</t>
  </si>
  <si>
    <t>NPSCO-19392</t>
  </si>
  <si>
    <t>[SCO] Provide language keys and values</t>
  </si>
  <si>
    <t xml:space="preserve">
</t>
  </si>
  <si>
    <t>BF-1257</t>
  </si>
  <si>
    <t>[SCO] Add EGC status receipts to receipt PDF</t>
  </si>
  <si>
    <t>BF-1241</t>
  </si>
  <si>
    <t>[SCO][ADAPTER] Update Butterfly adapter in combined service PI-1-6</t>
  </si>
  <si>
    <t>BF-1239</t>
  </si>
  <si>
    <t>[SCO] Release tests PI-1-6</t>
  </si>
  <si>
    <t>BF-1238</t>
  </si>
  <si>
    <t>[SCO] Deployment and test support PI-1-6</t>
  </si>
  <si>
    <t>BF-1235</t>
  </si>
  <si>
    <t>[ADAPTER] Create integration tests against Yocuda</t>
  </si>
  <si>
    <t>BF-1224</t>
  </si>
  <si>
    <t>[SCO] Update assco-rp-purchase-service to use at least version 3.6.0 of rp-purchase</t>
  </si>
  <si>
    <t>BF-1101</t>
  </si>
  <si>
    <t>[SCO] Add support for NFC based customer cards</t>
  </si>
  <si>
    <t>BF-971</t>
  </si>
  <si>
    <t>[ADAPTER] Provide return information for multi-receipt cases</t>
  </si>
  <si>
    <t>BF-802</t>
  </si>
  <si>
    <t>[ADAPTER] Update MapStruct Version used for the combined services</t>
  </si>
  <si>
    <t>BF-625</t>
  </si>
  <si>
    <t>[SCO] Print only UK national lottery tickets, if the customer opted out of receiving paper receipts</t>
  </si>
  <si>
    <t>BF-1252</t>
  </si>
  <si>
    <t>Payment Blocked and Transaction not Sent to Yocuda when scanning multiple Customers in SCO</t>
  </si>
  <si>
    <t>BF-1293</t>
  </si>
  <si>
    <t>Payment with EFT (and Voucher) on SCO does not forward the e-Receipt to Youcda</t>
  </si>
  <si>
    <t>BF-1359</t>
  </si>
  <si>
    <t>Error on GetSerializedReceiptByNumber endpoint</t>
  </si>
  <si>
    <t xml:space="preserve">Bug </t>
  </si>
  <si>
    <t>BF-1264</t>
  </si>
  <si>
    <t>SCO - Receipt Header is printed out with raw values</t>
  </si>
  <si>
    <t>removed from sprint</t>
  </si>
  <si>
    <t>BF-1314</t>
  </si>
  <si>
    <t>[SCO] Integrate POS core version 3.1.36</t>
  </si>
  <si>
    <t>pulled up one day before the end of the sprint</t>
  </si>
  <si>
    <t>NPSCO-19994</t>
  </si>
  <si>
    <t>from development side done but forgot to move the status</t>
  </si>
  <si>
    <t>ANP-26012 *</t>
  </si>
  <si>
    <t>Sprint 2025_1-5, 19.03.2025 - 01.04.2025, Status at Sprint Completion</t>
  </si>
  <si>
    <r>
      <t xml:space="preserve">v  v  v  Use exactly these </t>
    </r>
    <r>
      <rPr>
        <b/>
        <sz val="10"/>
        <color rgb="FFFF0000"/>
        <rFont val="Aptos"/>
        <family val="2"/>
      </rPr>
      <t>statuses</t>
    </r>
    <r>
      <rPr>
        <sz val="10"/>
        <color rgb="FFFF0000"/>
        <rFont val="Aptos"/>
        <family val="2"/>
      </rPr>
      <t xml:space="preserve">  v  v  v</t>
    </r>
  </si>
  <si>
    <t>ANP-25918</t>
  </si>
  <si>
    <t>BasicCardTransactionData table shows cardExpirationDate of e.g. 59884-10-31</t>
  </si>
  <si>
    <t>ANP-23202</t>
  </si>
  <si>
    <t>Payment of transactions by other voucher (CODE + 30, option 5) related to deposit articles</t>
  </si>
  <si>
    <t>ANP-24918</t>
  </si>
  <si>
    <t>Add Cancel Tag to Transaction Data</t>
  </si>
  <si>
    <t>PD; practically finished</t>
  </si>
  <si>
    <t>ANP-25731</t>
  </si>
  <si>
    <t>[CHOP] Status changes for card payments lead to scanning errors</t>
  </si>
  <si>
    <t>M; duplicate</t>
  </si>
  <si>
    <t>ANP-23495</t>
  </si>
  <si>
    <t>support Australia regarding CDC</t>
  </si>
  <si>
    <t>PD; completed by definition; retroactively estimated</t>
  </si>
  <si>
    <t>ANP-25464</t>
  </si>
  <si>
    <t>Pick Stories for Version 4.7.5</t>
  </si>
  <si>
    <t>ANP-24609</t>
  </si>
  <si>
    <t>Hu Middleware: Branch configuration</t>
  </si>
  <si>
    <t>ANP-25389</t>
  </si>
  <si>
    <t>HU DRS: Separate Tax Handling for RVM Vouchers</t>
  </si>
  <si>
    <t>ANP-25584</t>
  </si>
  <si>
    <t>tills throw "Ausnahmefehler" after the time limit of "shutdown in 5 minutes" is reached</t>
  </si>
  <si>
    <t>ANP-25707 *</t>
  </si>
  <si>
    <t>1.25E - UAT ITA | Swapped numbers in receipt metadata block on all receipts</t>
  </si>
  <si>
    <t>ANP-24781</t>
  </si>
  <si>
    <t>Collect all Logfiles: Testing</t>
  </si>
  <si>
    <t>ANP-25387</t>
  </si>
  <si>
    <t>HU DRS: Implement Local validation of the voucher</t>
  </si>
  <si>
    <t>ANP-25624 *</t>
  </si>
  <si>
    <t>Make Hu middleware config. with CFRM</t>
  </si>
  <si>
    <t>ANP-25625</t>
  </si>
  <si>
    <t>Update current worklow: codes</t>
  </si>
  <si>
    <t>Not completed</t>
  </si>
  <si>
    <t>ANP-25634</t>
  </si>
  <si>
    <t>Update current worklow: prestart</t>
  </si>
  <si>
    <t>ANP-25780</t>
  </si>
  <si>
    <t>Sonar Challenge PI1-5</t>
  </si>
  <si>
    <t>ANP-25781</t>
  </si>
  <si>
    <t>SetUp HU in the Test Lab</t>
  </si>
  <si>
    <t>NPSCO-19448</t>
  </si>
  <si>
    <t>Add missed SSL context initialization after Spring migration</t>
  </si>
  <si>
    <t>NPSCO-17577</t>
  </si>
  <si>
    <t>[5] Publish application events to MQTT</t>
  </si>
  <si>
    <t>NPSCO-17562</t>
  </si>
  <si>
    <t>[6] Consume events from MQTT, store and forward them</t>
  </si>
  <si>
    <t>NPSCO-19495</t>
  </si>
  <si>
    <t>[7] Add the MIA to deployment and combined service</t>
  </si>
  <si>
    <t>NPSCO-18299</t>
  </si>
  <si>
    <t>Some totals fields have to be exported in sales receipts</t>
  </si>
  <si>
    <t>NPSCO-18310</t>
  </si>
  <si>
    <t>Export cashier and attendant information correctly</t>
  </si>
  <si>
    <t>NPSCO-19483</t>
  </si>
  <si>
    <t>Test SCO Sprint 417</t>
  </si>
  <si>
    <t>NPSCO-19484</t>
  </si>
  <si>
    <t>Build Sprint Release 417</t>
  </si>
  <si>
    <t>NPSCO-19324</t>
  </si>
  <si>
    <t>CH SCO cannot be initialized, gets stuck in "Waiting for POS connection"</t>
  </si>
  <si>
    <t>NPSCO-19379</t>
  </si>
  <si>
    <t>1.25E SCO Pilots - EM: "scale is not connected"</t>
  </si>
  <si>
    <t>NPSCO-18311</t>
  </si>
  <si>
    <t>Export sourceContainer and targetContainer in receipts</t>
  </si>
  <si>
    <t>NPSCO-19628</t>
  </si>
  <si>
    <t>[CH] Incorrect Translations</t>
  </si>
  <si>
    <t>NPSCO-15480</t>
  </si>
  <si>
    <t>(US-only) Credit payment is printed as "Debit card" in the payment line of printed receipt (all versions)</t>
  </si>
  <si>
    <t>NPSCO-19095</t>
  </si>
  <si>
    <t>Errors in sale export validation because of addition of [objectType] to objects</t>
  </si>
  <si>
    <t>NPSCO-19319</t>
  </si>
  <si>
    <t>[ITA] Lottery Code not exported to the RT Server</t>
  </si>
  <si>
    <t>NPSCO-19180</t>
  </si>
  <si>
    <t>[Bug] Login failure after Power Off</t>
  </si>
  <si>
    <t>NPSCO-19176</t>
  </si>
  <si>
    <t>Receipt over 1000.00 drops last digit on pre-subtotal when promotion is applied</t>
  </si>
  <si>
    <t>NPSCO-19449</t>
  </si>
  <si>
    <t>Disable Split Payment for EGC in ITA</t>
  </si>
  <si>
    <t>NPSCO-19139</t>
  </si>
  <si>
    <t>EGC payment sometimes not aligned with other payment types</t>
  </si>
  <si>
    <t>NPSCO-19140</t>
  </si>
  <si>
    <t>[AUS] EGC partial payment is displayed as Card Payment on the virtual receipt</t>
  </si>
  <si>
    <t>NPSCO-19453</t>
  </si>
  <si>
    <t>Onboarding Paulo Moura Guedes</t>
  </si>
  <si>
    <t>NPSCO-19485</t>
  </si>
  <si>
    <t>Test Task 4.17.0</t>
  </si>
  <si>
    <t>NPSCO-19496</t>
  </si>
  <si>
    <t>ANP-25951 *</t>
  </si>
  <si>
    <t>[SPIKE] 1.25E; IT; Instant lottery QR code is missing on receipt</t>
  </si>
  <si>
    <t>NPSCO-19629</t>
  </si>
  <si>
    <t>MSI for 418 (for PI presentation)</t>
  </si>
  <si>
    <t>NPSCO-19103</t>
  </si>
  <si>
    <t>Exit gate barcode</t>
  </si>
  <si>
    <t>NPSCO-18885</t>
  </si>
  <si>
    <t>Adapt master data lookup for PIN Printing articles in FTH</t>
  </si>
  <si>
    <t>NPSCO-19076</t>
  </si>
  <si>
    <t>Test data from provider</t>
  </si>
  <si>
    <t>NPSCO-18379</t>
  </si>
  <si>
    <t>Change sales limit for EGCs in US</t>
  </si>
  <si>
    <t>NPSCO-19339</t>
  </si>
  <si>
    <t>Add FR language for Till report</t>
  </si>
  <si>
    <t>NPSCO-19408</t>
  </si>
  <si>
    <t>Wrong value in isResyncAllowed</t>
  </si>
  <si>
    <t>NPSCO-19468</t>
  </si>
  <si>
    <t>Show six-pack button only when UoM 'PK' is maintained for that article</t>
  </si>
  <si>
    <t>NPSCO-19172</t>
  </si>
  <si>
    <t>Release Test 417 [M]</t>
  </si>
  <si>
    <t>NPSCO-19668</t>
  </si>
  <si>
    <t>Test Spring boot fix (NPSCO-19352)</t>
  </si>
  <si>
    <t>ANP-25603</t>
  </si>
  <si>
    <t>1.25E UAT ITA | wrong wording via code75 on till</t>
  </si>
  <si>
    <t>ANP-25997</t>
  </si>
  <si>
    <t>[Analysis] DE March 2025 Till reboots</t>
  </si>
  <si>
    <t>ANP-22554</t>
  </si>
  <si>
    <t>[ITA] 5+Code on MCO of SCO receipt leads to till freeze</t>
  </si>
  <si>
    <t>ANP-25736</t>
  </si>
  <si>
    <t>Build till sharing test artefacts for BO</t>
  </si>
  <si>
    <t>ANP-25159</t>
  </si>
  <si>
    <t>Harmonize POS service layer for gift cards and PIN Printing</t>
  </si>
  <si>
    <t>ANP-25782</t>
  </si>
  <si>
    <t>Pick Stories to 4.7 maintenance branch for NEWPOSS 4.7.5</t>
  </si>
  <si>
    <t>ANP-25592</t>
  </si>
  <si>
    <t>Remove obsolete Pick-Up-related code</t>
  </si>
  <si>
    <t>ANP-25685</t>
  </si>
  <si>
    <t>Build MCO part of NEWPOSS release 3.18.10</t>
  </si>
  <si>
    <t>ANP-25722 *</t>
  </si>
  <si>
    <t>Merge feature branch for BF-1032</t>
  </si>
  <si>
    <t>ANP-25724</t>
  </si>
  <si>
    <t>Fix Data Processing Blinker</t>
  </si>
  <si>
    <t>ANP-25842</t>
  </si>
  <si>
    <t>BF-1183 Build MSI</t>
  </si>
  <si>
    <t>ANP-25989 *</t>
  </si>
  <si>
    <t>BF-1214 Adjust dummy data</t>
  </si>
  <si>
    <t>ANP-24906</t>
  </si>
  <si>
    <t>BF-774 EFT terminal lines</t>
  </si>
  <si>
    <t>SP adjustment from 5 to 8</t>
  </si>
  <si>
    <t>ANP-25193</t>
  </si>
  <si>
    <t>BF-834 Aggregation Pt.4</t>
  </si>
  <si>
    <t>ANP-25474</t>
  </si>
  <si>
    <t>BF-134 Return Info Mapping</t>
  </si>
  <si>
    <t>ANP-25670</t>
  </si>
  <si>
    <t>Build MCO part of NEWPOSS release 4.7.5</t>
  </si>
  <si>
    <t>ANP-25747</t>
  </si>
  <si>
    <t>BF-1162 Support Tests</t>
  </si>
  <si>
    <t>ANP-25777</t>
  </si>
  <si>
    <t>BF-1071 New Logos</t>
  </si>
  <si>
    <t>ANP-25376</t>
  </si>
  <si>
    <t>Build MCO part of NEWPOSS release 4.8.0 (PI1.5)</t>
  </si>
  <si>
    <t>Taken out of sprint after some work was already done.</t>
  </si>
  <si>
    <t>ANP-25607</t>
  </si>
  <si>
    <t>[QA][Tr-Stores-IIT-Legacy testroom] TILL does not always update to NP 4.7.3.1 from lower versions during Ivanti update path tests for Releases 4.1C2/1.26D</t>
  </si>
  <si>
    <t>CHO-5944</t>
  </si>
  <si>
    <t>Adjust to NEWPOSS log file (path) changes</t>
  </si>
  <si>
    <t>CHO-6133</t>
  </si>
  <si>
    <t>Release Sprint 2025_PI1-4 Artifacts</t>
  </si>
  <si>
    <t>CHO-6202</t>
  </si>
  <si>
    <t>Run CIS Benchmark for 2025_PI1</t>
  </si>
  <si>
    <t>CHO-6289 *</t>
  </si>
  <si>
    <t>[HU] update incident 25.03</t>
  </si>
  <si>
    <t>CHO-6307</t>
  </si>
  <si>
    <t>MI | CHOP Scale - store was unable to trade on 2/3 tills due to error message: Waage inaktiv</t>
  </si>
  <si>
    <t>BF-792</t>
  </si>
  <si>
    <t>Implement support for ValueAddedServices for P400 EFTs</t>
  </si>
  <si>
    <t>CHO-5575</t>
  </si>
  <si>
    <t>[3PT] Analyze hardware information for integrated Datalogic scales</t>
  </si>
  <si>
    <t>CHO-5837</t>
  </si>
  <si>
    <t>Provide device information for CCV Pad Next to CMDB</t>
  </si>
  <si>
    <t>CHO-5886</t>
  </si>
  <si>
    <t>[3PD] Analyze hardware information for VGA displays</t>
  </si>
  <si>
    <t>CHO-6224</t>
  </si>
  <si>
    <t>CHO-6225</t>
  </si>
  <si>
    <t>Release Sprint 2025_PI1-5 Artifacts</t>
  </si>
  <si>
    <t>CHO-6278 *</t>
  </si>
  <si>
    <t>Remove Application Status from Performance Overview</t>
  </si>
  <si>
    <t>CHO-6294 *</t>
  </si>
  <si>
    <t>Insufficient permissions to run cmdb.py by discovery_stores user</t>
  </si>
  <si>
    <t>NPSCO-19352</t>
  </si>
  <si>
    <t>Double instantiation bug</t>
  </si>
  <si>
    <t>reestimated from 5 to 13 SP due to the needed QA measures</t>
  </si>
  <si>
    <t>BF-1182</t>
  </si>
  <si>
    <t>[ADAPTER] Mapping of article identifiers in financial transactions is not corect</t>
  </si>
  <si>
    <t>BF-1164</t>
  </si>
  <si>
    <t>[SCO] Release tests PI-1-5</t>
  </si>
  <si>
    <t>BF-1158</t>
  </si>
  <si>
    <t>[SCO] Deployment and test support PI-1-5</t>
  </si>
  <si>
    <t>BF-1156</t>
  </si>
  <si>
    <t>BF-458 - Adapter - Attributes sent to Yocuda with expected mapping is not correct for SCO</t>
  </si>
  <si>
    <t>Won't Do</t>
  </si>
  <si>
    <t>BF-1112</t>
  </si>
  <si>
    <t>[ADAPTER] Implement GetSerializedReceiptByNumber endpoint</t>
  </si>
  <si>
    <t>BF-1094</t>
  </si>
  <si>
    <t>[ADAPTER][SCO] Update receipt repository API in MCO and SCO combined service</t>
  </si>
  <si>
    <t>BF-1021</t>
  </si>
  <si>
    <t>[SCO] Amend customer card capturing workflow</t>
  </si>
  <si>
    <t>BF-868</t>
  </si>
  <si>
    <t>[ADAPTER] Provide basic return information to checkout for preliminary refund functionality</t>
  </si>
  <si>
    <t>BF-509</t>
  </si>
  <si>
    <t>[ADAPTER] Improve error handling during provision of customer information from CEE</t>
  </si>
  <si>
    <t>BF-506</t>
  </si>
  <si>
    <t>[ADAPTER] Add ability to send refund receipts to Yocuda</t>
  </si>
  <si>
    <t>BF-1218</t>
  </si>
  <si>
    <t>[SCO] Prepare support for NFC based customer cards</t>
  </si>
  <si>
    <t>BF-1216</t>
  </si>
  <si>
    <t>BF-714 - SCO - Re-Identifying different Customers adds promotions instead of replacing</t>
  </si>
  <si>
    <t>BF-1160</t>
  </si>
  <si>
    <t>[SCO] Improve error handling for failed requests to CEE</t>
  </si>
  <si>
    <t>BF-1236</t>
  </si>
  <si>
    <t>[ADAPTER] Butterfly Adapter cannot forward receipts with CASH payments to Yocuda</t>
  </si>
  <si>
    <t>BF-1240</t>
  </si>
  <si>
    <t>[SCO][ADAPTER] Update Butterfly adapter in combined service PI-1-5</t>
  </si>
  <si>
    <t>BF-1103</t>
  </si>
  <si>
    <t>[ADAPTER] Do not forward unsuccessful payments to Yocuda</t>
  </si>
  <si>
    <t>pulled up on sprint change day</t>
  </si>
  <si>
    <t>BF-1261</t>
  </si>
  <si>
    <t>[SCO] Customer ID is not shown immediately on the virtual receipt after successful scan with scanner</t>
  </si>
  <si>
    <t>Sprint 2025_1-3, 19.02.2025 - 04.03.2025, Status at Sprint Completion</t>
  </si>
  <si>
    <r>
      <rPr>
        <sz val="10"/>
        <color rgb="FFFF0000"/>
        <rFont val="Comic Sans MS"/>
        <family val="4"/>
      </rPr>
      <t xml:space="preserve">v  v  v  Use exactly these </t>
    </r>
    <r>
      <rPr>
        <b/>
        <sz val="10"/>
        <color rgb="FFFF0000"/>
        <rFont val="Comic Sans MS"/>
        <family val="4"/>
      </rPr>
      <t>statuses</t>
    </r>
    <r>
      <rPr>
        <sz val="10"/>
        <color rgb="FFFF0000"/>
        <rFont val="Comic Sans MS"/>
        <family val="4"/>
      </rPr>
      <t xml:space="preserve">  v  v  v</t>
    </r>
  </si>
  <si>
    <r>
      <rPr>
        <sz val="10"/>
        <color rgb="FFFF0000"/>
        <rFont val="Comic Sans MS"/>
        <family val="4"/>
      </rPr>
      <t xml:space="preserve">&gt;
&gt;
&gt;
&gt;
Use exactly these </t>
    </r>
    <r>
      <rPr>
        <b/>
        <sz val="10"/>
        <color rgb="FFFF0000"/>
        <rFont val="Comic Sans MS"/>
        <family val="4"/>
      </rPr>
      <t>team names</t>
    </r>
    <r>
      <rPr>
        <sz val="10"/>
        <color rgb="FFFF0000"/>
        <rFont val="Comic Sans MS"/>
        <family val="4"/>
      </rPr>
      <t>!
&gt;
&gt;
&gt;
&gt;</t>
    </r>
  </si>
  <si>
    <r>
      <rPr>
        <b/>
        <sz val="10"/>
        <color rgb="FFFFFFFF"/>
        <rFont val="Aptos"/>
        <family val="2"/>
      </rPr>
      <t xml:space="preserve"> Estimated </t>
    </r>
    <r>
      <rPr>
        <sz val="10"/>
        <color rgb="FFFFFFFF"/>
        <rFont val="Aptos"/>
        <family val="2"/>
      </rPr>
      <t>(Jira Story Points = #)</t>
    </r>
  </si>
  <si>
    <t>ANP-25046</t>
  </si>
  <si>
    <t>Use till-compound-service image instead of cep-adapter-service image for deployment to POS PC</t>
  </si>
  <si>
    <t>ANP-25118</t>
  </si>
  <si>
    <t>Create RPM package to deploy and start the Butterfly Adapter as a service on MCO tills</t>
  </si>
  <si>
    <t>ANP-25607 *</t>
  </si>
  <si>
    <t>reopened by Aldi</t>
  </si>
  <si>
    <t>BF-793</t>
  </si>
  <si>
    <t>Update P400 UK EFT terminal firmware</t>
  </si>
  <si>
    <t>CHO-5833</t>
  </si>
  <si>
    <t>Push RPM releases to ALDI gitlab</t>
  </si>
  <si>
    <t>CHO-6090</t>
  </si>
  <si>
    <t>Videos on the SCO no longer work with the current CHO release</t>
  </si>
  <si>
    <t>CHO-6164 *</t>
  </si>
  <si>
    <t>POS01 frozen and does not react any more (during installation)</t>
  </si>
  <si>
    <t>CHO-6063</t>
  </si>
  <si>
    <t>[US] Update process from SCO version 3.18.4 to SCO 4.14.0 does not work</t>
  </si>
  <si>
    <t>CHO-6145</t>
  </si>
  <si>
    <t>TLRD Tasks</t>
  </si>
  <si>
    <t>NPSCO-18264</t>
  </si>
  <si>
    <t>Refactor CheckMK storedata script</t>
  </si>
  <si>
    <t>BF-331</t>
  </si>
  <si>
    <t>[SCO] Add Butterfly information to transaction data sent to the back office</t>
  </si>
  <si>
    <t>BF-336</t>
  </si>
  <si>
    <t>[SCO] Provide the option to overwrite an already scanned customer loyalty ID</t>
  </si>
  <si>
    <t>BF-577</t>
  </si>
  <si>
    <t>[ADAPTER] Switch to newest Yocuda API version for transmission of transaction data</t>
  </si>
  <si>
    <t>BF-624</t>
  </si>
  <si>
    <t>[SCO] Display Reminder Pop-Up When Aldi Pass Is Not Scanned</t>
  </si>
  <si>
    <t>BF-969</t>
  </si>
  <si>
    <t>[ADAPTER] Add the option to request return information based on the receipt_number</t>
  </si>
  <si>
    <t>BF-995</t>
  </si>
  <si>
    <t>[SCO] Voided Deposit refund are showing on the PDF and Receipt</t>
  </si>
  <si>
    <t>BF-1009</t>
  </si>
  <si>
    <t>[ADAPTER] Mapping of store_reference not always working</t>
  </si>
  <si>
    <t>BF-1010</t>
  </si>
  <si>
    <t>[SCO] Fix documentation with regard to changed receipt printing behaviour for void positions in UK</t>
  </si>
  <si>
    <t>BF-1032</t>
  </si>
  <si>
    <t>[ADAPTER] Migrate Adapter to use dedicated DB schema and allow usage of single EntityManager in combined context</t>
  </si>
  <si>
    <t>BF-1033</t>
  </si>
  <si>
    <t>Onboarding Helmut</t>
  </si>
  <si>
    <t>BF-1047</t>
  </si>
  <si>
    <t>[ADAPTER] Store name is not mapped to Yocuda</t>
  </si>
  <si>
    <t>BF-1062 *</t>
  </si>
  <si>
    <t>Test Task Release</t>
  </si>
  <si>
    <t>BF-1072 *</t>
  </si>
  <si>
    <t>[ADAPTER] Remove region name from receipt PDF name</t>
  </si>
  <si>
    <t>BF-1073 *</t>
  </si>
  <si>
    <t>[SCO] Remove region name from receipt data sent to the Butterfly</t>
  </si>
  <si>
    <t>BF-1074 *</t>
  </si>
  <si>
    <t>[ADAPTER] Amend mapping of article identifiers in financial transactions</t>
  </si>
  <si>
    <t>BF-1075 *</t>
  </si>
  <si>
    <t>[SCO] Amend article identifiers sent to Butterfly adapter for financial transactions</t>
  </si>
  <si>
    <t>BF-1078 *</t>
  </si>
  <si>
    <t>[ADAPTER] Get rid of the own gRPC deadline configuration and use the RP library</t>
  </si>
  <si>
    <t>BF-1120 *</t>
  </si>
  <si>
    <t>[SCO] Deployment and test support PI-1-4</t>
  </si>
  <si>
    <t>BF-506 *</t>
  </si>
  <si>
    <t>BF-1021 *</t>
  </si>
  <si>
    <t>NPSCO-19352 *</t>
  </si>
  <si>
    <t>BF-1094 *</t>
  </si>
  <si>
    <t>ANP-24330</t>
  </si>
  <si>
    <t>POS3 - CHOP - NCR 7199 PinPrinting not correct</t>
  </si>
  <si>
    <t>ANP-25604</t>
  </si>
  <si>
    <t>D</t>
  </si>
  <si>
    <t>ANP-23610</t>
  </si>
  <si>
    <t>[Integrity Tests] SVS &amp; etc/Medion for Sale of Internal and External EGC</t>
  </si>
  <si>
    <t>R&amp;T</t>
  </si>
  <si>
    <t>ANP-25588</t>
  </si>
  <si>
    <t>Analyse Prio 3 Bug ANP-25541</t>
  </si>
  <si>
    <t>ANP-25485</t>
  </si>
  <si>
    <t>Analyse Prio 3 Bug ANP-23958</t>
  </si>
  <si>
    <t>ANP-25410</t>
  </si>
  <si>
    <t>provide support for CHOP UAT in austria (off-site)</t>
  </si>
  <si>
    <t>R&amp;T; retroactively estimated</t>
  </si>
  <si>
    <t>ANP-25590</t>
  </si>
  <si>
    <t>investigate on historical double entries, see ANP-25036</t>
  </si>
  <si>
    <t>M; retroactively estimated</t>
  </si>
  <si>
    <t>ANP-25719</t>
  </si>
  <si>
    <t>M; completed by definition at end of sprint</t>
  </si>
  <si>
    <t>ANP-25713</t>
  </si>
  <si>
    <t>Hold first Dev onboarding workshop</t>
  </si>
  <si>
    <t>ANP-25451</t>
  </si>
  <si>
    <t>POS 3 Preallocated receipt by SM prevents ACO update</t>
  </si>
  <si>
    <t>ANP-25434</t>
  </si>
  <si>
    <t>Remove obsolete US offline login logic</t>
  </si>
  <si>
    <t>ANP-25399</t>
  </si>
  <si>
    <t>Empty ACO Masterdata updates cause unnecessary processing at the till</t>
  </si>
  <si>
    <t>ANP-25360</t>
  </si>
  <si>
    <t>Providing till lock fallback during balancing impediments</t>
  </si>
  <si>
    <t>ANP-25154</t>
  </si>
  <si>
    <t>Till Boot time takes almost one hour</t>
  </si>
  <si>
    <t>ANP-24909</t>
  </si>
  <si>
    <t>Tills are in Bootloop when encryption is activated</t>
  </si>
  <si>
    <t>ANP-24508</t>
  </si>
  <si>
    <t>Adaptation of till locking process</t>
  </si>
  <si>
    <t>ANP-24507</t>
  </si>
  <si>
    <t>Disable Pick-up functionality (94+CODE) for US</t>
  </si>
  <si>
    <t>ANP-20481</t>
  </si>
  <si>
    <t>Adaption of the compacting-mechanism</t>
  </si>
  <si>
    <t>ANP-24687</t>
  </si>
  <si>
    <t>Adjust tax rate to 6 decimal places: testing</t>
  </si>
  <si>
    <t>ANP-25633</t>
  </si>
  <si>
    <t>Update current worklow: postlogout</t>
  </si>
  <si>
    <t>ANP-25714</t>
  </si>
  <si>
    <t>Sonar Challenge. Fixing all issues in NEWPOSSMessageProcessorMock.</t>
  </si>
  <si>
    <t>ANP-24060</t>
  </si>
  <si>
    <t>CPD Tax Fields srip.TotalInputTax and srip.EffectiveTaxAmount do not match for MCO</t>
  </si>
  <si>
    <t>ANP-24770</t>
  </si>
  <si>
    <t>Collect all Logfiles: Development</t>
  </si>
  <si>
    <t>In progress</t>
  </si>
  <si>
    <t>ANP-25137</t>
  </si>
  <si>
    <t>[SPIKE] HU DRS: requirements and current implementation analysis</t>
  </si>
  <si>
    <t>ANP-25375</t>
  </si>
  <si>
    <t>Build MCO part of NEWPOSS release 4.7.4</t>
  </si>
  <si>
    <t>ANP-25403</t>
  </si>
  <si>
    <t>(HU) Wastage log - items are not visible on wastage receipt,’Unexpected error’ message on till</t>
  </si>
  <si>
    <t>ANP-25578</t>
  </si>
  <si>
    <t>Sonar Challenge PI1-4</t>
  </si>
  <si>
    <t>NPSCO-18702</t>
  </si>
  <si>
    <t>Enable payment restrictions and cleanup permitted means of payment after purchase spring migration</t>
  </si>
  <si>
    <t>waiting for Aldi</t>
  </si>
  <si>
    <t>NPSCO-19179</t>
  </si>
  <si>
    <t>Customers overcharged on SCO - Not Fixed</t>
  </si>
  <si>
    <t>NPSCO-18906</t>
  </si>
  <si>
    <t>[UK] AldiVoucher doesnt work after spring migration</t>
  </si>
  <si>
    <t>NPSCO-19138</t>
  </si>
  <si>
    <t>[ITA] Disable Split/ Partial Payment for Card Payments in ITA</t>
  </si>
  <si>
    <t>NPSCO-19209</t>
  </si>
  <si>
    <t>Test Task EGC</t>
  </si>
  <si>
    <t>NPSCO-19210</t>
  </si>
  <si>
    <t>Test Task for 4.16.0</t>
  </si>
  <si>
    <t>NPSCO-19192</t>
  </si>
  <si>
    <t>NPSCO-19385</t>
  </si>
  <si>
    <t>Cherry Pick Maintenance Release 3.18.5</t>
  </si>
  <si>
    <t>NPSCO-19413</t>
  </si>
  <si>
    <t>Test Task 3.18.5</t>
  </si>
  <si>
    <t>NPSCO-19200</t>
  </si>
  <si>
    <t>SCO - Legal Requirement- SCO virtual receipt is showing 3 decimal places instead of just 2 for weighted items</t>
  </si>
  <si>
    <t>NPSCO-17561</t>
  </si>
  <si>
    <t>[3] Specifiy application events</t>
  </si>
  <si>
    <t>NPSCO-18298</t>
  </si>
  <si>
    <t>Export deposits as depositData instead of linkedPositions in sales receipts</t>
  </si>
  <si>
    <t>NPSCO-19207</t>
  </si>
  <si>
    <t>Test Sprint Release 416</t>
  </si>
  <si>
    <t>NPSCO-17524</t>
  </si>
  <si>
    <t>Align logging patterns of logback for all services</t>
  </si>
  <si>
    <t>NPSCO-19205</t>
  </si>
  <si>
    <t>Build Sprint Release 416</t>
  </si>
  <si>
    <t>NPSCO-19410</t>
  </si>
  <si>
    <t>Cherry Pick Story for 3.18.5</t>
  </si>
  <si>
    <t>NPSCO-19360</t>
  </si>
  <si>
    <t>Build SCO fix 3.18.5</t>
  </si>
  <si>
    <t>NPSCO-19388</t>
  </si>
  <si>
    <t>Cherry pick for Maintenance Release 3.18.5</t>
  </si>
  <si>
    <t>NPSCO-19177</t>
  </si>
  <si>
    <t>Federal regulation US- SCO printed receipt needs to have the correct unit of measure (G) for tare weight values</t>
  </si>
  <si>
    <t>NPSCO-19083</t>
  </si>
  <si>
    <t>SCO Reboots</t>
  </si>
  <si>
    <t>NPSCO-19157</t>
  </si>
  <si>
    <t>[EGC] typedValue exception</t>
  </si>
  <si>
    <t>NPSCO-17387</t>
  </si>
  <si>
    <t>The Article Lookup (when Item not found) fails during the Gift Card Check</t>
  </si>
  <si>
    <t>NPSCO-19170</t>
  </si>
  <si>
    <t>[Spike] Integrate CHO`s MQTT service</t>
  </si>
  <si>
    <t>NPSCO-18884</t>
  </si>
  <si>
    <t>Creating technical concept of workflows for EGC and PIN printing</t>
  </si>
  <si>
    <t>NPSCO-18693</t>
  </si>
  <si>
    <t>Generate useful and correct graphs from the PS-analyzer results</t>
  </si>
  <si>
    <t>NPSCO-19171</t>
  </si>
  <si>
    <t>Release Test 416 [M]</t>
  </si>
  <si>
    <t>ANP-24951</t>
  </si>
  <si>
    <t>BF-233 Aggregation Pt.1</t>
  </si>
  <si>
    <t>ANP-25582 *</t>
  </si>
  <si>
    <t>BF-1079 Build MSI</t>
  </si>
  <si>
    <t>ANP-25671 *</t>
  </si>
  <si>
    <t>ANP-24907 *</t>
  </si>
  <si>
    <t>ANP-25191</t>
  </si>
  <si>
    <t>BF-832 Aggregation Pt.2</t>
  </si>
  <si>
    <t>ANP-25225</t>
  </si>
  <si>
    <t>BF-849 CFRM</t>
  </si>
  <si>
    <t>ANP-25476</t>
  </si>
  <si>
    <t>BF-1060 Check receipt export</t>
  </si>
  <si>
    <t>ANP-25594 *</t>
  </si>
  <si>
    <t>BF-1043 [MCO] Customer ID - Changes on Notification on VGA display about status of identification</t>
  </si>
  <si>
    <t>ANP-25605 *</t>
  </si>
  <si>
    <t>ANP-25702 *</t>
  </si>
  <si>
    <t>BF-1130 Support Tests</t>
  </si>
  <si>
    <t>ANP-25724 *</t>
  </si>
  <si>
    <t>ANP-25036</t>
  </si>
  <si>
    <t>All POS - Wrong Currency: Euro instead of Franken</t>
  </si>
  <si>
    <t>ANP-23037</t>
  </si>
  <si>
    <t>Terminal Assignment Wizard - IP Address-based - Pre-fill Prompt from Till_State</t>
  </si>
  <si>
    <t>spilled over with virtually zero</t>
  </si>
  <si>
    <t>ANP-25142</t>
  </si>
  <si>
    <t>Post-release Tasks for NEWPOSS release 4.7.2</t>
  </si>
  <si>
    <t>ANP-24850</t>
  </si>
  <si>
    <t>simulated till freezes at paying 'Failed to send cashdrawer event to listener NulPointerException</t>
  </si>
  <si>
    <t>status at team review</t>
  </si>
  <si>
    <t>ANP-25171</t>
  </si>
  <si>
    <t>support for conceptual clarifications</t>
  </si>
  <si>
    <t>estimated retroactively, closed at end of sprint by definition</t>
  </si>
  <si>
    <t>ANP-25209</t>
  </si>
  <si>
    <t>take a look at SEND_FAILED topic</t>
  </si>
  <si>
    <t>estimated retroactively</t>
  </si>
  <si>
    <t>ANP-25364</t>
  </si>
  <si>
    <t>Pick Stories for Version 4.7.3</t>
  </si>
  <si>
    <t>ANP-25465</t>
  </si>
  <si>
    <t>Analyse Prio 1 Bug ANP-25423</t>
  </si>
  <si>
    <t>NPSCO-18576</t>
  </si>
  <si>
    <t>[2][Spike] (Celonis) Create Celonis test and demo system</t>
  </si>
  <si>
    <t>NPSCO-18220</t>
  </si>
  <si>
    <t>Implement CFRM Script for the Bizerba C2 POS scale</t>
  </si>
  <si>
    <t>NPSCO-18573</t>
  </si>
  <si>
    <t>Build Maintenance Release 3.18.4</t>
  </si>
  <si>
    <t>NPSCO-18574</t>
  </si>
  <si>
    <t>Test Maintenance Release 3.18.4</t>
  </si>
  <si>
    <t>NPSCO-18907</t>
  </si>
  <si>
    <t>Build Sprint Release 415</t>
  </si>
  <si>
    <t>NPSCO-18892</t>
  </si>
  <si>
    <t>[FI CH] Customer Intervention to be adapted based on Language selected (develop)</t>
  </si>
  <si>
    <t>NPSCO-18689</t>
  </si>
  <si>
    <t>[4] Create the monitored item adapter API</t>
  </si>
  <si>
    <t>NPSCO-19091</t>
  </si>
  <si>
    <t>Test Release 4.15</t>
  </si>
  <si>
    <t>NPSCO-15442</t>
  </si>
  <si>
    <t>Receipt Archive is empty after a very short time</t>
  </si>
  <si>
    <t>NPSCO-18454</t>
  </si>
  <si>
    <t>SCO - No coupon notices or collection notices on SCO or ATS when coupon is scanned before items.</t>
  </si>
  <si>
    <t>NPSCO-18888</t>
  </si>
  <si>
    <t>Translations for every country (Till report)</t>
  </si>
  <si>
    <t>NPSCO-18690</t>
  </si>
  <si>
    <t>Additional condition for BO resync</t>
  </si>
  <si>
    <t>NPSCO-18641</t>
  </si>
  <si>
    <t>Pin Printing can be deactivated via Parameter</t>
  </si>
  <si>
    <t>NPSCO-18642</t>
  </si>
  <si>
    <t>add support for ringing PIN printing items</t>
  </si>
  <si>
    <t>NPSCO-18887</t>
  </si>
  <si>
    <t>[Spike] Analyze use of MCO libraries (Medion/ETC)</t>
  </si>
  <si>
    <t>NPSCO-17537</t>
  </si>
  <si>
    <t>Invalid EGC header-text in Ringing Mode</t>
  </si>
  <si>
    <t>NPSCO-18890</t>
  </si>
  <si>
    <t>Handover EGC Payment</t>
  </si>
  <si>
    <t>NPSCO-18925</t>
  </si>
  <si>
    <t>Release Test 415 [M]</t>
  </si>
  <si>
    <t>NPSCO-18926</t>
  </si>
  <si>
    <t>Release Test 415 [K]</t>
  </si>
  <si>
    <t>NPSCO-15739</t>
  </si>
  <si>
    <t>[SCO Pentest] l4: Web Server Version Exposed</t>
  </si>
  <si>
    <t>NPSCO-16457</t>
  </si>
  <si>
    <t>[ITA] Adjust receipt layout for EGC payment</t>
  </si>
  <si>
    <t>NPSCO-16584</t>
  </si>
  <si>
    <t>Receipt cannot be printed in Payment with EGC</t>
  </si>
  <si>
    <t>NPSCO-17588</t>
  </si>
  <si>
    <t>Disable gRPC reflection for purchase</t>
  </si>
  <si>
    <t>NPSCO-18911</t>
  </si>
  <si>
    <t>Test Task for 3.18.4</t>
  </si>
  <si>
    <t>NPSCO-16261</t>
  </si>
  <si>
    <t>Handle partial/split EGC payments in the transaction after shutdown </t>
  </si>
  <si>
    <t>NPSCO-16390</t>
  </si>
  <si>
    <t>Voiding of an EGC and Payment with another EGC results in no Taxes being paid</t>
  </si>
  <si>
    <t>NPSCO-18235</t>
  </si>
  <si>
    <t>477-005 had a double charge on 12/01 with no terminal error showing on the receipt.</t>
  </si>
  <si>
    <t>NPSCO-19146</t>
  </si>
  <si>
    <t>ANP-23977</t>
  </si>
  <si>
    <t>BF-467 Prevent scan URID</t>
  </si>
  <si>
    <t>ANP-24564</t>
  </si>
  <si>
    <t>BF-178 Weight articles</t>
  </si>
  <si>
    <t>ANP-24905</t>
  </si>
  <si>
    <t>BF-736 Merge ANP-23975</t>
  </si>
  <si>
    <t>ANP-24952</t>
  </si>
  <si>
    <t>BF-797 Assessment discount bug</t>
  </si>
  <si>
    <t> </t>
  </si>
  <si>
    <t>ANP-25185</t>
  </si>
  <si>
    <t>BF-844 Scan before ringing</t>
  </si>
  <si>
    <t>ANP-24476</t>
  </si>
  <si>
    <t>BF-534 re-scanning</t>
  </si>
  <si>
    <t>BF-549</t>
  </si>
  <si>
    <t>[ADAPTER][SCO] Bind Butterfly functionalities to CFRM parameter</t>
  </si>
  <si>
    <t>BF-770</t>
  </si>
  <si>
    <t>[SCO] Do not forward voided positions to Butterfly adapter</t>
  </si>
  <si>
    <t>BF-773</t>
  </si>
  <si>
    <t>[ADAPTER] Persist only receipts in the Butterfly adapter for that a use case exists in subsequent systems</t>
  </si>
  <si>
    <t>BF-809</t>
  </si>
  <si>
    <t>Onboarding of new colleague (Fatema)</t>
  </si>
  <si>
    <t>BF-838 *</t>
  </si>
  <si>
    <t>[SCO] Implement outbox pattern for messages to the butterfly Adapter</t>
  </si>
  <si>
    <t>BF-853</t>
  </si>
  <si>
    <t>[ADAPTER] Create combined service for MCO</t>
  </si>
  <si>
    <t>BF-866</t>
  </si>
  <si>
    <t>[ADAPTER] Support sub-commodity group number information for articles in receipts sent to Yocuda</t>
  </si>
  <si>
    <t>BF-867</t>
  </si>
  <si>
    <t>[SCO] Support sub-commodity group information for articles in receipts sent to the Butterfly adapter</t>
  </si>
  <si>
    <t>BF-878 *</t>
  </si>
  <si>
    <t>[SCO] Send core receipt information to Butterfly adapter</t>
  </si>
  <si>
    <t>BF-881</t>
  </si>
  <si>
    <t>[ADAPTER] Send effective price and value of articles and financial transactions via butterfly adapter to Yocuda</t>
  </si>
  <si>
    <t>BF-882</t>
  </si>
  <si>
    <t>[SCO] Send effective price and value of articles and financial transactions to Butterfly adapter</t>
  </si>
  <si>
    <t>BF-883 *</t>
  </si>
  <si>
    <t>[SCO] Amend store name mapping for receipt data sent to the Butterfly</t>
  </si>
  <si>
    <t>BF-884 *</t>
  </si>
  <si>
    <t>[ADAPTER] Amend receipt PDF name generation</t>
  </si>
  <si>
    <t>BF-889 *</t>
  </si>
  <si>
    <t>[ADAPTER] The product_code extension property must have a type</t>
  </si>
  <si>
    <t>BF-895</t>
  </si>
  <si>
    <t>[ADAPTER] EGC item is lost in the request to Yocuda</t>
  </si>
  <si>
    <t>BF-896</t>
  </si>
  <si>
    <t>[SCO] No PDF is generated if receipt contains one EGC and one voided EGC</t>
  </si>
  <si>
    <t>BF-898</t>
  </si>
  <si>
    <t>[ADAPTER] Analyze and clarify use of type information in properties</t>
  </si>
  <si>
    <t>BF-899</t>
  </si>
  <si>
    <t>[SCO] It's not possible to add retrieved customer information to the receipt</t>
  </si>
  <si>
    <t>BF-921 *</t>
  </si>
  <si>
    <t>[ADAPTER] Update protobuf object mapping tests and remove use of Instancio framework</t>
  </si>
  <si>
    <t>BF-926 *</t>
  </si>
  <si>
    <t>[SCO] Long loading times when scanning a customer ID after short break</t>
  </si>
  <si>
    <t>BF-931 *</t>
  </si>
  <si>
    <t>[SCO] Transmit commodity group and sub commodity group as number</t>
  </si>
  <si>
    <t>BF-953 *</t>
  </si>
  <si>
    <t>[ADAPTER] Don't retry processing unknown/unprocessable messages indefinitely</t>
  </si>
  <si>
    <t>BF-331 *</t>
  </si>
  <si>
    <t>BF-577 *</t>
  </si>
  <si>
    <t>BF-868 *</t>
  </si>
  <si>
    <t>BF-969 *</t>
  </si>
  <si>
    <t>BF-995 *</t>
  </si>
  <si>
    <t>BF-935 *</t>
  </si>
  <si>
    <t>[SCO] Update assco-rp-purchase-service to use at least version 3.4 of rp-purchase</t>
  </si>
  <si>
    <t>ANP-25372</t>
  </si>
  <si>
    <t>[Spike]Scan for occurences of Masterdata update thread waiting</t>
  </si>
  <si>
    <t>ANP-25358</t>
  </si>
  <si>
    <t>Build MCO part of NEWPOSS release 3.18.9</t>
  </si>
  <si>
    <t>ANP-25341</t>
  </si>
  <si>
    <t>Fix SonarQube findings after merge of ANP-24589</t>
  </si>
  <si>
    <t>ANP-25184</t>
  </si>
  <si>
    <t>[SPIKE] Evaluate Wrong Price Report from 032-040 Friesenheim market</t>
  </si>
  <si>
    <t>ANP-25145</t>
  </si>
  <si>
    <t>[Analysis] Analyse current PIN Printing implementation to support functionality migration to EGC - Part 2</t>
  </si>
  <si>
    <t>ANP-25139</t>
  </si>
  <si>
    <t>[SPIKE] Analyse activation of till sharing (20+CODE) for US</t>
  </si>
  <si>
    <t>ANP-25130</t>
  </si>
  <si>
    <t>[SPIKE] Evaluate Wrong Price Report from 023-034 Neuenbürg market</t>
  </si>
  <si>
    <t>ANP-25049</t>
  </si>
  <si>
    <t>Build MCO part of NEWPOSS release 4.7.3</t>
  </si>
  <si>
    <t>ANP-25037</t>
  </si>
  <si>
    <t>Enable till sharing functionality (20+CODE) for US</t>
  </si>
  <si>
    <t>ANP-24940</t>
  </si>
  <si>
    <t>[QA] PIN Printing item is no longer sellable on till after update 1.25D1 -&gt; 1.26B</t>
  </si>
  <si>
    <t>ANP-24892</t>
  </si>
  <si>
    <t>ANP-22964</t>
  </si>
  <si>
    <t>In TCS-3922 at Step 16's Step 14, the CSH file values are not increased by, but they are exactly the amount of the expected increase.</t>
  </si>
  <si>
    <t>ANP-25278</t>
  </si>
  <si>
    <t>[Legal] AU: MCO POS are not displaying NMI verification details when doing a 98 code (after Rocky Linux migration)</t>
  </si>
  <si>
    <t>CHO-3928</t>
  </si>
  <si>
    <t>Regularly execute VACUUM to free up disk space</t>
  </si>
  <si>
    <t>CHO-5173</t>
  </si>
  <si>
    <t>TLS Client authentication fails with CSR script</t>
  </si>
  <si>
    <t>CHO-5574</t>
  </si>
  <si>
    <t>[3PD] Analyze hardware information for integrated NCR scales</t>
  </si>
  <si>
    <t>CHO-5836</t>
  </si>
  <si>
    <t>Provide device information for TIM API EFT devices to CMDB</t>
  </si>
  <si>
    <t>CHO-5838</t>
  </si>
  <si>
    <t>[3PD] Analyze hardware information for Quest EFTs</t>
  </si>
  <si>
    <t>CHO-5887</t>
  </si>
  <si>
    <t>[3PD] Analyze hardware information for Epson TM-T88 printers</t>
  </si>
  <si>
    <t>CHO-5894</t>
  </si>
  <si>
    <t>Update GEBIT_CHO_TOKEN for gitlab</t>
  </si>
  <si>
    <t>CHO-5922</t>
  </si>
  <si>
    <t>[3PD] Analyze hardware information for 2x20 displays</t>
  </si>
  <si>
    <t>CHO-5952</t>
  </si>
  <si>
    <t>Bizerba-C2 configuration directories have the wrong owner and group after installation from scratch</t>
  </si>
  <si>
    <t>CHO-5964</t>
  </si>
  <si>
    <t>Implement volumes as persistent storage for mosquitto and postgres container</t>
  </si>
  <si>
    <t>CHO-6010</t>
  </si>
  <si>
    <t>Investigate installation issues in US</t>
  </si>
  <si>
    <t>CHO-6015</t>
  </si>
  <si>
    <t>Set up NFC test passes on iOS and Google test devices</t>
  </si>
  <si>
    <t>CHO-6029 *</t>
  </si>
  <si>
    <t>CHO system configuration playbook not run after update</t>
  </si>
  <si>
    <t>CHO-4293 *</t>
  </si>
  <si>
    <t>Evaluate supply of SCO-DN hardware device information</t>
  </si>
  <si>
    <t>CHO-6002</t>
  </si>
  <si>
    <t>Release Sprint 2025_PI1-3 Artifacts</t>
  </si>
  <si>
    <t>CHO-6014</t>
  </si>
  <si>
    <t>CHO-6017 *</t>
  </si>
  <si>
    <t>Mirroring repositories fails</t>
  </si>
  <si>
    <t>CHO-6031 *</t>
  </si>
  <si>
    <t>Satisfy requirements for combined-services adapter on mco</t>
  </si>
  <si>
    <t>CHO-6045 *</t>
  </si>
  <si>
    <t>Multilane virtual keyboard test setup</t>
  </si>
  <si>
    <t>CHO-5647</t>
  </si>
  <si>
    <t>[3PD] Create concept to simplify dependencies between CHO MSIs</t>
  </si>
  <si>
    <t>ANP-15539</t>
  </si>
  <si>
    <t>Extract receipt logic from RetrieveReceiptController</t>
  </si>
  <si>
    <t>ANP-24360</t>
  </si>
  <si>
    <t>Replace SNMP monitoring with the Till heartbeat for Backoffice pending balancing scenarios</t>
  </si>
  <si>
    <t>ANP-25048</t>
  </si>
  <si>
    <t>SI signature certificate cannot be loaded as Base64 string</t>
  </si>
  <si>
    <t>ANP-25071</t>
  </si>
  <si>
    <t>[SPIKE] Till PC does not respond to user interaction</t>
  </si>
  <si>
    <t>Incidents and Problems bug</t>
  </si>
  <si>
    <t>Sprint 2025_1-2, 05.02.2025 - 18.02.2025, Status at Sprint Completion</t>
  </si>
  <si>
    <t>ANP-25060</t>
  </si>
  <si>
    <t>[CHOP] Receipts are being printed at wrong pinter during card payment</t>
  </si>
  <si>
    <t>ANP-25035</t>
  </si>
  <si>
    <t>[CHOP] Printers do no reconnect to the till after being removed</t>
  </si>
  <si>
    <t>not reproducible anymore</t>
  </si>
  <si>
    <t>ANP-24943</t>
  </si>
  <si>
    <t>create "nightly build" V3 for austrian and swiss multilane testing</t>
  </si>
  <si>
    <t>ANP-25003</t>
  </si>
  <si>
    <t>record video</t>
  </si>
  <si>
    <t>ANP-24949</t>
  </si>
  <si>
    <t>Pick ANP-24583 to Release 4.7.2</t>
  </si>
  <si>
    <t>ANP-24977</t>
  </si>
  <si>
    <t>Pick ANP-23694 to Release 4.7.2</t>
  </si>
  <si>
    <t>ANP-25067</t>
  </si>
  <si>
    <t>Pick ANP-23037 to Release 4.7.2</t>
  </si>
  <si>
    <t>ANP-25075</t>
  </si>
  <si>
    <t>Pick ANP-25060 to Release 4.7.2</t>
  </si>
  <si>
    <t>ANP-25091</t>
  </si>
  <si>
    <t>Pick ANP-25035 to Release 4.7.2</t>
  </si>
  <si>
    <t>ANP-24950</t>
  </si>
  <si>
    <t>Build MCO part of NEWPOSS release 4.7.2</t>
  </si>
  <si>
    <t>ANP-18160</t>
  </si>
  <si>
    <t>CFRM Configuration Guide</t>
  </si>
  <si>
    <t>ANP-19414</t>
  </si>
  <si>
    <t>Create Integrity Tests and Manual Tests - AT BASICS</t>
  </si>
  <si>
    <t>ANP-19941</t>
  </si>
  <si>
    <t>Create Integrity Tests and Manual Tests - CH BASICS</t>
  </si>
  <si>
    <t>ANP-23694</t>
  </si>
  <si>
    <t>Create Integrity Tests and Manual Tests - AT TAW</t>
  </si>
  <si>
    <t>ANP-25043</t>
  </si>
  <si>
    <t>IP assignment with no address for lane 1 leads to exception error on CHOP till</t>
  </si>
  <si>
    <t>bug fixed and merged</t>
  </si>
  <si>
    <t>in review</t>
  </si>
  <si>
    <t>ANP-24485</t>
  </si>
  <si>
    <t>find out whether there was a change in printing the second sale receipt in case of EFT/EGC after total</t>
  </si>
  <si>
    <t>ANP-25105</t>
  </si>
  <si>
    <t>Pick NO-ISSUE: Fix time setup in JUnit test PluReportServiceImplTest</t>
  </si>
  <si>
    <t>ANP-25108</t>
  </si>
  <si>
    <t>closed by definition at sprint end</t>
  </si>
  <si>
    <t>NPSCO-18699</t>
  </si>
  <si>
    <t>Forward FinancialTransactionType to Provider for all calls</t>
  </si>
  <si>
    <t>NPSCO-18640</t>
  </si>
  <si>
    <t>Master data for PinPrinting article</t>
  </si>
  <si>
    <t>NPSCO-16515</t>
  </si>
  <si>
    <t>[TEST] finalise test cases and test for EGC error handling</t>
  </si>
  <si>
    <t>NPSCO-18692</t>
  </si>
  <si>
    <t>Check the performance values</t>
  </si>
  <si>
    <t>NPSCO-18712</t>
  </si>
  <si>
    <t>[Analysis Spike] Scannable Price Reduction (SPR) [0.5PT]</t>
  </si>
  <si>
    <t>NPSCO-18698</t>
  </si>
  <si>
    <t>Handover EGC Payment (on call)</t>
  </si>
  <si>
    <t>NPSCO-18703</t>
  </si>
  <si>
    <t>Release Test 414 [M]</t>
  </si>
  <si>
    <t>NPSCO-18704</t>
  </si>
  <si>
    <t>Maintenance Release Test 3.18.4 [K]</t>
  </si>
  <si>
    <t>NPSCO-18706</t>
  </si>
  <si>
    <t>Maintenance Release Test 3.18.4 [M]</t>
  </si>
  <si>
    <t>NPSCO-18705</t>
  </si>
  <si>
    <t>Cherry Pick NPSCO-18035 for Mainentance 3.18.4</t>
  </si>
  <si>
    <t>NPSCO-18627</t>
  </si>
  <si>
    <t>[Analysis] Stabilization of the EFT Payment Process: Measures to Prevent Double Charges at SCOs</t>
  </si>
  <si>
    <t>NPSCO-18707</t>
  </si>
  <si>
    <t>Test Task 4.14.0</t>
  </si>
  <si>
    <t>NPSCO-16393</t>
  </si>
  <si>
    <t>Update Purchase Service after Spring Migration RP</t>
  </si>
  <si>
    <t>NPSCO-18039</t>
  </si>
  <si>
    <t>Handling of voided EGC payments</t>
  </si>
  <si>
    <t>NPSCO-15737</t>
  </si>
  <si>
    <t>[SCO Pentest] l2: Mosquitto: SCO Information Exposed</t>
  </si>
  <si>
    <t>NPSCO-17013</t>
  </si>
  <si>
    <t>[15] Merge Spring migration after all tests are done</t>
  </si>
  <si>
    <t>NPSCO-18018</t>
  </si>
  <si>
    <t>Create parent pom of assco-pos-app-adapter-local-component-tests</t>
  </si>
  <si>
    <t>NPSCO-18181</t>
  </si>
  <si>
    <t>EFT payments cant be processed</t>
  </si>
  <si>
    <t>NPSCO-18626</t>
  </si>
  <si>
    <t>[FI CH] Customer Intervention to be adapted based on Language selected</t>
  </si>
  <si>
    <t>NPSCO-18645</t>
  </si>
  <si>
    <t>[1][Spike] Create Monitored Item Adapter using CEP Adapter as blueprint</t>
  </si>
  <si>
    <t>NPSCO-18572</t>
  </si>
  <si>
    <t>Cherry Pick Story for CH 3.18.4</t>
  </si>
  <si>
    <t>NPSCO-18055</t>
  </si>
  <si>
    <t>[B] Simplify class hierarchy for component test boot strap</t>
  </si>
  <si>
    <t>NPSCO-18534</t>
  </si>
  <si>
    <t>Release build 414</t>
  </si>
  <si>
    <t>NPSCO-18297</t>
  </si>
  <si>
    <t>Export objectType in all receipts</t>
  </si>
  <si>
    <t>NPSCO-18686</t>
  </si>
  <si>
    <t>Till unusable after closing printer lid after fixing printer issue in payment mode</t>
  </si>
  <si>
    <t>NPSCO-17709</t>
  </si>
  <si>
    <t>[SCO CH] Test VSS Bugfix Provide configured (CFRM) language for region to TPI Scan</t>
  </si>
  <si>
    <t>NPSCO-18790</t>
  </si>
  <si>
    <t>Test Release 4.14</t>
  </si>
  <si>
    <t>NPSCO-18830</t>
  </si>
  <si>
    <t>Integrate the new CHO Fix for Bizerba C2</t>
  </si>
  <si>
    <t>ANP-23847</t>
  </si>
  <si>
    <t>Implementation for Add FiscalNullStartReceipt step during CSR process</t>
  </si>
  <si>
    <t>ANP-23979</t>
  </si>
  <si>
    <t>Testing for Add FiscalNullStartReceipt step during CSR process</t>
  </si>
  <si>
    <t>ANP-24769</t>
  </si>
  <si>
    <t>Collect all Logfiles: Discovery,Planning and Documentation</t>
  </si>
  <si>
    <t>ANP-24938</t>
  </si>
  <si>
    <t>Adjust tax rate to 6 decimal places: change business models</t>
  </si>
  <si>
    <t>ANP-24574</t>
  </si>
  <si>
    <t>Adjust tax rate to 6 decimal places: implementation</t>
  </si>
  <si>
    <t>ANP-25047</t>
  </si>
  <si>
    <t>[QA] Simulated Till GUI does not show the Receipt Printer section on AHEAD ITALY stores</t>
  </si>
  <si>
    <t>ANP-25127</t>
  </si>
  <si>
    <t>[Legal] AU: MCO POS are not displaying NMI verification details when doing a 98 code</t>
  </si>
  <si>
    <t>ANP-25103</t>
  </si>
  <si>
    <t>Move spotless:check goal execution to jenkins profile</t>
  </si>
  <si>
    <t>ANP-25084</t>
  </si>
  <si>
    <t>[QA] HU; 1.26C; Tills don't automatically update again</t>
  </si>
  <si>
    <t>ANP-25070</t>
  </si>
  <si>
    <t>Support by the setup of Test system for Pin Printing</t>
  </si>
  <si>
    <t>ANP-24997</t>
  </si>
  <si>
    <t>POS - All tills are not able to trade</t>
  </si>
  <si>
    <t>ANP-24934</t>
  </si>
  <si>
    <t>[Analysis] Analyse current PIN Printing implementation to support functionality migration to EGC - Part 1</t>
  </si>
  <si>
    <t>ANP-24865</t>
  </si>
  <si>
    <t>Ensure triggering of full masterdata resync only after all data has been fully updated by SSR</t>
  </si>
  <si>
    <t>ANP-24828</t>
  </si>
  <si>
    <t>All Tills - EM : Data sychronize .. when logging out</t>
  </si>
  <si>
    <t>ANP-24589</t>
  </si>
  <si>
    <t>Add ActivityStackInspector to the MCO till simulator</t>
  </si>
  <si>
    <t>ANP-24529</t>
  </si>
  <si>
    <t>Create automated integration test coverage for multilane scanner status handling</t>
  </si>
  <si>
    <t>will most likely be finished</t>
  </si>
  <si>
    <t>ANP-24176</t>
  </si>
  <si>
    <t>774-081, 774-078: product block for 67602 released on the 5th December 17:17 but not applied on morning of 6th</t>
  </si>
  <si>
    <t>ANP-11615</t>
  </si>
  <si>
    <t>Improve depiction of linked service articles on receipts</t>
  </si>
  <si>
    <t>ANP-24854</t>
  </si>
  <si>
    <t>Update SonarCube connection in Developer IDEs</t>
  </si>
  <si>
    <t>CHO-3157</t>
  </si>
  <si>
    <t>Provide Postgresql container on MCO tills</t>
  </si>
  <si>
    <t>CHO-4599</t>
  </si>
  <si>
    <t>Implement CheckMK checks that monitor additional devices on a multilane till</t>
  </si>
  <si>
    <t>CHO-4767</t>
  </si>
  <si>
    <t>Signature check for dn-aldi-vss-rocky.repo in SCO scratch installations</t>
  </si>
  <si>
    <t>CHO-5177</t>
  </si>
  <si>
    <t>Move cho-base and its functionality to cho-ansible, cho-kickstart</t>
  </si>
  <si>
    <t>CHO-5662</t>
  </si>
  <si>
    <t>Testlab hardware completion for HWLM</t>
  </si>
  <si>
    <t>CHO-5876</t>
  </si>
  <si>
    <t>[3PD] Analyze hardware information for P400 EFTs via OPI</t>
  </si>
  <si>
    <t>CHO-5880</t>
  </si>
  <si>
    <t>[3PD] Analyze hardware information for Lane 5000 EFTs via OSPI</t>
  </si>
  <si>
    <t>CHO-5882</t>
  </si>
  <si>
    <t>[3PD] Analyze hardware information for Lane 5000 (IT) EFTs</t>
  </si>
  <si>
    <t>CHO-5885</t>
  </si>
  <si>
    <t>[3PD] Analyze hardware information for the Mettler Toledo Ariva-B D8 scale</t>
  </si>
  <si>
    <t>CHO-5888</t>
  </si>
  <si>
    <t>[3PD] Analyze hardware information for BBox + NCR 7197</t>
  </si>
  <si>
    <t>CHO-5889</t>
  </si>
  <si>
    <t>[3PD] Analyze hardware information for the DN P1200 printer</t>
  </si>
  <si>
    <t>CHO-5951 *</t>
  </si>
  <si>
    <t>Help Team Vlinder with the implementation of the Bizerba C2 Scale</t>
  </si>
  <si>
    <t>CHO-5173 *</t>
  </si>
  <si>
    <t>CHO-5582</t>
  </si>
  <si>
    <t>Automatically aggregate Changelog for CHO artifacts</t>
  </si>
  <si>
    <t>Include RPM-releases in gitlab-mirroring</t>
  </si>
  <si>
    <t>CHO-5900</t>
  </si>
  <si>
    <t>Release Sprint 2025_PI1-2 Artifacts</t>
  </si>
  <si>
    <t>CHO-5909</t>
  </si>
  <si>
    <t>CHO-5952 *</t>
  </si>
  <si>
    <t>BF-699</t>
  </si>
  <si>
    <t>[SCO] Send receipt type and status information to Butterfly adapter</t>
  </si>
  <si>
    <t>BF-718</t>
  </si>
  <si>
    <t>[ADAPTER] Add specific type values for Butterfly related discounts</t>
  </si>
  <si>
    <t>BF-719</t>
  </si>
  <si>
    <t>[SCO] Provide identifier for Butterfly coupons and promotions</t>
  </si>
  <si>
    <t>BF-734</t>
  </si>
  <si>
    <t>[ADAPTER] Add till number to receipts sent to Yocuda</t>
  </si>
  <si>
    <t>BF-740</t>
  </si>
  <si>
    <t>[SCO] Send EGC articles to Butterfly adapter</t>
  </si>
  <si>
    <t>BF-741</t>
  </si>
  <si>
    <t>[SCO] Provide the option to remove anonymous coupons</t>
  </si>
  <si>
    <t>BF-772</t>
  </si>
  <si>
    <t>[ADAPTER] Receive and forward receipt type and status information to Yocuda</t>
  </si>
  <si>
    <t>BF-780 *</t>
  </si>
  <si>
    <t>[ADAPTER] Document checkMK monitoring information provided by Butterfly adapter</t>
  </si>
  <si>
    <t>BF-788</t>
  </si>
  <si>
    <t>[SCO] Amend mapping of discount extension properties for sale receipts sent to the Butterfly adapter</t>
  </si>
  <si>
    <t>BF-789</t>
  </si>
  <si>
    <t>[ADAPTER][SPIKE] Analyze current Butterfly adapter implementation with regard to extension property handling and provide suggestions to improve its quality</t>
  </si>
  <si>
    <t>BF-798 *</t>
  </si>
  <si>
    <t>[SCO] Remove artificial void positions from SCO receipt</t>
  </si>
  <si>
    <t>BF-839 *</t>
  </si>
  <si>
    <t>[SCO] Provide generic_article_item_id extension as string</t>
  </si>
  <si>
    <t>BF-841 *</t>
  </si>
  <si>
    <t>[ADAPTER][SCO] Create release for onsite test at ALDI (18.02.25)</t>
  </si>
  <si>
    <t>BF-842 *</t>
  </si>
  <si>
    <t>[ADAPTER] store_reference includes till number</t>
  </si>
  <si>
    <t>BF-870 *</t>
  </si>
  <si>
    <t>[SCO] It is not possible to scan customers with promotions</t>
  </si>
  <si>
    <t>BF-773 *</t>
  </si>
  <si>
    <t>BF-866 *</t>
  </si>
  <si>
    <t>BF-881 *</t>
  </si>
  <si>
    <t>ANP-21303 *</t>
  </si>
  <si>
    <t>[MCO] NEWPOSS Implementation of Bizerba C2 POS Scale (CS300 successor model)</t>
  </si>
  <si>
    <t>ANP-23587</t>
  </si>
  <si>
    <t>BF-402 Im- and export</t>
  </si>
  <si>
    <t>ANP-24045</t>
  </si>
  <si>
    <t>BF-573 Testing Part 1</t>
  </si>
  <si>
    <t>ANP-24191</t>
  </si>
  <si>
    <t>Merge Implementations for new Scales</t>
  </si>
  <si>
    <t>ANP-24475</t>
  </si>
  <si>
    <t>BF-563 PDF purging</t>
  </si>
  <si>
    <t>ANP-24565</t>
  </si>
  <si>
    <t>BF-36 Auto-refund</t>
  </si>
  <si>
    <t>ANP-24566</t>
  </si>
  <si>
    <t>Build MCO part of release 3.18.8</t>
  </si>
  <si>
    <t>ANP-24612</t>
  </si>
  <si>
    <t>Build MCO part of NEWPOSS release 4.7.1</t>
  </si>
  <si>
    <t>ANP-24700</t>
  </si>
  <si>
    <t>BF-739 Performance</t>
  </si>
  <si>
    <t>ANP-24820</t>
  </si>
  <si>
    <t>BF Test Support</t>
  </si>
  <si>
    <t>ANP-24910</t>
  </si>
  <si>
    <t>BF-64 show ID status</t>
  </si>
  <si>
    <t>ANP-24111</t>
  </si>
  <si>
    <t>Release Builds for all Butterfly Libs</t>
  </si>
  <si>
    <t>Sprint 2025_1-1, 22.01.2025 - 04.02.2025, Status at Sprint Completion</t>
  </si>
  <si>
    <t>ANP-24753</t>
  </si>
  <si>
    <t>Update mco-storedata collection time interval to once every minute</t>
  </si>
  <si>
    <t>CHO-5056</t>
  </si>
  <si>
    <t>Migrate bizerba cs300 software display for SCO</t>
  </si>
  <si>
    <t>CHO-5156</t>
  </si>
  <si>
    <t>Provide documentation for CMDB data retrieval</t>
  </si>
  <si>
    <t>CHO-5162</t>
  </si>
  <si>
    <t>Pipeline of Integration builds should not fail if the feature branch is a number which is not found in jira</t>
  </si>
  <si>
    <t>CHO-5163</t>
  </si>
  <si>
    <t>Organise the rights for our gitlab project correctly</t>
  </si>
  <si>
    <t>CHO-5228</t>
  </si>
  <si>
    <t>Provide How-to articles for hardware monitoring</t>
  </si>
  <si>
    <t>CHO-5229</t>
  </si>
  <si>
    <t>Provide How-to articles for CMDB data provision</t>
  </si>
  <si>
    <t>CHO-5230</t>
  </si>
  <si>
    <t>[5PT] Hardware information for CS300 scale</t>
  </si>
  <si>
    <t>CHO-5294</t>
  </si>
  <si>
    <t>[10PT] Serial ID for TIM-API EFT devices</t>
  </si>
  <si>
    <t>CHO-5295</t>
  </si>
  <si>
    <t>[10PT] Serial ID for CMDB for CCV Pad Next EFT device</t>
  </si>
  <si>
    <t>CHO-5325</t>
  </si>
  <si>
    <t>Provision of SLO certificates by ALDI</t>
  </si>
  <si>
    <t>CHO-5336</t>
  </si>
  <si>
    <t>Extend logging of old CSR process</t>
  </si>
  <si>
    <t>CHO-5458</t>
  </si>
  <si>
    <t>Update iPXE Boot Firmware to the latest version</t>
  </si>
  <si>
    <t>CHO-5506</t>
  </si>
  <si>
    <t>Hardware clock time is set incorrectly</t>
  </si>
  <si>
    <t>CHO-5507</t>
  </si>
  <si>
    <t>Improve debug-info shortcut.</t>
  </si>
  <si>
    <t>CHO-5523</t>
  </si>
  <si>
    <t>[SCO FI CH] TIM API EFT not working</t>
  </si>
  <si>
    <t>CHO-5524</t>
  </si>
  <si>
    <t>Perform and document configuration of country settings on C2 scale</t>
  </si>
  <si>
    <t>CHO-5526</t>
  </si>
  <si>
    <t>Create shortcut to trigger an installation from scratch</t>
  </si>
  <si>
    <t>CHO-5527</t>
  </si>
  <si>
    <t>Add cho local checks and collector script to CHO release</t>
  </si>
  <si>
    <t>CHO-5528</t>
  </si>
  <si>
    <t>Backport NHPI-reconfiguration to release 1.25E</t>
  </si>
  <si>
    <t>CHO-5576</t>
  </si>
  <si>
    <t>Document hardware information availability for CMDB</t>
  </si>
  <si>
    <t>CHO-5578</t>
  </si>
  <si>
    <t>Document GSD performance summary shortcut</t>
  </si>
  <si>
    <t>CHO-5579</t>
  </si>
  <si>
    <t>Provide documentation for cho-local-checks in Confluence</t>
  </si>
  <si>
    <t>CHO-5601</t>
  </si>
  <si>
    <t>Unrecognized argument in cho-local-checks</t>
  </si>
  <si>
    <t>CHO-5634</t>
  </si>
  <si>
    <t>TIM API - Implement support for UNATTENDED flag for SCOs</t>
  </si>
  <si>
    <t>CHO-5660</t>
  </si>
  <si>
    <t>Performance summary stops at CHO step</t>
  </si>
  <si>
    <t>Provide Postgresql container for Butterfly adapter on MCO tills</t>
  </si>
  <si>
    <t>CHO-5115</t>
  </si>
  <si>
    <t>Remove containers from cho-ansible (even if the build is aborted)</t>
  </si>
  <si>
    <t>Move cho-base and its functionality to cho-ansible</t>
  </si>
  <si>
    <t>CHO-5563</t>
  </si>
  <si>
    <t>Release Sprint 2025_PI1-1 Artefacts</t>
  </si>
  <si>
    <t>CHO-5580</t>
  </si>
  <si>
    <t>[5PT] Hardware information for C2 scale</t>
  </si>
  <si>
    <t>requires delivery from Bizerba</t>
  </si>
  <si>
    <t>BF-338</t>
  </si>
  <si>
    <t>[SCO] [Identification] capture customer ID in ringing mode with correct return code DN</t>
  </si>
  <si>
    <t>BF-571</t>
  </si>
  <si>
    <t>[SCO][ADAPTER] Integrate Butterfly adapter to single JVM deployment</t>
  </si>
  <si>
    <t>BF-623</t>
  </si>
  <si>
    <t>[ADAPTER] Send receipts with EGC articles from butterfly adapter to Yocuda</t>
  </si>
  <si>
    <t>BF-674</t>
  </si>
  <si>
    <t>[SCO] Send warranty articles to Butterfly adapter</t>
  </si>
  <si>
    <t>BF-724</t>
  </si>
  <si>
    <t>[SCO] Log the necessary times for requesting capturing and applying a customer id on the POS Adapter</t>
  </si>
  <si>
    <t>BF-732</t>
  </si>
  <si>
    <t>[ADAPTER] Log the necessary times for retrieving and forwarding of customer information at the Butterfly Adapter</t>
  </si>
  <si>
    <t>BF-787</t>
  </si>
  <si>
    <t>[ADAPTER] Amend supported fields for forwarding discount information to Butterfly adapter</t>
  </si>
  <si>
    <t>BF-743</t>
  </si>
  <si>
    <t>Onboarding of new colleague (Lennart)</t>
  </si>
  <si>
    <t>ANP-24583</t>
  </si>
  <si>
    <t>Printer detection not reliable on CHOP MCO after changing printer protocol to NHPI</t>
  </si>
  <si>
    <t>ANP-22753</t>
  </si>
  <si>
    <t>The Scanner unit at the Till play alert sound during a card payment</t>
  </si>
  <si>
    <t>ANP-24846</t>
  </si>
  <si>
    <t>Pick ANP-22753 to Release 4.7.1</t>
  </si>
  <si>
    <t>ANP-23695</t>
  </si>
  <si>
    <t>Create Integrity Tests and Manual Tests - CH BASICS+</t>
  </si>
  <si>
    <t>ANP-24655</t>
  </si>
  <si>
    <t>[BOSS Interface] evaluate effects of port change</t>
  </si>
  <si>
    <t>ANP-24686</t>
  </si>
  <si>
    <t>clarify next steps for setting up test hardware for CHOP CH</t>
  </si>
  <si>
    <t>ANP-24774</t>
  </si>
  <si>
    <t>Fix CheckMK monitoring service</t>
  </si>
  <si>
    <t>ANP-24749</t>
  </si>
  <si>
    <t>Till is not able to finish the import masterdata when encryption is activated</t>
  </si>
  <si>
    <t>ANP-24619</t>
  </si>
  <si>
    <t>Creation of analysis tasks regarding PI-1 topics</t>
  </si>
  <si>
    <t>ANP-24617</t>
  </si>
  <si>
    <t>Auto MCO Rebooting after ACO Interface Received Resync Message</t>
  </si>
  <si>
    <t>ANP-24611</t>
  </si>
  <si>
    <t>Fix ClassNotFoundException for ApplicationStateAPI</t>
  </si>
  <si>
    <t>ANP-24607</t>
  </si>
  <si>
    <t>Fix parameter post release tasks after NEWPOSS 4.7.0</t>
  </si>
  <si>
    <t>ANP-24606</t>
  </si>
  <si>
    <t>Add press 'CLEAR' in deactivation error</t>
  </si>
  <si>
    <t>ANP-24542</t>
  </si>
  <si>
    <t>Fix ConfigurationException during startup of simulated till</t>
  </si>
  <si>
    <t>ANP-24367</t>
  </si>
  <si>
    <t>Enable code format checking during maven build</t>
  </si>
  <si>
    <t>ANP-24175</t>
  </si>
  <si>
    <t>PC-transaction search transaction missing in system</t>
  </si>
  <si>
    <t>ANP-24047</t>
  </si>
  <si>
    <t>POS WERW LineItem with "0" Price causing error in backposting</t>
  </si>
  <si>
    <t>ANP-23454</t>
  </si>
  <si>
    <t>Customer Scanner availability check</t>
  </si>
  <si>
    <t>ANP-24201</t>
  </si>
  <si>
    <t>In offline mode, user is unable to log out from a session (started in online mode)</t>
  </si>
  <si>
    <t>zero-noise bug</t>
  </si>
  <si>
    <t>ANP-24325</t>
  </si>
  <si>
    <t>Post Release Tasks for NP Release 4.7.0</t>
  </si>
  <si>
    <t>ANP-24759 *</t>
  </si>
  <si>
    <t>Welcome onboarding for Sergey and Vladimir</t>
  </si>
  <si>
    <t>only task release left</t>
  </si>
  <si>
    <t>was blocked by BOD team</t>
  </si>
  <si>
    <t>ANP-24608</t>
  </si>
  <si>
    <t>HU: Middleware Analysis</t>
  </si>
  <si>
    <t>ANP-24168</t>
  </si>
  <si>
    <t>Adjust tax rate to 6 decimal places: analysis</t>
  </si>
  <si>
    <t>NPSCO-18480</t>
  </si>
  <si>
    <t>Takeover EGC Payment</t>
  </si>
  <si>
    <t>NPSCO-18486</t>
  </si>
  <si>
    <t>Kick-Off Knowledge Transfer Celonis to TNT</t>
  </si>
  <si>
    <t>NPSCO-18492</t>
  </si>
  <si>
    <t>Kick-Off Knowledge Transfer Logging, Tracing and Monitoring to TNT</t>
  </si>
  <si>
    <t>NPSCO-15193</t>
  </si>
  <si>
    <t>Mount db init scripts for postgres component tests and development</t>
  </si>
  <si>
    <t>NPSCO-15500</t>
  </si>
  <si>
    <t>[B] Remove --add-opens when POS adapter is migrated to Spring Boot</t>
  </si>
  <si>
    <t>NPSCO-15192</t>
  </si>
  <si>
    <t>Create scheduler to delete exported receipts</t>
  </si>
  <si>
    <t>NPSCO-10135</t>
  </si>
  <si>
    <t>Increase SNMP password complexity</t>
  </si>
  <si>
    <t>NPSCO-15738</t>
  </si>
  <si>
    <t>[SCO Pentest] l3: Detailed Error Messages in gRPC Service</t>
  </si>
  <si>
    <t>NPSCO-15736</t>
  </si>
  <si>
    <t>[SCO Pentest] m6: Unencrypted Traffic with Store Server</t>
  </si>
  <si>
    <t>NPSCO-17566</t>
  </si>
  <si>
    <t>[Bug-Analysis] Offline Login fails</t>
  </si>
  <si>
    <t>NPSCO-11650</t>
  </si>
  <si>
    <t>[Test Story] Scale Checksum and Software Version Implementation for Bizerba C2 POS Scale</t>
  </si>
  <si>
    <t>NPSCO-18569</t>
  </si>
  <si>
    <t>[FI CH] Language Issues</t>
  </si>
  <si>
    <t>NPSCO-17962</t>
  </si>
  <si>
    <t>Add taxinformation to export in case of foodstampable items being paid with EBT and other payment card type</t>
  </si>
  <si>
    <t>NPSCO-17706</t>
  </si>
  <si>
    <t>[ITA] Rounding Logic may be obsolete in TransactionVoidingServiceITAImpl</t>
  </si>
  <si>
    <t>NPSCO-18289</t>
  </si>
  <si>
    <t>Install production key into Bizerba C2 driver used by SCO</t>
  </si>
  <si>
    <t>NPSCO-18179</t>
  </si>
  <si>
    <t>Knowledge Transfer for Release Builds between DEV in TNT Team</t>
  </si>
  <si>
    <t>NPSCO-18453</t>
  </si>
  <si>
    <t>NL UK: Void and Suspend Transaction Messages for Lottery Items Not Displaying Correctly</t>
  </si>
  <si>
    <t>NPSCO-18378</t>
  </si>
  <si>
    <t>[SCO FI CH] Bizerba overlay calculates EUR/kg instead of CHF/kg</t>
  </si>
  <si>
    <t>NPSCO-18487</t>
  </si>
  <si>
    <t>Takeover Celonis from TFS</t>
  </si>
  <si>
    <t>NPSCO-18489</t>
  </si>
  <si>
    <t>Takeover Optimize Memory from TFS</t>
  </si>
  <si>
    <t>NPSCO-18491</t>
  </si>
  <si>
    <t>Takeover Logging, Tracing and Monitoring from TFS</t>
  </si>
  <si>
    <t>NPSCO-17963</t>
  </si>
  <si>
    <t>Set taxBase of voided items in export to 0</t>
  </si>
  <si>
    <t>NPSCO-18504</t>
  </si>
  <si>
    <t>Test fiscal country for Spring migration</t>
  </si>
  <si>
    <t>NPSCO-18505</t>
  </si>
  <si>
    <t>Test US Spring migration</t>
  </si>
  <si>
    <t>NPSCO-18521</t>
  </si>
  <si>
    <t>(dublicated by mistake)</t>
  </si>
  <si>
    <t>NPSCO-18522</t>
  </si>
  <si>
    <t>Testing Release 4.13.0</t>
  </si>
  <si>
    <t>[Spike] Create Monitored Item Adapter using CEP Adapter as blueprint</t>
  </si>
  <si>
    <t>Handle partial/split EGC payments in the transaction after shutdown</t>
  </si>
  <si>
    <t>NPSCO-17316</t>
  </si>
  <si>
    <t>Second split payment with (SVS) EGCs leads to message "insufficent funds" while enough balance is available</t>
  </si>
  <si>
    <t>NPSCO-18448</t>
  </si>
  <si>
    <t>NPSCO-18428</t>
  </si>
  <si>
    <t>Persist Transactiondata/KPIs</t>
  </si>
  <si>
    <t>NPSCO-18474</t>
  </si>
  <si>
    <t>[AnalyseSpike] Full resync</t>
  </si>
  <si>
    <t>NPSCO-18210</t>
  </si>
  <si>
    <t>[AnalyseSpike] PIN Printing</t>
  </si>
  <si>
    <t>NPSCO-18493</t>
  </si>
  <si>
    <t>Load test of the release 413</t>
  </si>
  <si>
    <t>NPSCO-18259</t>
  </si>
  <si>
    <t>Manually canceled receipts have totalReceiptSum = "null"</t>
  </si>
  <si>
    <t>Concept Design</t>
  </si>
  <si>
    <t>NPSCO-18563</t>
  </si>
  <si>
    <t>Implement till report functionality</t>
  </si>
  <si>
    <t>NPSCO-17881</t>
  </si>
  <si>
    <t>Onboarding Markus Weißeise</t>
  </si>
  <si>
    <t>None</t>
  </si>
  <si>
    <t>NPSCO-18138</t>
  </si>
  <si>
    <t>Onboarding Anna Terekhina</t>
  </si>
  <si>
    <t>NPSCO-18532</t>
  </si>
  <si>
    <t>Release Test 413 [K]</t>
  </si>
  <si>
    <t>NPSCO-18533</t>
  </si>
  <si>
    <t>Release Test 413 [M]</t>
  </si>
  <si>
    <t>ANP-23976</t>
  </si>
  <si>
    <t>BF-469 Scan URID</t>
  </si>
  <si>
    <t>ANP-24042</t>
  </si>
  <si>
    <t>BF-572 Validate Promo</t>
  </si>
  <si>
    <t>ANP-24563</t>
  </si>
  <si>
    <t>BF-714 Coupon ID Bug</t>
  </si>
  <si>
    <t>ANP-23978</t>
  </si>
  <si>
    <t>BF-63 Asynchronous</t>
  </si>
  <si>
    <t>ANP-24699</t>
  </si>
  <si>
    <t>BF-738 Follow-Up PDF creation</t>
  </si>
  <si>
    <t>ANP-24820 *</t>
  </si>
  <si>
    <t>Sprint 4_5,  27.11.2024 - 10.12.2024, Status at Sprint Completion</t>
  </si>
  <si>
    <r>
      <rPr>
        <sz val="10"/>
        <color rgb="FFFF0000"/>
        <rFont val="Comic Sans MS"/>
        <family val="4"/>
      </rPr>
      <t xml:space="preserve">v  v  Use these </t>
    </r>
    <r>
      <rPr>
        <b/>
        <sz val="10"/>
        <color rgb="FFFF0000"/>
        <rFont val="Comic Sans MS"/>
        <family val="4"/>
      </rPr>
      <t>statuses</t>
    </r>
    <r>
      <rPr>
        <sz val="10"/>
        <color rgb="FFFF0000"/>
        <rFont val="Comic Sans MS"/>
        <family val="4"/>
      </rPr>
      <t xml:space="preserve"> by all means!  v  v</t>
    </r>
  </si>
  <si>
    <r>
      <rPr>
        <sz val="10"/>
        <color rgb="FFFF0000"/>
        <rFont val="Comic Sans MS"/>
        <family val="4"/>
      </rPr>
      <t xml:space="preserve">&gt;
&gt;
&gt;
&gt;
Use these </t>
    </r>
    <r>
      <rPr>
        <b/>
        <sz val="10"/>
        <color rgb="FFFF0000"/>
        <rFont val="Comic Sans MS"/>
        <family val="4"/>
      </rPr>
      <t>team names</t>
    </r>
    <r>
      <rPr>
        <sz val="10"/>
        <color rgb="FFFF0000"/>
        <rFont val="Comic Sans MS"/>
        <family val="4"/>
      </rPr>
      <t xml:space="preserve"> by all means!
&gt;
&gt;
&gt;
&gt;</t>
    </r>
  </si>
  <si>
    <t>ANP-24318 EFT: Double debiting of card payments</t>
  </si>
  <si>
    <t>Detailed Prodocoll analysis is required. Will be completed in the Pay Team</t>
  </si>
  <si>
    <t xml:space="preserve">ANP-24201 </t>
  </si>
  <si>
    <t>Only the merge is pending, will be completed in Team Synergy</t>
  </si>
  <si>
    <t xml:space="preserve">ANP-23965 </t>
  </si>
  <si>
    <t>Voided transactions with gift cards causing "Error During Processing of Till Transactions"</t>
  </si>
  <si>
    <t xml:space="preserve">ANP-22753 </t>
  </si>
  <si>
    <t>The Scanner unit at the Till play alert sound during a card payment.</t>
  </si>
  <si>
    <t>Only the merge is pending, will be completed in Team Payment</t>
  </si>
  <si>
    <t xml:space="preserve">ANP-19941 </t>
  </si>
  <si>
    <t>Will be completed in the Pay Team</t>
  </si>
  <si>
    <t xml:space="preserve">ANP-19414 </t>
  </si>
  <si>
    <t>ANP-23190</t>
  </si>
  <si>
    <t>Clarify UI/Softwaredisplay layout, size and colors</t>
  </si>
  <si>
    <t>ANP-23200</t>
  </si>
  <si>
    <t>Create localized configurations for Bizerba C2 for each country with corresponding language and decimal separator</t>
  </si>
  <si>
    <t>ANP-23987</t>
  </si>
  <si>
    <t>Fail MCO MSI pipeline if RPM signature is unsuccessful</t>
  </si>
  <si>
    <t>ANP-24199</t>
  </si>
  <si>
    <t>Error during startup of NEWPOSS launch script</t>
  </si>
  <si>
    <t>ANP-24478</t>
  </si>
  <si>
    <t>Collect cho monitoring data for mco-storedata.txt</t>
  </si>
  <si>
    <t>CHO-2133</t>
  </si>
  <si>
    <t>Deactivate SCO display controls by default</t>
  </si>
  <si>
    <t>CHO-5133</t>
  </si>
  <si>
    <t>Provide script for collection of CMDB data</t>
  </si>
  <si>
    <t>CHO-5150</t>
  </si>
  <si>
    <t>Keep CMDB information across re-installations of the till</t>
  </si>
  <si>
    <t>CHO-5296</t>
  </si>
  <si>
    <t>Implement EFT driver fixes for OPI and CB2P17 drivers in POS Core</t>
  </si>
  <si>
    <t>CHO-5363</t>
  </si>
  <si>
    <t>Application of BIOS settings fails if no configuration file for version is available</t>
  </si>
  <si>
    <t>CHO-5406</t>
  </si>
  <si>
    <t>Bizerba C2 software display cannot be installed on Rocky Linux 9.5</t>
  </si>
  <si>
    <t>CHO-5417</t>
  </si>
  <si>
    <t>Till user cannot update software display layout for C2 scale</t>
  </si>
  <si>
    <t>CHO-5423</t>
  </si>
  <si>
    <t>Dn Sx mainboards do not boot automatically when user passwords is set</t>
  </si>
  <si>
    <t>CHO-5427</t>
  </si>
  <si>
    <t>Integrate bizerba C2 authentication key</t>
  </si>
  <si>
    <t>CHO-5444</t>
  </si>
  <si>
    <t>Race condition between reboot issued by cho-firstboot and ATS/ASSCO installer</t>
  </si>
  <si>
    <t>CHO-2835</t>
  </si>
  <si>
    <t>GSD Performance Incident Summary Shortcut Command Implementation</t>
  </si>
  <si>
    <t>CHO-5161</t>
  </si>
  <si>
    <t>Harden the shortcut role in ansible by deleting shortcut scripts from a false system</t>
  </si>
  <si>
    <t>CSR job does only consider https communication</t>
  </si>
  <si>
    <t>CHO-5188</t>
  </si>
  <si>
    <t>Release Sprint PI4-7 Artefacts</t>
  </si>
  <si>
    <t>CHO-5292</t>
  </si>
  <si>
    <t>PARENT - POS Scale issues 2024 Dec. / (NON-Waage Entlasten) after Bizerba Display 4x RPM update</t>
  </si>
  <si>
    <t>meeting postponed by ALDI</t>
  </si>
  <si>
    <t>CHO-5392</t>
  </si>
  <si>
    <t>Store debug-info archive in user directory, not /root/</t>
  </si>
  <si>
    <t>CHO-5475</t>
  </si>
  <si>
    <t>CHO-5525</t>
  </si>
  <si>
    <t>Support Team Synergy with CSR</t>
  </si>
  <si>
    <t>implementation done, documentation to do</t>
  </si>
  <si>
    <t>BF-306</t>
  </si>
  <si>
    <t>[SCO] Skip printing the receipt based on customer choice in app</t>
  </si>
  <si>
    <t>BF-309</t>
  </si>
  <si>
    <t>[SCO] Provide queueing mechanism for the communication with Butterfly adapter</t>
  </si>
  <si>
    <t>BF-619</t>
  </si>
  <si>
    <t>[ADAPTER] Configure MQTT session parameters</t>
  </si>
  <si>
    <t>BF-620</t>
  </si>
  <si>
    <t>[ADAPTER] Send receipts with warranty articles from butterfly adapter to Yocuda</t>
  </si>
  <si>
    <t>BF-626</t>
  </si>
  <si>
    <t>[ADAPTER] Switch Yocuda request authentication from JWT to bearer token</t>
  </si>
  <si>
    <t>BF-654</t>
  </si>
  <si>
    <t>[ADAPTER][SCO] Create release for onsite test at ALDI</t>
  </si>
  <si>
    <t>BF-675</t>
  </si>
  <si>
    <t>[SCO] Amend store opening hours mapping</t>
  </si>
  <si>
    <t>BF-703</t>
  </si>
  <si>
    <t>[ADAPTER][SCO] Support deployment in ALDI test lab</t>
  </si>
  <si>
    <t>BF-704</t>
  </si>
  <si>
    <t>[SCO] Sometimes after installation from scratch the POS adapter has to be restarted to enable PDF receipt generation</t>
  </si>
  <si>
    <t>BF-705</t>
  </si>
  <si>
    <t>[ADAPTER][SCO] Update certificate trust store of butterfly adapter's container to include the public key of the ALDI root certificate</t>
  </si>
  <si>
    <t>CFRM Configuration</t>
  </si>
  <si>
    <t>ANP-23018</t>
  </si>
  <si>
    <t>Testing of Terminal Assignment Concept</t>
  </si>
  <si>
    <t>based on team forecast</t>
  </si>
  <si>
    <t>ANP-24398</t>
  </si>
  <si>
    <t>[SPIKE] Clarify Requirements for HU Social Voucher</t>
  </si>
  <si>
    <t>ANP-24495</t>
  </si>
  <si>
    <t>[CHOP AT] EFTs do not initialise after being allocated to the till via the wizard</t>
  </si>
  <si>
    <t>Analyse ConfigurationException during startup of simulated till</t>
  </si>
  <si>
    <t>ANP-24541</t>
  </si>
  <si>
    <t>Analyse ClassNotFoundException for ApplicationStateAPI</t>
  </si>
  <si>
    <t>ANP-22866</t>
  </si>
  <si>
    <t>Trigger reconfiguration via POS Keyboard</t>
  </si>
  <si>
    <t>ANP-19967</t>
  </si>
  <si>
    <t>Add press 'CLEAR' in activation error</t>
  </si>
  <si>
    <t>ANP-18979</t>
  </si>
  <si>
    <t>Provide checkMK monitoring values related to master data polling and processing</t>
  </si>
  <si>
    <t>ANP-13550</t>
  </si>
  <si>
    <t>Adapt ReceiptPositions layout rows to check whether they are executed for an item receipt position</t>
  </si>
  <si>
    <t>ANP-23684</t>
  </si>
  <si>
    <t>RVM voucher can not be redeemed in case of an offline scenario at the till</t>
  </si>
  <si>
    <t>ANP-23992</t>
  </si>
  <si>
    <t>Add a null check and redundant check remove</t>
  </si>
  <si>
    <t>ANP-24506 *</t>
  </si>
  <si>
    <t>Build MCO part of release 3.18.7</t>
  </si>
  <si>
    <t>est.changed</t>
  </si>
  <si>
    <t>ANP-12711</t>
  </si>
  <si>
    <t>Fix exceptions during automated tests</t>
  </si>
  <si>
    <t>ANP-14099</t>
  </si>
  <si>
    <t>Improve implementation of Tax Refund</t>
  </si>
  <si>
    <t>ANP-22307</t>
  </si>
  <si>
    <t>Replace deprecated constant BASKET_DISCOUNT_ROUNDING_FRACTION</t>
  </si>
  <si>
    <t>needs to be merged together with the corresponding BOD (and potentially SCO) stories.</t>
  </si>
  <si>
    <t>ANP-24320</t>
  </si>
  <si>
    <t>Build MCO part of NEWPOSS release 4.7.0</t>
  </si>
  <si>
    <t>ANP-24357</t>
  </si>
  <si>
    <t>HU middleware - Investigation story</t>
  </si>
  <si>
    <t>ANP-24410</t>
  </si>
  <si>
    <t>Build MCO part of NEWPOSS release 4.4.2</t>
  </si>
  <si>
    <t>ANP-24439</t>
  </si>
  <si>
    <t>Build MCO part of release 3.18.6</t>
  </si>
  <si>
    <t>NPSCO-17300</t>
  </si>
  <si>
    <t>Tax middleware timeouts are being ignored by SCO</t>
  </si>
  <si>
    <t>NPSCO-16415</t>
  </si>
  <si>
    <t>[ITA] Attendant intervention for printer has to be confirmed four times and prevents the start of a new transaction</t>
  </si>
  <si>
    <t>NPSCO-17076</t>
  </si>
  <si>
    <t>Adjust fiscal adapter workaround script to use CHO installation method</t>
  </si>
  <si>
    <t>NPSCO-15056</t>
  </si>
  <si>
    <t>[SPIKE] Analyse Autoupdate Script failure</t>
  </si>
  <si>
    <t>NPSCO-17198</t>
  </si>
  <si>
    <t>Infra: Archived Log files are being saved in the wrong folder</t>
  </si>
  <si>
    <t>NPSCO-18023</t>
  </si>
  <si>
    <t>Onboarding Philipp Sackel</t>
  </si>
  <si>
    <t>NPSCO-18294</t>
  </si>
  <si>
    <t>Test Task 4.12.0</t>
  </si>
  <si>
    <t>NPSCO-17371</t>
  </si>
  <si>
    <t>Fix folder permissions of Combined Services</t>
  </si>
  <si>
    <t>NPSCO-17024</t>
  </si>
  <si>
    <t>Admin User does not have to see the combined services logs</t>
  </si>
  <si>
    <t>NPSCO-17012</t>
  </si>
  <si>
    <t>[14] Test English country before merge Spring migration</t>
  </si>
  <si>
    <t>NPSCO-16632</t>
  </si>
  <si>
    <t>[12] Present Implementation in CoP Dev</t>
  </si>
  <si>
    <t>NPSCO-16037</t>
  </si>
  <si>
    <t>[SCO DE AHEAD] Remove precondition "number of ean/upc assigned to variants of beverage itemID in reusable bottles" to display the selection screen</t>
  </si>
  <si>
    <t>NPSCO-17723</t>
  </si>
  <si>
    <t>[Analyse Spike] NPSCO-17530 Harmonisation of ACO Transaction Data for SCOs</t>
  </si>
  <si>
    <t>NPSCO-18177</t>
  </si>
  <si>
    <t>Create the group cs300sd and add the user assco-inf to this group</t>
  </si>
  <si>
    <t>NPSCO-18217</t>
  </si>
  <si>
    <t>Suspend transaction action not working as expected</t>
  </si>
  <si>
    <t>NPSCO-18218</t>
  </si>
  <si>
    <t>POS adapter log doesn't exist anymore</t>
  </si>
  <si>
    <t>NPSCO-18219</t>
  </si>
  <si>
    <t>No payload or ejournal created after hard reset</t>
  </si>
  <si>
    <t>NPSCO-18223</t>
  </si>
  <si>
    <t>Sometimes close lane fails with error 'UNAVAILABLE: io exception'</t>
  </si>
  <si>
    <t>NPSCO-18225</t>
  </si>
  <si>
    <t>POS adpater log is flooded with fiscalization messages [ITA,DE]</t>
  </si>
  <si>
    <t>NPSCO-18333</t>
  </si>
  <si>
    <t>Testing Release 4.12.0</t>
  </si>
  <si>
    <t>NPSCO-18232</t>
  </si>
  <si>
    <t>UK: Transaction Command Rejected When Adding Items to Receipt</t>
  </si>
  <si>
    <t>NPSCO-18234</t>
  </si>
  <si>
    <t>No customer intervention when Inactivity Timer for card payment SCOs is active. Attendant intervention shown right away</t>
  </si>
  <si>
    <t>NPSCO-18413</t>
  </si>
  <si>
    <t>Coupon names are not resolved on the receipt</t>
  </si>
  <si>
    <t>NPSCO-18439</t>
  </si>
  <si>
    <t>Setup docker images for Rocky Linux based VSS International R27.4 and R28</t>
  </si>
  <si>
    <t>NPSCO-18127</t>
  </si>
  <si>
    <t>Release Build 4.12.0</t>
  </si>
  <si>
    <t>NPSCO-17729</t>
  </si>
  <si>
    <t>Java-Based gRPC Client for testing POS Transactions</t>
  </si>
  <si>
    <t>NPSCO-16190</t>
  </si>
  <si>
    <t>[11] Test fiscal country for Spring migration</t>
  </si>
  <si>
    <t>NPSCO-17011</t>
  </si>
  <si>
    <t>[13] Test US before merge Spring migration</t>
  </si>
  <si>
    <t>NPSCO-18290</t>
  </si>
  <si>
    <t>Test Task for Spring Migration</t>
  </si>
  <si>
    <t>NPSCO-18175</t>
  </si>
  <si>
    <t>BO SP SCOs showing offline on cashier widget after update- No EM</t>
  </si>
  <si>
    <t>NPSCO-16518</t>
  </si>
  <si>
    <t>[UK,AUS] Scanned EGC in RINGING is on the receipt before selection of action</t>
  </si>
  <si>
    <t>Second partial payment with (SVS) EGCs leads to message "insufficent funds" while enough balance is available</t>
  </si>
  <si>
    <t>NPSCO-18334</t>
  </si>
  <si>
    <t>Test Release 4.12.0 [M]</t>
  </si>
  <si>
    <t>NPSCO-18335</t>
  </si>
  <si>
    <t>Test Release 4.12.0 [C]</t>
  </si>
  <si>
    <t>NPSCO-18366</t>
  </si>
  <si>
    <t>Release Build 4.13.0</t>
  </si>
  <si>
    <t>ANP-24484 *</t>
  </si>
  <si>
    <t>Revert cherry-pick on maintenance branch 4.4</t>
  </si>
  <si>
    <t>ANP-23242</t>
  </si>
  <si>
    <t>BF-135 Mapping</t>
  </si>
  <si>
    <t>ANP-23975</t>
  </si>
  <si>
    <t>BF-389 Test coverage</t>
  </si>
  <si>
    <t>ANP-24045 *</t>
  </si>
  <si>
    <t>ANP-24088</t>
  </si>
  <si>
    <t>BF-569 Test</t>
  </si>
  <si>
    <t>ANP-24445</t>
  </si>
  <si>
    <t>BF-238 PDF creation</t>
  </si>
  <si>
    <t>ANP-24486 *</t>
  </si>
  <si>
    <t>BF-697 MSI</t>
  </si>
  <si>
    <t>ANP-24511 *</t>
  </si>
  <si>
    <t>ITA refund receipt is missing payment and discount positions</t>
  </si>
  <si>
    <t>rejected</t>
  </si>
  <si>
    <t>ANP-24563 *</t>
  </si>
  <si>
    <r>
      <rPr>
        <sz val="10"/>
        <color rgb="FFFF0000"/>
        <rFont val="Comic Sans MS"/>
        <family val="4"/>
      </rPr>
      <t xml:space="preserve">v  v  Bitte unbedingt diese </t>
    </r>
    <r>
      <rPr>
        <b/>
        <sz val="10"/>
        <color rgb="FFFF0000"/>
        <rFont val="Comic Sans MS"/>
        <family val="4"/>
      </rPr>
      <t>Status</t>
    </r>
    <r>
      <rPr>
        <sz val="10"/>
        <color rgb="FFFF0000"/>
        <rFont val="Comic Sans MS"/>
        <family val="4"/>
      </rPr>
      <t xml:space="preserve"> verwenden!  v  v  v</t>
    </r>
  </si>
  <si>
    <r>
      <t xml:space="preserve">&gt;
&gt;
&gt;
&gt;
Bitte unbedingt diese </t>
    </r>
    <r>
      <rPr>
        <b/>
        <sz val="10"/>
        <color rgb="FFFF0000"/>
        <rFont val="Comic Sans MS"/>
        <family val="4"/>
      </rPr>
      <t>Team-Namen</t>
    </r>
    <r>
      <rPr>
        <sz val="10"/>
        <color rgb="FFFF0000"/>
        <rFont val="Comic Sans MS"/>
        <family val="4"/>
      </rPr>
      <t xml:space="preserve"> verwenden!
&gt;
&gt;
&gt;
&gt;
&gt;</t>
    </r>
  </si>
  <si>
    <t>ANP-17528</t>
  </si>
  <si>
    <t>Remove the unnecessary test reference to till-receiptsearch-impl</t>
  </si>
  <si>
    <t>ANP-15108</t>
  </si>
  <si>
    <t xml:space="preserve">Use country-specific amount and weight formatting for Weighing Report </t>
  </si>
  <si>
    <t>ANP-22666</t>
  </si>
  <si>
    <t>Refactor CSR Tests and LTC</t>
  </si>
  <si>
    <t>ANP-23450</t>
  </si>
  <si>
    <t>[SPIKE] Investigation - Check whether InitialBackupRestoreStatusKVStoragePOSServiceImpl can be used or deleted</t>
  </si>
  <si>
    <t>Execution of Multilane Integrity Tests offer some additional unexpected complexity. Therefore the Issue was not completed</t>
  </si>
  <si>
    <t>ANP-19512</t>
  </si>
  <si>
    <t>Set up test hardware</t>
  </si>
  <si>
    <t>ANP-20258</t>
  </si>
  <si>
    <t>[Spike] Enable Code format checking for till-dev</t>
  </si>
  <si>
    <t>ANP-21725</t>
  </si>
  <si>
    <t>Update ArchUnit library usage in MCO</t>
  </si>
  <si>
    <t>ANP-23721</t>
  </si>
  <si>
    <t>Onboarding Hanna</t>
  </si>
  <si>
    <t>ANP-22433</t>
  </si>
  <si>
    <t>Refactor VerifyPriceController</t>
  </si>
  <si>
    <t>ANP-22494</t>
  </si>
  <si>
    <t>[ITA] Instant Lottery Code not printed on receipt</t>
  </si>
  <si>
    <t>ANP-24032</t>
  </si>
  <si>
    <t>[SPIKE] middleware for fiscalisation hungary</t>
  </si>
  <si>
    <t>ANP-22884</t>
  </si>
  <si>
    <t>Fix MasterdataProvisioningPOSService OSGi configuration</t>
  </si>
  <si>
    <t>ANP-23002</t>
  </si>
  <si>
    <t>Unite all EGC Training mode tests at one position</t>
  </si>
  <si>
    <t>ANP-23181</t>
  </si>
  <si>
    <t>Create Multilane IP assignment extension setting</t>
  </si>
  <si>
    <t>awaiting input from ALDI</t>
  </si>
  <si>
    <t>ANP-23197</t>
  </si>
  <si>
    <t>Printing of printer, scanner and terminal assignments on software and bundle version receipt</t>
  </si>
  <si>
    <t>ANP-23217</t>
  </si>
  <si>
    <t>Provide device information in devices.xml for multilane proxy</t>
  </si>
  <si>
    <t>ANP-23344</t>
  </si>
  <si>
    <t>Enable FiscalizationPerformCheck for Austria</t>
  </si>
  <si>
    <t>ANP-24033</t>
  </si>
  <si>
    <t>[SPIKE] US Till Sharing</t>
  </si>
  <si>
    <t>ANP-23670</t>
  </si>
  <si>
    <t>Set Multilane IP assignment extension setting for CH</t>
  </si>
  <si>
    <t>ANP-24186</t>
  </si>
  <si>
    <t>WAW Test Lab onboarding</t>
  </si>
  <si>
    <t>ANP-23693</t>
  </si>
  <si>
    <t>Update checkmk agent in NEWPOSS</t>
  </si>
  <si>
    <t xml:space="preserve">reestimated on retro, higher efforts </t>
  </si>
  <si>
    <t>ANP-23810</t>
  </si>
  <si>
    <t>[US Tax] Water tax not reflecting on suspend/retrieve receipts</t>
  </si>
  <si>
    <t>Despite huge efforts it was not possible to reproduce the issue. It will be subject of futher refinements and be pulled in a later sprint</t>
  </si>
  <si>
    <t>reestimated on retro, higher efforts</t>
  </si>
  <si>
    <t>ANP-23896</t>
  </si>
  <si>
    <t>Terminal Assignment Wizard - IP Address-based - Range Violation Error Beep</t>
  </si>
  <si>
    <t>ANP-23897</t>
  </si>
  <si>
    <t>Terminal Assignment Wizard - IP Address-based - Prohibit Double Entries</t>
  </si>
  <si>
    <t xml:space="preserve">ANP-23898 </t>
  </si>
  <si>
    <t>Terminal Assignment Wizard - IP Address-based - Empty Prompt with Clear</t>
  </si>
  <si>
    <t>ANP-23903</t>
  </si>
  <si>
    <t>Till is in bootloop when encryption is activated</t>
  </si>
  <si>
    <t>ANP-23910</t>
  </si>
  <si>
    <t>Translation adjustments for 8+Code (HU, SL, IT) and 18+Code (SL, IT) till reports</t>
  </si>
  <si>
    <t>ANP-23919</t>
  </si>
  <si>
    <t>Fatma Onboarding</t>
  </si>
  <si>
    <t>ANP-23965</t>
  </si>
  <si>
    <t>ANP-23973</t>
  </si>
  <si>
    <t>create "nightly build" V1 for austrian and swiss multilane testing</t>
  </si>
  <si>
    <t>Add a null check for objects of the class where the getClass() method call is used</t>
  </si>
  <si>
    <t>ANP-24041</t>
  </si>
  <si>
    <t>BF-570 new API</t>
  </si>
  <si>
    <t>ANP-24068</t>
  </si>
  <si>
    <t>create "nightly build" V2 for austrian and swiss multilane testing</t>
  </si>
  <si>
    <t>ANP-24087</t>
  </si>
  <si>
    <t>BF-568 Deploy</t>
  </si>
  <si>
    <t>ANP-24125</t>
  </si>
  <si>
    <t>AT - POS MASTER_DATA_PROVISIONING not running</t>
  </si>
  <si>
    <t>ANP-24156</t>
  </si>
  <si>
    <t>Display correct text for selection possibilities in display when 85+CODE is used</t>
  </si>
  <si>
    <t>We could not complete the tests for this issue and will complete them in the next sprint</t>
  </si>
  <si>
    <t>ANP-24205</t>
  </si>
  <si>
    <t>Build MCO part of release 4.6.0</t>
  </si>
  <si>
    <t>ANP-24209</t>
  </si>
  <si>
    <t>Post Release Tasks for NP Release 4.6.0</t>
  </si>
  <si>
    <t>ANP-24247</t>
  </si>
  <si>
    <t>Build Empty Release 3.13.11</t>
  </si>
  <si>
    <t>ANP-24249</t>
  </si>
  <si>
    <t>Print fiscal lottery code as QR-Code instead of Datamatrix</t>
  </si>
  <si>
    <t>ANP-24252</t>
  </si>
  <si>
    <t>Multi-Use_Deposit: RVM vouchers created on the 31.12. during a leap year are denied with 'RVM Bon abgelaufen'</t>
  </si>
  <si>
    <t>ANP-24255</t>
  </si>
  <si>
    <t>Release 3.18.5</t>
  </si>
  <si>
    <t>ANP-24307</t>
  </si>
  <si>
    <t>[QA] Till did not update automatically after updating from Release 3.1B(NP version: 3.13.10.1) to Release 3.1B1 (NP version: 3.13.11.1)</t>
  </si>
  <si>
    <t>ANP-24309</t>
  </si>
  <si>
    <t>Release 3.13.12</t>
  </si>
  <si>
    <t>BF-330</t>
  </si>
  <si>
    <t>[SCO] Print additional free text for identified customer</t>
  </si>
  <si>
    <t>BF-394</t>
  </si>
  <si>
    <t>[ADAPTER] Send receipts with variant articles from butterfly adapter to Yocuda</t>
  </si>
  <si>
    <t>BF-414</t>
  </si>
  <si>
    <t>[SCO] Amend mapping of unique sale receipt ID</t>
  </si>
  <si>
    <t>BF-442</t>
  </si>
  <si>
    <t>[SCO] Extend the transmission of sale receipts to the Butterfly adapter with the option to send discount information</t>
  </si>
  <si>
    <t>BF-444</t>
  </si>
  <si>
    <t>[SCO] Amend depiction of promotion data in SCO purchase transaction</t>
  </si>
  <si>
    <t>BF-548</t>
  </si>
  <si>
    <t>[ADAPTER] Amend custom properties in payment details in mapping to Yocuda</t>
  </si>
  <si>
    <t>BF-552</t>
  </si>
  <si>
    <t>[ADAPTER][SCO] Deploy SCO with butterfly adapter on SCO hardware and test connection to CEE and Yocuda</t>
  </si>
  <si>
    <t>BF-553</t>
  </si>
  <si>
    <t>[SCO] Switch to LMS API version 0.6 for customer loyalty information requests to Butterfly adapter</t>
  </si>
  <si>
    <t>BF-558</t>
  </si>
  <si>
    <t>[ADAPTER] Replace generic receipt PDF name with combination of location, date and time of purchase</t>
  </si>
  <si>
    <t>Removed from sprint</t>
  </si>
  <si>
    <t>Removed due to blocker from Yocuda</t>
  </si>
  <si>
    <t>BF-579</t>
  </si>
  <si>
    <t>[SCO][SPIKE] Evaluate possible options to activate/deactivate the Butterfly adapter of a SCO based on CFRM parameter settings</t>
  </si>
  <si>
    <t>Story / Spike</t>
  </si>
  <si>
    <t>BF-581</t>
  </si>
  <si>
    <t>[SCO][SPIKE] Explore how to provide a queueing/retry mechanism for the communication with Butterfly adapter</t>
  </si>
  <si>
    <t>BF-582</t>
  </si>
  <si>
    <t>[SCO] Provide stand alone Butterfly adapter deployment</t>
  </si>
  <si>
    <t>BF-588</t>
  </si>
  <si>
    <t>[ADAPTER] Switch to LMS API version 0.6 for customer loyalty information requests sent to Butterfly adapter</t>
  </si>
  <si>
    <t>BF-614</t>
  </si>
  <si>
    <t>[ADAPTER] Enable Kubernetes capabilities</t>
  </si>
  <si>
    <t xml:space="preserve">Story  </t>
  </si>
  <si>
    <t>BF-617</t>
  </si>
  <si>
    <t>[ADAPTER] Amend transmitted receipt information, so that PDF name and file extension are preserved</t>
  </si>
  <si>
    <t>pulled intro sprint on tuesday (last day of the sprint, because otherwise DEVs would run out of work; therefore is no notable progress and the remaining storypoints equal the original estimation</t>
  </si>
  <si>
    <t>CHO-5030</t>
  </si>
  <si>
    <t>Provide CHO monitoring data for CheckMk</t>
  </si>
  <si>
    <t>CHO-5034</t>
  </si>
  <si>
    <t>Refactor CHO check format</t>
  </si>
  <si>
    <t>CHO-5141</t>
  </si>
  <si>
    <t>[10PT] Provide tooling to gather information about displays</t>
  </si>
  <si>
    <t>awaiting updated documentation from Bizerba</t>
  </si>
  <si>
    <t>CHO-5158</t>
  </si>
  <si>
    <t>Provide documentation for hardware monitoring</t>
  </si>
  <si>
    <t>meeting with ALDI set to 20th of January</t>
  </si>
  <si>
    <t>CHO-5159</t>
  </si>
  <si>
    <t>SCO: Remedy pen-test findings for Beetle M3 Rx boards</t>
  </si>
  <si>
    <t>CHO-5174</t>
  </si>
  <si>
    <t>Provide documentation for the message broker</t>
  </si>
  <si>
    <t>Release Sprint PI4-6 Artefacts</t>
  </si>
  <si>
    <t>CHO-5263</t>
  </si>
  <si>
    <t>CHO-5330</t>
  </si>
  <si>
    <t>New SSH Keys &amp; distribution script for all till-users</t>
  </si>
  <si>
    <t>CHO-5331</t>
  </si>
  <si>
    <t>Change Store region does not work because of differences in data structures</t>
  </si>
  <si>
    <t>CHO-5342</t>
  </si>
  <si>
    <t>Build hot-fix for changed ssh-keys and user passwords</t>
  </si>
  <si>
    <t>CHO-5388</t>
  </si>
  <si>
    <t>Support SCO placeholder</t>
  </si>
  <si>
    <t>support for NPSCO-18265</t>
  </si>
  <si>
    <t>CHO-5393</t>
  </si>
  <si>
    <t>Support Aldi in setting up Italian test system with fiscal adapter</t>
  </si>
  <si>
    <t>NPSCO-17005</t>
  </si>
  <si>
    <t>Refactor StatusApplicationService so that the latest transaction ID is no longer maintained twice</t>
  </si>
  <si>
    <t>NPSCO-16225</t>
  </si>
  <si>
    <t>[NL UK] Add Fault Reference code in error message</t>
  </si>
  <si>
    <t>NPSCO-17240</t>
  </si>
  <si>
    <t>SCO 3 - transaction command rejected</t>
  </si>
  <si>
    <t>NPSCO-16524</t>
  </si>
  <si>
    <t>Update BEV System documentation by including Bizerba C2</t>
  </si>
  <si>
    <t>NPSCO-16616</t>
  </si>
  <si>
    <t>[7] Build MSI, deploy it on a TestLab SCO, execute a developer test and fix findings</t>
  </si>
  <si>
    <t>NPSCO-16618</t>
  </si>
  <si>
    <t>Delete all Lagom/Akka/Typesafe strings from code base</t>
  </si>
  <si>
    <t>NPSCO-17699</t>
  </si>
  <si>
    <t>Knowledge Transfer for EGC-EPAY</t>
  </si>
  <si>
    <t>NPSCO-17738</t>
  </si>
  <si>
    <t>Maintenance Release 3.10.10</t>
  </si>
  <si>
    <t>NPSCO-17235</t>
  </si>
  <si>
    <t>[Incident Taskforce] Trigger device re-initialisation when printer connection not lost</t>
  </si>
  <si>
    <t>NPSCO-17739</t>
  </si>
  <si>
    <t>Maintenance Release 3.13.6</t>
  </si>
  <si>
    <t>NPSCO-17523</t>
  </si>
  <si>
    <t>Implement logging on service edges with timing information</t>
  </si>
  <si>
    <t>NPSCO-17740</t>
  </si>
  <si>
    <t>Test Maintenance Release 3.10.10 [C]</t>
  </si>
  <si>
    <t>NPSCO-17741</t>
  </si>
  <si>
    <t>Test Maintenance Release 3.10.10 [M]</t>
  </si>
  <si>
    <t>NPSCO-17742</t>
  </si>
  <si>
    <t>Test Maintenance Release 3.13.6 [C]</t>
  </si>
  <si>
    <t>NPSCO-17743</t>
  </si>
  <si>
    <t>Test Maintenance Release 3.13.6 [M]</t>
  </si>
  <si>
    <t>NPSCO-17746</t>
  </si>
  <si>
    <t>Release Build 4.10.0</t>
  </si>
  <si>
    <t>NPSCO-18015</t>
  </si>
  <si>
    <t>Test Maintenance Release 3.18.2 [C]</t>
  </si>
  <si>
    <t>NPSCO-18016</t>
  </si>
  <si>
    <t>Test Maintenance Release 3.18.2 [M]</t>
  </si>
  <si>
    <t>NPSCO-17700</t>
  </si>
  <si>
    <t xml:space="preserve">Knowledge Transfer to Release and update documentation </t>
  </si>
  <si>
    <t>NPSCO-17728</t>
  </si>
  <si>
    <t>Measure and document RAM usage and JVM metrics(RAM?) of the till</t>
  </si>
  <si>
    <t>NPSCO-18250</t>
  </si>
  <si>
    <t>Hotfix Build 3.10.11</t>
  </si>
  <si>
    <t>NPSCO-18251</t>
  </si>
  <si>
    <t>Hotfix Build 3.18.3</t>
  </si>
  <si>
    <t>NPSCO-18128</t>
  </si>
  <si>
    <t>Test Release 4.10.0 [M]</t>
  </si>
  <si>
    <t>NPSCO-17747</t>
  </si>
  <si>
    <t>Test Task 3.10.10</t>
  </si>
  <si>
    <t>NPSCO-17748</t>
  </si>
  <si>
    <t>Test Task 3.13.6</t>
  </si>
  <si>
    <t>NPSCO-17785</t>
  </si>
  <si>
    <t>Test Task 3.18.2</t>
  </si>
  <si>
    <t>NPSCO-18056</t>
  </si>
  <si>
    <t>Estimation Demands</t>
  </si>
  <si>
    <t>NPSCO-18026</t>
  </si>
  <si>
    <t>Testing Maintenance Release 3.13.6</t>
  </si>
  <si>
    <t>NPSCO-18035</t>
  </si>
  <si>
    <t>gsd and nit users does not have access to read SCO db</t>
  </si>
  <si>
    <t>NPSCO-18050</t>
  </si>
  <si>
    <t>Maintenance Release 3.18.2 Test Part II</t>
  </si>
  <si>
    <t>NPSCO-18051</t>
  </si>
  <si>
    <t>Testing Release 4.10.0</t>
  </si>
  <si>
    <t>NPSCO-18052</t>
  </si>
  <si>
    <t>Maintenance Release 3.10.10 Test</t>
  </si>
  <si>
    <t>NPSCO-18113</t>
  </si>
  <si>
    <t>Test Task 4.10.0</t>
  </si>
  <si>
    <t>NPSCO-18216</t>
  </si>
  <si>
    <t>Spring Migration - Issues found before merge</t>
  </si>
  <si>
    <t>NPSCO-18227</t>
  </si>
  <si>
    <t>NPSCO-18233</t>
  </si>
  <si>
    <t>SCO - Unable to Complete Transactions When Tax Middleware Service is Down - US</t>
  </si>
  <si>
    <t>NPSCO-18253</t>
  </si>
  <si>
    <t>Cherry Pick Hotfix Release 3.10.11</t>
  </si>
  <si>
    <t>NPSCO-18255</t>
  </si>
  <si>
    <t>Cherry Pick Hotfix Release 3.18.3</t>
  </si>
  <si>
    <t>NPSCO-18265</t>
  </si>
  <si>
    <t>SCO - Unable to Complete Interventions from ATS</t>
  </si>
  <si>
    <t>NPSCO-18267</t>
  </si>
  <si>
    <t>NPSCO-18285</t>
  </si>
  <si>
    <t>Test Task 3.10.11</t>
  </si>
  <si>
    <t>NPSCO-18287</t>
  </si>
  <si>
    <t>Test Task 3.18.3</t>
  </si>
  <si>
    <t>NPSCO-7353</t>
  </si>
  <si>
    <t>Integrate Bizerba C2 POS Scale driver</t>
  </si>
  <si>
    <t xml:space="preserve">Handle partial/split EGC payments in the transaction after shutdown  </t>
  </si>
  <si>
    <t>ANP-23496</t>
  </si>
  <si>
    <t>[4.0A][AT] Active 'tim-terminal-p400' parameter causes Simulated Till to be perpetually stuck at step 'TERMINAL INITIALIZATION'</t>
  </si>
  <si>
    <t>Our analysis came to the conclusion that the software works as designed but we expect the description is not as precise as we would have needed it. Therefore the issue is subject of futher refinements and may pe pulled to a later sprint</t>
  </si>
  <si>
    <t>Despite huge efforts it was not possible to reproduce the issue.  Because of the priority of this issue we will keep it in the next sprint backlog and try to progress as much as possible</t>
  </si>
  <si>
    <r>
      <t xml:space="preserve">v  v  Bitte unbedingt diese </t>
    </r>
    <r>
      <rPr>
        <b/>
        <sz val="10"/>
        <color rgb="FFFF0000"/>
        <rFont val="Comic Sans MS"/>
        <family val="4"/>
      </rPr>
      <t>Status</t>
    </r>
    <r>
      <rPr>
        <sz val="10"/>
        <color rgb="FFFF0000"/>
        <rFont val="Comic Sans MS"/>
        <family val="4"/>
      </rPr>
      <t xml:space="preserve"> verwenden!  v  v  v</t>
    </r>
  </si>
  <si>
    <t>ANP-23700</t>
  </si>
  <si>
    <t>[IRL] Card payment throws Wrong Terminal State error on SimTill</t>
  </si>
  <si>
    <t>ANP-22892</t>
  </si>
  <si>
    <t>reg 1,2, and 3 - PC freezing constantly</t>
  </si>
  <si>
    <t>ANP-20270</t>
  </si>
  <si>
    <t>AUS End of Day: Bank not found in configuration</t>
  </si>
  <si>
    <t>We encountered additional challenges when merging the issue on the NP Application Test repository that could not be resolved until the end of the Sprint.</t>
  </si>
  <si>
    <t>Unfortunately this Story will spill over to PI4-6. Once the coding and testing was successful we had issues with the NP Application tests.</t>
  </si>
  <si>
    <t>ANP-23778</t>
  </si>
  <si>
    <t>Revert ANP-22433 from master</t>
  </si>
  <si>
    <t>Unfortunately this Story will also spill over to Sprint PI4-6. We did not anticipate the need for an additional CHOP configuration and we encountered challenges during testing that made the completion within PI4-5 impossible.</t>
  </si>
  <si>
    <t>ANP-23193</t>
  </si>
  <si>
    <t>Redesigned / deleted / disabled for OfflineDetectionRunnableTest</t>
  </si>
  <si>
    <t>Unfortunatly this Story will also spill over to PI4-6.</t>
  </si>
  <si>
    <t>ANP-19527</t>
  </si>
  <si>
    <t>Remove secret from monitoring</t>
  </si>
  <si>
    <t>ANP-23960</t>
  </si>
  <si>
    <t xml:space="preserve">	Support to stabalize master build</t>
  </si>
  <si>
    <t>ANP-22907</t>
  </si>
  <si>
    <t>Remove cho-updater invocation from NEWPOSS post-install scripts</t>
  </si>
  <si>
    <t>ANP-23717</t>
  </si>
  <si>
    <t>Newposs updater does not remove packages when required during update</t>
  </si>
  <si>
    <t>ANP-23917</t>
  </si>
  <si>
    <t>Fix newposs-client signature during jenkins build</t>
  </si>
  <si>
    <t>CHO-1520</t>
  </si>
  <si>
    <t>Decide to whom the certificates of fiscalization in Austria and Slovenia belong and move them accordingly</t>
  </si>
  <si>
    <t>CHO-4293</t>
  </si>
  <si>
    <t>Depends on input from DN</t>
  </si>
  <si>
    <t>CHO-4519</t>
  </si>
  <si>
    <t>Increase the root user's password length to 64 characters (MIT0013124)</t>
  </si>
  <si>
    <t>CHO-4737</t>
  </si>
  <si>
    <t>Define a CMDB interface</t>
  </si>
  <si>
    <t>CHO-4852</t>
  </si>
  <si>
    <t>Analyse and handle usb device with kernel 3-8.1.2</t>
  </si>
  <si>
    <t>CHO-4915</t>
  </si>
  <si>
    <t>Release Sprint PI4-5 Artefacts</t>
  </si>
  <si>
    <t>CHO-4955</t>
  </si>
  <si>
    <t>CDT Client reports Local IP address does not match certificate if till client is offline</t>
  </si>
  <si>
    <t>CHO-4957</t>
  </si>
  <si>
    <t>Provide documentation for NHPI printer reconfiguration</t>
  </si>
  <si>
    <t>CHO-4965</t>
  </si>
  <si>
    <t>Pick ANP-20185 and ANP-22214 changes for Release 1.25D</t>
  </si>
  <si>
    <t>CHO-4966</t>
  </si>
  <si>
    <t>kickstart_postinstall_restore.log missing after installation</t>
  </si>
  <si>
    <t>CHO-5007</t>
  </si>
  <si>
    <t>Upgrade Base OS to Rocky 9.5</t>
  </si>
  <si>
    <t>CHO-5011</t>
  </si>
  <si>
    <t>SCO touch-displays do not respond to input</t>
  </si>
  <si>
    <t>CHO-5019</t>
  </si>
  <si>
    <t>Implement container log management</t>
  </si>
  <si>
    <t>CHO-5020</t>
  </si>
  <si>
    <t>Fix permission warnings from mosquitto logs</t>
  </si>
  <si>
    <t>CHO-5028</t>
  </si>
  <si>
    <t>A scratch installation, SCO shortcuts zip-till-logs and debug-info save all .log files under /var/log/assco</t>
  </si>
  <si>
    <t>CHO-5076</t>
  </si>
  <si>
    <t>Supply a list of devices that can state their serial number</t>
  </si>
  <si>
    <t>CHO-5077</t>
  </si>
  <si>
    <t>CHO-5090</t>
  </si>
  <si>
    <t>Explicitly managing bizerba CS300 file permissions conflicts with bizerba C2 rpm installation</t>
  </si>
  <si>
    <t>CHO-7</t>
  </si>
  <si>
    <t>Check and delete expired slo certificates if there are no dependencies</t>
  </si>
  <si>
    <t>[SCO] Provide API endpoint for layout sale receipts as PDF</t>
  </si>
  <si>
    <t>After spillover: Merge and tests are still left to do. Remaining estimate is 1 SP. Main driver of unexpected effort was analysis regarding the thread safety.</t>
  </si>
  <si>
    <t>BF-396</t>
  </si>
  <si>
    <t>[ADAPTER] Send receipts with receipt discount information from butterfly adapter to Yocuda</t>
  </si>
  <si>
    <t>BF-307</t>
  </si>
  <si>
    <t>[SCO] Export simple sale receipt to Butterfly adapter</t>
  </si>
  <si>
    <t>BF-410</t>
  </si>
  <si>
    <t>[ADAPTER] Improve Butterfly adapter configuration</t>
  </si>
  <si>
    <t>will be a spillover</t>
  </si>
  <si>
    <t>BF-446</t>
  </si>
  <si>
    <t>[ADAPTER] Replace GrpcAdvice by ServerInterceptor</t>
  </si>
  <si>
    <t>BF-457</t>
  </si>
  <si>
    <t>[ADAPTER] Retrieve a customer's loyalty information from CEE</t>
  </si>
  <si>
    <t>BF-458</t>
  </si>
  <si>
    <t>[ADAPTER] Align attributes sent to Yocuda with expected mapping</t>
  </si>
  <si>
    <t>BF-559</t>
  </si>
  <si>
    <t>[ADAPTER][SCO][SPIKE] Clarify what is needed for establishing a connection from checkouts to CEE and Yocuda from the Gebit test lab and notify people responsible if needed</t>
  </si>
  <si>
    <t>Fixed with ticket ITH-1795</t>
  </si>
  <si>
    <t>BF-440</t>
  </si>
  <si>
    <t>Onboarding Nicolai</t>
  </si>
  <si>
    <t>ANP-23889</t>
  </si>
  <si>
    <t>[CHOP] Card payment fails, because PinPrinting activation fails for non-PinPrinting articles</t>
  </si>
  <si>
    <t>no fix necessary</t>
  </si>
  <si>
    <t>small issue with integrity tests required temporary status revert</t>
  </si>
  <si>
    <t>likely complete by end of sprint</t>
  </si>
  <si>
    <t>ANP-18159</t>
  </si>
  <si>
    <t>[Preliminary Tests] SVS &amp; etc/Medion for Sale of Internal and External EGC</t>
  </si>
  <si>
    <t>ANP-23350</t>
  </si>
  <si>
    <t>Post Release Tasks for NP Release 4.5.0</t>
  </si>
  <si>
    <t>ANP-18173</t>
  </si>
  <si>
    <t>Translations to IT &amp; FR</t>
  </si>
  <si>
    <t>Implementation accepted by PO</t>
  </si>
  <si>
    <t>ANP-23769</t>
  </si>
  <si>
    <t>ANP-20895 check 801-036 different prices on POS</t>
  </si>
  <si>
    <t>Merge pending</t>
  </si>
  <si>
    <t>ANP-22995</t>
  </si>
  <si>
    <t>In TCS-3454 at Step 8, void of earlier EGC activation receipt is not successful. Till displays 'Void not possible'.</t>
  </si>
  <si>
    <t>ANP-23677</t>
  </si>
  <si>
    <t>US - Voided transactions containing LINKED ITEMS are not processed in transactiondataqueue table</t>
  </si>
  <si>
    <t>ANP-20250</t>
  </si>
  <si>
    <t>Technical change: Source for Receipt Layout from Compas to local resource for receipt shooting layouted receipts</t>
  </si>
  <si>
    <t>Tests currently running</t>
  </si>
  <si>
    <t>ANP-23187</t>
  </si>
  <si>
    <t>Enable configuration of cashier name and number on cashier display at the MCO</t>
  </si>
  <si>
    <t>ANP-23497</t>
  </si>
  <si>
    <t>ANP-23671</t>
  </si>
  <si>
    <t>Adjust confirmation workflow for MCO restart after triggered resynch</t>
  </si>
  <si>
    <t>Tests need to run after code freeze lift + merge</t>
  </si>
  <si>
    <t>ANP-23436</t>
  </si>
  <si>
    <t>[SPIKE] Analyze the checkMK monitoring values used for the deprecated Replication Interface related to master data polling and processing</t>
  </si>
  <si>
    <t>ANP-23895</t>
  </si>
  <si>
    <t>Build MCO part of NEWPOSS release 3.10.17</t>
  </si>
  <si>
    <t>ANP-23904</t>
  </si>
  <si>
    <t>Analyse need of Integrity test for ANP-22666</t>
  </si>
  <si>
    <t>ANP-23894</t>
  </si>
  <si>
    <t xml:space="preserve">Review ANP-22433 </t>
  </si>
  <si>
    <t>ANP-15469 *</t>
  </si>
  <si>
    <t>Allow inner classes in case of functional interfaces in ArchUnit rules</t>
  </si>
  <si>
    <t xml:space="preserve">
Story</t>
  </si>
  <si>
    <t>ANP-17917</t>
  </si>
  <si>
    <t>Check and solve instanceof handling at equals methods</t>
  </si>
  <si>
    <t>ANP-23572</t>
  </si>
  <si>
    <t>[SPIKE] - Automate the Parameter Post Release Tasks</t>
  </si>
  <si>
    <t>ANP-23628</t>
  </si>
  <si>
    <t>[SPIKE] - Investigate the possibility of splitting API from scale satellite implementation</t>
  </si>
  <si>
    <t>ANP-23720</t>
  </si>
  <si>
    <t>Cover HeadlessPOSClientApplication with unit tests</t>
  </si>
  <si>
    <t>ANP-23957 *</t>
  </si>
  <si>
    <t>Stabilize till-dev master builds</t>
  </si>
  <si>
    <t>ANP-14529</t>
  </si>
  <si>
    <t>[SPIKE] automate the update to new version in till/till-application-tests</t>
  </si>
  <si>
    <t>ANP-16465</t>
  </si>
  <si>
    <t>Remove and fix private references in exported OSGi classes</t>
  </si>
  <si>
    <t>ANP-23533</t>
  </si>
  <si>
    <t>Concept for MCO: FiscalNullStartReceipt creation during CSR</t>
  </si>
  <si>
    <t>NPSCO-16711</t>
  </si>
  <si>
    <t>Adapt pricing and purchase service to keep prices for same articles constant on a receipt</t>
  </si>
  <si>
    <t>NPSCO-17361</t>
  </si>
  <si>
    <t>Evaluate different approaches for observability</t>
  </si>
  <si>
    <t>NPSCO-17712</t>
  </si>
  <si>
    <t>Improve memory setting for systems with 16 GB RAM</t>
  </si>
  <si>
    <t>NPSCO-17713</t>
  </si>
  <si>
    <t>Integrate new EFT driver in SCO (Pepper removal) - UK</t>
  </si>
  <si>
    <t>NPSCO-17717</t>
  </si>
  <si>
    <t>[US + AUS] Update fails from 3.13.4 to SCO-Client 3.13.5 (postgres migration/update is failing)</t>
  </si>
  <si>
    <t>NPSCO-17745</t>
  </si>
  <si>
    <t>Test Task 4.9.0</t>
  </si>
  <si>
    <t>NPSCO-17749</t>
  </si>
  <si>
    <t>Cherry Picking Maintenance Release 3.10.10</t>
  </si>
  <si>
    <t>NPSCO-17750</t>
  </si>
  <si>
    <t>Cherry Picking Maintenance Release 3.13.6</t>
  </si>
  <si>
    <t>NPSCO-17751</t>
  </si>
  <si>
    <t>Cherry Picking Maintenance Release 3.18.2</t>
  </si>
  <si>
    <t>NPSCO-11856</t>
  </si>
  <si>
    <t>[SPIKE] Setup and use the Bizerba C2 POS Scale driver 64 bit version [4 Days]</t>
  </si>
  <si>
    <t>NPSCO-16619</t>
  </si>
  <si>
    <t>[9] Remove code from package assco-pos-app-adap‎ter-local-testsupport</t>
  </si>
  <si>
    <t>NPSCO-16620</t>
  </si>
  <si>
    <t>[10] Document changes to POS that were necessary to get it running with Spring Boot</t>
  </si>
  <si>
    <t>NPSCO-17241</t>
  </si>
  <si>
    <t>SCO Legacy &amp; AHEAD - CPD TaxableAmount field incorrect for Partial EBT and Voided line items</t>
  </si>
  <si>
    <t>NPSCO-17297</t>
  </si>
  <si>
    <t>Onboarding Jörg Enkel</t>
  </si>
  <si>
    <t>NPSCO-17380</t>
  </si>
  <si>
    <t>Testing Maintenance Release 3.18.2</t>
  </si>
  <si>
    <t>NPSCO-17455</t>
  </si>
  <si>
    <t>Fix UK and baseline component tests</t>
  </si>
  <si>
    <t>NPSCO-17540</t>
  </si>
  <si>
    <t>[US] SCO-adapter exports taxSums although tax middleware is offline</t>
  </si>
  <si>
    <t>NPSCO-17711</t>
  </si>
  <si>
    <t>Cancel button in weighing process leads to an exception</t>
  </si>
  <si>
    <t>NPSCO-17722</t>
  </si>
  <si>
    <t>Knowledge transfer release building and update release documentation</t>
  </si>
  <si>
    <t>NPSCO-17725</t>
  </si>
  <si>
    <t>Testing Release 4.9.0</t>
  </si>
  <si>
    <t>NPSCO-17726</t>
  </si>
  <si>
    <t>Support Maintenance Release 3.10.10 and 3.13.6</t>
  </si>
  <si>
    <t>will be finalized at the sprint end</t>
  </si>
  <si>
    <t>NPSCO-16949</t>
  </si>
  <si>
    <t>[SCO] POS printer don't respond after update with boot error</t>
  </si>
  <si>
    <t xml:space="preserve">Will solve problems for NPSCO-16949 </t>
  </si>
  <si>
    <t>NPSCO-17376</t>
  </si>
  <si>
    <t>Maintenance Release Build 3.18.2</t>
  </si>
  <si>
    <t>NPSCO-16369</t>
  </si>
  <si>
    <t>Errorhandling of failing Article lookup during EGC payment</t>
  </si>
  <si>
    <t>NPSCO-16483</t>
  </si>
  <si>
    <t>Different representation of the EGC card number in the Receipt and Activation Receipt</t>
  </si>
  <si>
    <t>in Test</t>
  </si>
  <si>
    <t>NPSCO-16516</t>
  </si>
  <si>
    <t>Voided EGC payment still on printed receipt</t>
  </si>
  <si>
    <t>NPSCO-17294</t>
  </si>
  <si>
    <t>SupportNOW - SCO - Wrong Price</t>
  </si>
  <si>
    <t>NPSCO-17318</t>
  </si>
  <si>
    <t>Update Release documentation</t>
  </si>
  <si>
    <t>NPSCO-17330</t>
  </si>
  <si>
    <t>Fix SonarQube issues in FTH</t>
  </si>
  <si>
    <t>NPSCO-17515</t>
  </si>
  <si>
    <t>Release Build 4.9.0</t>
  </si>
  <si>
    <t>NPSCO-17714</t>
  </si>
  <si>
    <t>Create plan for test tool</t>
  </si>
  <si>
    <t>NPSCO-17735</t>
  </si>
  <si>
    <t>Change the IDE tooling</t>
  </si>
  <si>
    <t>NPSCO-17736</t>
  </si>
  <si>
    <t>Test Release 4.9.0 [C]</t>
  </si>
  <si>
    <t>NPSCO-17737</t>
  </si>
  <si>
    <t>Test Release 4.9.0 [M]</t>
  </si>
  <si>
    <t>Blocked regarding release tests</t>
  </si>
  <si>
    <t>Knowledge Transfer to Release and update documentation</t>
  </si>
  <si>
    <t>New delivery date: 16.12</t>
  </si>
  <si>
    <t>New delivery date: 16.13</t>
  </si>
  <si>
    <t>New delivery date: 16.14</t>
  </si>
  <si>
    <t>NPSCO-18013</t>
  </si>
  <si>
    <t>Pre-Test newest Purchase Version with OPS changes</t>
  </si>
  <si>
    <t>ANP-23144</t>
  </si>
  <si>
    <t>BF-388 Jenkins</t>
  </si>
  <si>
    <t>ANP-23192</t>
  </si>
  <si>
    <t>Extend error message for cashier with error 10045 "scale sentry"/"Shrink Monitoring"</t>
  </si>
  <si>
    <t>ANP-23245</t>
  </si>
  <si>
    <t>BF-55 Promo</t>
  </si>
  <si>
    <t>ANP-23584</t>
  </si>
  <si>
    <t>BF-404 Identify</t>
  </si>
  <si>
    <t>ANP-23585</t>
  </si>
  <si>
    <t>BF-405 PDF Spike</t>
  </si>
  <si>
    <t>ANP-23586</t>
  </si>
  <si>
    <t>BF-44 Adapter local</t>
  </si>
  <si>
    <t>ANP-23590</t>
  </si>
  <si>
    <t>Support with testing IT Fiscal Server MCO/SCO</t>
  </si>
  <si>
    <t>ANP-23629</t>
  </si>
  <si>
    <t>IT Fiscal Printer not printing Datamatrix codes</t>
  </si>
  <si>
    <t>ANP-21712</t>
  </si>
  <si>
    <t>[SPIKE] Mettler Toledo module installation</t>
  </si>
  <si>
    <t>ANP-23919 *</t>
  </si>
  <si>
    <t>ANP-23967 *</t>
  </si>
  <si>
    <t>Support Mettler Toledo testing in Aldi Testlab</t>
  </si>
  <si>
    <t>Sprint 4_4,  13.11.2024 - 26.11.2024, Status at Sprint Completion</t>
  </si>
  <si>
    <t>Spill-over sensitive (SOS) and Carry-over sensitive (COS)</t>
  </si>
  <si>
    <r>
      <t xml:space="preserve">Bitte unbedingt die Team-Namen aus der </t>
    </r>
    <r>
      <rPr>
        <b/>
        <i/>
        <sz val="10"/>
        <color rgb="FFFF0000"/>
        <rFont val="Aptos"/>
        <family val="2"/>
      </rPr>
      <t>Team Summary</t>
    </r>
    <r>
      <rPr>
        <b/>
        <sz val="10"/>
        <color rgb="FFFF0000"/>
        <rFont val="Aptos"/>
        <family val="2"/>
      </rPr>
      <t xml:space="preserve"> verwenden! ------&gt;</t>
    </r>
  </si>
  <si>
    <t>[ANP-21583]</t>
  </si>
  <si>
    <t>Integrity Tests sind massenhaft rot; technische Schuld hat sich sehr groß herausgestellt</t>
  </si>
  <si>
    <t>[ANP-21635]</t>
  </si>
  <si>
    <t>Disimplement Rebooking of Payments with failed signature check - Extension deprecation</t>
  </si>
  <si>
    <t>wird im Laufe des Tage (26.11.) gemerged</t>
  </si>
  <si>
    <t>[ANP-23181]</t>
  </si>
  <si>
    <t>wahrscheinlich morgen (27.) erst fertig</t>
  </si>
  <si>
    <t>[ANP-23497]</t>
  </si>
  <si>
    <t>[ANP-23346]</t>
  </si>
  <si>
    <t>Build Release 4.5.0</t>
  </si>
  <si>
    <t>[ANP-23350]</t>
  </si>
  <si>
    <t>hängt am BO</t>
  </si>
  <si>
    <t>[ANP-22916]</t>
  </si>
  <si>
    <t>get messages related to payment in conjunction with article tender restrictions</t>
  </si>
  <si>
    <t>[ANP-23057]</t>
  </si>
  <si>
    <t>lay the foundation for integrity testing multilane AT</t>
  </si>
  <si>
    <t>[ANP-23670]</t>
  </si>
  <si>
    <t>ANP-14075</t>
  </si>
  <si>
    <t>Start UK lottery services only in UK</t>
  </si>
  <si>
    <t>ANP-11593</t>
  </si>
  <si>
    <t>Amend count of articles with linked service articles on VGA display and receipt</t>
  </si>
  <si>
    <t>ANP-22950</t>
  </si>
  <si>
    <t xml:space="preserve">  Activation of 8+Code (HU, SL, IT) and 18+Code (SL, IT)</t>
  </si>
  <si>
    <t>ANP-23107</t>
  </si>
  <si>
    <t>Till does not sync to CFRM changes. Sync only happens after aldi_compas_mv.db is deleted and the till has been restarted.</t>
  </si>
  <si>
    <t>ANP-23008</t>
  </si>
  <si>
    <t>Enable testability of UK Systems</t>
  </si>
  <si>
    <t>ANP-23195</t>
  </si>
  <si>
    <t>Change printed cashier name to cashier number on tax refund receipt</t>
  </si>
  <si>
    <t>ANP-23470</t>
  </si>
  <si>
    <t>3.2B4 &amp; 3.2B5 PECW/PERW items not ringing correctly at ECO's, asking to be weighed when entering item code, cannot scan UPC's</t>
  </si>
  <si>
    <t>CHO-3253</t>
  </si>
  <si>
    <t>Provide Mosquitto-Service</t>
  </si>
  <si>
    <t>CHO-3436</t>
  </si>
  <si>
    <t>Implement update mechanism for containers</t>
  </si>
  <si>
    <t>CHO-3440</t>
  </si>
  <si>
    <t>Define convention on providing persistent storage to containers</t>
  </si>
  <si>
    <t>CHO-4468</t>
  </si>
  <si>
    <t>Implement CheckMK checks that monitor devices connected to an MCO till</t>
  </si>
  <si>
    <t>CHO-4469</t>
  </si>
  <si>
    <t>Implement CheckMK checks that monitor devices connected to an SCO till</t>
  </si>
  <si>
    <t>CHO-4829</t>
  </si>
  <si>
    <t>Kickstart postinstall logs are empty</t>
  </si>
  <si>
    <t>CHO-4863</t>
  </si>
  <si>
    <t>Reduce disk consumption of Jenkins-Builds</t>
  </si>
  <si>
    <t>CHO-4937</t>
  </si>
  <si>
    <t>Run CIS Benchmark for PI4</t>
  </si>
  <si>
    <t>CHO-4972</t>
  </si>
  <si>
    <t>Investigate issues with fiscal adapter IT on MCO</t>
  </si>
  <si>
    <t>CHO-5006</t>
  </si>
  <si>
    <t>Provide CHO-Platform releases with Bizerba Software Display version 4</t>
  </si>
  <si>
    <t>short-term high-priority addition by AS, potential fix for CHO-4739</t>
  </si>
  <si>
    <t>CHO-3254</t>
  </si>
  <si>
    <t>Monitoring checks for Mosquitto</t>
  </si>
  <si>
    <t>CHO-3255</t>
  </si>
  <si>
    <t>Ensure Delivery of Messages that arrived before the consumers were started</t>
  </si>
  <si>
    <t>CHO-3435</t>
  </si>
  <si>
    <t>Implement automated security scan for container images</t>
  </si>
  <si>
    <t>CHO-3437</t>
  </si>
  <si>
    <t>Provide connection information to client systems in a secure way</t>
  </si>
  <si>
    <t>likely to be completed until Nov 26 EOB</t>
  </si>
  <si>
    <t>awaiting feedback from DN</t>
  </si>
  <si>
    <t>CHO-4739</t>
  </si>
  <si>
    <t>AT Scales are randomly not working 3.1A/3.2B</t>
  </si>
  <si>
    <t>CHO-4864</t>
  </si>
  <si>
    <t>Timesync issues between the till PC and the Store Server.</t>
  </si>
  <si>
    <t>Release Sprint PI4-4 Artefacts</t>
  </si>
  <si>
    <t>release will be built in the next sprint</t>
  </si>
  <si>
    <t>CHO-4939</t>
  </si>
  <si>
    <t>Evaluate software provided by DN</t>
  </si>
  <si>
    <t>will be completed until Nov 26 EOB</t>
  </si>
  <si>
    <t>CHO-4940</t>
  </si>
  <si>
    <t>[2PT] TLRD tasks</t>
  </si>
  <si>
    <t>NPSCO-17319</t>
  </si>
  <si>
    <t>Integrate new EFT driver in SCO (Pepper removal)</t>
  </si>
  <si>
    <t>will be completed on sprint end</t>
  </si>
  <si>
    <t>Spillover</t>
  </si>
  <si>
    <t>NPSCO-17343</t>
  </si>
  <si>
    <t>ASSCO updater does not update packages from cho-dependencies repositories</t>
  </si>
  <si>
    <t>NPSCO-17382</t>
  </si>
  <si>
    <t>Plan and create stories for Logging, Tracing and Monitoring epic NPSCO-17084</t>
  </si>
  <si>
    <t>NPSCO-17086</t>
  </si>
  <si>
    <t>Fix SonarQube findings (RP-Services and Library config client)</t>
  </si>
  <si>
    <t>NPSCO-16980</t>
  </si>
  <si>
    <t>Remove docker desktop dependency</t>
  </si>
  <si>
    <t>Spillover -will removed for the next sprint</t>
  </si>
  <si>
    <t>NPSCO-17424</t>
  </si>
  <si>
    <t>Support Maintenance Release 3.18.2</t>
  </si>
  <si>
    <t>NPSCO-16188</t>
  </si>
  <si>
    <t>[NL UK] Change some attendant interventions into customer messages</t>
  </si>
  <si>
    <t>NPSCO-17420</t>
  </si>
  <si>
    <t>Test Task 4.8.0</t>
  </si>
  <si>
    <t>NPSCO-17298</t>
  </si>
  <si>
    <t>Onboarding Kai Lippert</t>
  </si>
  <si>
    <t>NPSCO-17367</t>
  </si>
  <si>
    <t>SCO-adapter keystore is not updated/reloaded in case certificate is updated</t>
  </si>
  <si>
    <t>NPSCO-17379</t>
  </si>
  <si>
    <t>Testing Release 4.8.0</t>
  </si>
  <si>
    <t>NPSCO-15728</t>
  </si>
  <si>
    <t>[SCO Pentest] m4: Disable Reflection in gRPC Service</t>
  </si>
  <si>
    <t>NPSCO-16614</t>
  </si>
  <si>
    <t>[5] Fix failing jenkins build</t>
  </si>
  <si>
    <t>NPSCO-16610</t>
  </si>
  <si>
    <t>[2] Wire all beans as Spring @Component that where automatically wired by Guice before starting migration to Spring</t>
  </si>
  <si>
    <t>NPSCO-17452</t>
  </si>
  <si>
    <t>Fix CH component tests</t>
  </si>
  <si>
    <t>NPSCO-17453</t>
  </si>
  <si>
    <t>Fix IRL component tests</t>
  </si>
  <si>
    <t>NPSCO-17454</t>
  </si>
  <si>
    <t>Fix ITA component tests</t>
  </si>
  <si>
    <t>NPSCO-17456</t>
  </si>
  <si>
    <t>Fix US component tests</t>
  </si>
  <si>
    <t>NPSCO-16615</t>
  </si>
  <si>
    <t>[6] Get all POS adapter launchers running</t>
  </si>
  <si>
    <t>NPSCO-15469</t>
  </si>
  <si>
    <t>[SCO CH][Test] Provide configured (CFRM) language for region to TPiScan</t>
  </si>
  <si>
    <t>NPSCO-17463</t>
  </si>
  <si>
    <t>Write test concept for pos-adapter spring migration</t>
  </si>
  <si>
    <t>NPSCO-17551</t>
  </si>
  <si>
    <t>NPSCO-17451</t>
  </si>
  <si>
    <t>Fix AUS component tests</t>
  </si>
  <si>
    <t>NPSCO-16617</t>
  </si>
  <si>
    <t>[8] Close the Gib-Gas-GUI when Bootstrap fails</t>
  </si>
  <si>
    <t>NPSCO-17705</t>
  </si>
  <si>
    <t>Setup docker images for Rocky Linux based VSS International R27.1</t>
  </si>
  <si>
    <t>NPSCO-17180</t>
  </si>
  <si>
    <t>Release Build 4.8.0</t>
  </si>
  <si>
    <t>NPSCO-17519</t>
  </si>
  <si>
    <t>Test Release 4.8.0 [M]</t>
  </si>
  <si>
    <t>NPSCO-17520</t>
  </si>
  <si>
    <t>Test Release 4.8.0 [C]</t>
  </si>
  <si>
    <t>NPSCO-16998</t>
  </si>
  <si>
    <t>Incident - declined payment, in AHEAD Stores the amount is being sent through to CPD but for Legacy Stores 0 amount is being sent through</t>
  </si>
  <si>
    <t>NPSCO-17140</t>
  </si>
  <si>
    <t>Check Baseline Criteria for DN-Interface test for QF-Test</t>
  </si>
  <si>
    <t>NPSCO-17106</t>
  </si>
  <si>
    <t>Action plan for EGC</t>
  </si>
  <si>
    <t>NPSCO-15432</t>
  </si>
  <si>
    <t>Remove workaround for unnecessary balance inquiry</t>
  </si>
  <si>
    <t>NPSCO-17059</t>
  </si>
  <si>
    <t>SCO 9 (reg 15) printer incorrect/bad print formatting.</t>
  </si>
  <si>
    <t>NPSCO-17374</t>
  </si>
  <si>
    <t>[AnalyseSpike] Handling Donation DIC menu with DN</t>
  </si>
  <si>
    <t>NPSCO-17234</t>
  </si>
  <si>
    <t>Test EGC Event Voucher</t>
  </si>
  <si>
    <t>NPSCO-17464</t>
  </si>
  <si>
    <t>[TechnicalDebt] Remove Stale branches and Build jobs (annually task)</t>
  </si>
  <si>
    <t>ANP-23051</t>
  </si>
  <si>
    <t>Improve Coverage of RVM Locking in Integrity Tests</t>
  </si>
  <si>
    <t>ANP-23145</t>
  </si>
  <si>
    <t>BF-56 Communication</t>
  </si>
  <si>
    <t>ANP-23604 *</t>
  </si>
  <si>
    <t>Merge ANP-22501 to 3.18.4 (Store 2014 3.1)</t>
  </si>
  <si>
    <t>ANP-23243</t>
  </si>
  <si>
    <t>BF-237 Service-API</t>
  </si>
  <si>
    <t>ANP-23476</t>
  </si>
  <si>
    <t>Adjustment in abbreviation of tare on receipt in case of multi-use bags</t>
  </si>
  <si>
    <t>ANP-23629 *</t>
  </si>
  <si>
    <t>BF-412</t>
  </si>
  <si>
    <t>[ADAPTER] Send receipts with deposit refund (vouchers) from butterfly adapter to Yocuda</t>
  </si>
  <si>
    <t>Was actually done at sprint closure. Ticket status was not up to date.</t>
  </si>
  <si>
    <t>BF-409</t>
  </si>
  <si>
    <t>[ADAPTER] Extend Butterfly adapter mock functionalities for CEE communication</t>
  </si>
  <si>
    <t>BF-393</t>
  </si>
  <si>
    <t>[ADAPTER] Add store information to receipts sent from butterfly adapter to Yocuda</t>
  </si>
  <si>
    <t>BF-311</t>
  </si>
  <si>
    <t>ANP-23626</t>
  </si>
  <si>
    <t>Retrieve/Suspend on same POS while NEWPOSS offline</t>
  </si>
  <si>
    <t>ANP-23443</t>
  </si>
  <si>
    <t>Field DISCOUNTVALUE in ALDIASSESSMENTDISCOUNTVALUE does not contain actual discount percentage for percentage based receipt discounts</t>
  </si>
  <si>
    <t>ANP-23442</t>
  </si>
  <si>
    <t>Field COUPONEAN in ALDIASSESSMENTDISCOUNTVALUE is not set</t>
  </si>
  <si>
    <t>ANP-23338</t>
  </si>
  <si>
    <t>Add handling of the PersistenceException to the End of day process for Electronic Gift Cards</t>
  </si>
  <si>
    <t>Use country-specific amount and weight formatting for Weighing Report</t>
  </si>
  <si>
    <t>Due to challenges with our build system we could not complete the merge for the story on time.
The Story will spillover to the next Sprint PI4-5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</si>
</sst>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6">
    <font>
      <sz val="11"/>
      <color theme="1"/>
      <name val="Aptos Narrow"/>
      <family val="2"/>
      <scheme val="minor"/>
    </font>
    <font>
      <u/>
      <sz val="11"/>
      <color theme="10"/>
      <name val="Aptos Narrow"/>
      <family val="2"/>
      <scheme val="minor"/>
    </font>
    <font>
      <b/>
      <sz val="10"/>
      <color theme="1"/>
      <name val="Aptos"/>
      <family val="2"/>
    </font>
    <font>
      <sz val="10"/>
      <color theme="1"/>
      <name val="Aptos"/>
      <family val="2"/>
    </font>
    <font>
      <b/>
      <sz val="10"/>
      <color theme="0"/>
      <name val="Aptos"/>
      <family val="2"/>
    </font>
    <font>
      <sz val="10"/>
      <color rgb="FF000000"/>
      <name val="Aptos"/>
      <family val="2"/>
    </font>
    <font>
      <sz val="10"/>
      <color theme="1"/>
      <name val="Aptos Narrow"/>
      <family val="2"/>
      <scheme val="minor"/>
    </font>
    <font>
      <b/>
      <sz val="10"/>
      <color rgb="FF000000"/>
      <name val="Aptos"/>
      <family val="2"/>
    </font>
    <font>
      <i/>
      <sz val="10"/>
      <color theme="1"/>
      <name val="Aptos"/>
      <family val="2"/>
    </font>
    <font>
      <b/>
      <sz val="11"/>
      <color theme="1"/>
      <name val="Aptos Narrow"/>
      <family val="2"/>
      <scheme val="minor"/>
    </font>
    <font>
      <b/>
      <sz val="11"/>
      <color theme="0"/>
      <name val="Aptos Narrow"/>
      <family val="2"/>
      <scheme val="minor"/>
    </font>
    <font>
      <sz val="11"/>
      <name val="Aptos Narrow"/>
      <family val="2"/>
      <scheme val="minor"/>
    </font>
    <font>
      <sz val="8"/>
      <name val="Aptos Narrow"/>
      <family val="2"/>
      <scheme val="minor"/>
    </font>
    <font>
      <sz val="11"/>
      <color theme="1"/>
      <name val="Aptos Narrow"/>
      <family val="2"/>
      <scheme val="minor"/>
    </font>
    <font>
      <b/>
      <sz val="10"/>
      <color rgb="FFFF0000"/>
      <name val="Aptos"/>
      <family val="2"/>
    </font>
    <font>
      <b/>
      <i/>
      <sz val="10"/>
      <color rgb="FFFF0000"/>
      <name val="Aptos"/>
      <family val="2"/>
    </font>
    <font>
      <b/>
      <sz val="10"/>
      <color rgb="FFFFFFFF"/>
      <name val="Aptos"/>
      <family val="2"/>
    </font>
    <font>
      <sz val="10"/>
      <color rgb="FFFFFFFF"/>
      <name val="Aptos"/>
      <family val="2"/>
    </font>
    <font>
      <sz val="10"/>
      <color rgb="FFFF0000"/>
      <name val="Comic Sans MS"/>
      <family val="4"/>
    </font>
    <font>
      <b/>
      <sz val="10"/>
      <color rgb="FFFF0000"/>
      <name val="Comic Sans MS"/>
      <family val="4"/>
    </font>
    <font>
      <sz val="10"/>
      <color rgb="FF000000"/>
      <name val="Aptos Narrow"/>
      <family val="2"/>
      <scheme val="minor"/>
    </font>
    <font>
      <sz val="10"/>
      <color theme="0" tint="-0.499984740745262"/>
      <name val="Aptos"/>
      <family val="2"/>
    </font>
    <font>
      <sz val="10"/>
      <color rgb="FF242424"/>
      <name val="Aptos Narrow"/>
      <family val="2"/>
      <scheme val="minor"/>
    </font>
    <font>
      <sz val="10"/>
      <color rgb="FF172B4D"/>
      <name val="Aptos Narrow"/>
      <family val="2"/>
      <scheme val="minor"/>
    </font>
    <font>
      <sz val="10"/>
      <color rgb="FFFF0000"/>
      <name val="Aptos"/>
      <family val="2"/>
    </font>
    <font>
      <u/>
      <sz val="10"/>
      <color theme="10"/>
      <name val="Aptos Narrow"/>
      <family val="2"/>
      <scheme val="minor"/>
    </font>
    <font>
      <b/>
      <u/>
      <sz val="10"/>
      <color theme="10"/>
      <name val="Aptos Narrow"/>
      <family val="2"/>
      <scheme val="minor"/>
    </font>
    <font>
      <b/>
      <sz val="10"/>
      <color rgb="FF000000"/>
      <name val="Aptos Narrow"/>
      <family val="2"/>
      <scheme val="minor"/>
    </font>
    <font>
      <sz val="10"/>
      <color theme="0" tint="-0.499984740745262"/>
      <name val="Aptos Narrow"/>
      <family val="2"/>
      <scheme val="minor"/>
    </font>
    <font>
      <u/>
      <sz val="10"/>
      <color rgb="FF000000"/>
      <name val="Aptos Narrow"/>
      <family val="2"/>
      <scheme val="minor"/>
    </font>
    <font>
      <b/>
      <u/>
      <sz val="10"/>
      <color rgb="FF000000"/>
      <name val="Aptos Narrow"/>
      <family val="2"/>
      <scheme val="minor"/>
    </font>
    <font>
      <u/>
      <sz val="10"/>
      <color rgb="FF467886"/>
      <name val="Aptos Narrow"/>
      <family val="2"/>
      <scheme val="minor"/>
    </font>
    <font>
      <b/>
      <sz val="10"/>
      <color rgb="FF172B4D"/>
      <name val="Aptos Narrow"/>
      <family val="2"/>
      <scheme val="minor"/>
    </font>
    <font>
      <sz val="10"/>
      <color rgb="FF172B4D"/>
      <name val="Aptos"/>
      <family val="2"/>
    </font>
    <font>
      <u/>
      <sz val="10"/>
      <color rgb="FF000000"/>
      <name val="Aptos"/>
      <family val="2"/>
    </font>
    <font>
      <sz val="14"/>
      <color rgb="FF172B4D"/>
      <name val="Helvetica Neue"/>
      <family val="2"/>
    </font>
    <font>
      <sz val="8"/>
      <color theme="0" tint="-0.34998626667073579"/>
      <name val="Aptos Narrow"/>
      <family val="2"/>
      <scheme val="minor"/>
    </font>
    <font>
      <sz val="10"/>
      <color theme="1"/>
      <name val="Aptos"/>
      <family val="2"/>
    </font>
    <font>
      <sz val="11"/>
      <color theme="1"/>
      <name val="Calibri"/>
      <family val="2"/>
    </font>
    <font>
      <sz val="10"/>
      <color theme="1"/>
      <name val="Aptos"/>
      <family val="2"/>
    </font>
    <font>
      <i/>
      <sz val="11"/>
      <color theme="1"/>
      <name val="Aptos Narrow"/>
      <family val="2"/>
      <scheme val="minor"/>
    </font>
    <font>
      <b/>
      <i/>
      <sz val="11"/>
      <color theme="1"/>
      <name val="Aptos Narrow"/>
      <family val="2"/>
      <scheme val="minor"/>
    </font>
    <font>
      <sz val="10"/>
      <color rgb="FF000000"/>
      <name val="Aptos"/>
    </font>
    <font>
      <b/>
      <sz val="10"/>
      <color theme="1"/>
      <name val="Aptos"/>
    </font>
    <font>
      <sz val="10"/>
      <color theme="1"/>
      <name val="Aptos"/>
    </font>
    <font>
      <sz val="10"/>
      <color rgb="FFFF0000"/>
      <name val="Aptos"/>
    </font>
    <font>
      <b/>
      <sz val="10"/>
      <color rgb="FFFF0000"/>
      <name val="Aptos"/>
    </font>
    <font>
      <b/>
      <sz val="10"/>
      <color theme="0"/>
      <name val="Aptos"/>
    </font>
    <font>
      <b/>
      <sz val="10"/>
      <color rgb="FFFFFFFF"/>
      <name val="Aptos"/>
    </font>
    <font>
      <b/>
      <sz val="10"/>
      <color rgb="FF000000"/>
      <name val="Aptos"/>
    </font>
    <font>
      <i/>
      <sz val="10"/>
      <color theme="1"/>
      <name val="Aptos"/>
    </font>
    <font>
      <sz val="10"/>
      <color theme="0" tint="-0.499984740745262"/>
      <name val="Aptos"/>
    </font>
    <font>
      <u/>
      <sz val="10"/>
      <color rgb="FF000000"/>
      <name val="Aptos"/>
    </font>
    <font>
      <sz val="14"/>
      <color rgb="FF292A2E"/>
      <name val="Helvetica Neue"/>
      <family val="2"/>
    </font>
    <font>
      <sz val="11"/>
      <color rgb="FF000000"/>
      <name val="Aptos Narrow"/>
      <family val="2"/>
    </font>
    <font>
      <b/>
      <u/>
      <sz val="11"/>
      <color rgb="FF467886"/>
      <name val="Aptos Narrow"/>
      <family val="2"/>
    </font>
  </fonts>
  <fills count="26">
    <fill>
      <patternFill patternType="none"/>
    </fill>
    <fill>
      <patternFill patternType="gray125"/>
    </fill>
    <fill>
      <patternFill patternType="solid">
        <fgColor theme="0"/>
        <bgColor indexed="64"/>
      </patternFill>
    </fill>
    <fill>
      <patternFill patternType="solid">
        <fgColor theme="3" tint="0.49998474074526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bgColor indexed="64"/>
      </patternFill>
    </fill>
    <fill>
      <patternFill patternType="solid">
        <fgColor theme="8" tint="-0.249977111117893"/>
        <bgColor indexed="64"/>
      </patternFill>
    </fill>
    <fill>
      <patternFill patternType="solid">
        <fgColor theme="5" tint="-0.249977111117893"/>
        <bgColor indexed="64"/>
      </patternFill>
    </fill>
    <fill>
      <patternFill patternType="darkUp">
        <fgColor rgb="FFFFC000"/>
        <bgColor theme="0"/>
      </patternFill>
    </fill>
    <fill>
      <patternFill patternType="solid">
        <fgColor theme="3" tint="0.249977111117893"/>
        <bgColor indexed="64"/>
      </patternFill>
    </fill>
    <fill>
      <patternFill patternType="solid">
        <fgColor rgb="FFFFFFFF"/>
        <bgColor indexed="64"/>
      </patternFill>
    </fill>
    <fill>
      <patternFill patternType="solid">
        <fgColor theme="5" tint="0.59999389629810485"/>
        <bgColor indexed="64"/>
      </patternFill>
    </fill>
    <fill>
      <patternFill patternType="solid">
        <fgColor theme="0" tint="-4.9989318521683403E-2"/>
        <bgColor indexed="64"/>
      </patternFill>
    </fill>
    <fill>
      <patternFill patternType="darkUp">
        <fgColor rgb="FFFFC000"/>
        <bgColor theme="0" tint="-4.9989318521683403E-2"/>
      </patternFill>
    </fill>
    <fill>
      <patternFill patternType="solid">
        <fgColor theme="8" tint="0.79998168889431442"/>
        <bgColor theme="8" tint="0.79998168889431442"/>
      </patternFill>
    </fill>
    <fill>
      <patternFill patternType="solid">
        <fgColor rgb="FFF2CEEF"/>
        <bgColor rgb="FFF2CEEF"/>
      </patternFill>
    </fill>
    <fill>
      <patternFill patternType="solid">
        <fgColor rgb="FF0070C0"/>
        <bgColor indexed="64"/>
      </patternFill>
    </fill>
    <fill>
      <patternFill patternType="solid">
        <fgColor rgb="FF00B050"/>
        <bgColor indexed="64"/>
      </patternFill>
    </fill>
    <fill>
      <patternFill patternType="solid">
        <fgColor rgb="FF92D05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0000"/>
        <bgColor indexed="64"/>
      </patternFill>
    </fill>
    <fill>
      <patternFill patternType="solid">
        <fgColor theme="1" tint="0.499984740745262"/>
        <bgColor indexed="64"/>
      </patternFill>
    </fill>
    <fill>
      <patternFill patternType="solid">
        <fgColor rgb="FFFFFF00"/>
        <bgColor indexed="64"/>
      </patternFill>
    </fill>
  </fills>
  <borders count="4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top style="thin">
        <color theme="8" tint="0.39997558519241921"/>
      </top>
      <bottom style="thin">
        <color theme="8" tint="0.39997558519241921"/>
      </bottom>
      <diagonal/>
    </border>
    <border>
      <left/>
      <right/>
      <top style="thin">
        <color rgb="FF000000"/>
      </top>
      <bottom style="double">
        <color theme="8"/>
      </bottom>
      <diagonal/>
    </border>
    <border>
      <left/>
      <right/>
      <top style="thin">
        <color theme="8" tint="0.39997558519241921"/>
      </top>
      <bottom/>
      <diagonal/>
    </border>
    <border>
      <left style="thick">
        <color indexed="64"/>
      </left>
      <right/>
      <top/>
      <bottom/>
      <diagonal/>
    </border>
    <border>
      <left style="thin">
        <color theme="8" tint="0.39997558519241921"/>
      </left>
      <right/>
      <top style="thin">
        <color theme="8" tint="0.39997558519241921"/>
      </top>
      <bottom style="thin">
        <color theme="8" tint="0.39997558519241921"/>
      </bottom>
      <diagonal/>
    </border>
    <border>
      <left style="thick">
        <color indexed="64"/>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medium">
        <color rgb="FF000000"/>
      </left>
      <right/>
      <top style="medium">
        <color rgb="FF000000"/>
      </top>
      <bottom/>
      <diagonal/>
    </border>
    <border>
      <left style="medium">
        <color rgb="FF000000"/>
      </left>
      <right style="thin">
        <color indexed="64"/>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bottom style="medium">
        <color rgb="FF000000"/>
      </bottom>
      <diagonal/>
    </border>
    <border>
      <left style="thin">
        <color indexed="64"/>
      </left>
      <right style="medium">
        <color rgb="FF000000"/>
      </right>
      <top/>
      <bottom style="medium">
        <color rgb="FF000000"/>
      </bottom>
      <diagonal/>
    </border>
    <border>
      <left style="medium">
        <color rgb="FF000000"/>
      </left>
      <right/>
      <top style="medium">
        <color rgb="FF000000"/>
      </top>
      <bottom style="thin">
        <color indexed="64"/>
      </bottom>
      <diagonal/>
    </border>
    <border>
      <left/>
      <right/>
      <top style="medium">
        <color rgb="FF000000"/>
      </top>
      <bottom style="thin">
        <color indexed="64"/>
      </bottom>
      <diagonal/>
    </border>
    <border>
      <left/>
      <right style="medium">
        <color rgb="FF000000"/>
      </right>
      <top style="medium">
        <color rgb="FF000000"/>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thin">
        <color indexed="64"/>
      </right>
      <top/>
      <bottom style="medium">
        <color rgb="FF000000"/>
      </bottom>
      <diagonal/>
    </border>
    <border>
      <left/>
      <right/>
      <top style="medium">
        <color rgb="FF000000"/>
      </top>
      <bottom/>
      <diagonal/>
    </border>
    <border>
      <left style="thin">
        <color indexed="64"/>
      </left>
      <right/>
      <top/>
      <bottom style="medium">
        <color rgb="FF000000"/>
      </bottom>
      <diagonal/>
    </border>
    <border>
      <left style="thin">
        <color rgb="FFD86DCD"/>
      </left>
      <right/>
      <top style="thin">
        <color rgb="FFD86DCD"/>
      </top>
      <bottom style="thin">
        <color rgb="FFD86DCD"/>
      </bottom>
      <diagonal/>
    </border>
    <border>
      <left/>
      <right/>
      <top style="thin">
        <color rgb="FFD86DCD"/>
      </top>
      <bottom style="thin">
        <color rgb="FFD86DCD"/>
      </bottom>
      <diagonal/>
    </border>
    <border>
      <left/>
      <right style="thin">
        <color indexed="64"/>
      </right>
      <top style="thin">
        <color indexed="64"/>
      </top>
      <bottom/>
      <diagonal/>
    </border>
    <border>
      <left/>
      <right/>
      <top/>
      <bottom style="medium">
        <color rgb="FF000000"/>
      </bottom>
      <diagonal/>
    </border>
    <border>
      <left/>
      <right/>
      <top style="thin">
        <color indexed="64"/>
      </top>
      <bottom/>
      <diagonal/>
    </border>
    <border>
      <left style="thin">
        <color theme="8" tint="0.39997558519241921"/>
      </left>
      <right/>
      <top style="thin">
        <color theme="8" tint="0.39997558519241921"/>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thin">
        <color rgb="FF000000"/>
      </left>
      <right style="thin">
        <color rgb="FF000000"/>
      </right>
      <top/>
      <bottom style="thin">
        <color rgb="FF000000"/>
      </bottom>
      <diagonal/>
    </border>
  </borders>
  <cellStyleXfs count="4">
    <xf numFmtId="0" fontId="0" fillId="0" borderId="0"/>
    <xf numFmtId="9" fontId="13"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447">
    <xf numFmtId="0" fontId="0" fillId="0" borderId="0" xfId="0"/>
    <xf numFmtId="0" fontId="3" fillId="0" borderId="0" xfId="0" applyFont="1"/>
    <xf numFmtId="0" fontId="3" fillId="0" borderId="0" xfId="0" applyFont="1" applyAlignment="1">
      <alignment horizontal="center"/>
    </xf>
    <xf numFmtId="0" fontId="2" fillId="0" borderId="1" xfId="0" applyFont="1" applyBorder="1" applyAlignment="1">
      <alignment vertical="center"/>
    </xf>
    <xf numFmtId="0" fontId="3" fillId="0" borderId="0" xfId="0" applyFont="1" applyAlignment="1">
      <alignment horizontal="center" wrapText="1"/>
    </xf>
    <xf numFmtId="0" fontId="3" fillId="0" borderId="0" xfId="0" applyFont="1" applyAlignment="1">
      <alignment vertical="top"/>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3" fillId="0" borderId="10" xfId="0" applyFont="1" applyBorder="1" applyAlignment="1">
      <alignment horizontal="center" vertical="center"/>
    </xf>
    <xf numFmtId="0" fontId="3" fillId="0" borderId="14" xfId="0" applyFont="1" applyBorder="1" applyAlignment="1">
      <alignment vertical="center"/>
    </xf>
    <xf numFmtId="0" fontId="3" fillId="0" borderId="0" xfId="0" applyFont="1" applyAlignment="1">
      <alignment horizontal="center" vertical="center"/>
    </xf>
    <xf numFmtId="0" fontId="4" fillId="6" borderId="6" xfId="0" applyFont="1" applyFill="1" applyBorder="1" applyAlignment="1">
      <alignment horizontal="center" vertical="center"/>
    </xf>
    <xf numFmtId="0" fontId="4" fillId="6" borderId="7" xfId="0" applyFont="1" applyFill="1" applyBorder="1" applyAlignment="1">
      <alignment horizontal="center" vertical="center"/>
    </xf>
    <xf numFmtId="0" fontId="4" fillId="7" borderId="7" xfId="0" applyFont="1" applyFill="1" applyBorder="1" applyAlignment="1">
      <alignment horizontal="center" vertical="center"/>
    </xf>
    <xf numFmtId="0" fontId="4" fillId="7" borderId="13" xfId="0" applyFont="1" applyFill="1" applyBorder="1" applyAlignment="1">
      <alignment horizontal="center" vertical="center"/>
    </xf>
    <xf numFmtId="0" fontId="7" fillId="3" borderId="3" xfId="0" applyFont="1" applyFill="1" applyBorder="1" applyAlignment="1">
      <alignment vertical="center"/>
    </xf>
    <xf numFmtId="0" fontId="3" fillId="0" borderId="8"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3" borderId="6" xfId="0" applyFont="1" applyFill="1" applyBorder="1" applyAlignment="1">
      <alignment horizontal="center" vertical="center"/>
    </xf>
    <xf numFmtId="0" fontId="2" fillId="4" borderId="6" xfId="0" applyFont="1" applyFill="1" applyBorder="1" applyAlignment="1">
      <alignment horizontal="center" vertical="center"/>
    </xf>
    <xf numFmtId="0" fontId="8" fillId="0" borderId="0" xfId="0" applyFont="1" applyAlignment="1">
      <alignment horizontal="right"/>
    </xf>
    <xf numFmtId="1" fontId="3" fillId="0" borderId="10" xfId="0" applyNumberFormat="1" applyFont="1" applyBorder="1" applyAlignment="1">
      <alignment horizontal="center" vertical="center"/>
    </xf>
    <xf numFmtId="0" fontId="3" fillId="0" borderId="14" xfId="0" applyFont="1" applyBorder="1" applyAlignment="1">
      <alignment horizontal="center"/>
    </xf>
    <xf numFmtId="0" fontId="5" fillId="0" borderId="0" xfId="0" applyFont="1"/>
    <xf numFmtId="0" fontId="5" fillId="0" borderId="0" xfId="0" applyFont="1" applyAlignment="1">
      <alignment horizontal="center"/>
    </xf>
    <xf numFmtId="0" fontId="5" fillId="0" borderId="0" xfId="0" applyFont="1" applyAlignment="1">
      <alignment horizontal="left"/>
    </xf>
    <xf numFmtId="4" fontId="5" fillId="0" borderId="0" xfId="0" applyNumberFormat="1" applyFont="1"/>
    <xf numFmtId="0" fontId="2" fillId="3" borderId="11" xfId="0" applyFont="1" applyFill="1" applyBorder="1" applyAlignment="1">
      <alignment horizontal="center" vertical="center" wrapText="1"/>
    </xf>
    <xf numFmtId="0" fontId="3" fillId="0" borderId="11" xfId="0" applyFont="1" applyBorder="1" applyAlignment="1">
      <alignment horizontal="center" vertical="center" wrapText="1"/>
    </xf>
    <xf numFmtId="0" fontId="2" fillId="0" borderId="14" xfId="0" applyFont="1" applyBorder="1" applyAlignment="1">
      <alignment vertical="center"/>
    </xf>
    <xf numFmtId="0" fontId="4" fillId="7" borderId="6" xfId="0" applyFont="1" applyFill="1" applyBorder="1" applyAlignment="1">
      <alignment horizontal="center" vertical="center"/>
    </xf>
    <xf numFmtId="0" fontId="3" fillId="0" borderId="9" xfId="0" applyFont="1" applyBorder="1" applyAlignment="1">
      <alignment horizontal="center" vertical="center"/>
    </xf>
    <xf numFmtId="0" fontId="0" fillId="0" borderId="0" xfId="0" applyAlignment="1">
      <alignment horizontal="center"/>
    </xf>
    <xf numFmtId="0" fontId="7" fillId="0" borderId="0" xfId="0" applyFont="1"/>
    <xf numFmtId="0" fontId="4" fillId="10" borderId="6" xfId="0" applyFont="1" applyFill="1" applyBorder="1" applyAlignment="1">
      <alignment horizontal="center" vertical="center"/>
    </xf>
    <xf numFmtId="0" fontId="4" fillId="10" borderId="11" xfId="0" applyFont="1" applyFill="1" applyBorder="1" applyAlignment="1">
      <alignment horizontal="center" vertical="center" wrapText="1"/>
    </xf>
    <xf numFmtId="9" fontId="3" fillId="0" borderId="10" xfId="0" applyNumberFormat="1" applyFont="1" applyBorder="1" applyAlignment="1">
      <alignment horizontal="center"/>
    </xf>
    <xf numFmtId="0" fontId="3" fillId="0" borderId="17" xfId="0" applyFont="1" applyBorder="1" applyAlignment="1">
      <alignment horizontal="center" vertical="center"/>
    </xf>
    <xf numFmtId="165" fontId="3" fillId="0" borderId="0" xfId="0" applyNumberFormat="1" applyFont="1"/>
    <xf numFmtId="1" fontId="3" fillId="0" borderId="0" xfId="0" applyNumberFormat="1" applyFont="1"/>
    <xf numFmtId="0" fontId="14" fillId="0" borderId="0" xfId="0" applyFont="1" applyAlignment="1">
      <alignment horizontal="right" wrapText="1"/>
    </xf>
    <xf numFmtId="0" fontId="3" fillId="0" borderId="19" xfId="0" applyFont="1" applyBorder="1" applyAlignment="1">
      <alignment horizontal="left" indent="1"/>
    </xf>
    <xf numFmtId="0" fontId="6" fillId="0" borderId="0" xfId="0" applyFont="1"/>
    <xf numFmtId="0" fontId="20" fillId="0" borderId="0" xfId="0" applyFont="1" applyAlignment="1">
      <alignment vertical="top"/>
    </xf>
    <xf numFmtId="0" fontId="20" fillId="0" borderId="20" xfId="0" applyFont="1" applyBorder="1" applyAlignment="1">
      <alignment vertical="top"/>
    </xf>
    <xf numFmtId="0" fontId="20" fillId="0" borderId="0" xfId="0" applyFont="1" applyAlignment="1">
      <alignment vertical="top" wrapText="1"/>
    </xf>
    <xf numFmtId="0" fontId="20" fillId="12" borderId="0" xfId="0" applyFont="1" applyFill="1" applyAlignment="1">
      <alignment vertical="top"/>
    </xf>
    <xf numFmtId="0" fontId="21" fillId="13" borderId="23" xfId="0" applyFont="1" applyFill="1" applyBorder="1" applyAlignment="1">
      <alignment horizontal="center" vertical="top" wrapText="1"/>
    </xf>
    <xf numFmtId="0" fontId="21" fillId="13" borderId="18" xfId="0" applyFont="1" applyFill="1" applyBorder="1" applyAlignment="1">
      <alignment horizontal="center" vertical="top" wrapText="1"/>
    </xf>
    <xf numFmtId="1" fontId="21" fillId="13" borderId="18" xfId="0" applyNumberFormat="1" applyFont="1" applyFill="1" applyBorder="1" applyAlignment="1">
      <alignment horizontal="center" vertical="top"/>
    </xf>
    <xf numFmtId="1" fontId="21" fillId="13" borderId="24" xfId="0" applyNumberFormat="1" applyFont="1" applyFill="1" applyBorder="1" applyAlignment="1">
      <alignment horizontal="center" vertical="top" wrapText="1"/>
    </xf>
    <xf numFmtId="1" fontId="21" fillId="13" borderId="23" xfId="0" applyNumberFormat="1" applyFont="1" applyFill="1" applyBorder="1" applyAlignment="1">
      <alignment horizontal="center" vertical="top" wrapText="1"/>
    </xf>
    <xf numFmtId="1" fontId="21" fillId="13" borderId="18" xfId="0" applyNumberFormat="1" applyFont="1" applyFill="1" applyBorder="1" applyAlignment="1">
      <alignment horizontal="center" vertical="top" wrapText="1"/>
    </xf>
    <xf numFmtId="0" fontId="20" fillId="15" borderId="0" xfId="0" applyFont="1" applyFill="1" applyAlignment="1">
      <alignment vertical="top"/>
    </xf>
    <xf numFmtId="0" fontId="5" fillId="0" borderId="0" xfId="0" applyFont="1" applyAlignment="1">
      <alignment wrapText="1"/>
    </xf>
    <xf numFmtId="0" fontId="3" fillId="0" borderId="8" xfId="0" applyFont="1" applyBorder="1" applyAlignment="1">
      <alignment horizontal="center" vertical="center" wrapText="1"/>
    </xf>
    <xf numFmtId="0" fontId="2" fillId="4" borderId="26" xfId="0" applyFont="1" applyFill="1" applyBorder="1" applyAlignment="1">
      <alignment horizontal="center" vertical="center" wrapText="1"/>
    </xf>
    <xf numFmtId="0" fontId="3" fillId="0" borderId="27" xfId="0" applyFont="1" applyBorder="1" applyAlignment="1">
      <alignment horizontal="center" vertical="center" wrapText="1"/>
    </xf>
    <xf numFmtId="0" fontId="2" fillId="4" borderId="28" xfId="0" applyFont="1" applyFill="1" applyBorder="1" applyAlignment="1">
      <alignment horizontal="center" vertical="center"/>
    </xf>
    <xf numFmtId="0" fontId="2" fillId="3" borderId="8" xfId="0" applyFont="1" applyFill="1" applyBorder="1" applyAlignment="1">
      <alignment horizontal="center" vertical="center" wrapText="1"/>
    </xf>
    <xf numFmtId="0" fontId="3" fillId="0" borderId="3" xfId="0" applyFont="1" applyBorder="1" applyAlignment="1">
      <alignment horizontal="center" vertical="center" wrapText="1"/>
    </xf>
    <xf numFmtId="0" fontId="2" fillId="3" borderId="16" xfId="0" applyFont="1" applyFill="1" applyBorder="1" applyAlignment="1">
      <alignment horizontal="center" vertical="center"/>
    </xf>
    <xf numFmtId="0" fontId="3" fillId="0" borderId="0" xfId="0" applyFont="1" applyAlignment="1">
      <alignment vertical="center"/>
    </xf>
    <xf numFmtId="0" fontId="2" fillId="4" borderId="33" xfId="0" applyFont="1" applyFill="1" applyBorder="1" applyAlignment="1">
      <alignment horizontal="center" vertical="center" wrapText="1"/>
    </xf>
    <xf numFmtId="0" fontId="3" fillId="0" borderId="26" xfId="0" applyFont="1" applyBorder="1" applyAlignment="1">
      <alignment horizontal="center" vertical="center" wrapText="1"/>
    </xf>
    <xf numFmtId="0" fontId="3" fillId="0" borderId="33" xfId="0" applyFont="1" applyBorder="1" applyAlignment="1">
      <alignment horizontal="center" vertical="center" wrapText="1"/>
    </xf>
    <xf numFmtId="0" fontId="2" fillId="4" borderId="34" xfId="0" applyFont="1" applyFill="1" applyBorder="1" applyAlignment="1">
      <alignment horizontal="center" vertical="center"/>
    </xf>
    <xf numFmtId="0" fontId="2" fillId="3" borderId="34" xfId="0" applyFont="1" applyFill="1" applyBorder="1" applyAlignment="1">
      <alignment horizontal="center" vertical="center"/>
    </xf>
    <xf numFmtId="0" fontId="2" fillId="4" borderId="29" xfId="0" applyFont="1" applyFill="1" applyBorder="1" applyAlignment="1">
      <alignment horizontal="center" vertical="center"/>
    </xf>
    <xf numFmtId="0" fontId="2" fillId="3" borderId="3" xfId="0" applyFont="1" applyFill="1" applyBorder="1" applyAlignment="1">
      <alignment horizontal="center" vertical="center" wrapText="1"/>
    </xf>
    <xf numFmtId="0" fontId="5" fillId="0" borderId="17" xfId="0" applyFont="1" applyBorder="1" applyAlignment="1">
      <alignment horizontal="center"/>
    </xf>
    <xf numFmtId="0" fontId="2" fillId="3" borderId="36" xfId="0" applyFont="1" applyFill="1" applyBorder="1" applyAlignment="1">
      <alignment horizontal="center" vertical="center"/>
    </xf>
    <xf numFmtId="0" fontId="20" fillId="0" borderId="0" xfId="0" applyFont="1" applyAlignment="1">
      <alignment horizontal="center" vertical="top"/>
    </xf>
    <xf numFmtId="164" fontId="3" fillId="0" borderId="2" xfId="0" applyNumberFormat="1" applyFont="1" applyBorder="1" applyAlignment="1">
      <alignment horizontal="center" vertical="center"/>
    </xf>
    <xf numFmtId="0" fontId="20" fillId="0" borderId="0" xfId="0" applyFont="1" applyAlignment="1">
      <alignment horizontal="center" vertical="center"/>
    </xf>
    <xf numFmtId="0" fontId="22" fillId="0" borderId="0" xfId="0" applyFont="1"/>
    <xf numFmtId="0" fontId="23" fillId="0" borderId="0" xfId="0" applyFont="1" applyAlignment="1">
      <alignment wrapText="1"/>
    </xf>
    <xf numFmtId="0" fontId="23" fillId="0" borderId="0" xfId="0" applyFont="1" applyAlignment="1">
      <alignment horizontal="center"/>
    </xf>
    <xf numFmtId="0" fontId="23" fillId="0" borderId="0" xfId="0" quotePrefix="1" applyFont="1" applyAlignment="1">
      <alignment horizontal="center"/>
    </xf>
    <xf numFmtId="4" fontId="20" fillId="0" borderId="0" xfId="0" applyNumberFormat="1" applyFont="1" applyAlignment="1">
      <alignment horizontal="center" vertical="top"/>
    </xf>
    <xf numFmtId="9" fontId="5" fillId="0" borderId="0" xfId="1" applyFont="1" applyAlignment="1">
      <alignment horizontal="center"/>
    </xf>
    <xf numFmtId="9" fontId="3" fillId="0" borderId="0" xfId="1" applyFont="1" applyAlignment="1">
      <alignment horizontal="center"/>
    </xf>
    <xf numFmtId="9" fontId="0" fillId="0" borderId="0" xfId="1" applyFont="1" applyAlignment="1">
      <alignment horizontal="center"/>
    </xf>
    <xf numFmtId="0" fontId="0" fillId="0" borderId="0" xfId="0" applyAlignment="1">
      <alignment horizontal="right"/>
    </xf>
    <xf numFmtId="0" fontId="25" fillId="0" borderId="0" xfId="2" applyFont="1"/>
    <xf numFmtId="0" fontId="20" fillId="0" borderId="18" xfId="0" applyFont="1" applyBorder="1" applyAlignment="1">
      <alignment vertical="top"/>
    </xf>
    <xf numFmtId="0" fontId="11" fillId="0" borderId="0" xfId="0" applyFont="1" applyAlignment="1">
      <alignment horizontal="center"/>
    </xf>
    <xf numFmtId="1" fontId="0" fillId="0" borderId="0" xfId="0" applyNumberFormat="1" applyAlignment="1">
      <alignment horizontal="center"/>
    </xf>
    <xf numFmtId="9" fontId="0" fillId="0" borderId="0" xfId="1" applyFont="1" applyBorder="1" applyAlignment="1">
      <alignment horizontal="center"/>
    </xf>
    <xf numFmtId="164" fontId="0" fillId="0" borderId="0" xfId="0" applyNumberFormat="1" applyAlignment="1">
      <alignment horizontal="center"/>
    </xf>
    <xf numFmtId="1" fontId="0" fillId="0" borderId="0" xfId="0" applyNumberFormat="1" applyAlignment="1">
      <alignment horizontal="right"/>
    </xf>
    <xf numFmtId="0" fontId="11" fillId="0" borderId="0" xfId="0" applyFont="1" applyAlignment="1">
      <alignment horizontal="right"/>
    </xf>
    <xf numFmtId="0" fontId="0" fillId="0" borderId="0" xfId="1" applyNumberFormat="1" applyFont="1" applyBorder="1" applyAlignment="1">
      <alignment horizontal="center"/>
    </xf>
    <xf numFmtId="9" fontId="0" fillId="0" borderId="0" xfId="1" applyFont="1" applyFill="1" applyBorder="1" applyAlignment="1">
      <alignment horizontal="right"/>
    </xf>
    <xf numFmtId="9" fontId="0" fillId="0" borderId="0" xfId="0" applyNumberFormat="1"/>
    <xf numFmtId="2" fontId="9" fillId="0" borderId="0" xfId="1" applyNumberFormat="1" applyFont="1" applyBorder="1" applyAlignment="1">
      <alignment horizontal="center"/>
    </xf>
    <xf numFmtId="9" fontId="9" fillId="0" borderId="0" xfId="1" applyFont="1" applyBorder="1" applyAlignment="1">
      <alignment horizontal="center"/>
    </xf>
    <xf numFmtId="0" fontId="23" fillId="0" borderId="0" xfId="0" applyFont="1"/>
    <xf numFmtId="0" fontId="25" fillId="0" borderId="0" xfId="2" applyFont="1" applyFill="1" applyBorder="1" applyAlignment="1"/>
    <xf numFmtId="0" fontId="20" fillId="0" borderId="0" xfId="0" applyFont="1" applyAlignment="1">
      <alignment horizontal="left" vertical="top"/>
    </xf>
    <xf numFmtId="1" fontId="20" fillId="0" borderId="0" xfId="0" applyNumberFormat="1" applyFont="1" applyAlignment="1">
      <alignment horizontal="center" vertical="top"/>
    </xf>
    <xf numFmtId="1" fontId="28" fillId="0" borderId="21" xfId="0" applyNumberFormat="1" applyFont="1" applyBorder="1" applyAlignment="1">
      <alignment horizontal="center" vertical="top" wrapText="1"/>
    </xf>
    <xf numFmtId="0" fontId="28" fillId="0" borderId="0" xfId="0" applyFont="1" applyAlignment="1">
      <alignment horizontal="center" vertical="top" wrapText="1"/>
    </xf>
    <xf numFmtId="1" fontId="28" fillId="0" borderId="0" xfId="0" applyNumberFormat="1" applyFont="1" applyAlignment="1">
      <alignment horizontal="center" vertical="top"/>
    </xf>
    <xf numFmtId="1" fontId="28" fillId="0" borderId="0" xfId="0" applyNumberFormat="1" applyFont="1" applyAlignment="1">
      <alignment horizontal="center" vertical="top" wrapText="1"/>
    </xf>
    <xf numFmtId="0" fontId="6" fillId="0" borderId="0" xfId="0" applyFont="1" applyAlignment="1">
      <alignment horizontal="center" vertical="top"/>
    </xf>
    <xf numFmtId="0" fontId="20" fillId="0" borderId="0" xfId="0" applyFont="1"/>
    <xf numFmtId="0" fontId="20" fillId="0" borderId="0" xfId="0" applyFont="1" applyAlignment="1">
      <alignment horizontal="center"/>
    </xf>
    <xf numFmtId="0" fontId="6" fillId="0" borderId="0" xfId="0" applyFont="1" applyAlignment="1">
      <alignment horizontal="center"/>
    </xf>
    <xf numFmtId="0" fontId="6" fillId="0" borderId="0" xfId="0" applyFont="1" applyAlignment="1">
      <alignment vertical="top"/>
    </xf>
    <xf numFmtId="0" fontId="6" fillId="0" borderId="0" xfId="0" applyFont="1" applyAlignment="1">
      <alignment horizontal="center" vertical="center"/>
    </xf>
    <xf numFmtId="0" fontId="29" fillId="0" borderId="0" xfId="2" applyFont="1" applyAlignment="1">
      <alignment vertical="top"/>
    </xf>
    <xf numFmtId="0" fontId="6" fillId="0" borderId="0" xfId="0" applyFont="1" applyAlignment="1">
      <alignment horizontal="center" vertical="center" wrapText="1"/>
    </xf>
    <xf numFmtId="0" fontId="29" fillId="0" borderId="0" xfId="2" applyFont="1" applyFill="1" applyAlignment="1">
      <alignment vertical="top"/>
    </xf>
    <xf numFmtId="0" fontId="25" fillId="0" borderId="0" xfId="2" applyFont="1" applyBorder="1" applyAlignment="1"/>
    <xf numFmtId="0" fontId="25" fillId="0" borderId="0" xfId="2" applyFont="1" applyAlignment="1"/>
    <xf numFmtId="0" fontId="20" fillId="0" borderId="0" xfId="0" applyFont="1" applyAlignment="1">
      <alignment horizontal="left" vertical="top" wrapText="1"/>
    </xf>
    <xf numFmtId="1" fontId="20" fillId="0" borderId="0" xfId="0" quotePrefix="1" applyNumberFormat="1" applyFont="1" applyAlignment="1">
      <alignment horizontal="center" vertical="top"/>
    </xf>
    <xf numFmtId="0" fontId="20" fillId="16" borderId="38" xfId="0" applyFont="1" applyFill="1" applyBorder="1" applyAlignment="1">
      <alignment horizontal="center"/>
    </xf>
    <xf numFmtId="0" fontId="20" fillId="16" borderId="38" xfId="0" applyFont="1" applyFill="1" applyBorder="1" applyAlignment="1">
      <alignment horizontal="left" wrapText="1"/>
    </xf>
    <xf numFmtId="0" fontId="20" fillId="0" borderId="38" xfId="0" applyFont="1" applyBorder="1" applyAlignment="1">
      <alignment horizontal="center"/>
    </xf>
    <xf numFmtId="0" fontId="20" fillId="0" borderId="38" xfId="0" applyFont="1" applyBorder="1" applyAlignment="1">
      <alignment horizontal="left" wrapText="1"/>
    </xf>
    <xf numFmtId="0" fontId="20" fillId="0" borderId="38" xfId="0" applyFont="1" applyBorder="1" applyAlignment="1">
      <alignment horizontal="left" vertical="top" wrapText="1"/>
    </xf>
    <xf numFmtId="164" fontId="20" fillId="0" borderId="0" xfId="0" applyNumberFormat="1" applyFont="1" applyAlignment="1">
      <alignment horizontal="center" vertical="top"/>
    </xf>
    <xf numFmtId="0" fontId="25" fillId="16" borderId="37" xfId="2" applyFont="1" applyFill="1" applyBorder="1"/>
    <xf numFmtId="0" fontId="25" fillId="0" borderId="37" xfId="2" applyFont="1" applyBorder="1"/>
    <xf numFmtId="0" fontId="31" fillId="0" borderId="38" xfId="0" applyFont="1" applyBorder="1"/>
    <xf numFmtId="0" fontId="31" fillId="16" borderId="38" xfId="0" applyFont="1" applyFill="1" applyBorder="1"/>
    <xf numFmtId="0" fontId="25" fillId="0" borderId="0" xfId="3" applyFont="1"/>
    <xf numFmtId="0" fontId="20" fillId="0" borderId="38" xfId="0" applyFont="1" applyBorder="1"/>
    <xf numFmtId="0" fontId="20" fillId="16" borderId="38" xfId="0" applyFont="1" applyFill="1" applyBorder="1"/>
    <xf numFmtId="0" fontId="23" fillId="0" borderId="0" xfId="0" applyFont="1" applyAlignment="1">
      <alignment horizontal="left"/>
    </xf>
    <xf numFmtId="0" fontId="20" fillId="0" borderId="0" xfId="0" applyFont="1" applyAlignment="1">
      <alignment horizontal="center" vertical="top" wrapText="1"/>
    </xf>
    <xf numFmtId="0" fontId="29" fillId="0" borderId="18" xfId="2" applyFont="1" applyFill="1" applyBorder="1" applyAlignment="1">
      <alignment vertical="top"/>
    </xf>
    <xf numFmtId="0" fontId="20" fillId="0" borderId="18" xfId="0" applyFont="1" applyBorder="1" applyAlignment="1">
      <alignment horizontal="center" vertical="top"/>
    </xf>
    <xf numFmtId="1" fontId="20" fillId="0" borderId="18" xfId="0" applyNumberFormat="1" applyFont="1" applyBorder="1" applyAlignment="1">
      <alignment horizontal="center" vertical="top"/>
    </xf>
    <xf numFmtId="4" fontId="20" fillId="0" borderId="18" xfId="0" applyNumberFormat="1" applyFont="1" applyBorder="1" applyAlignment="1">
      <alignment horizontal="center" vertical="top"/>
    </xf>
    <xf numFmtId="0" fontId="20" fillId="0" borderId="18" xfId="0" applyFont="1" applyBorder="1" applyAlignment="1">
      <alignment horizontal="left" vertical="top"/>
    </xf>
    <xf numFmtId="0" fontId="25" fillId="0" borderId="5" xfId="2" applyFont="1" applyBorder="1" applyAlignment="1">
      <alignment wrapText="1"/>
    </xf>
    <xf numFmtId="0" fontId="25" fillId="0" borderId="39" xfId="2" applyFont="1" applyBorder="1" applyAlignment="1">
      <alignment wrapText="1"/>
    </xf>
    <xf numFmtId="0" fontId="29" fillId="0" borderId="22" xfId="2" applyFont="1" applyFill="1" applyBorder="1" applyAlignment="1">
      <alignment vertical="top"/>
    </xf>
    <xf numFmtId="0" fontId="20" fillId="0" borderId="20" xfId="0" applyFont="1" applyBorder="1" applyAlignment="1">
      <alignment horizontal="center" vertical="top"/>
    </xf>
    <xf numFmtId="0" fontId="27" fillId="0" borderId="0" xfId="0" applyFont="1" applyAlignment="1">
      <alignment horizontal="left" vertical="center" wrapText="1"/>
    </xf>
    <xf numFmtId="0" fontId="27" fillId="14" borderId="21" xfId="0" applyFont="1" applyFill="1" applyBorder="1" applyAlignment="1">
      <alignment horizontal="left" vertical="center" wrapText="1"/>
    </xf>
    <xf numFmtId="0" fontId="27" fillId="14" borderId="0" xfId="0" applyFont="1" applyFill="1" applyAlignment="1">
      <alignment horizontal="left" vertical="center" wrapText="1"/>
    </xf>
    <xf numFmtId="0" fontId="20" fillId="14" borderId="0" xfId="0" applyFont="1" applyFill="1" applyAlignment="1">
      <alignment horizontal="left" vertical="center" wrapText="1"/>
    </xf>
    <xf numFmtId="0" fontId="27" fillId="0" borderId="0" xfId="0" applyFont="1" applyAlignment="1">
      <alignment horizontal="left" vertical="center"/>
    </xf>
    <xf numFmtId="0" fontId="27" fillId="0" borderId="0" xfId="0" applyFont="1" applyAlignment="1">
      <alignment wrapText="1"/>
    </xf>
    <xf numFmtId="0" fontId="27" fillId="0" borderId="0" xfId="0" applyFont="1" applyAlignment="1">
      <alignment horizontal="left" wrapText="1"/>
    </xf>
    <xf numFmtId="0" fontId="27" fillId="9" borderId="0" xfId="0" applyFont="1" applyFill="1" applyAlignment="1">
      <alignment horizontal="left" wrapText="1"/>
    </xf>
    <xf numFmtId="0" fontId="20" fillId="9" borderId="0" xfId="0" applyFont="1" applyFill="1" applyAlignment="1">
      <alignment horizontal="left" wrapText="1"/>
    </xf>
    <xf numFmtId="0" fontId="6" fillId="0" borderId="0" xfId="0" applyFont="1" applyAlignment="1">
      <alignment horizontal="center" wrapText="1"/>
    </xf>
    <xf numFmtId="1" fontId="20" fillId="0" borderId="0" xfId="0" applyNumberFormat="1" applyFont="1" applyAlignment="1">
      <alignment horizontal="center" vertical="top" wrapText="1"/>
    </xf>
    <xf numFmtId="0" fontId="29" fillId="0" borderId="0" xfId="2" applyFont="1" applyFill="1" applyBorder="1" applyAlignment="1">
      <alignment vertical="top"/>
    </xf>
    <xf numFmtId="0" fontId="25" fillId="0" borderId="0" xfId="2" applyFont="1" applyBorder="1"/>
    <xf numFmtId="0" fontId="25" fillId="0" borderId="0" xfId="2" applyFont="1" applyAlignment="1">
      <alignment vertical="top"/>
    </xf>
    <xf numFmtId="0" fontId="25" fillId="0" borderId="0" xfId="2" applyFont="1" applyFill="1" applyAlignment="1">
      <alignment vertical="top"/>
    </xf>
    <xf numFmtId="0" fontId="25" fillId="0" borderId="0" xfId="2" applyFont="1" applyBorder="1" applyAlignment="1">
      <alignment vertical="center"/>
    </xf>
    <xf numFmtId="0" fontId="27" fillId="9" borderId="0" xfId="0" applyFont="1" applyFill="1" applyAlignment="1">
      <alignment horizontal="left" vertical="center" wrapText="1"/>
    </xf>
    <xf numFmtId="0" fontId="20" fillId="9" borderId="0" xfId="0" applyFont="1" applyFill="1" applyAlignment="1">
      <alignment horizontal="left" vertical="center" wrapText="1"/>
    </xf>
    <xf numFmtId="1" fontId="20" fillId="2" borderId="0" xfId="0" applyNumberFormat="1" applyFont="1" applyFill="1" applyAlignment="1">
      <alignment horizontal="center" vertical="top"/>
    </xf>
    <xf numFmtId="0" fontId="25" fillId="0" borderId="0" xfId="2" applyFont="1" applyBorder="1" applyAlignment="1">
      <alignment horizontal="left" vertical="center" wrapText="1"/>
    </xf>
    <xf numFmtId="0" fontId="25" fillId="0" borderId="0" xfId="2" applyFont="1" applyFill="1" applyBorder="1" applyAlignment="1">
      <alignment vertical="top"/>
    </xf>
    <xf numFmtId="0" fontId="25" fillId="0" borderId="0" xfId="2" applyFont="1" applyAlignment="1">
      <alignment vertical="center"/>
    </xf>
    <xf numFmtId="0" fontId="25" fillId="0" borderId="0" xfId="2" applyFont="1" applyBorder="1" applyAlignment="1">
      <alignment vertical="top"/>
    </xf>
    <xf numFmtId="0" fontId="6" fillId="11" borderId="0" xfId="0" applyFont="1" applyFill="1"/>
    <xf numFmtId="1" fontId="28" fillId="13" borderId="21" xfId="0" applyNumberFormat="1" applyFont="1" applyFill="1" applyBorder="1" applyAlignment="1">
      <alignment horizontal="center" vertical="top" wrapText="1"/>
    </xf>
    <xf numFmtId="0" fontId="28" fillId="13" borderId="0" xfId="0" applyFont="1" applyFill="1" applyAlignment="1">
      <alignment horizontal="center" vertical="top" wrapText="1"/>
    </xf>
    <xf numFmtId="1" fontId="28" fillId="13" borderId="0" xfId="0" applyNumberFormat="1" applyFont="1" applyFill="1" applyAlignment="1">
      <alignment horizontal="center" vertical="top"/>
    </xf>
    <xf numFmtId="1" fontId="28" fillId="13" borderId="0" xfId="0" applyNumberFormat="1" applyFont="1" applyFill="1" applyAlignment="1">
      <alignment horizontal="center" vertical="top" wrapText="1"/>
    </xf>
    <xf numFmtId="0" fontId="28" fillId="13" borderId="21" xfId="0" applyFont="1" applyFill="1" applyBorder="1" applyAlignment="1">
      <alignment horizontal="center" vertical="top" wrapText="1"/>
    </xf>
    <xf numFmtId="0" fontId="29" fillId="0" borderId="0" xfId="0" applyFont="1" applyAlignment="1">
      <alignment horizontal="left" vertical="center" wrapText="1"/>
    </xf>
    <xf numFmtId="0" fontId="29" fillId="12" borderId="0" xfId="0" applyFont="1" applyFill="1" applyAlignment="1">
      <alignment horizontal="left" vertical="center" wrapText="1"/>
    </xf>
    <xf numFmtId="0" fontId="20" fillId="12" borderId="0" xfId="0" applyFont="1" applyFill="1" applyAlignment="1">
      <alignment horizontal="center" vertical="top"/>
    </xf>
    <xf numFmtId="0" fontId="20" fillId="12" borderId="0" xfId="0" applyFont="1" applyFill="1" applyAlignment="1">
      <alignment horizontal="left" vertical="top" wrapText="1"/>
    </xf>
    <xf numFmtId="1" fontId="20" fillId="12" borderId="0" xfId="0" applyNumberFormat="1" applyFont="1" applyFill="1" applyAlignment="1">
      <alignment horizontal="center" vertical="top"/>
    </xf>
    <xf numFmtId="0" fontId="29" fillId="0" borderId="10" xfId="2" applyFont="1" applyFill="1" applyBorder="1" applyAlignment="1">
      <alignment vertical="top"/>
    </xf>
    <xf numFmtId="0" fontId="29" fillId="0" borderId="15" xfId="2" applyFont="1" applyFill="1" applyBorder="1" applyAlignment="1">
      <alignment vertical="top"/>
    </xf>
    <xf numFmtId="0" fontId="25" fillId="0" borderId="0" xfId="2" applyFont="1" applyAlignment="1">
      <alignment wrapText="1"/>
    </xf>
    <xf numFmtId="0" fontId="26" fillId="15" borderId="0" xfId="2" applyFont="1" applyFill="1" applyBorder="1" applyAlignment="1">
      <alignment vertical="top"/>
    </xf>
    <xf numFmtId="0" fontId="25" fillId="0" borderId="22" xfId="2" applyFont="1" applyBorder="1"/>
    <xf numFmtId="0" fontId="6" fillId="0" borderId="18" xfId="0" applyFont="1" applyBorder="1"/>
    <xf numFmtId="0" fontId="32" fillId="0" borderId="0" xfId="0" applyFont="1" applyAlignment="1">
      <alignment wrapText="1"/>
    </xf>
    <xf numFmtId="0" fontId="30" fillId="15" borderId="0" xfId="2" applyFont="1" applyFill="1" applyBorder="1" applyAlignment="1">
      <alignment vertical="top"/>
    </xf>
    <xf numFmtId="0" fontId="20" fillId="15" borderId="0" xfId="0" applyFont="1" applyFill="1" applyAlignment="1">
      <alignment horizontal="center" vertical="top"/>
    </xf>
    <xf numFmtId="1" fontId="20" fillId="15" borderId="0" xfId="0" applyNumberFormat="1" applyFont="1" applyFill="1" applyAlignment="1">
      <alignment horizontal="center" vertical="top"/>
    </xf>
    <xf numFmtId="4" fontId="20" fillId="15" borderId="0" xfId="0" applyNumberFormat="1" applyFont="1" applyFill="1" applyAlignment="1">
      <alignment horizontal="center" vertical="top"/>
    </xf>
    <xf numFmtId="0" fontId="20" fillId="15" borderId="0" xfId="0" applyFont="1" applyFill="1" applyAlignment="1">
      <alignment horizontal="left" vertical="top"/>
    </xf>
    <xf numFmtId="0" fontId="30" fillId="0" borderId="0" xfId="2" applyFont="1" applyBorder="1" applyAlignment="1">
      <alignment vertical="top"/>
    </xf>
    <xf numFmtId="0" fontId="22" fillId="0" borderId="18" xfId="0" applyFont="1" applyBorder="1"/>
    <xf numFmtId="0" fontId="0" fillId="0" borderId="0" xfId="0" applyAlignment="1">
      <alignment horizontal="left"/>
    </xf>
    <xf numFmtId="9" fontId="0" fillId="0" borderId="0" xfId="0" applyNumberFormat="1" applyAlignment="1">
      <alignment horizontal="left"/>
    </xf>
    <xf numFmtId="164" fontId="0" fillId="0" borderId="1" xfId="0" applyNumberFormat="1" applyBorder="1" applyAlignment="1">
      <alignment horizontal="center"/>
    </xf>
    <xf numFmtId="0" fontId="7" fillId="0" borderId="0" xfId="0" applyFont="1" applyAlignment="1">
      <alignment horizontal="left" vertical="center" wrapText="1"/>
    </xf>
    <xf numFmtId="0" fontId="7" fillId="14" borderId="21" xfId="0" applyFont="1" applyFill="1" applyBorder="1" applyAlignment="1">
      <alignment horizontal="left" vertical="center" wrapText="1"/>
    </xf>
    <xf numFmtId="0" fontId="7" fillId="14" borderId="0" xfId="0" applyFont="1" applyFill="1" applyAlignment="1">
      <alignment horizontal="left" vertical="center" wrapText="1"/>
    </xf>
    <xf numFmtId="0" fontId="5" fillId="14" borderId="0" xfId="0" applyFont="1" applyFill="1" applyAlignment="1">
      <alignment horizontal="left" vertical="center" wrapText="1"/>
    </xf>
    <xf numFmtId="0" fontId="3" fillId="0" borderId="0" xfId="0" applyFont="1" applyAlignment="1">
      <alignment horizontal="center" vertical="center" wrapText="1"/>
    </xf>
    <xf numFmtId="0" fontId="1" fillId="0" borderId="0" xfId="2"/>
    <xf numFmtId="0" fontId="5" fillId="0" borderId="0" xfId="0" applyFont="1" applyAlignment="1">
      <alignment horizontal="center" vertical="top"/>
    </xf>
    <xf numFmtId="1" fontId="5" fillId="0" borderId="0" xfId="0" applyNumberFormat="1" applyFont="1" applyAlignment="1">
      <alignment horizontal="center" vertical="top"/>
    </xf>
    <xf numFmtId="4" fontId="5" fillId="0" borderId="0" xfId="0" applyNumberFormat="1" applyFont="1" applyAlignment="1">
      <alignment horizontal="center" vertical="top"/>
    </xf>
    <xf numFmtId="0" fontId="5" fillId="0" borderId="0" xfId="0" applyFont="1" applyAlignment="1">
      <alignment horizontal="left" vertical="top"/>
    </xf>
    <xf numFmtId="1" fontId="7" fillId="0" borderId="0" xfId="0" applyNumberFormat="1" applyFont="1" applyAlignment="1">
      <alignment horizontal="center" vertical="top"/>
    </xf>
    <xf numFmtId="1" fontId="21" fillId="0" borderId="21" xfId="0" applyNumberFormat="1" applyFont="1" applyBorder="1" applyAlignment="1">
      <alignment horizontal="center" vertical="top" wrapText="1"/>
    </xf>
    <xf numFmtId="0" fontId="21" fillId="0" borderId="0" xfId="0" applyFont="1" applyAlignment="1">
      <alignment horizontal="center" vertical="top" wrapText="1"/>
    </xf>
    <xf numFmtId="1" fontId="21" fillId="0" borderId="0" xfId="0" applyNumberFormat="1" applyFont="1" applyAlignment="1">
      <alignment horizontal="center" vertical="top"/>
    </xf>
    <xf numFmtId="1" fontId="21" fillId="0" borderId="0" xfId="0" applyNumberFormat="1" applyFont="1" applyAlignment="1">
      <alignment horizontal="center" vertical="top" wrapText="1"/>
    </xf>
    <xf numFmtId="0" fontId="33" fillId="0" borderId="0" xfId="0" applyFont="1" applyAlignment="1">
      <alignment horizontal="center"/>
    </xf>
    <xf numFmtId="0" fontId="3" fillId="0" borderId="0" xfId="0" applyFont="1" applyAlignment="1">
      <alignment horizontal="center" vertical="top"/>
    </xf>
    <xf numFmtId="0" fontId="34" fillId="0" borderId="0" xfId="2" applyFont="1" applyFill="1" applyAlignment="1">
      <alignment vertical="top"/>
    </xf>
    <xf numFmtId="0" fontId="34" fillId="0" borderId="0" xfId="2" applyFont="1" applyAlignment="1">
      <alignment vertical="top"/>
    </xf>
    <xf numFmtId="0" fontId="35" fillId="0" borderId="0" xfId="0" applyFont="1"/>
    <xf numFmtId="0" fontId="35" fillId="0" borderId="41" xfId="0" applyFont="1" applyBorder="1"/>
    <xf numFmtId="0" fontId="5" fillId="0" borderId="41" xfId="0" applyFont="1" applyBorder="1" applyAlignment="1">
      <alignment horizontal="left" vertical="top"/>
    </xf>
    <xf numFmtId="4" fontId="5" fillId="0" borderId="41" xfId="0" applyNumberFormat="1" applyFont="1" applyBorder="1" applyAlignment="1">
      <alignment horizontal="center" vertical="top"/>
    </xf>
    <xf numFmtId="0" fontId="5" fillId="0" borderId="0" xfId="0" applyFont="1" applyAlignment="1">
      <alignment horizontal="left" vertical="top" wrapText="1"/>
    </xf>
    <xf numFmtId="0" fontId="34" fillId="0" borderId="22" xfId="2" applyFont="1" applyFill="1" applyBorder="1" applyAlignment="1">
      <alignment vertical="top"/>
    </xf>
    <xf numFmtId="0" fontId="5" fillId="0" borderId="18" xfId="0" applyFont="1" applyBorder="1" applyAlignment="1">
      <alignment horizontal="center" vertical="top"/>
    </xf>
    <xf numFmtId="1" fontId="5" fillId="0" borderId="18" xfId="0" applyNumberFormat="1" applyFont="1" applyBorder="1" applyAlignment="1">
      <alignment horizontal="center" vertical="top"/>
    </xf>
    <xf numFmtId="4" fontId="5" fillId="0" borderId="18" xfId="0" applyNumberFormat="1" applyFont="1" applyBorder="1" applyAlignment="1">
      <alignment horizontal="center" vertical="top"/>
    </xf>
    <xf numFmtId="0" fontId="5" fillId="0" borderId="18" xfId="0" applyFont="1" applyBorder="1" applyAlignment="1">
      <alignment horizontal="left" vertical="top"/>
    </xf>
    <xf numFmtId="1" fontId="5" fillId="15" borderId="18" xfId="0" applyNumberFormat="1" applyFont="1" applyFill="1" applyBorder="1" applyAlignment="1">
      <alignment horizontal="center" vertical="top"/>
    </xf>
    <xf numFmtId="0" fontId="34" fillId="0" borderId="42" xfId="2" applyFont="1" applyFill="1" applyBorder="1" applyAlignment="1">
      <alignment vertical="top"/>
    </xf>
    <xf numFmtId="0" fontId="5" fillId="0" borderId="20" xfId="0" applyFont="1" applyBorder="1" applyAlignment="1">
      <alignment horizontal="center" vertical="top"/>
    </xf>
    <xf numFmtId="1" fontId="5" fillId="0" borderId="20" xfId="0" applyNumberFormat="1" applyFont="1" applyBorder="1" applyAlignment="1">
      <alignment horizontal="center" vertical="top"/>
    </xf>
    <xf numFmtId="4" fontId="5" fillId="0" borderId="20" xfId="0" applyNumberFormat="1" applyFont="1" applyBorder="1" applyAlignment="1">
      <alignment horizontal="center" vertical="top"/>
    </xf>
    <xf numFmtId="0" fontId="36" fillId="0" borderId="0" xfId="0" applyFont="1" applyAlignment="1">
      <alignment horizontal="right"/>
    </xf>
    <xf numFmtId="0" fontId="0" fillId="20" borderId="0" xfId="0" applyFill="1"/>
    <xf numFmtId="0" fontId="9" fillId="19" borderId="0" xfId="0" applyFont="1" applyFill="1" applyAlignment="1">
      <alignment horizontal="center"/>
    </xf>
    <xf numFmtId="0" fontId="0" fillId="0" borderId="11" xfId="0" applyBorder="1" applyAlignment="1">
      <alignment horizontal="center"/>
    </xf>
    <xf numFmtId="0" fontId="0" fillId="19" borderId="13" xfId="0" applyFill="1" applyBorder="1" applyAlignment="1">
      <alignment horizontal="center"/>
    </xf>
    <xf numFmtId="0" fontId="0" fillId="0" borderId="13" xfId="0" applyBorder="1" applyAlignment="1">
      <alignment horizontal="center"/>
    </xf>
    <xf numFmtId="0" fontId="0" fillId="0" borderId="6" xfId="0" applyBorder="1" applyAlignment="1">
      <alignment horizontal="center"/>
    </xf>
    <xf numFmtId="0" fontId="0" fillId="0" borderId="8" xfId="0" applyBorder="1"/>
    <xf numFmtId="0" fontId="0" fillId="19" borderId="12" xfId="0" applyFill="1" applyBorder="1" applyAlignment="1">
      <alignment horizontal="center"/>
    </xf>
    <xf numFmtId="166" fontId="0" fillId="0" borderId="12" xfId="0" applyNumberFormat="1" applyBorder="1" applyAlignment="1">
      <alignment horizontal="center"/>
    </xf>
    <xf numFmtId="1" fontId="0" fillId="0" borderId="12" xfId="0" applyNumberFormat="1" applyBorder="1" applyAlignment="1">
      <alignment horizontal="center"/>
    </xf>
    <xf numFmtId="0" fontId="33" fillId="0" borderId="0" xfId="0" applyFont="1" applyAlignment="1">
      <alignment horizontal="center" wrapText="1"/>
    </xf>
    <xf numFmtId="2" fontId="9" fillId="0" borderId="0" xfId="0" applyNumberFormat="1" applyFont="1" applyAlignment="1">
      <alignment horizontal="right"/>
    </xf>
    <xf numFmtId="2" fontId="9" fillId="0" borderId="0" xfId="0" applyNumberFormat="1" applyFont="1" applyAlignment="1">
      <alignment horizontal="left"/>
    </xf>
    <xf numFmtId="0" fontId="0" fillId="0" borderId="43" xfId="0" applyBorder="1" applyAlignment="1">
      <alignment horizontal="right"/>
    </xf>
    <xf numFmtId="0" fontId="11" fillId="0" borderId="43" xfId="0" applyFont="1" applyBorder="1" applyAlignment="1">
      <alignment horizontal="center"/>
    </xf>
    <xf numFmtId="0" fontId="0" fillId="0" borderId="43" xfId="0" applyBorder="1" applyAlignment="1">
      <alignment horizontal="left"/>
    </xf>
    <xf numFmtId="0" fontId="0" fillId="0" borderId="43" xfId="0" applyBorder="1" applyAlignment="1">
      <alignment horizontal="center"/>
    </xf>
    <xf numFmtId="0" fontId="0" fillId="0" borderId="43" xfId="0" applyBorder="1"/>
    <xf numFmtId="0" fontId="1" fillId="0" borderId="0" xfId="3" applyAlignment="1">
      <alignment vertical="top"/>
    </xf>
    <xf numFmtId="0" fontId="1" fillId="0" borderId="0" xfId="3"/>
    <xf numFmtId="0" fontId="37" fillId="0" borderId="0" xfId="0" applyFont="1"/>
    <xf numFmtId="3" fontId="5" fillId="0" borderId="0" xfId="0" applyNumberFormat="1" applyFont="1"/>
    <xf numFmtId="0" fontId="9" fillId="0" borderId="0" xfId="0" applyFont="1" applyAlignment="1">
      <alignment horizontal="right"/>
    </xf>
    <xf numFmtId="164" fontId="0" fillId="0" borderId="0" xfId="1" applyNumberFormat="1" applyFont="1" applyBorder="1" applyAlignment="1">
      <alignment horizontal="center"/>
    </xf>
    <xf numFmtId="0" fontId="0" fillId="0" borderId="1" xfId="0" applyBorder="1" applyAlignment="1">
      <alignment horizontal="right"/>
    </xf>
    <xf numFmtId="1" fontId="0" fillId="0" borderId="1" xfId="0" applyNumberFormat="1" applyBorder="1" applyAlignment="1">
      <alignment horizontal="right"/>
    </xf>
    <xf numFmtId="164" fontId="11" fillId="0" borderId="0" xfId="0" applyNumberFormat="1" applyFont="1" applyAlignment="1">
      <alignment horizontal="center"/>
    </xf>
    <xf numFmtId="166" fontId="0" fillId="0" borderId="0" xfId="0" applyNumberFormat="1" applyAlignment="1">
      <alignment horizontal="center"/>
    </xf>
    <xf numFmtId="0" fontId="0" fillId="0" borderId="12" xfId="0" applyBorder="1" applyAlignment="1">
      <alignment horizontal="center"/>
    </xf>
    <xf numFmtId="166" fontId="0" fillId="21" borderId="12" xfId="0" applyNumberFormat="1" applyFill="1" applyBorder="1" applyAlignment="1">
      <alignment horizontal="center"/>
    </xf>
    <xf numFmtId="9" fontId="0" fillId="0" borderId="12" xfId="1" applyFont="1" applyBorder="1" applyAlignment="1">
      <alignment horizontal="center"/>
    </xf>
    <xf numFmtId="1" fontId="0" fillId="0" borderId="0" xfId="0" applyNumberFormat="1"/>
    <xf numFmtId="0" fontId="1" fillId="0" borderId="0" xfId="2" applyBorder="1"/>
    <xf numFmtId="0" fontId="1" fillId="0" borderId="0" xfId="2" applyBorder="1" applyAlignment="1">
      <alignment wrapText="1"/>
    </xf>
    <xf numFmtId="0" fontId="1" fillId="11" borderId="0" xfId="2" applyFill="1" applyBorder="1" applyAlignment="1"/>
    <xf numFmtId="0" fontId="1" fillId="0" borderId="0" xfId="2" applyFill="1" applyBorder="1"/>
    <xf numFmtId="0" fontId="34" fillId="0" borderId="0" xfId="2" applyFont="1" applyFill="1" applyBorder="1" applyAlignment="1">
      <alignment vertical="top"/>
    </xf>
    <xf numFmtId="0" fontId="34" fillId="0" borderId="0" xfId="2" applyFont="1" applyBorder="1" applyAlignment="1">
      <alignment vertical="top"/>
    </xf>
    <xf numFmtId="0" fontId="1" fillId="22" borderId="0" xfId="2" applyFill="1" applyBorder="1" applyAlignment="1"/>
    <xf numFmtId="0" fontId="38" fillId="0" borderId="0" xfId="0" applyFont="1" applyAlignment="1">
      <alignment horizontal="center" vertical="center" wrapText="1"/>
    </xf>
    <xf numFmtId="0" fontId="38" fillId="0" borderId="0" xfId="0" applyFont="1" applyAlignment="1">
      <alignment horizontal="left" vertical="center" wrapText="1"/>
    </xf>
    <xf numFmtId="0" fontId="1" fillId="2" borderId="0" xfId="2" applyFill="1" applyBorder="1" applyAlignment="1"/>
    <xf numFmtId="0" fontId="0" fillId="0" borderId="1" xfId="0" applyBorder="1" applyAlignment="1">
      <alignment horizontal="left"/>
    </xf>
    <xf numFmtId="0" fontId="1" fillId="0" borderId="0" xfId="2" applyAlignment="1">
      <alignment vertical="top"/>
    </xf>
    <xf numFmtId="0" fontId="0" fillId="0" borderId="0" xfId="0" pivotButton="1"/>
    <xf numFmtId="1" fontId="0" fillId="23" borderId="12" xfId="0" applyNumberFormat="1" applyFill="1" applyBorder="1" applyAlignment="1">
      <alignment horizontal="center"/>
    </xf>
    <xf numFmtId="0" fontId="0" fillId="2" borderId="0" xfId="0" applyFill="1" applyAlignment="1">
      <alignment horizontal="right"/>
    </xf>
    <xf numFmtId="0" fontId="11" fillId="2" borderId="0" xfId="0" applyFont="1" applyFill="1" applyAlignment="1">
      <alignment horizontal="center"/>
    </xf>
    <xf numFmtId="9" fontId="0" fillId="2" borderId="0" xfId="1" applyFont="1" applyFill="1" applyAlignment="1">
      <alignment horizontal="center"/>
    </xf>
    <xf numFmtId="9" fontId="9" fillId="2" borderId="0" xfId="1" applyFont="1" applyFill="1" applyBorder="1" applyAlignment="1">
      <alignment horizontal="center"/>
    </xf>
    <xf numFmtId="9" fontId="0" fillId="2" borderId="0" xfId="1" applyFont="1" applyFill="1" applyBorder="1" applyAlignment="1">
      <alignment horizontal="right"/>
    </xf>
    <xf numFmtId="1" fontId="0" fillId="2" borderId="0" xfId="0" applyNumberFormat="1" applyFill="1" applyAlignment="1">
      <alignment horizontal="right"/>
    </xf>
    <xf numFmtId="9" fontId="0" fillId="0" borderId="0" xfId="0" applyNumberFormat="1" applyAlignment="1">
      <alignment horizontal="right"/>
    </xf>
    <xf numFmtId="0" fontId="1" fillId="0" borderId="0" xfId="2" applyAlignment="1"/>
    <xf numFmtId="1" fontId="21" fillId="0" borderId="21" xfId="0" applyNumberFormat="1" applyFont="1" applyBorder="1" applyAlignment="1">
      <alignment horizontal="center" vertical="top"/>
    </xf>
    <xf numFmtId="166" fontId="0" fillId="0" borderId="0" xfId="0" applyNumberFormat="1"/>
    <xf numFmtId="0" fontId="0" fillId="0" borderId="1" xfId="0" applyBorder="1" applyAlignment="1">
      <alignment horizontal="center"/>
    </xf>
    <xf numFmtId="0" fontId="0" fillId="0" borderId="1" xfId="0" applyBorder="1"/>
    <xf numFmtId="164" fontId="0" fillId="23" borderId="0" xfId="1" applyNumberFormat="1" applyFont="1" applyFill="1" applyBorder="1" applyAlignment="1">
      <alignment horizontal="center"/>
    </xf>
    <xf numFmtId="164" fontId="0" fillId="23" borderId="0" xfId="0" applyNumberFormat="1" applyFill="1" applyAlignment="1">
      <alignment horizontal="center"/>
    </xf>
    <xf numFmtId="0" fontId="2" fillId="5" borderId="44" xfId="0" applyFont="1" applyFill="1" applyBorder="1" applyAlignment="1">
      <alignment vertical="center"/>
    </xf>
    <xf numFmtId="0" fontId="2" fillId="3" borderId="45" xfId="0" applyFont="1" applyFill="1" applyBorder="1" applyAlignment="1">
      <alignment horizontal="center" vertical="center" wrapText="1"/>
    </xf>
    <xf numFmtId="0" fontId="5" fillId="0" borderId="46" xfId="0" applyFont="1" applyBorder="1" applyAlignment="1">
      <alignment horizontal="center"/>
    </xf>
    <xf numFmtId="0" fontId="5" fillId="0" borderId="47" xfId="0" applyFont="1" applyBorder="1" applyAlignment="1">
      <alignment horizontal="center"/>
    </xf>
    <xf numFmtId="0" fontId="11" fillId="0" borderId="1" xfId="0" applyFont="1" applyBorder="1" applyAlignment="1">
      <alignment horizontal="center"/>
    </xf>
    <xf numFmtId="164" fontId="0" fillId="0" borderId="0" xfId="1" applyNumberFormat="1" applyFont="1" applyFill="1" applyBorder="1" applyAlignment="1">
      <alignment horizontal="center"/>
    </xf>
    <xf numFmtId="164" fontId="5" fillId="0" borderId="0" xfId="0" applyNumberFormat="1" applyFont="1" applyAlignment="1">
      <alignment horizontal="center" vertical="top"/>
    </xf>
    <xf numFmtId="164" fontId="0" fillId="21" borderId="12" xfId="0" applyNumberFormat="1" applyFill="1" applyBorder="1" applyAlignment="1">
      <alignment horizontal="center"/>
    </xf>
    <xf numFmtId="164" fontId="0" fillId="0" borderId="12" xfId="0" applyNumberFormat="1" applyBorder="1" applyAlignment="1">
      <alignment horizontal="center"/>
    </xf>
    <xf numFmtId="164" fontId="0" fillId="0" borderId="12" xfId="1" applyNumberFormat="1" applyFont="1" applyBorder="1" applyAlignment="1">
      <alignment horizontal="center"/>
    </xf>
    <xf numFmtId="0" fontId="39" fillId="0" borderId="0" xfId="0" applyFont="1"/>
    <xf numFmtId="2" fontId="0" fillId="0" borderId="0" xfId="1" applyNumberFormat="1" applyFont="1" applyBorder="1" applyAlignment="1">
      <alignment horizontal="center"/>
    </xf>
    <xf numFmtId="2" fontId="0" fillId="0" borderId="1" xfId="1" applyNumberFormat="1" applyFont="1" applyBorder="1" applyAlignment="1">
      <alignment horizontal="center"/>
    </xf>
    <xf numFmtId="2" fontId="0" fillId="23" borderId="0" xfId="1" applyNumberFormat="1" applyFont="1" applyFill="1" applyBorder="1" applyAlignment="1">
      <alignment horizontal="center"/>
    </xf>
    <xf numFmtId="9" fontId="0" fillId="0" borderId="1" xfId="1" applyFont="1" applyFill="1" applyBorder="1" applyAlignment="1">
      <alignment horizontal="right"/>
    </xf>
    <xf numFmtId="164" fontId="0" fillId="0" borderId="1" xfId="1" applyNumberFormat="1" applyFont="1" applyBorder="1" applyAlignment="1">
      <alignment horizontal="center"/>
    </xf>
    <xf numFmtId="1" fontId="0" fillId="19" borderId="12" xfId="0" applyNumberFormat="1" applyFill="1" applyBorder="1" applyAlignment="1">
      <alignment horizontal="center"/>
    </xf>
    <xf numFmtId="17" fontId="5" fillId="0" borderId="0" xfId="0" applyNumberFormat="1" applyFont="1" applyAlignment="1">
      <alignment horizontal="left"/>
    </xf>
    <xf numFmtId="1" fontId="0" fillId="0" borderId="9" xfId="0" applyNumberFormat="1" applyBorder="1" applyAlignment="1">
      <alignment horizontal="center"/>
    </xf>
    <xf numFmtId="0" fontId="40" fillId="0" borderId="0" xfId="0" applyFont="1" applyAlignment="1">
      <alignment horizontal="right"/>
    </xf>
    <xf numFmtId="0" fontId="41" fillId="0" borderId="0" xfId="0" applyFont="1" applyAlignment="1">
      <alignment horizontal="right"/>
    </xf>
    <xf numFmtId="0" fontId="42" fillId="0" borderId="0" xfId="0" applyFont="1"/>
    <xf numFmtId="0" fontId="44" fillId="0" borderId="0" xfId="0" applyFont="1" applyAlignment="1">
      <alignment horizontal="center"/>
    </xf>
    <xf numFmtId="0" fontId="44" fillId="0" borderId="0" xfId="0" applyFont="1"/>
    <xf numFmtId="0" fontId="43" fillId="0" borderId="1" xfId="0" applyFont="1" applyBorder="1" applyAlignment="1">
      <alignment vertical="center"/>
    </xf>
    <xf numFmtId="0" fontId="44" fillId="0" borderId="0" xfId="0" applyFont="1" applyAlignment="1">
      <alignment vertical="center"/>
    </xf>
    <xf numFmtId="0" fontId="44" fillId="0" borderId="0" xfId="0" applyFont="1" applyAlignment="1">
      <alignment horizontal="center" vertical="center"/>
    </xf>
    <xf numFmtId="0" fontId="42" fillId="0" borderId="0" xfId="0" applyFont="1" applyAlignment="1">
      <alignment horizontal="center"/>
    </xf>
    <xf numFmtId="0" fontId="44" fillId="0" borderId="0" xfId="0" applyFont="1" applyAlignment="1">
      <alignment horizontal="center" wrapText="1"/>
    </xf>
    <xf numFmtId="4" fontId="42" fillId="0" borderId="0" xfId="0" applyNumberFormat="1" applyFont="1"/>
    <xf numFmtId="0" fontId="43" fillId="3" borderId="8" xfId="0" applyFont="1" applyFill="1" applyBorder="1" applyAlignment="1">
      <alignment horizontal="center" vertical="center" wrapText="1"/>
    </xf>
    <xf numFmtId="0" fontId="43" fillId="4" borderId="26" xfId="0" applyFont="1" applyFill="1" applyBorder="1" applyAlignment="1">
      <alignment horizontal="center" vertical="center" wrapText="1"/>
    </xf>
    <xf numFmtId="0" fontId="43" fillId="3" borderId="3" xfId="0" applyFont="1" applyFill="1" applyBorder="1" applyAlignment="1">
      <alignment horizontal="center" vertical="center" wrapText="1"/>
    </xf>
    <xf numFmtId="0" fontId="43" fillId="4" borderId="2" xfId="0" applyFont="1" applyFill="1" applyBorder="1" applyAlignment="1">
      <alignment horizontal="center" vertical="center" wrapText="1"/>
    </xf>
    <xf numFmtId="0" fontId="43" fillId="3" borderId="2" xfId="0" applyFont="1" applyFill="1" applyBorder="1" applyAlignment="1">
      <alignment horizontal="center" vertical="center" wrapText="1"/>
    </xf>
    <xf numFmtId="0" fontId="43" fillId="4" borderId="33" xfId="0" applyFont="1" applyFill="1" applyBorder="1" applyAlignment="1">
      <alignment horizontal="center" vertical="center" wrapText="1"/>
    </xf>
    <xf numFmtId="0" fontId="43" fillId="3" borderId="11" xfId="0" applyFont="1" applyFill="1" applyBorder="1" applyAlignment="1">
      <alignment horizontal="center" vertical="center" wrapText="1"/>
    </xf>
    <xf numFmtId="0" fontId="47" fillId="10" borderId="11" xfId="0" applyFont="1" applyFill="1" applyBorder="1" applyAlignment="1">
      <alignment horizontal="center" vertical="center" wrapText="1"/>
    </xf>
    <xf numFmtId="0" fontId="44" fillId="0" borderId="8" xfId="0" applyFont="1" applyBorder="1" applyAlignment="1">
      <alignment horizontal="center" vertical="center" wrapText="1"/>
    </xf>
    <xf numFmtId="0" fontId="44" fillId="0" borderId="27" xfId="0" applyFont="1" applyBorder="1" applyAlignment="1">
      <alignment horizontal="center" vertical="center" wrapText="1"/>
    </xf>
    <xf numFmtId="0" fontId="42" fillId="0" borderId="17" xfId="0" applyFont="1" applyBorder="1" applyAlignment="1">
      <alignment horizontal="center"/>
    </xf>
    <xf numFmtId="0" fontId="44" fillId="0" borderId="26" xfId="0" applyFont="1" applyBorder="1" applyAlignment="1">
      <alignment horizontal="center" vertical="center" wrapText="1"/>
    </xf>
    <xf numFmtId="0" fontId="44" fillId="0" borderId="2" xfId="0" applyFont="1" applyBorder="1" applyAlignment="1">
      <alignment horizontal="center" vertical="center" wrapText="1"/>
    </xf>
    <xf numFmtId="0" fontId="44" fillId="0" borderId="2" xfId="0" applyFont="1" applyBorder="1" applyAlignment="1">
      <alignment horizontal="center" vertical="center"/>
    </xf>
    <xf numFmtId="0" fontId="44" fillId="0" borderId="33" xfId="0" applyFont="1" applyBorder="1" applyAlignment="1">
      <alignment horizontal="center" vertical="center" wrapText="1"/>
    </xf>
    <xf numFmtId="1" fontId="44" fillId="0" borderId="10" xfId="0" applyNumberFormat="1" applyFont="1" applyBorder="1" applyAlignment="1">
      <alignment horizontal="center" vertical="center"/>
    </xf>
    <xf numFmtId="0" fontId="44" fillId="0" borderId="17" xfId="0" applyFont="1" applyBorder="1" applyAlignment="1">
      <alignment horizontal="center" vertical="center"/>
    </xf>
    <xf numFmtId="9" fontId="44" fillId="0" borderId="10" xfId="0" applyNumberFormat="1" applyFont="1" applyBorder="1" applyAlignment="1">
      <alignment horizontal="center"/>
    </xf>
    <xf numFmtId="1" fontId="44" fillId="0" borderId="0" xfId="0" applyNumberFormat="1" applyFont="1"/>
    <xf numFmtId="0" fontId="44" fillId="0" borderId="2" xfId="0" applyFont="1" applyBorder="1" applyAlignment="1">
      <alignment horizontal="center"/>
    </xf>
    <xf numFmtId="0" fontId="44" fillId="0" borderId="3" xfId="0" applyFont="1" applyBorder="1" applyAlignment="1">
      <alignment horizontal="center" vertical="center" wrapText="1"/>
    </xf>
    <xf numFmtId="0" fontId="43" fillId="3" borderId="16" xfId="0" applyFont="1" applyFill="1" applyBorder="1" applyAlignment="1">
      <alignment horizontal="center" vertical="center"/>
    </xf>
    <xf numFmtId="0" fontId="43" fillId="4" borderId="28" xfId="0" applyFont="1" applyFill="1" applyBorder="1" applyAlignment="1">
      <alignment horizontal="center" vertical="center"/>
    </xf>
    <xf numFmtId="0" fontId="43" fillId="3" borderId="36" xfId="0" applyFont="1" applyFill="1" applyBorder="1" applyAlignment="1">
      <alignment horizontal="center" vertical="center"/>
    </xf>
    <xf numFmtId="0" fontId="43" fillId="4" borderId="34" xfId="0" applyFont="1" applyFill="1" applyBorder="1" applyAlignment="1">
      <alignment horizontal="center" vertical="center"/>
    </xf>
    <xf numFmtId="0" fontId="43" fillId="3" borderId="34" xfId="0" applyFont="1" applyFill="1" applyBorder="1" applyAlignment="1">
      <alignment horizontal="center" vertical="center"/>
    </xf>
    <xf numFmtId="0" fontId="43" fillId="4" borderId="29" xfId="0" applyFont="1" applyFill="1" applyBorder="1" applyAlignment="1">
      <alignment horizontal="center" vertical="center"/>
    </xf>
    <xf numFmtId="0" fontId="43" fillId="4" borderId="6" xfId="0" applyFont="1" applyFill="1" applyBorder="1" applyAlignment="1">
      <alignment horizontal="center" vertical="center"/>
    </xf>
    <xf numFmtId="0" fontId="43" fillId="3" borderId="6" xfId="0" applyFont="1" applyFill="1" applyBorder="1" applyAlignment="1">
      <alignment horizontal="center" vertical="center"/>
    </xf>
    <xf numFmtId="0" fontId="47" fillId="10" borderId="6" xfId="0" applyFont="1" applyFill="1" applyBorder="1" applyAlignment="1">
      <alignment horizontal="center" vertical="center"/>
    </xf>
    <xf numFmtId="165" fontId="44" fillId="0" borderId="0" xfId="0" applyNumberFormat="1" applyFont="1"/>
    <xf numFmtId="0" fontId="42" fillId="0" borderId="0" xfId="0" applyFont="1" applyAlignment="1">
      <alignment horizontal="left"/>
    </xf>
    <xf numFmtId="0" fontId="44" fillId="0" borderId="0" xfId="0" applyFont="1" applyAlignment="1">
      <alignment vertical="top"/>
    </xf>
    <xf numFmtId="0" fontId="44" fillId="0" borderId="0" xfId="0" applyFont="1" applyAlignment="1">
      <alignment horizontal="center" vertical="top"/>
    </xf>
    <xf numFmtId="0" fontId="43" fillId="0" borderId="14" xfId="0" applyFont="1" applyBorder="1" applyAlignment="1">
      <alignment vertical="center"/>
    </xf>
    <xf numFmtId="0" fontId="44" fillId="0" borderId="14" xfId="0" applyFont="1" applyBorder="1" applyAlignment="1">
      <alignment vertical="center"/>
    </xf>
    <xf numFmtId="0" fontId="47" fillId="6" borderId="6" xfId="0" applyFont="1" applyFill="1" applyBorder="1" applyAlignment="1">
      <alignment horizontal="center" vertical="center"/>
    </xf>
    <xf numFmtId="0" fontId="47" fillId="6" borderId="7" xfId="0" applyFont="1" applyFill="1" applyBorder="1" applyAlignment="1">
      <alignment horizontal="center" vertical="center"/>
    </xf>
    <xf numFmtId="0" fontId="47" fillId="7" borderId="6" xfId="0" applyFont="1" applyFill="1" applyBorder="1" applyAlignment="1">
      <alignment horizontal="center" vertical="center"/>
    </xf>
    <xf numFmtId="0" fontId="47" fillId="7" borderId="7" xfId="0" applyFont="1" applyFill="1" applyBorder="1" applyAlignment="1">
      <alignment horizontal="center" vertical="center"/>
    </xf>
    <xf numFmtId="0" fontId="47" fillId="7" borderId="13" xfId="0" applyFont="1" applyFill="1" applyBorder="1" applyAlignment="1">
      <alignment horizontal="center" vertical="center"/>
    </xf>
    <xf numFmtId="0" fontId="49" fillId="3" borderId="3" xfId="0" applyFont="1" applyFill="1" applyBorder="1" applyAlignment="1">
      <alignment vertical="center"/>
    </xf>
    <xf numFmtId="0" fontId="44" fillId="0" borderId="8" xfId="0" applyFont="1" applyBorder="1" applyAlignment="1">
      <alignment horizontal="center" vertical="center"/>
    </xf>
    <xf numFmtId="0" fontId="44" fillId="0" borderId="10" xfId="0" applyFont="1" applyBorder="1" applyAlignment="1">
      <alignment horizontal="center" vertical="center"/>
    </xf>
    <xf numFmtId="0" fontId="44" fillId="0" borderId="9" xfId="0" applyFont="1" applyBorder="1" applyAlignment="1">
      <alignment horizontal="center" vertical="center"/>
    </xf>
    <xf numFmtId="0" fontId="44" fillId="0" borderId="6" xfId="0" applyFont="1" applyBorder="1" applyAlignment="1">
      <alignment horizontal="center" vertical="center"/>
    </xf>
    <xf numFmtId="0" fontId="50" fillId="0" borderId="0" xfId="0" applyFont="1" applyAlignment="1">
      <alignment horizontal="right"/>
    </xf>
    <xf numFmtId="0" fontId="44" fillId="0" borderId="19" xfId="0" applyFont="1" applyBorder="1" applyAlignment="1">
      <alignment horizontal="left" indent="1"/>
    </xf>
    <xf numFmtId="0" fontId="49" fillId="0" borderId="0" xfId="0" applyFont="1" applyAlignment="1">
      <alignment horizontal="left" vertical="center" wrapText="1"/>
    </xf>
    <xf numFmtId="0" fontId="49" fillId="14" borderId="21" xfId="0" applyFont="1" applyFill="1" applyBorder="1" applyAlignment="1">
      <alignment horizontal="left" vertical="center" wrapText="1"/>
    </xf>
    <xf numFmtId="0" fontId="49" fillId="14" borderId="0" xfId="0" applyFont="1" applyFill="1" applyAlignment="1">
      <alignment horizontal="left" vertical="center" wrapText="1"/>
    </xf>
    <xf numFmtId="0" fontId="42" fillId="14" borderId="0" xfId="0" applyFont="1" applyFill="1" applyAlignment="1">
      <alignment horizontal="left" vertical="center" wrapText="1"/>
    </xf>
    <xf numFmtId="0" fontId="44" fillId="0" borderId="0" xfId="0" applyFont="1" applyAlignment="1">
      <alignment horizontal="center" vertical="center" wrapText="1"/>
    </xf>
    <xf numFmtId="0" fontId="42" fillId="0" borderId="0" xfId="0" applyFont="1" applyAlignment="1">
      <alignment horizontal="center" vertical="top"/>
    </xf>
    <xf numFmtId="1" fontId="42" fillId="0" borderId="0" xfId="0" applyNumberFormat="1" applyFont="1" applyAlignment="1">
      <alignment horizontal="center" vertical="top"/>
    </xf>
    <xf numFmtId="0" fontId="42" fillId="0" borderId="0" xfId="0" applyFont="1" applyAlignment="1">
      <alignment horizontal="left" vertical="top"/>
    </xf>
    <xf numFmtId="1" fontId="51" fillId="0" borderId="21" xfId="0" applyNumberFormat="1" applyFont="1" applyBorder="1" applyAlignment="1">
      <alignment horizontal="center" vertical="top"/>
    </xf>
    <xf numFmtId="1" fontId="51" fillId="0" borderId="0" xfId="0" applyNumberFormat="1" applyFont="1" applyAlignment="1">
      <alignment horizontal="center" vertical="top"/>
    </xf>
    <xf numFmtId="4" fontId="42" fillId="0" borderId="0" xfId="0" applyNumberFormat="1" applyFont="1" applyAlignment="1">
      <alignment horizontal="center" vertical="top"/>
    </xf>
    <xf numFmtId="0" fontId="52" fillId="0" borderId="0" xfId="2" applyFont="1" applyAlignment="1">
      <alignment vertical="top"/>
    </xf>
    <xf numFmtId="1" fontId="40" fillId="0" borderId="0" xfId="0" applyNumberFormat="1" applyFont="1" applyAlignment="1">
      <alignment horizontal="right"/>
    </xf>
    <xf numFmtId="0" fontId="52" fillId="0" borderId="0" xfId="2" applyFont="1" applyFill="1" applyAlignment="1">
      <alignment vertical="top"/>
    </xf>
    <xf numFmtId="9" fontId="0" fillId="0" borderId="0" xfId="1" applyFont="1"/>
    <xf numFmtId="0" fontId="52" fillId="0" borderId="10" xfId="2" applyFont="1" applyFill="1" applyBorder="1" applyAlignment="1">
      <alignment vertical="top"/>
    </xf>
    <xf numFmtId="0" fontId="52" fillId="0" borderId="48" xfId="2" applyFont="1" applyFill="1" applyBorder="1" applyAlignment="1">
      <alignment vertical="top"/>
    </xf>
    <xf numFmtId="0" fontId="52" fillId="0" borderId="0" xfId="2" applyFont="1" applyFill="1" applyBorder="1" applyAlignment="1">
      <alignment vertical="top"/>
    </xf>
    <xf numFmtId="0" fontId="0" fillId="0" borderId="12" xfId="0" applyBorder="1"/>
    <xf numFmtId="0" fontId="40" fillId="0" borderId="0" xfId="0" applyFont="1"/>
    <xf numFmtId="0" fontId="44" fillId="25" borderId="8" xfId="0" applyFont="1" applyFill="1" applyBorder="1" applyAlignment="1">
      <alignment horizontal="center" vertical="center" wrapText="1"/>
    </xf>
    <xf numFmtId="0" fontId="44" fillId="25" borderId="27" xfId="0" applyFont="1" applyFill="1" applyBorder="1" applyAlignment="1">
      <alignment horizontal="center" vertical="center" wrapText="1"/>
    </xf>
    <xf numFmtId="0" fontId="42" fillId="25" borderId="17" xfId="0" applyFont="1" applyFill="1" applyBorder="1" applyAlignment="1">
      <alignment horizontal="center"/>
    </xf>
    <xf numFmtId="0" fontId="44" fillId="25" borderId="26" xfId="0" applyFont="1" applyFill="1" applyBorder="1" applyAlignment="1">
      <alignment horizontal="center" vertical="center" wrapText="1"/>
    </xf>
    <xf numFmtId="0" fontId="44" fillId="25" borderId="2" xfId="0" applyFont="1" applyFill="1" applyBorder="1" applyAlignment="1">
      <alignment horizontal="center" vertical="center" wrapText="1"/>
    </xf>
    <xf numFmtId="0" fontId="44" fillId="25" borderId="2" xfId="0" applyFont="1" applyFill="1" applyBorder="1" applyAlignment="1">
      <alignment horizontal="center" vertical="center"/>
    </xf>
    <xf numFmtId="0" fontId="44" fillId="25" borderId="33" xfId="0" applyFont="1" applyFill="1" applyBorder="1" applyAlignment="1">
      <alignment horizontal="center" vertical="center" wrapText="1"/>
    </xf>
    <xf numFmtId="0" fontId="53" fillId="0" borderId="0" xfId="0" applyFont="1"/>
    <xf numFmtId="0" fontId="29" fillId="0" borderId="0" xfId="3" applyFont="1" applyFill="1" applyAlignment="1">
      <alignment vertical="top"/>
    </xf>
    <xf numFmtId="0" fontId="1" fillId="16" borderId="37" xfId="2" applyFill="1" applyBorder="1" applyAlignment="1"/>
    <xf numFmtId="0" fontId="54" fillId="16" borderId="38" xfId="0" applyFont="1" applyFill="1" applyBorder="1"/>
    <xf numFmtId="0" fontId="5" fillId="16" borderId="38" xfId="0" applyFont="1" applyFill="1" applyBorder="1" applyAlignment="1">
      <alignment horizontal="center"/>
    </xf>
    <xf numFmtId="0" fontId="1" fillId="0" borderId="37" xfId="2" applyFill="1" applyBorder="1" applyAlignment="1"/>
    <xf numFmtId="0" fontId="54" fillId="0" borderId="38" xfId="0" applyFont="1" applyBorder="1"/>
    <xf numFmtId="0" fontId="5" fillId="0" borderId="38" xfId="0" applyFont="1" applyBorder="1" applyAlignment="1">
      <alignment horizontal="center"/>
    </xf>
    <xf numFmtId="0" fontId="55" fillId="16" borderId="37" xfId="0" applyFont="1" applyFill="1" applyBorder="1"/>
    <xf numFmtId="0" fontId="55" fillId="0" borderId="37" xfId="0" applyFont="1" applyBorder="1"/>
    <xf numFmtId="164" fontId="21" fillId="0" borderId="0" xfId="0" applyNumberFormat="1" applyFont="1" applyAlignment="1">
      <alignment horizontal="center" vertical="top"/>
    </xf>
    <xf numFmtId="0" fontId="9" fillId="4" borderId="0" xfId="0" applyFont="1" applyFill="1" applyAlignment="1">
      <alignment horizontal="center"/>
    </xf>
    <xf numFmtId="0" fontId="9" fillId="3" borderId="0" xfId="0" applyFont="1" applyFill="1" applyAlignment="1">
      <alignment horizontal="center"/>
    </xf>
    <xf numFmtId="0" fontId="9" fillId="5" borderId="0" xfId="0" applyFont="1" applyFill="1" applyAlignment="1">
      <alignment horizontal="center"/>
    </xf>
    <xf numFmtId="1" fontId="9" fillId="5" borderId="0" xfId="0" applyNumberFormat="1" applyFont="1" applyFill="1" applyAlignment="1">
      <alignment horizontal="center"/>
    </xf>
    <xf numFmtId="1" fontId="10" fillId="18" borderId="0" xfId="0" applyNumberFormat="1" applyFont="1" applyFill="1" applyAlignment="1">
      <alignment horizontal="center"/>
    </xf>
    <xf numFmtId="1" fontId="10" fillId="24" borderId="0" xfId="0" applyNumberFormat="1" applyFont="1" applyFill="1" applyAlignment="1">
      <alignment horizontal="center"/>
    </xf>
    <xf numFmtId="1" fontId="10" fillId="17" borderId="0" xfId="0" applyNumberFormat="1" applyFont="1" applyFill="1" applyAlignment="1">
      <alignment horizontal="center"/>
    </xf>
    <xf numFmtId="0" fontId="18" fillId="0" borderId="0" xfId="0" applyFont="1" applyAlignment="1">
      <alignment horizontal="right" vertical="center" wrapText="1"/>
    </xf>
    <xf numFmtId="0" fontId="4" fillId="7" borderId="4" xfId="0" applyFont="1" applyFill="1" applyBorder="1" applyAlignment="1">
      <alignment horizontal="center" vertical="center"/>
    </xf>
    <xf numFmtId="0" fontId="2" fillId="3" borderId="0" xfId="0" applyFont="1" applyFill="1" applyAlignment="1">
      <alignment horizontal="center" vertical="center"/>
    </xf>
    <xf numFmtId="0" fontId="24" fillId="0" borderId="40" xfId="0" applyFont="1" applyBorder="1" applyAlignment="1">
      <alignment horizontal="center"/>
    </xf>
    <xf numFmtId="0" fontId="2" fillId="5" borderId="25" xfId="0" applyFont="1" applyFill="1" applyBorder="1" applyAlignment="1">
      <alignment horizontal="center" vertical="center"/>
    </xf>
    <xf numFmtId="0" fontId="2" fillId="5" borderId="35" xfId="0" applyFont="1" applyFill="1" applyBorder="1" applyAlignment="1">
      <alignment horizontal="center" vertical="center"/>
    </xf>
    <xf numFmtId="0" fontId="4" fillId="8" borderId="30" xfId="0" applyFont="1" applyFill="1" applyBorder="1" applyAlignment="1">
      <alignment horizontal="center" vertical="center"/>
    </xf>
    <xf numFmtId="0" fontId="4" fillId="8" borderId="31" xfId="0" applyFont="1" applyFill="1" applyBorder="1" applyAlignment="1">
      <alignment horizontal="center" vertical="center"/>
    </xf>
    <xf numFmtId="0" fontId="4" fillId="8" borderId="32" xfId="0" applyFont="1" applyFill="1" applyBorder="1" applyAlignment="1">
      <alignment horizontal="center" vertical="center"/>
    </xf>
    <xf numFmtId="0" fontId="2" fillId="9" borderId="1" xfId="0" applyFont="1" applyFill="1" applyBorder="1" applyAlignment="1">
      <alignment horizontal="center" vertical="center"/>
    </xf>
    <xf numFmtId="0" fontId="4" fillId="6" borderId="4" xfId="0" applyFont="1" applyFill="1" applyBorder="1" applyAlignment="1">
      <alignment horizontal="center" vertical="center"/>
    </xf>
    <xf numFmtId="0" fontId="16" fillId="7" borderId="4" xfId="0" applyFont="1" applyFill="1" applyBorder="1" applyAlignment="1">
      <alignment horizontal="center" vertical="center"/>
    </xf>
    <xf numFmtId="0" fontId="47" fillId="7" borderId="4" xfId="0" applyFont="1" applyFill="1" applyBorder="1" applyAlignment="1">
      <alignment horizontal="center" vertical="center"/>
    </xf>
    <xf numFmtId="0" fontId="43" fillId="3" borderId="0" xfId="0" applyFont="1" applyFill="1" applyAlignment="1">
      <alignment horizontal="center" vertical="center"/>
    </xf>
    <xf numFmtId="0" fontId="45" fillId="0" borderId="40" xfId="0" applyFont="1" applyBorder="1" applyAlignment="1">
      <alignment horizontal="center"/>
    </xf>
    <xf numFmtId="0" fontId="43" fillId="5" borderId="25" xfId="0" applyFont="1" applyFill="1" applyBorder="1" applyAlignment="1">
      <alignment horizontal="center" vertical="center"/>
    </xf>
    <xf numFmtId="0" fontId="43" fillId="5" borderId="35" xfId="0" applyFont="1" applyFill="1" applyBorder="1" applyAlignment="1">
      <alignment horizontal="center" vertical="center"/>
    </xf>
    <xf numFmtId="0" fontId="47" fillId="8" borderId="30" xfId="0" applyFont="1" applyFill="1" applyBorder="1" applyAlignment="1">
      <alignment horizontal="center" vertical="center"/>
    </xf>
    <xf numFmtId="0" fontId="47" fillId="8" borderId="31" xfId="0" applyFont="1" applyFill="1" applyBorder="1" applyAlignment="1">
      <alignment horizontal="center" vertical="center"/>
    </xf>
    <xf numFmtId="0" fontId="47" fillId="8" borderId="32" xfId="0" applyFont="1" applyFill="1" applyBorder="1" applyAlignment="1">
      <alignment horizontal="center" vertical="center"/>
    </xf>
    <xf numFmtId="0" fontId="43" fillId="9" borderId="1" xfId="0" applyFont="1" applyFill="1" applyBorder="1" applyAlignment="1">
      <alignment horizontal="center" vertical="center"/>
    </xf>
    <xf numFmtId="0" fontId="47" fillId="6" borderId="4" xfId="0" applyFont="1" applyFill="1" applyBorder="1" applyAlignment="1">
      <alignment horizontal="center" vertical="center"/>
    </xf>
    <xf numFmtId="0" fontId="48" fillId="7" borderId="4" xfId="0" applyFont="1" applyFill="1" applyBorder="1" applyAlignment="1">
      <alignment horizontal="center" vertical="center"/>
    </xf>
    <xf numFmtId="0" fontId="24" fillId="0" borderId="0" xfId="0" applyFont="1" applyAlignment="1">
      <alignment horizontal="center"/>
    </xf>
    <xf numFmtId="0" fontId="18" fillId="0" borderId="0" xfId="0" applyFont="1" applyAlignment="1">
      <alignment horizontal="right" vertical="center"/>
    </xf>
    <xf numFmtId="0" fontId="18" fillId="0" borderId="0" xfId="0" applyFont="1" applyAlignment="1">
      <alignment horizontal="center"/>
    </xf>
    <xf numFmtId="0" fontId="18" fillId="0" borderId="1" xfId="0" applyFont="1" applyBorder="1" applyAlignment="1">
      <alignment horizontal="center"/>
    </xf>
    <xf numFmtId="0" fontId="4" fillId="8" borderId="12"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0" xfId="0" applyFont="1" applyFill="1" applyAlignment="1">
      <alignment horizontal="center" vertical="center"/>
    </xf>
    <xf numFmtId="0" fontId="4" fillId="7" borderId="5" xfId="0" applyFont="1" applyFill="1" applyBorder="1" applyAlignment="1">
      <alignment horizontal="center" vertical="center"/>
    </xf>
    <xf numFmtId="0" fontId="4" fillId="7" borderId="0" xfId="0" applyFont="1" applyFill="1" applyAlignment="1">
      <alignment horizontal="center" vertical="center"/>
    </xf>
  </cellXfs>
  <cellStyles count="4">
    <cellStyle name="Hyperlink" xfId="2" xr:uid="{00000000-000B-0000-0000-000008000000}"/>
    <cellStyle name="Link" xfId="3" builtinId="8"/>
    <cellStyle name="Prozent" xfId="1" builtinId="5"/>
    <cellStyle name="Standard" xfId="0" builtinId="0"/>
  </cellStyles>
  <dxfs count="585">
    <dxf>
      <font>
        <b/>
        <i val="0"/>
      </font>
      <fill>
        <patternFill patternType="mediumGray">
          <fgColor rgb="FFFFFF00"/>
        </patternFill>
      </fill>
      <border>
        <left style="thin">
          <color auto="1"/>
        </left>
        <right style="thin">
          <color auto="1"/>
        </right>
        <top style="thin">
          <color auto="1"/>
        </top>
        <bottom style="thin">
          <color auto="1"/>
        </bottom>
        <vertical/>
        <horizontal/>
      </border>
    </dxf>
    <dxf>
      <font>
        <b/>
        <i val="0"/>
      </font>
      <fill>
        <patternFill patternType="mediumGray">
          <fgColor rgb="FFFFFF00"/>
        </patternFill>
      </fill>
      <border>
        <left style="thin">
          <color auto="1"/>
        </left>
        <right style="thin">
          <color auto="1"/>
        </right>
        <top style="thin">
          <color auto="1"/>
        </top>
        <bottom style="thin">
          <color auto="1"/>
        </bottom>
      </border>
    </dxf>
    <dxf>
      <fill>
        <patternFill patternType="mediumGray">
          <fgColor rgb="FFFFFF00"/>
        </patternFill>
      </fill>
      <border>
        <left style="thin">
          <color auto="1"/>
        </left>
        <right style="thin">
          <color auto="1"/>
        </right>
        <top style="thin">
          <color auto="1"/>
        </top>
        <bottom style="thin">
          <color auto="1"/>
        </bottom>
        <vertical/>
        <horizontal/>
      </border>
    </dxf>
    <dxf>
      <fill>
        <patternFill patternType="mediumGray">
          <fgColor rgb="FFFFFF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0" formatCode="General"/>
      <fill>
        <patternFill patternType="solid">
          <fgColor indexed="64"/>
          <bgColor theme="8" tint="0.59999389629810485"/>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1"/>
        <name val="Aptos"/>
        <scheme val="none"/>
      </font>
      <alignment horizontal="center" vertical="top" textRotation="0" wrapText="0" indent="0" justifyLastLine="0" shrinkToFit="0" readingOrder="0"/>
    </dxf>
    <dxf>
      <font>
        <strike val="0"/>
        <outline val="0"/>
        <shadow val="0"/>
        <vertAlign val="baseline"/>
        <sz val="10"/>
        <color rgb="FF000000"/>
        <name val="Aptos Narrow"/>
        <family val="2"/>
        <scheme val="minor"/>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left"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b val="0"/>
        <i val="0"/>
        <strike val="0"/>
        <condense val="0"/>
        <extend val="0"/>
        <outline val="0"/>
        <shadow val="0"/>
        <u/>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strike val="0"/>
        <outline val="0"/>
        <shadow val="0"/>
        <vertAlign val="baseline"/>
        <sz val="10"/>
        <color rgb="FF000000"/>
        <name val="Aptos Narrow"/>
        <family val="2"/>
        <scheme val="minor"/>
      </font>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1" indent="0" justifyLastLine="0" shrinkToFit="0" readingOrder="0"/>
    </dxf>
    <dxf>
      <font>
        <b/>
        <i val="0"/>
        <strike val="0"/>
        <condense val="0"/>
        <extend val="0"/>
        <outline val="0"/>
        <shadow val="0"/>
        <u val="none"/>
        <vertAlign val="baseline"/>
        <sz val="10"/>
        <color rgb="FF000000"/>
        <name val="Aptos Narrow"/>
        <family val="2"/>
        <scheme val="minor"/>
      </font>
      <fill>
        <patternFill patternType="none">
          <fgColor indexed="64"/>
          <bgColor theme="3" tint="0.499984740745262"/>
        </patternFill>
      </fill>
      <alignment horizontal="lef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0" formatCode="General"/>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1"/>
        <name val="Aptos"/>
        <scheme val="none"/>
      </font>
      <alignment horizontal="center" vertical="top" textRotation="0" wrapText="0" indent="0" justifyLastLine="0" shrinkToFit="0" readingOrder="0"/>
    </dxf>
    <dxf>
      <font>
        <strike val="0"/>
        <outline val="0"/>
        <shadow val="0"/>
        <vertAlign val="baseline"/>
        <sz val="10"/>
        <color rgb="FF000000"/>
        <name val="Aptos Narrow"/>
        <family val="2"/>
        <scheme val="minor"/>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left"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b val="0"/>
        <i val="0"/>
        <strike val="0"/>
        <condense val="0"/>
        <extend val="0"/>
        <outline val="0"/>
        <shadow val="0"/>
        <u/>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strike val="0"/>
        <outline val="0"/>
        <shadow val="0"/>
        <vertAlign val="baseline"/>
        <sz val="10"/>
        <color rgb="FF000000"/>
        <name val="Aptos Narrow"/>
        <family val="2"/>
        <scheme val="minor"/>
      </font>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1" indent="0" justifyLastLine="0" shrinkToFit="0" readingOrder="0"/>
    </dxf>
    <dxf>
      <font>
        <b/>
        <i val="0"/>
        <strike val="0"/>
        <condense val="0"/>
        <extend val="0"/>
        <outline val="0"/>
        <shadow val="0"/>
        <u val="none"/>
        <vertAlign val="baseline"/>
        <sz val="10"/>
        <color rgb="FF000000"/>
        <name val="Aptos Narrow"/>
        <family val="2"/>
        <scheme val="minor"/>
      </font>
      <fill>
        <patternFill patternType="none">
          <fgColor indexed="64"/>
          <bgColor theme="3" tint="0.49998474074526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0" formatCode="General"/>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border diagonalUp="0" diagonalDown="0" outline="0">
        <left style="thick">
          <color indexed="64"/>
        </left>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1"/>
        <name val="Aptos"/>
        <scheme val="none"/>
      </font>
      <alignment horizontal="center" vertical="top" textRotation="0" wrapText="0" indent="0" justifyLastLine="0" shrinkToFit="0" readingOrder="0"/>
    </dxf>
    <dxf>
      <font>
        <strike val="0"/>
        <outline val="0"/>
        <shadow val="0"/>
        <vertAlign val="baseline"/>
        <sz val="10"/>
        <color rgb="FF000000"/>
        <name val="Aptos Narrow"/>
        <family val="2"/>
        <scheme val="minor"/>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left"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b val="0"/>
        <i val="0"/>
        <strike val="0"/>
        <condense val="0"/>
        <extend val="0"/>
        <outline val="0"/>
        <shadow val="0"/>
        <u/>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strike val="0"/>
        <outline val="0"/>
        <shadow val="0"/>
        <vertAlign val="baseline"/>
        <sz val="10"/>
        <color rgb="FF000000"/>
        <name val="Aptos Narrow"/>
        <family val="2"/>
        <scheme val="minor"/>
      </font>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1" indent="0" justifyLastLine="0" shrinkToFit="0" readingOrder="0"/>
    </dxf>
    <dxf>
      <font>
        <b/>
        <i val="0"/>
        <strike val="0"/>
        <condense val="0"/>
        <extend val="0"/>
        <outline val="0"/>
        <shadow val="0"/>
        <u val="none"/>
        <vertAlign val="baseline"/>
        <sz val="10"/>
        <color rgb="FF000000"/>
        <name val="Aptos Narrow"/>
        <family val="2"/>
        <scheme val="minor"/>
      </font>
      <fill>
        <patternFill patternType="none">
          <fgColor indexed="64"/>
          <bgColor theme="3" tint="0.49998474074526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0" formatCode="General"/>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border diagonalUp="0" diagonalDown="0" outline="0">
        <left style="thick">
          <color indexed="64"/>
        </left>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1"/>
        <name val="Aptos"/>
        <scheme val="none"/>
      </font>
      <alignment horizontal="center" vertical="top" textRotation="0" wrapText="0" indent="0" justifyLastLine="0" shrinkToFit="0" readingOrder="0"/>
    </dxf>
    <dxf>
      <font>
        <strike val="0"/>
        <outline val="0"/>
        <shadow val="0"/>
        <vertAlign val="baseline"/>
        <sz val="10"/>
        <color rgb="FF000000"/>
        <name val="Aptos Narrow"/>
        <family val="2"/>
        <scheme val="minor"/>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left"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b val="0"/>
        <i val="0"/>
        <strike val="0"/>
        <condense val="0"/>
        <extend val="0"/>
        <outline val="0"/>
        <shadow val="0"/>
        <u/>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strike val="0"/>
        <outline val="0"/>
        <shadow val="0"/>
        <vertAlign val="baseline"/>
        <sz val="10"/>
        <color rgb="FF000000"/>
        <name val="Aptos Narrow"/>
        <family val="2"/>
        <scheme val="minor"/>
      </font>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1" indent="0" justifyLastLine="0" shrinkToFit="0" readingOrder="0"/>
    </dxf>
    <dxf>
      <font>
        <b/>
        <i val="0"/>
        <strike val="0"/>
        <condense val="0"/>
        <extend val="0"/>
        <outline val="0"/>
        <shadow val="0"/>
        <u val="none"/>
        <vertAlign val="baseline"/>
        <sz val="10"/>
        <color rgb="FF000000"/>
        <name val="Aptos Narrow"/>
        <family val="2"/>
        <scheme val="minor"/>
      </font>
      <fill>
        <patternFill patternType="none">
          <fgColor indexed="64"/>
          <bgColor theme="3" tint="0.49998474074526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0" formatCode="General"/>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border diagonalUp="0" diagonalDown="0" outline="0">
        <left style="thick">
          <color indexed="64"/>
        </left>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1"/>
        <name val="Aptos"/>
        <scheme val="none"/>
      </font>
      <alignment horizontal="center" vertical="top" textRotation="0" wrapText="0" indent="0" justifyLastLine="0" shrinkToFit="0" readingOrder="0"/>
    </dxf>
    <dxf>
      <font>
        <strike val="0"/>
        <outline val="0"/>
        <shadow val="0"/>
        <vertAlign val="baseline"/>
        <sz val="10"/>
        <color rgb="FF000000"/>
        <name val="Aptos Narrow"/>
        <family val="2"/>
        <scheme val="minor"/>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left"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b val="0"/>
        <i val="0"/>
        <strike val="0"/>
        <condense val="0"/>
        <extend val="0"/>
        <outline val="0"/>
        <shadow val="0"/>
        <u/>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color rgb="FF000000"/>
      </font>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1" indent="0" justifyLastLine="0" shrinkToFit="0" readingOrder="0"/>
    </dxf>
    <dxf>
      <font>
        <b/>
        <i val="0"/>
        <strike val="0"/>
        <condense val="0"/>
        <extend val="0"/>
        <outline val="0"/>
        <shadow val="0"/>
        <u val="none"/>
        <vertAlign val="baseline"/>
        <sz val="10"/>
        <color rgb="FF000000"/>
        <name val="Aptos Narrow"/>
        <family val="2"/>
        <scheme val="minor"/>
      </font>
      <fill>
        <patternFill patternType="none">
          <fgColor indexed="64"/>
          <bgColor theme="3" tint="0.49998474074526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0" tint="-0.499984740745262"/>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theme="0" tint="-0.499984740745262"/>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theme="0" tint="-0.499984740745262"/>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0" formatCode="General"/>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theme="0" tint="-0.499984740745262"/>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border diagonalUp="0" diagonalDown="0" outline="0">
        <left style="thick">
          <color indexed="64"/>
        </left>
        <right/>
        <top/>
        <bottom/>
      </border>
    </dxf>
    <dxf>
      <font>
        <b val="0"/>
        <i val="0"/>
        <strike val="0"/>
        <condense val="0"/>
        <extend val="0"/>
        <outline val="0"/>
        <shadow val="0"/>
        <u val="none"/>
        <vertAlign val="baseline"/>
        <sz val="10"/>
        <color theme="0" tint="-0.499984740745262"/>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family val="2"/>
        <scheme val="none"/>
      </font>
      <numFmt numFmtId="1" formatCode="0"/>
      <alignment horizontal="center" vertical="top" textRotation="0" wrapText="0" indent="0" justifyLastLine="0" shrinkToFit="0" readingOrder="0"/>
    </dxf>
    <dxf>
      <font>
        <strike val="0"/>
        <outline val="0"/>
        <shadow val="0"/>
        <vertAlign val="baseline"/>
        <sz val="10"/>
        <color rgb="FF000000"/>
        <name val="Aptos Narrow"/>
        <family val="2"/>
        <scheme val="minor"/>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left" vertical="top" textRotation="0" wrapText="0" indent="0" justifyLastLine="0" shrinkToFit="0" readingOrder="0"/>
    </dxf>
    <dxf>
      <font>
        <b val="0"/>
        <i val="0"/>
        <strike val="0"/>
        <condense val="0"/>
        <extend val="0"/>
        <outline val="0"/>
        <shadow val="0"/>
        <u val="none"/>
        <vertAlign val="baseline"/>
        <sz val="10"/>
        <color theme="0" tint="-0.499984740745262"/>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b val="0"/>
        <i val="0"/>
        <strike val="0"/>
        <condense val="0"/>
        <extend val="0"/>
        <outline val="0"/>
        <shadow val="0"/>
        <u/>
        <vertAlign val="baseline"/>
        <sz val="10"/>
        <color rgb="FF000000"/>
        <name val="Aptos"/>
        <family val="2"/>
        <scheme val="none"/>
      </font>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color rgb="FF000000"/>
      </font>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1" indent="0" justifyLastLine="0" shrinkToFit="0" readingOrder="0"/>
    </dxf>
    <dxf>
      <font>
        <b/>
        <i val="0"/>
        <strike val="0"/>
        <condense val="0"/>
        <extend val="0"/>
        <outline val="0"/>
        <shadow val="0"/>
        <u val="none"/>
        <vertAlign val="baseline"/>
        <sz val="10"/>
        <color rgb="FF000000"/>
        <name val="Aptos Narrow"/>
        <family val="2"/>
        <scheme val="minor"/>
      </font>
      <fill>
        <patternFill patternType="none">
          <fgColor indexed="64"/>
          <bgColor theme="3" tint="0.49998474074526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0" formatCode="General"/>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border diagonalUp="0" diagonalDown="0" outline="0">
        <left style="thick">
          <color indexed="64"/>
        </left>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1"/>
        <name val="Aptos"/>
        <scheme val="none"/>
      </font>
      <alignment horizontal="center" vertical="top" textRotation="0" wrapText="0" indent="0" justifyLastLine="0" shrinkToFit="0" readingOrder="0"/>
    </dxf>
    <dxf>
      <font>
        <strike val="0"/>
        <outline val="0"/>
        <shadow val="0"/>
        <vertAlign val="baseline"/>
        <sz val="10"/>
        <color rgb="FF000000"/>
        <name val="Aptos Narrow"/>
        <family val="2"/>
        <scheme val="minor"/>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left"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b val="0"/>
        <i val="0"/>
        <strike val="0"/>
        <condense val="0"/>
        <extend val="0"/>
        <outline val="0"/>
        <shadow val="0"/>
        <u/>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color rgb="FF000000"/>
      </font>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1" indent="0" justifyLastLine="0" shrinkToFit="0" readingOrder="0"/>
    </dxf>
    <dxf>
      <font>
        <b/>
        <i val="0"/>
        <strike val="0"/>
        <condense val="0"/>
        <extend val="0"/>
        <outline val="0"/>
        <shadow val="0"/>
        <u val="none"/>
        <vertAlign val="baseline"/>
        <sz val="10"/>
        <color rgb="FF000000"/>
        <name val="Aptos Narrow"/>
        <family val="2"/>
        <scheme val="minor"/>
      </font>
      <fill>
        <patternFill patternType="none">
          <fgColor indexed="64"/>
          <bgColor theme="3" tint="0.49998474074526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0" formatCode="General"/>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border diagonalUp="0" diagonalDown="0" outline="0">
        <left style="thick">
          <color indexed="64"/>
        </left>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1"/>
        <name val="Aptos"/>
        <scheme val="none"/>
      </font>
      <alignment horizontal="center" vertical="top" textRotation="0" wrapText="0" indent="0" justifyLastLine="0" shrinkToFit="0" readingOrder="0"/>
    </dxf>
    <dxf>
      <font>
        <strike val="0"/>
        <outline val="0"/>
        <shadow val="0"/>
        <vertAlign val="baseline"/>
        <sz val="10"/>
        <color rgb="FF000000"/>
        <name val="Aptos Narrow"/>
        <family val="2"/>
        <scheme val="minor"/>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left"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b val="0"/>
        <i val="0"/>
        <strike val="0"/>
        <condense val="0"/>
        <extend val="0"/>
        <outline val="0"/>
        <shadow val="0"/>
        <u/>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color rgb="FF000000"/>
      </font>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1" indent="0" justifyLastLine="0" shrinkToFit="0" readingOrder="0"/>
    </dxf>
    <dxf>
      <font>
        <b/>
        <i val="0"/>
        <strike val="0"/>
        <condense val="0"/>
        <extend val="0"/>
        <outline val="0"/>
        <shadow val="0"/>
        <u val="none"/>
        <vertAlign val="baseline"/>
        <sz val="10"/>
        <color rgb="FF000000"/>
        <name val="Aptos Narrow"/>
        <family val="2"/>
        <scheme val="minor"/>
      </font>
      <fill>
        <patternFill patternType="none">
          <fgColor indexed="64"/>
          <bgColor theme="3" tint="0.49998474074526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0" formatCode="General"/>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Narrow"/>
        <family val="2"/>
        <scheme val="minor"/>
      </font>
      <numFmt numFmtId="1" formatCode="0"/>
      <fill>
        <patternFill patternType="none">
          <fgColor indexed="64"/>
          <bgColor theme="0" tint="-4.9989318521683403E-2"/>
        </patternFill>
      </fill>
      <alignment horizontal="center" vertical="top" textRotation="0" wrapText="1" indent="0" justifyLastLine="0" shrinkToFit="0" readingOrder="0"/>
      <border diagonalUp="0" diagonalDown="0" outline="0">
        <left style="thick">
          <color indexed="64"/>
        </left>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1"/>
        <name val="Aptos"/>
        <scheme val="none"/>
      </font>
      <alignment horizontal="center" vertical="top" textRotation="0" wrapText="0" indent="0" justifyLastLine="0" shrinkToFit="0" readingOrder="0"/>
    </dxf>
    <dxf>
      <font>
        <strike val="0"/>
        <outline val="0"/>
        <shadow val="0"/>
        <u val="none"/>
        <vertAlign val="baseline"/>
        <sz val="10"/>
        <color rgb="FF000000"/>
        <name val="Aptos Narrow"/>
        <family val="2"/>
        <scheme val="minor"/>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left"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numFmt numFmtId="1" formatCode="0"/>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b val="0"/>
        <i val="0"/>
        <strike val="0"/>
        <condense val="0"/>
        <extend val="0"/>
        <outline val="0"/>
        <shadow val="0"/>
        <u/>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color rgb="FF000000"/>
      </font>
    </dxf>
    <dxf>
      <font>
        <b val="0"/>
        <i val="0"/>
        <strike val="0"/>
        <condense val="0"/>
        <extend val="0"/>
        <outline val="0"/>
        <shadow val="0"/>
        <u val="none"/>
        <vertAlign val="baseline"/>
        <sz val="10"/>
        <color rgb="FF000000"/>
        <name val="Aptos Narrow"/>
        <family val="2"/>
        <scheme val="minor"/>
      </font>
      <fill>
        <patternFill patternType="none"/>
      </fill>
      <alignment horizontal="center" vertical="top" textRotation="0" wrapText="1" indent="0" justifyLastLine="0" shrinkToFit="0" readingOrder="0"/>
    </dxf>
    <dxf>
      <font>
        <b/>
        <i val="0"/>
        <strike val="0"/>
        <condense val="0"/>
        <extend val="0"/>
        <outline val="0"/>
        <shadow val="0"/>
        <u val="none"/>
        <vertAlign val="baseline"/>
        <sz val="10"/>
        <color rgb="FF000000"/>
        <name val="Aptos Narrow"/>
        <family val="2"/>
        <scheme val="minor"/>
      </font>
      <fill>
        <patternFill patternType="none">
          <fgColor indexed="64"/>
          <bgColor theme="3" tint="0.49998474074526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0" formatCode="General"/>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1" indent="0" justifyLastLine="0" shrinkToFit="0" readingOrder="0"/>
      <border diagonalUp="0" diagonalDown="0">
        <left style="thick">
          <color indexed="64"/>
        </left>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1" formatCode="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1"/>
        <name val="Aptos"/>
        <scheme val="none"/>
      </font>
      <alignment horizontal="center" vertical="top" textRotation="0" wrapText="0" indent="0" justifyLastLine="0" shrinkToFit="0" readingOrder="0"/>
    </dxf>
    <dxf>
      <font>
        <strike val="0"/>
        <outline val="0"/>
        <shadow val="0"/>
        <u val="none"/>
        <vertAlign val="baseline"/>
        <sz val="10"/>
        <color rgb="FF000000"/>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left"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1" formatCode="0"/>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b val="0"/>
        <i val="0"/>
        <strike val="0"/>
        <condense val="0"/>
        <extend val="0"/>
        <outline val="0"/>
        <shadow val="0"/>
        <u/>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scheme val="none"/>
      </font>
      <fill>
        <patternFill patternType="none"/>
      </fill>
      <alignment horizontal="general" vertical="top" textRotation="0" wrapText="0" indent="0" justifyLastLine="0" shrinkToFit="0" readingOrder="0"/>
    </dxf>
    <dxf>
      <font>
        <color rgb="FF000000"/>
      </font>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1" indent="0" justifyLastLine="0" shrinkToFit="0" readingOrder="0"/>
    </dxf>
    <dxf>
      <font>
        <b/>
        <i val="0"/>
        <strike val="0"/>
        <condense val="0"/>
        <extend val="0"/>
        <outline val="0"/>
        <shadow val="0"/>
        <u val="none"/>
        <vertAlign val="baseline"/>
        <sz val="10"/>
        <color rgb="FF000000"/>
        <name val="Aptos"/>
        <family val="2"/>
        <scheme val="none"/>
      </font>
      <fill>
        <patternFill patternType="none">
          <fgColor indexed="64"/>
          <bgColor theme="3" tint="0.49998474074526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0" formatCode="General"/>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1" indent="0" justifyLastLine="0" shrinkToFit="0" readingOrder="0"/>
      <border diagonalUp="0" diagonalDown="0">
        <left style="thick">
          <color indexed="64"/>
        </left>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1" formatCode="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1"/>
        <name val="Aptos"/>
        <scheme val="none"/>
      </font>
      <alignment horizontal="center" vertical="top" textRotation="0" wrapText="0" indent="0" justifyLastLine="0" shrinkToFit="0" readingOrder="0"/>
    </dxf>
    <dxf>
      <font>
        <strike val="0"/>
        <outline val="0"/>
        <shadow val="0"/>
        <u val="none"/>
        <vertAlign val="baseline"/>
        <sz val="10"/>
        <color rgb="FF000000"/>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left"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1" formatCode="0"/>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b val="0"/>
        <i val="0"/>
        <strike val="0"/>
        <condense val="0"/>
        <extend val="0"/>
        <outline val="0"/>
        <shadow val="0"/>
        <u/>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scheme val="none"/>
      </font>
      <fill>
        <patternFill patternType="none"/>
      </fill>
      <alignment horizontal="general" vertical="top" textRotation="0" wrapText="0" indent="0" justifyLastLine="0" shrinkToFit="0" readingOrder="0"/>
    </dxf>
    <dxf>
      <font>
        <color rgb="FF000000"/>
      </font>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1" indent="0" justifyLastLine="0" shrinkToFit="0" readingOrder="0"/>
    </dxf>
    <dxf>
      <font>
        <b/>
        <i val="0"/>
        <strike val="0"/>
        <condense val="0"/>
        <extend val="0"/>
        <outline val="0"/>
        <shadow val="0"/>
        <u val="none"/>
        <vertAlign val="baseline"/>
        <sz val="10"/>
        <color rgb="FF000000"/>
        <name val="Aptos"/>
        <family val="2"/>
        <scheme val="none"/>
      </font>
      <fill>
        <patternFill patternType="none">
          <fgColor indexed="64"/>
          <bgColor theme="3" tint="0.49998474074526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0" formatCode="General"/>
      <fill>
        <patternFill patternType="none">
          <fgColor indexed="64"/>
          <bgColor theme="0" tint="-4.9989318521683403E-2"/>
        </patternFill>
      </fill>
      <alignment horizontal="center" vertical="top" textRotation="0" wrapText="1"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1" indent="0" justifyLastLine="0" shrinkToFit="0" readingOrder="0"/>
      <border diagonalUp="0" diagonalDown="0">
        <left style="thick">
          <color indexed="64"/>
        </left>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1" formatCode="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1"/>
        <name val="Aptos"/>
        <scheme val="none"/>
      </font>
      <alignment horizontal="center" vertical="top" textRotation="0" wrapText="0" indent="0" justifyLastLine="0" shrinkToFit="0" readingOrder="0"/>
    </dxf>
    <dxf>
      <font>
        <strike val="0"/>
        <outline val="0"/>
        <shadow val="0"/>
        <u val="none"/>
        <vertAlign val="baseline"/>
        <sz val="10"/>
        <color rgb="FF000000"/>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left"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1" formatCode="0"/>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b val="0"/>
        <i val="0"/>
        <strike val="0"/>
        <condense val="0"/>
        <extend val="0"/>
        <outline val="0"/>
        <shadow val="0"/>
        <u/>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scheme val="none"/>
      </font>
      <fill>
        <patternFill patternType="none"/>
      </fill>
      <alignment horizontal="general" vertical="top" textRotation="0" wrapText="0" indent="0" justifyLastLine="0" shrinkToFit="0" readingOrder="0"/>
    </dxf>
    <dxf>
      <font>
        <color rgb="FF000000"/>
      </font>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1" indent="0" justifyLastLine="0" shrinkToFit="0" readingOrder="0"/>
    </dxf>
    <dxf>
      <font>
        <b/>
        <i val="0"/>
        <strike val="0"/>
        <condense val="0"/>
        <extend val="0"/>
        <outline val="0"/>
        <shadow val="0"/>
        <u val="none"/>
        <vertAlign val="baseline"/>
        <sz val="10"/>
        <color rgb="FF000000"/>
        <name val="Aptos"/>
        <family val="2"/>
        <scheme val="none"/>
      </font>
      <fill>
        <patternFill patternType="none">
          <fgColor indexed="64"/>
          <bgColor theme="3" tint="0.49998474074526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0" tint="-0.499984740745262"/>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family val="2"/>
        <scheme val="none"/>
      </font>
      <numFmt numFmtId="1" formatCode="0"/>
      <alignment horizontal="center" vertical="top" textRotation="0" wrapText="0" indent="0" justifyLastLine="0" shrinkToFit="0" readingOrder="0"/>
      <border diagonalUp="0" diagonalDown="0" outline="0">
        <left style="thick">
          <color indexed="64"/>
        </left>
        <right/>
        <top/>
        <bottom/>
      </border>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border diagonalUp="0" diagonalDown="0">
        <left style="thick">
          <color indexed="64"/>
        </left>
        <right/>
        <top/>
        <bottom/>
      </border>
    </dxf>
    <dxf>
      <font>
        <b val="0"/>
        <i val="0"/>
        <strike val="0"/>
        <condense val="0"/>
        <extend val="0"/>
        <outline val="0"/>
        <shadow val="0"/>
        <u val="none"/>
        <vertAlign val="baseline"/>
        <sz val="10"/>
        <color rgb="FF000000"/>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1" formatCode="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1" formatCode="0"/>
      <alignment horizontal="center" vertical="top" textRotation="0" wrapText="0" indent="0" justifyLastLine="0" shrinkToFit="0" readingOrder="0"/>
    </dxf>
    <dxf>
      <font>
        <strike val="0"/>
        <outline val="0"/>
        <shadow val="0"/>
        <u val="none"/>
        <vertAlign val="baseline"/>
        <sz val="10"/>
        <color rgb="FF000000"/>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left"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4" formatCode="#,##0.0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1" formatCode="0"/>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Narrow"/>
        <family val="2"/>
        <scheme val="minor"/>
      </font>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b val="0"/>
        <i val="0"/>
        <strike val="0"/>
        <condense val="0"/>
        <extend val="0"/>
        <outline val="0"/>
        <shadow val="0"/>
        <u/>
        <vertAlign val="baseline"/>
        <sz val="10"/>
        <color rgb="FF000000"/>
        <name val="Aptos"/>
        <family val="2"/>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scheme val="none"/>
      </font>
      <fill>
        <patternFill patternType="none"/>
      </fill>
      <alignment horizontal="general" vertical="top" textRotation="0" wrapText="0" indent="0" justifyLastLine="0" shrinkToFit="0" readingOrder="0"/>
    </dxf>
    <dxf>
      <font>
        <color rgb="FF000000"/>
      </font>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i val="0"/>
        <strike val="0"/>
        <condense val="0"/>
        <extend val="0"/>
        <outline val="0"/>
        <shadow val="0"/>
        <u val="none"/>
        <vertAlign val="baseline"/>
        <sz val="10"/>
        <color rgb="FF000000"/>
        <name val="Aptos"/>
        <family val="2"/>
        <scheme val="none"/>
      </font>
      <fill>
        <patternFill patternType="none">
          <fgColor indexed="64"/>
          <bgColor theme="3" tint="0.49998474074526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border diagonalUp="0" diagonalDown="0">
        <left style="thick">
          <color indexed="64"/>
        </left>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1" formatCode="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1"/>
        <name val="Aptos"/>
        <scheme val="none"/>
      </font>
      <alignment horizontal="center" vertical="top" textRotation="0" wrapText="0" indent="0" justifyLastLine="0" shrinkToFit="0" readingOrder="0"/>
    </dxf>
    <dxf>
      <font>
        <strike val="0"/>
        <outline val="0"/>
        <shadow val="0"/>
        <u val="none"/>
        <vertAlign val="baseline"/>
        <sz val="10"/>
        <color rgb="FF000000"/>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left"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1" formatCode="0"/>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b val="0"/>
        <i val="0"/>
        <strike val="0"/>
        <condense val="0"/>
        <extend val="0"/>
        <outline val="0"/>
        <shadow val="0"/>
        <u/>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scheme val="none"/>
      </font>
      <fill>
        <patternFill patternType="none"/>
      </fill>
      <alignment horizontal="general" vertical="top" textRotation="0" wrapText="0" indent="0" justifyLastLine="0" shrinkToFit="0" readingOrder="0"/>
    </dxf>
    <dxf>
      <font>
        <color rgb="FF000000"/>
      </font>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i val="0"/>
        <strike val="0"/>
        <condense val="0"/>
        <extend val="0"/>
        <outline val="0"/>
        <shadow val="0"/>
        <u val="none"/>
        <vertAlign val="baseline"/>
        <sz val="10"/>
        <color rgb="FF000000"/>
        <name val="Aptos"/>
        <family val="2"/>
        <scheme val="none"/>
      </font>
      <fill>
        <patternFill patternType="none">
          <fgColor indexed="64"/>
          <bgColor theme="3" tint="0.49998474074526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border diagonalUp="0" diagonalDown="0">
        <left style="thick">
          <color indexed="64"/>
        </left>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1" formatCode="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1"/>
        <name val="Aptos"/>
        <scheme val="none"/>
      </font>
      <alignment horizontal="center" vertical="top" textRotation="0" wrapText="0" indent="0" justifyLastLine="0" shrinkToFit="0" readingOrder="0"/>
    </dxf>
    <dxf>
      <font>
        <strike val="0"/>
        <outline val="0"/>
        <shadow val="0"/>
        <u val="none"/>
        <vertAlign val="baseline"/>
        <sz val="10"/>
        <color rgb="FF000000"/>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left"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1" formatCode="0"/>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b val="0"/>
        <i val="0"/>
        <strike val="0"/>
        <condense val="0"/>
        <extend val="0"/>
        <outline val="0"/>
        <shadow val="0"/>
        <u/>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scheme val="none"/>
      </font>
      <fill>
        <patternFill patternType="none"/>
      </fill>
      <alignment horizontal="general" vertical="top" textRotation="0" wrapText="0" indent="0" justifyLastLine="0" shrinkToFit="0" readingOrder="0"/>
    </dxf>
    <dxf>
      <font>
        <color rgb="FF000000"/>
      </font>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i val="0"/>
        <strike val="0"/>
        <condense val="0"/>
        <extend val="0"/>
        <outline val="0"/>
        <shadow val="0"/>
        <u val="none"/>
        <vertAlign val="baseline"/>
        <sz val="10"/>
        <color rgb="FF000000"/>
        <name val="Aptos"/>
        <family val="2"/>
        <scheme val="none"/>
      </font>
      <fill>
        <patternFill patternType="none">
          <fgColor indexed="64"/>
          <bgColor theme="3" tint="0.49998474074526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ptos"/>
        <scheme val="none"/>
      </font>
      <numFmt numFmtId="1" formatCode="0"/>
      <fill>
        <patternFill patternType="none">
          <fgColor indexed="64"/>
          <bgColor theme="0" tint="-4.9989318521683403E-2"/>
        </patternFill>
      </fill>
      <alignment horizontal="center" vertical="top" textRotation="0" wrapText="0" indent="0" justifyLastLine="0" shrinkToFit="0" readingOrder="0"/>
      <border diagonalUp="0" diagonalDown="0">
        <left style="thick">
          <color indexed="64"/>
        </left>
        <right/>
        <top/>
        <bottom/>
      </border>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1" formatCode="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theme="1"/>
        <name val="Aptos"/>
        <scheme val="none"/>
      </font>
      <alignment horizontal="center" vertical="top" textRotation="0" wrapText="0" indent="0" justifyLastLine="0" shrinkToFit="0" readingOrder="0"/>
    </dxf>
    <dxf>
      <font>
        <strike val="0"/>
        <outline val="0"/>
        <shadow val="0"/>
        <u val="none"/>
        <vertAlign val="baseline"/>
        <sz val="10"/>
        <color rgb="FF000000"/>
        <name val="Aptos"/>
        <family val="2"/>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strike val="0"/>
        <outline val="0"/>
        <shadow val="0"/>
        <u val="none"/>
        <vertAlign val="baseline"/>
        <sz val="10"/>
        <color theme="1"/>
        <name val="Aptos"/>
        <family val="2"/>
        <scheme val="none"/>
      </font>
      <numFmt numFmtId="0" formatCode="General"/>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left"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numFmt numFmtId="1" formatCode="0"/>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Narrow"/>
        <family val="2"/>
        <scheme val="minor"/>
      </font>
      <fill>
        <patternFill patternType="none"/>
      </fill>
      <alignment horizontal="general" vertical="top" textRotation="0" wrapText="0" indent="0" justifyLastLine="0" shrinkToFit="0" readingOrder="0"/>
    </dxf>
    <dxf>
      <font>
        <b val="0"/>
        <i val="0"/>
        <strike val="0"/>
        <condense val="0"/>
        <extend val="0"/>
        <outline val="0"/>
        <shadow val="0"/>
        <u/>
        <vertAlign val="baseline"/>
        <sz val="10"/>
        <color rgb="FF000000"/>
        <name val="Aptos"/>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0"/>
        <color rgb="FF000000"/>
        <name val="Aptos"/>
        <scheme val="none"/>
      </font>
      <fill>
        <patternFill patternType="none"/>
      </fill>
      <alignment horizontal="general" vertical="top" textRotation="0" wrapText="0" indent="0" justifyLastLine="0" shrinkToFit="0" readingOrder="0"/>
    </dxf>
    <dxf>
      <font>
        <color rgb="FF000000"/>
      </font>
    </dxf>
    <dxf>
      <font>
        <b val="0"/>
        <i val="0"/>
        <strike val="0"/>
        <condense val="0"/>
        <extend val="0"/>
        <outline val="0"/>
        <shadow val="0"/>
        <u val="none"/>
        <vertAlign val="baseline"/>
        <sz val="10"/>
        <color rgb="FF000000"/>
        <name val="Aptos"/>
        <family val="2"/>
        <scheme val="none"/>
      </font>
      <fill>
        <patternFill patternType="none"/>
      </fill>
      <alignment horizontal="center" vertical="top" textRotation="0" wrapText="0" indent="0" justifyLastLine="0" shrinkToFit="0" readingOrder="0"/>
    </dxf>
    <dxf>
      <font>
        <b/>
        <i val="0"/>
        <strike val="0"/>
        <condense val="0"/>
        <extend val="0"/>
        <outline val="0"/>
        <shadow val="0"/>
        <u val="none"/>
        <vertAlign val="baseline"/>
        <sz val="10"/>
        <color rgb="FF000000"/>
        <name val="Aptos"/>
        <family val="2"/>
        <scheme val="none"/>
      </font>
      <fill>
        <patternFill patternType="none">
          <fgColor indexed="64"/>
          <bgColor theme="3" tint="0.499984740745262"/>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92D050"/>
      <color rgb="FF00B0F0"/>
      <color rgb="FFD9A18F"/>
      <color rgb="FFC56E53"/>
      <color rgb="FF8B2E2E"/>
      <color rgb="FFA5501B"/>
      <color rgb="FFA66B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VALE Chart - PAY@MCO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2"/>
          <c:order val="2"/>
          <c:tx>
            <c:strRef>
              <c:f>'Diagramme PAY@MCO (FTE)'!$E$28</c:f>
              <c:strCache>
                <c:ptCount val="1"/>
                <c:pt idx="0">
                  <c:v>  Alarming</c:v>
                </c:pt>
              </c:strCache>
            </c:strRef>
          </c:tx>
          <c:spPr>
            <a:solidFill>
              <a:schemeClr val="tx1">
                <a:lumMod val="65000"/>
                <a:lumOff val="35000"/>
                <a:alpha val="50000"/>
              </a:schemeClr>
            </a:solidFill>
            <a:ln>
              <a:noFill/>
            </a:ln>
            <a:effectLst/>
          </c:spPr>
          <c:invertIfNegative val="0"/>
          <c:cat>
            <c:strRef>
              <c:f>'Diagramme PAY@MCO (FTE)'!$A$33:$A$38</c:f>
              <c:strCache>
                <c:ptCount val="6"/>
                <c:pt idx="0">
                  <c:v>Sprint 1_3+4</c:v>
                </c:pt>
                <c:pt idx="1">
                  <c:v>Sprint 1_5+6</c:v>
                </c:pt>
                <c:pt idx="2">
                  <c:v>Sprint 2_1+2</c:v>
                </c:pt>
                <c:pt idx="3">
                  <c:v>Sprint 2_3/4</c:v>
                </c:pt>
                <c:pt idx="4">
                  <c:v>Sprint 2_5/6</c:v>
                </c:pt>
                <c:pt idx="5">
                  <c:v>Sprint 3_1/2</c:v>
                </c:pt>
              </c:strCache>
            </c:strRef>
          </c:cat>
          <c:val>
            <c:numRef>
              <c:f>'Diagramme PAY@MCO (FTE)'!$E$33:$E$38</c:f>
              <c:numCache>
                <c:formatCode>0</c:formatCode>
                <c:ptCount val="6"/>
                <c:pt idx="0">
                  <c:v>13.823451293177735</c:v>
                </c:pt>
                <c:pt idx="1">
                  <c:v>15.5</c:v>
                </c:pt>
                <c:pt idx="2">
                  <c:v>21.525050201005634</c:v>
                </c:pt>
                <c:pt idx="3">
                  <c:v>25.5</c:v>
                </c:pt>
                <c:pt idx="4">
                  <c:v>17.511911518298483</c:v>
                </c:pt>
                <c:pt idx="5">
                  <c:v>17.131619709202347</c:v>
                </c:pt>
              </c:numCache>
            </c:numRef>
          </c:val>
          <c:extLst>
            <c:ext xmlns:c16="http://schemas.microsoft.com/office/drawing/2014/chart" uri="{C3380CC4-5D6E-409C-BE32-E72D297353CC}">
              <c16:uniqueId val="{00000000-C0D7-4788-90B1-0080B83D4162}"/>
            </c:ext>
          </c:extLst>
        </c:ser>
        <c:ser>
          <c:idx val="3"/>
          <c:order val="3"/>
          <c:tx>
            <c:strRef>
              <c:f>'Diagramme PAY@MCO (FTE)'!$F$28</c:f>
              <c:strCache>
                <c:ptCount val="1"/>
                <c:pt idx="0">
                  <c:v>  Concerning</c:v>
                </c:pt>
              </c:strCache>
            </c:strRef>
          </c:tx>
          <c:spPr>
            <a:solidFill>
              <a:schemeClr val="bg1">
                <a:lumMod val="50000"/>
                <a:alpha val="49804"/>
              </a:schemeClr>
            </a:solidFill>
            <a:ln>
              <a:noFill/>
            </a:ln>
            <a:effectLst/>
          </c:spPr>
          <c:invertIfNegative val="0"/>
          <c:cat>
            <c:strRef>
              <c:f>'Diagramme PAY@MCO (FTE)'!$A$33:$A$38</c:f>
              <c:strCache>
                <c:ptCount val="6"/>
                <c:pt idx="0">
                  <c:v>Sprint 1_3+4</c:v>
                </c:pt>
                <c:pt idx="1">
                  <c:v>Sprint 1_5+6</c:v>
                </c:pt>
                <c:pt idx="2">
                  <c:v>Sprint 2_1+2</c:v>
                </c:pt>
                <c:pt idx="3">
                  <c:v>Sprint 2_3/4</c:v>
                </c:pt>
                <c:pt idx="4">
                  <c:v>Sprint 2_5/6</c:v>
                </c:pt>
                <c:pt idx="5">
                  <c:v>Sprint 3_1/2</c:v>
                </c:pt>
              </c:strCache>
            </c:strRef>
          </c:cat>
          <c:val>
            <c:numRef>
              <c:f>'Diagramme PAY@MCO (FTE)'!$F$33:$F$38</c:f>
              <c:numCache>
                <c:formatCode>0</c:formatCode>
                <c:ptCount val="6"/>
                <c:pt idx="0">
                  <c:v>4.9216076867444665</c:v>
                </c:pt>
                <c:pt idx="1">
                  <c:v>4.5</c:v>
                </c:pt>
                <c:pt idx="2">
                  <c:v>3.1124748994971831</c:v>
                </c:pt>
                <c:pt idx="3">
                  <c:v>2.5</c:v>
                </c:pt>
                <c:pt idx="4">
                  <c:v>5.2440442408507577</c:v>
                </c:pt>
                <c:pt idx="5">
                  <c:v>5.3091901453988255</c:v>
                </c:pt>
              </c:numCache>
            </c:numRef>
          </c:val>
          <c:extLst>
            <c:ext xmlns:c16="http://schemas.microsoft.com/office/drawing/2014/chart" uri="{C3380CC4-5D6E-409C-BE32-E72D297353CC}">
              <c16:uniqueId val="{00000001-C0D7-4788-90B1-0080B83D4162}"/>
            </c:ext>
          </c:extLst>
        </c:ser>
        <c:ser>
          <c:idx val="4"/>
          <c:order val="4"/>
          <c:tx>
            <c:strRef>
              <c:f>'Diagramme PAY@MCO (FTE)'!$G$28</c:f>
              <c:strCache>
                <c:ptCount val="1"/>
                <c:pt idx="0">
                  <c:v>  Healthy</c:v>
                </c:pt>
              </c:strCache>
            </c:strRef>
          </c:tx>
          <c:spPr>
            <a:solidFill>
              <a:srgbClr val="92D050">
                <a:alpha val="50000"/>
              </a:srgbClr>
            </a:solidFill>
            <a:ln>
              <a:noFill/>
            </a:ln>
            <a:effectLst/>
          </c:spPr>
          <c:invertIfNegative val="0"/>
          <c:cat>
            <c:strRef>
              <c:f>'Diagramme PAY@MCO (FTE)'!$A$33:$A$38</c:f>
              <c:strCache>
                <c:ptCount val="6"/>
                <c:pt idx="0">
                  <c:v>Sprint 1_3+4</c:v>
                </c:pt>
                <c:pt idx="1">
                  <c:v>Sprint 1_5+6</c:v>
                </c:pt>
                <c:pt idx="2">
                  <c:v>Sprint 2_1+2</c:v>
                </c:pt>
                <c:pt idx="3">
                  <c:v>Sprint 2_3/4</c:v>
                </c:pt>
                <c:pt idx="4">
                  <c:v>Sprint 2_5/6</c:v>
                </c:pt>
                <c:pt idx="5">
                  <c:v>Sprint 3_1/2</c:v>
                </c:pt>
              </c:strCache>
            </c:strRef>
          </c:cat>
          <c:val>
            <c:numRef>
              <c:f>'Diagramme PAY@MCO (FTE)'!$G$33:$G$38</c:f>
              <c:numCache>
                <c:formatCode>0</c:formatCode>
                <c:ptCount val="6"/>
                <c:pt idx="0">
                  <c:v>4.9216076867444665</c:v>
                </c:pt>
                <c:pt idx="1">
                  <c:v>4.5</c:v>
                </c:pt>
                <c:pt idx="2">
                  <c:v>3.1124748994971831</c:v>
                </c:pt>
                <c:pt idx="3">
                  <c:v>2.5</c:v>
                </c:pt>
                <c:pt idx="4">
                  <c:v>5.2440442408507577</c:v>
                </c:pt>
                <c:pt idx="5">
                  <c:v>5.3091901453988255</c:v>
                </c:pt>
              </c:numCache>
            </c:numRef>
          </c:val>
          <c:extLst>
            <c:ext xmlns:c16="http://schemas.microsoft.com/office/drawing/2014/chart" uri="{C3380CC4-5D6E-409C-BE32-E72D297353CC}">
              <c16:uniqueId val="{00000002-C0D7-4788-90B1-0080B83D4162}"/>
            </c:ext>
          </c:extLst>
        </c:ser>
        <c:ser>
          <c:idx val="5"/>
          <c:order val="5"/>
          <c:tx>
            <c:strRef>
              <c:f>'Diagramme PAY@MCO (FTE)'!$H$28</c:f>
              <c:strCache>
                <c:ptCount val="1"/>
                <c:pt idx="0">
                  <c:v>  Spot-On</c:v>
                </c:pt>
              </c:strCache>
            </c:strRef>
          </c:tx>
          <c:spPr>
            <a:solidFill>
              <a:srgbClr val="00B050">
                <a:alpha val="50000"/>
              </a:srgbClr>
            </a:solidFill>
            <a:ln>
              <a:noFill/>
            </a:ln>
            <a:effectLst/>
          </c:spPr>
          <c:invertIfNegative val="0"/>
          <c:cat>
            <c:strRef>
              <c:f>'Diagramme PAY@MCO (FTE)'!$A$33:$A$38</c:f>
              <c:strCache>
                <c:ptCount val="6"/>
                <c:pt idx="0">
                  <c:v>Sprint 1_3+4</c:v>
                </c:pt>
                <c:pt idx="1">
                  <c:v>Sprint 1_5+6</c:v>
                </c:pt>
                <c:pt idx="2">
                  <c:v>Sprint 2_1+2</c:v>
                </c:pt>
                <c:pt idx="3">
                  <c:v>Sprint 2_3/4</c:v>
                </c:pt>
                <c:pt idx="4">
                  <c:v>Sprint 2_5/6</c:v>
                </c:pt>
                <c:pt idx="5">
                  <c:v>Sprint 3_1/2</c:v>
                </c:pt>
              </c:strCache>
            </c:strRef>
          </c:cat>
          <c:val>
            <c:numRef>
              <c:f>'Diagramme PAY@MCO (FTE)'!$H$33:$H$38</c:f>
              <c:numCache>
                <c:formatCode>0</c:formatCode>
                <c:ptCount val="6"/>
                <c:pt idx="0">
                  <c:v>4.9216076867444665</c:v>
                </c:pt>
                <c:pt idx="1">
                  <c:v>4.5</c:v>
                </c:pt>
                <c:pt idx="2">
                  <c:v>3.1124748994971831</c:v>
                </c:pt>
                <c:pt idx="3">
                  <c:v>2.5</c:v>
                </c:pt>
                <c:pt idx="4">
                  <c:v>5.2440442408507577</c:v>
                </c:pt>
                <c:pt idx="5">
                  <c:v>5.3091901453988255</c:v>
                </c:pt>
              </c:numCache>
            </c:numRef>
          </c:val>
          <c:extLst>
            <c:ext xmlns:c16="http://schemas.microsoft.com/office/drawing/2014/chart" uri="{C3380CC4-5D6E-409C-BE32-E72D297353CC}">
              <c16:uniqueId val="{00000003-C0D7-4788-90B1-0080B83D4162}"/>
            </c:ext>
          </c:extLst>
        </c:ser>
        <c:ser>
          <c:idx val="6"/>
          <c:order val="6"/>
          <c:tx>
            <c:strRef>
              <c:f>'Diagramme PAY@MCO (FTE)'!$I$28</c:f>
              <c:strCache>
                <c:ptCount val="1"/>
                <c:pt idx="0">
                  <c:v>  Lively</c:v>
                </c:pt>
              </c:strCache>
            </c:strRef>
          </c:tx>
          <c:spPr>
            <a:solidFill>
              <a:srgbClr val="92D050">
                <a:alpha val="50000"/>
              </a:srgbClr>
            </a:solidFill>
            <a:ln>
              <a:noFill/>
            </a:ln>
            <a:effectLst/>
          </c:spPr>
          <c:invertIfNegative val="0"/>
          <c:cat>
            <c:strRef>
              <c:f>'Diagramme PAY@MCO (FTE)'!$A$33:$A$38</c:f>
              <c:strCache>
                <c:ptCount val="6"/>
                <c:pt idx="0">
                  <c:v>Sprint 1_3+4</c:v>
                </c:pt>
                <c:pt idx="1">
                  <c:v>Sprint 1_5+6</c:v>
                </c:pt>
                <c:pt idx="2">
                  <c:v>Sprint 2_1+2</c:v>
                </c:pt>
                <c:pt idx="3">
                  <c:v>Sprint 2_3/4</c:v>
                </c:pt>
                <c:pt idx="4">
                  <c:v>Sprint 2_5/6</c:v>
                </c:pt>
                <c:pt idx="5">
                  <c:v>Sprint 3_1/2</c:v>
                </c:pt>
              </c:strCache>
            </c:strRef>
          </c:cat>
          <c:val>
            <c:numRef>
              <c:f>'Diagramme PAY@MCO (FTE)'!$I$33:$I$38</c:f>
              <c:numCache>
                <c:formatCode>0</c:formatCode>
                <c:ptCount val="6"/>
                <c:pt idx="0">
                  <c:v>4.9216076867444665</c:v>
                </c:pt>
                <c:pt idx="1">
                  <c:v>4.5</c:v>
                </c:pt>
                <c:pt idx="2">
                  <c:v>3.1124748994971831</c:v>
                </c:pt>
                <c:pt idx="3">
                  <c:v>2.5</c:v>
                </c:pt>
                <c:pt idx="4">
                  <c:v>5.2440442408507577</c:v>
                </c:pt>
                <c:pt idx="5">
                  <c:v>5.3091901453988255</c:v>
                </c:pt>
              </c:numCache>
            </c:numRef>
          </c:val>
          <c:extLst>
            <c:ext xmlns:c16="http://schemas.microsoft.com/office/drawing/2014/chart" uri="{C3380CC4-5D6E-409C-BE32-E72D297353CC}">
              <c16:uniqueId val="{00000004-C0D7-4788-90B1-0080B83D4162}"/>
            </c:ext>
          </c:extLst>
        </c:ser>
        <c:ser>
          <c:idx val="7"/>
          <c:order val="7"/>
          <c:tx>
            <c:strRef>
              <c:f>'Diagramme PAY@MCO (FTE)'!$J$28</c:f>
              <c:strCache>
                <c:ptCount val="1"/>
                <c:pt idx="0">
                  <c:v>  Bloated</c:v>
                </c:pt>
              </c:strCache>
            </c:strRef>
          </c:tx>
          <c:spPr>
            <a:solidFill>
              <a:schemeClr val="bg1">
                <a:lumMod val="75000"/>
                <a:alpha val="50000"/>
              </a:schemeClr>
            </a:solidFill>
            <a:ln>
              <a:noFill/>
            </a:ln>
            <a:effectLst/>
          </c:spPr>
          <c:invertIfNegative val="0"/>
          <c:cat>
            <c:strRef>
              <c:f>'Diagramme PAY@MCO (FTE)'!$A$33:$A$38</c:f>
              <c:strCache>
                <c:ptCount val="6"/>
                <c:pt idx="0">
                  <c:v>Sprint 1_3+4</c:v>
                </c:pt>
                <c:pt idx="1">
                  <c:v>Sprint 1_5+6</c:v>
                </c:pt>
                <c:pt idx="2">
                  <c:v>Sprint 2_1+2</c:v>
                </c:pt>
                <c:pt idx="3">
                  <c:v>Sprint 2_3/4</c:v>
                </c:pt>
                <c:pt idx="4">
                  <c:v>Sprint 2_5/6</c:v>
                </c:pt>
                <c:pt idx="5">
                  <c:v>Sprint 3_1/2</c:v>
                </c:pt>
              </c:strCache>
            </c:strRef>
          </c:cat>
          <c:val>
            <c:numRef>
              <c:f>'Diagramme PAY@MCO (FTE)'!$J$33:$J$38</c:f>
              <c:numCache>
                <c:formatCode>0</c:formatCode>
                <c:ptCount val="6"/>
                <c:pt idx="0">
                  <c:v>23.490117959844397</c:v>
                </c:pt>
                <c:pt idx="1">
                  <c:v>23.5</c:v>
                </c:pt>
                <c:pt idx="2">
                  <c:v>23.025050201005634</c:v>
                </c:pt>
                <c:pt idx="3">
                  <c:v>21.5</c:v>
                </c:pt>
                <c:pt idx="4">
                  <c:v>18.51191151829849</c:v>
                </c:pt>
                <c:pt idx="5">
                  <c:v>18.631619709202354</c:v>
                </c:pt>
              </c:numCache>
            </c:numRef>
          </c:val>
          <c:extLst>
            <c:ext xmlns:c16="http://schemas.microsoft.com/office/drawing/2014/chart" uri="{C3380CC4-5D6E-409C-BE32-E72D297353CC}">
              <c16:uniqueId val="{00000005-C0D7-4788-90B1-0080B83D4162}"/>
            </c:ext>
          </c:extLst>
        </c:ser>
        <c:dLbls>
          <c:showLegendKey val="0"/>
          <c:showVal val="0"/>
          <c:showCatName val="0"/>
          <c:showSerName val="0"/>
          <c:showPercent val="0"/>
          <c:showBubbleSize val="0"/>
        </c:dLbls>
        <c:gapWidth val="150"/>
        <c:overlap val="100"/>
        <c:axId val="561396128"/>
        <c:axId val="561396848"/>
      </c:barChart>
      <c:lineChart>
        <c:grouping val="standard"/>
        <c:varyColors val="0"/>
        <c:ser>
          <c:idx val="0"/>
          <c:order val="0"/>
          <c:tx>
            <c:strRef>
              <c:f>'Diagramme PAY@MCO (FTE)'!$C$28</c:f>
              <c:strCache>
                <c:ptCount val="1"/>
                <c:pt idx="0">
                  <c:v>  Average Velocity (4 Sprints prior)</c:v>
                </c:pt>
              </c:strCache>
            </c:strRef>
          </c:tx>
          <c:spPr>
            <a:ln w="38100" cap="rnd">
              <a:solidFill>
                <a:schemeClr val="accent2"/>
              </a:solidFill>
              <a:prstDash val="solid"/>
              <a:round/>
            </a:ln>
            <a:effectLst/>
          </c:spPr>
          <c:marker>
            <c:symbol val="none"/>
          </c:marker>
          <c:cat>
            <c:strRef>
              <c:f>'Diagramme PAY@MCO (FTE)'!$A$33:$A$38</c:f>
              <c:strCache>
                <c:ptCount val="6"/>
                <c:pt idx="0">
                  <c:v>Sprint 1_3+4</c:v>
                </c:pt>
                <c:pt idx="1">
                  <c:v>Sprint 1_5+6</c:v>
                </c:pt>
                <c:pt idx="2">
                  <c:v>Sprint 2_1+2</c:v>
                </c:pt>
                <c:pt idx="3">
                  <c:v>Sprint 2_3/4</c:v>
                </c:pt>
                <c:pt idx="4">
                  <c:v>Sprint 2_5/6</c:v>
                </c:pt>
                <c:pt idx="5">
                  <c:v>Sprint 3_1/2</c:v>
                </c:pt>
              </c:strCache>
            </c:strRef>
          </c:cat>
          <c:val>
            <c:numRef>
              <c:f>'Diagramme PAY@MCO (FTE)'!$C$33:$C$38</c:f>
              <c:numCache>
                <c:formatCode>0</c:formatCode>
                <c:ptCount val="6"/>
                <c:pt idx="0">
                  <c:v>23.666666666666668</c:v>
                </c:pt>
                <c:pt idx="1">
                  <c:v>24.5</c:v>
                </c:pt>
                <c:pt idx="2">
                  <c:v>27.75</c:v>
                </c:pt>
                <c:pt idx="3">
                  <c:v>30.5</c:v>
                </c:pt>
                <c:pt idx="4">
                  <c:v>28</c:v>
                </c:pt>
                <c:pt idx="5">
                  <c:v>27.75</c:v>
                </c:pt>
              </c:numCache>
            </c:numRef>
          </c:val>
          <c:smooth val="1"/>
          <c:extLst>
            <c:ext xmlns:c16="http://schemas.microsoft.com/office/drawing/2014/chart" uri="{C3380CC4-5D6E-409C-BE32-E72D297353CC}">
              <c16:uniqueId val="{00000006-C0D7-4788-90B1-0080B83D4162}"/>
            </c:ext>
          </c:extLst>
        </c:ser>
        <c:ser>
          <c:idx val="1"/>
          <c:order val="1"/>
          <c:tx>
            <c:strRef>
              <c:f>'Diagramme PAY@MCO (FTE)'!$D$28</c:f>
              <c:strCache>
                <c:ptCount val="1"/>
                <c:pt idx="0">
                  <c:v>  IDL Sprint Velocity</c:v>
                </c:pt>
              </c:strCache>
            </c:strRef>
          </c:tx>
          <c:spPr>
            <a:ln w="88900" cap="rnd" cmpd="sng">
              <a:solidFill>
                <a:schemeClr val="tx2">
                  <a:lumMod val="50000"/>
                  <a:lumOff val="50000"/>
                </a:schemeClr>
              </a:solidFill>
              <a:round/>
              <a:headEnd type="none" w="med" len="med"/>
              <a:tailEnd type="oval" w="sm" len="sm"/>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'Diagramme PAY@MCO (FTE)'!$A$33:$A$38</c:f>
              <c:strCache>
                <c:ptCount val="6"/>
                <c:pt idx="0">
                  <c:v>Sprint 1_3+4</c:v>
                </c:pt>
                <c:pt idx="1">
                  <c:v>Sprint 1_5+6</c:v>
                </c:pt>
                <c:pt idx="2">
                  <c:v>Sprint 2_1+2</c:v>
                </c:pt>
                <c:pt idx="3">
                  <c:v>Sprint 2_3/4</c:v>
                </c:pt>
                <c:pt idx="4">
                  <c:v>Sprint 2_5/6</c:v>
                </c:pt>
                <c:pt idx="5">
                  <c:v>Sprint 3_1/2</c:v>
                </c:pt>
              </c:strCache>
            </c:strRef>
          </c:cat>
          <c:val>
            <c:numRef>
              <c:f>'Diagramme PAY@MCO (FTE)'!$D$33:$D$38</c:f>
              <c:numCache>
                <c:formatCode>0</c:formatCode>
                <c:ptCount val="6"/>
                <c:pt idx="0">
                  <c:v>27</c:v>
                </c:pt>
                <c:pt idx="1">
                  <c:v>31</c:v>
                </c:pt>
                <c:pt idx="2">
                  <c:v>34</c:v>
                </c:pt>
                <c:pt idx="3">
                  <c:v>20</c:v>
                </c:pt>
                <c:pt idx="4">
                  <c:v>26</c:v>
                </c:pt>
                <c:pt idx="5">
                  <c:v>26</c:v>
                </c:pt>
              </c:numCache>
            </c:numRef>
          </c:val>
          <c:smooth val="0"/>
          <c:extLst>
            <c:ext xmlns:c16="http://schemas.microsoft.com/office/drawing/2014/chart" uri="{C3380CC4-5D6E-409C-BE32-E72D297353CC}">
              <c16:uniqueId val="{00000007-C0D7-4788-90B1-0080B83D4162}"/>
            </c:ext>
          </c:extLst>
        </c:ser>
        <c:dLbls>
          <c:showLegendKey val="0"/>
          <c:showVal val="0"/>
          <c:showCatName val="0"/>
          <c:showSerName val="0"/>
          <c:showPercent val="0"/>
          <c:showBubbleSize val="0"/>
        </c:dLbls>
        <c:marker val="1"/>
        <c:smooth val="0"/>
        <c:axId val="561396128"/>
        <c:axId val="561396848"/>
      </c:lineChart>
      <c:catAx>
        <c:axId val="561396128"/>
        <c:scaling>
          <c:orientation val="minMax"/>
        </c:scaling>
        <c:delete val="0"/>
        <c:axPos val="b"/>
        <c:title>
          <c:tx>
            <c:rich>
              <a:bodyPr rot="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endParaRPr lang="de-DE" sz="1000" b="0" i="0" u="none" strike="noStrike" baseline="0"/>
              </a:p>
              <a:p>
                <a:pPr algn="r">
                  <a:defRPr/>
                </a:pPr>
                <a:r>
                  <a:rPr lang="de-DE" sz="1000" b="0" i="0" u="none" strike="noStrike" baseline="0"/>
                  <a:t>Rating zones provide a stringent guideline for interpretation based on the standard deviation and the average of the past 4 sprints' velocities.</a:t>
                </a:r>
                <a:endParaRPr lang="de-DE"/>
              </a:p>
            </c:rich>
          </c:tx>
          <c:layout>
            <c:manualLayout>
              <c:xMode val="edge"/>
              <c:yMode val="edge"/>
              <c:x val="0.28006874999999998"/>
              <c:y val="0.90825257936507942"/>
            </c:manualLayout>
          </c:layout>
          <c:overlay val="0"/>
          <c:spPr>
            <a:noFill/>
            <a:ln>
              <a:noFill/>
            </a:ln>
            <a:effectLst/>
          </c:spPr>
          <c:txPr>
            <a:bodyPr rot="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1396848"/>
        <c:crosses val="autoZero"/>
        <c:auto val="1"/>
        <c:lblAlgn val="ctr"/>
        <c:lblOffset val="100"/>
        <c:noMultiLvlLbl val="0"/>
      </c:catAx>
      <c:valAx>
        <c:axId val="561396848"/>
        <c:scaling>
          <c:orientation val="minMax"/>
          <c:max val="50"/>
          <c:min val="0"/>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Velocity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out"/>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1396128"/>
        <c:crosses val="autoZero"/>
        <c:crossBetween val="between"/>
        <c:majorUnit val="10"/>
        <c:minorUnit val="2"/>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'KPIs HIL'!$D$114</c:f>
              <c:strCache>
                <c:ptCount val="1"/>
                <c:pt idx="0">
                  <c:v>Sales</c:v>
                </c:pt>
              </c:strCache>
            </c:strRef>
          </c:tx>
          <c:spPr>
            <a:ln w="28575" cap="rnd">
              <a:solidFill>
                <a:schemeClr val="accent1"/>
              </a:solidFill>
              <a:round/>
            </a:ln>
            <a:effectLst/>
          </c:spPr>
          <c:marker>
            <c:symbol val="none"/>
          </c:marker>
          <c:cat>
            <c:strRef>
              <c:f>'KPIs HIL'!$A$115:$A$121</c:f>
              <c:strCache>
                <c:ptCount val="7"/>
                <c:pt idx="0">
                  <c:v>Sprint 2024-4-4+5</c:v>
                </c:pt>
                <c:pt idx="1">
                  <c:v>Sprint 2024-4-6/7+8</c:v>
                </c:pt>
                <c:pt idx="2">
                  <c:v>Sprint 2025-1-1+2</c:v>
                </c:pt>
                <c:pt idx="3">
                  <c:v>Sprint 2025-1-3+4</c:v>
                </c:pt>
                <c:pt idx="4">
                  <c:v>Sprint 2025-1-5+6</c:v>
                </c:pt>
                <c:pt idx="5">
                  <c:v>Sprint 2025-2-1+2</c:v>
                </c:pt>
                <c:pt idx="6">
                  <c:v>Sprint 2025-2-3/4</c:v>
                </c:pt>
              </c:strCache>
            </c:strRef>
          </c:cat>
          <c:val>
            <c:numRef>
              <c:f>'KPIs HIL'!$D$115:$D$121</c:f>
              <c:numCache>
                <c:formatCode>0.0</c:formatCode>
                <c:ptCount val="7"/>
                <c:pt idx="0">
                  <c:v>73</c:v>
                </c:pt>
                <c:pt idx="1">
                  <c:v>60.868711174132812</c:v>
                </c:pt>
                <c:pt idx="2">
                  <c:v>65.292999058286981</c:v>
                </c:pt>
                <c:pt idx="3">
                  <c:v>69.099908641430844</c:v>
                </c:pt>
                <c:pt idx="4">
                  <c:v>70.45730455684955</c:v>
                </c:pt>
                <c:pt idx="5">
                  <c:v>68.6571681521432</c:v>
                </c:pt>
                <c:pt idx="6">
                  <c:v>65.792726613757736</c:v>
                </c:pt>
              </c:numCache>
            </c:numRef>
          </c:val>
          <c:smooth val="0"/>
          <c:extLst>
            <c:ext xmlns:c16="http://schemas.microsoft.com/office/drawing/2014/chart" uri="{C3380CC4-5D6E-409C-BE32-E72D297353CC}">
              <c16:uniqueId val="{00000000-DC04-4CE1-AE1F-7A3D83363CDC}"/>
            </c:ext>
          </c:extLst>
        </c:ser>
        <c:dLbls>
          <c:showLegendKey val="0"/>
          <c:showVal val="0"/>
          <c:showCatName val="0"/>
          <c:showSerName val="0"/>
          <c:showPercent val="0"/>
          <c:showBubbleSize val="0"/>
        </c:dLbls>
        <c:smooth val="0"/>
        <c:axId val="702375440"/>
        <c:axId val="702374000"/>
      </c:lineChart>
      <c:catAx>
        <c:axId val="70237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2374000"/>
        <c:crosses val="autoZero"/>
        <c:auto val="1"/>
        <c:lblAlgn val="ctr"/>
        <c:lblOffset val="100"/>
        <c:noMultiLvlLbl val="0"/>
      </c:catAx>
      <c:valAx>
        <c:axId val="70237400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2375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'KPIs HIL'!$P$114</c:f>
              <c:strCache>
                <c:ptCount val="1"/>
                <c:pt idx="0">
                  <c:v>Sales</c:v>
                </c:pt>
              </c:strCache>
            </c:strRef>
          </c:tx>
          <c:spPr>
            <a:ln w="28575" cap="rnd">
              <a:solidFill>
                <a:schemeClr val="accent1"/>
              </a:solidFill>
              <a:round/>
            </a:ln>
            <a:effectLst/>
          </c:spPr>
          <c:marker>
            <c:symbol val="none"/>
          </c:marker>
          <c:cat>
            <c:strRef>
              <c:f>'KPIs HIL'!$M$115:$M$121</c:f>
              <c:strCache>
                <c:ptCount val="7"/>
                <c:pt idx="0">
                  <c:v>Sprint 2024-4-4+5</c:v>
                </c:pt>
                <c:pt idx="1">
                  <c:v>Sprint 2024-4-6/7+8</c:v>
                </c:pt>
                <c:pt idx="2">
                  <c:v>Sprint 2025-1-1+2</c:v>
                </c:pt>
                <c:pt idx="3">
                  <c:v>Sprint 2025-1-3+4</c:v>
                </c:pt>
                <c:pt idx="4">
                  <c:v>Sprint 2025-1-5+6</c:v>
                </c:pt>
                <c:pt idx="5">
                  <c:v>Sprint 2025-2-1+2</c:v>
                </c:pt>
                <c:pt idx="6">
                  <c:v>Sprint 2025-2-3/4</c:v>
                </c:pt>
              </c:strCache>
            </c:strRef>
          </c:cat>
          <c:val>
            <c:numRef>
              <c:f>'KPIs HIL'!$P$115:$P$121</c:f>
              <c:numCache>
                <c:formatCode>0.0</c:formatCode>
                <c:ptCount val="7"/>
                <c:pt idx="0">
                  <c:v>16</c:v>
                </c:pt>
                <c:pt idx="1">
                  <c:v>16.492422502470642</c:v>
                </c:pt>
                <c:pt idx="2">
                  <c:v>17.164094007159303</c:v>
                </c:pt>
                <c:pt idx="3">
                  <c:v>17.763927755619417</c:v>
                </c:pt>
                <c:pt idx="4">
                  <c:v>18.351960652298416</c:v>
                </c:pt>
                <c:pt idx="5">
                  <c:v>18.154803567518798</c:v>
                </c:pt>
                <c:pt idx="6">
                  <c:v>19.114365902342207</c:v>
                </c:pt>
              </c:numCache>
            </c:numRef>
          </c:val>
          <c:smooth val="0"/>
          <c:extLst>
            <c:ext xmlns:c16="http://schemas.microsoft.com/office/drawing/2014/chart" uri="{C3380CC4-5D6E-409C-BE32-E72D297353CC}">
              <c16:uniqueId val="{00000000-79DD-49FC-BB90-208E36B36FD7}"/>
            </c:ext>
          </c:extLst>
        </c:ser>
        <c:dLbls>
          <c:showLegendKey val="0"/>
          <c:showVal val="0"/>
          <c:showCatName val="0"/>
          <c:showSerName val="0"/>
          <c:showPercent val="0"/>
          <c:showBubbleSize val="0"/>
        </c:dLbls>
        <c:smooth val="0"/>
        <c:axId val="525430144"/>
        <c:axId val="525424744"/>
      </c:lineChart>
      <c:catAx>
        <c:axId val="52543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25424744"/>
        <c:crosses val="autoZero"/>
        <c:auto val="1"/>
        <c:lblAlgn val="ctr"/>
        <c:lblOffset val="100"/>
        <c:noMultiLvlLbl val="0"/>
      </c:catAx>
      <c:valAx>
        <c:axId val="5254247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25430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'KPIs HIL'!$K$114</c:f>
              <c:strCache>
                <c:ptCount val="1"/>
                <c:pt idx="0">
                  <c:v>Papillon</c:v>
                </c:pt>
              </c:strCache>
            </c:strRef>
          </c:tx>
          <c:spPr>
            <a:ln w="28575" cap="rnd">
              <a:solidFill>
                <a:schemeClr val="accent1"/>
              </a:solidFill>
              <a:round/>
            </a:ln>
            <a:effectLst/>
          </c:spPr>
          <c:marker>
            <c:symbol val="none"/>
          </c:marker>
          <c:cat>
            <c:strRef>
              <c:f>'KPIs HIL'!$A$115:$A$121</c:f>
              <c:strCache>
                <c:ptCount val="7"/>
                <c:pt idx="0">
                  <c:v>Sprint 2024-4-4+5</c:v>
                </c:pt>
                <c:pt idx="1">
                  <c:v>Sprint 2024-4-6/7+8</c:v>
                </c:pt>
                <c:pt idx="2">
                  <c:v>Sprint 2025-1-1+2</c:v>
                </c:pt>
                <c:pt idx="3">
                  <c:v>Sprint 2025-1-3+4</c:v>
                </c:pt>
                <c:pt idx="4">
                  <c:v>Sprint 2025-1-5+6</c:v>
                </c:pt>
                <c:pt idx="5">
                  <c:v>Sprint 2025-2-1+2</c:v>
                </c:pt>
                <c:pt idx="6">
                  <c:v>Sprint 2025-2-3/4</c:v>
                </c:pt>
              </c:strCache>
            </c:strRef>
          </c:cat>
          <c:val>
            <c:numRef>
              <c:f>'KPIs HIL'!$K$115:$K$121</c:f>
              <c:numCache>
                <c:formatCode>0.0</c:formatCode>
                <c:ptCount val="7"/>
                <c:pt idx="0">
                  <c:v>30</c:v>
                </c:pt>
                <c:pt idx="1">
                  <c:v>36.945906403822327</c:v>
                </c:pt>
                <c:pt idx="2">
                  <c:v>43.394073133724262</c:v>
                </c:pt>
                <c:pt idx="3">
                  <c:v>50.06337341783226</c:v>
                </c:pt>
                <c:pt idx="4">
                  <c:v>57.107502006710661</c:v>
                </c:pt>
                <c:pt idx="5">
                  <c:v>58.45800673015934</c:v>
                </c:pt>
                <c:pt idx="6">
                  <c:v>69.221296042872325</c:v>
                </c:pt>
              </c:numCache>
            </c:numRef>
          </c:val>
          <c:smooth val="0"/>
          <c:extLst>
            <c:ext xmlns:c16="http://schemas.microsoft.com/office/drawing/2014/chart" uri="{C3380CC4-5D6E-409C-BE32-E72D297353CC}">
              <c16:uniqueId val="{00000000-6944-4FDB-873D-5D75466012E8}"/>
            </c:ext>
          </c:extLst>
        </c:ser>
        <c:dLbls>
          <c:showLegendKey val="0"/>
          <c:showVal val="0"/>
          <c:showCatName val="0"/>
          <c:showSerName val="0"/>
          <c:showPercent val="0"/>
          <c:showBubbleSize val="0"/>
        </c:dLbls>
        <c:smooth val="0"/>
        <c:axId val="702375440"/>
        <c:axId val="702374000"/>
      </c:lineChart>
      <c:catAx>
        <c:axId val="70237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2374000"/>
        <c:crosses val="autoZero"/>
        <c:auto val="1"/>
        <c:lblAlgn val="ctr"/>
        <c:lblOffset val="100"/>
        <c:noMultiLvlLbl val="0"/>
      </c:catAx>
      <c:valAx>
        <c:axId val="70237400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2375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'KPIs HIL'!$W$114</c:f>
              <c:strCache>
                <c:ptCount val="1"/>
                <c:pt idx="0">
                  <c:v>Papillon</c:v>
                </c:pt>
              </c:strCache>
            </c:strRef>
          </c:tx>
          <c:spPr>
            <a:ln w="28575" cap="rnd">
              <a:solidFill>
                <a:schemeClr val="accent1"/>
              </a:solidFill>
              <a:round/>
            </a:ln>
            <a:effectLst/>
          </c:spPr>
          <c:marker>
            <c:symbol val="none"/>
          </c:marker>
          <c:cat>
            <c:strRef>
              <c:f>'KPIs HIL'!$M$115:$M$121</c:f>
              <c:strCache>
                <c:ptCount val="7"/>
                <c:pt idx="0">
                  <c:v>Sprint 2024-4-4+5</c:v>
                </c:pt>
                <c:pt idx="1">
                  <c:v>Sprint 2024-4-6/7+8</c:v>
                </c:pt>
                <c:pt idx="2">
                  <c:v>Sprint 2025-1-1+2</c:v>
                </c:pt>
                <c:pt idx="3">
                  <c:v>Sprint 2025-1-3+4</c:v>
                </c:pt>
                <c:pt idx="4">
                  <c:v>Sprint 2025-1-5+6</c:v>
                </c:pt>
                <c:pt idx="5">
                  <c:v>Sprint 2025-2-1+2</c:v>
                </c:pt>
                <c:pt idx="6">
                  <c:v>Sprint 2025-2-3/4</c:v>
                </c:pt>
              </c:strCache>
            </c:strRef>
          </c:cat>
          <c:val>
            <c:numRef>
              <c:f>'KPIs HIL'!$W$115:$W$121</c:f>
              <c:numCache>
                <c:formatCode>0.0</c:formatCode>
                <c:ptCount val="7"/>
                <c:pt idx="0">
                  <c:v>12</c:v>
                </c:pt>
                <c:pt idx="1">
                  <c:v>14.899664425751341</c:v>
                </c:pt>
                <c:pt idx="2">
                  <c:v>16.657575560448798</c:v>
                </c:pt>
                <c:pt idx="3">
                  <c:v>19.08436994048219</c:v>
                </c:pt>
                <c:pt idx="4">
                  <c:v>21.083451832751052</c:v>
                </c:pt>
                <c:pt idx="5">
                  <c:v>21.529988040235132</c:v>
                </c:pt>
                <c:pt idx="6">
                  <c:v>23.429842840995214</c:v>
                </c:pt>
              </c:numCache>
            </c:numRef>
          </c:val>
          <c:smooth val="0"/>
          <c:extLst>
            <c:ext xmlns:c16="http://schemas.microsoft.com/office/drawing/2014/chart" uri="{C3380CC4-5D6E-409C-BE32-E72D297353CC}">
              <c16:uniqueId val="{00000000-52B7-4724-9609-55BA3BFEE5FE}"/>
            </c:ext>
          </c:extLst>
        </c:ser>
        <c:dLbls>
          <c:showLegendKey val="0"/>
          <c:showVal val="0"/>
          <c:showCatName val="0"/>
          <c:showSerName val="0"/>
          <c:showPercent val="0"/>
          <c:showBubbleSize val="0"/>
        </c:dLbls>
        <c:smooth val="0"/>
        <c:axId val="525430144"/>
        <c:axId val="525424744"/>
      </c:lineChart>
      <c:catAx>
        <c:axId val="52543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25424744"/>
        <c:crosses val="autoZero"/>
        <c:auto val="1"/>
        <c:lblAlgn val="ctr"/>
        <c:lblOffset val="100"/>
        <c:noMultiLvlLbl val="0"/>
      </c:catAx>
      <c:valAx>
        <c:axId val="5254247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25430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Completed PSEUDO-4-weeks Sprints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'KPIs IDL'!$Z$61</c:f>
              <c:strCache>
                <c:ptCount val="1"/>
                <c:pt idx="0">
                  <c:v>Engineering</c:v>
                </c:pt>
              </c:strCache>
            </c:strRef>
          </c:tx>
          <c:spPr>
            <a:ln w="28575" cap="rnd">
              <a:solidFill>
                <a:schemeClr val="accent1"/>
              </a:solidFill>
              <a:round/>
            </a:ln>
            <a:effectLst/>
          </c:spPr>
          <c:marker>
            <c:symbol val="none"/>
          </c:marker>
          <c:cat>
            <c:strRef>
              <c:f>'KPIs IDL'!$Y$62:$Y$68</c:f>
              <c:strCache>
                <c:ptCount val="7"/>
                <c:pt idx="0">
                  <c:v>Sprint_4_4+Sprint_4_5</c:v>
                </c:pt>
                <c:pt idx="1">
                  <c:v>Sprint_4_6+Sprint_4_8</c:v>
                </c:pt>
                <c:pt idx="2">
                  <c:v>Sprint_1_1+Sprint_1_2</c:v>
                </c:pt>
                <c:pt idx="3">
                  <c:v>Sprint_1_3+Sprint_1_4</c:v>
                </c:pt>
                <c:pt idx="4">
                  <c:v>Sprint_1_5+Sprint_1_6</c:v>
                </c:pt>
                <c:pt idx="5">
                  <c:v>Sprint_2_1+Sprint_2_2</c:v>
                </c:pt>
                <c:pt idx="6">
                  <c:v>Sprint_2_3u4</c:v>
                </c:pt>
              </c:strCache>
            </c:strRef>
          </c:cat>
          <c:val>
            <c:numRef>
              <c:f>'KPIs IDL'!$Z$62:$Z$68</c:f>
              <c:numCache>
                <c:formatCode>General</c:formatCode>
                <c:ptCount val="7"/>
                <c:pt idx="0">
                  <c:v>129</c:v>
                </c:pt>
                <c:pt idx="1">
                  <c:v>111</c:v>
                </c:pt>
                <c:pt idx="2">
                  <c:v>113</c:v>
                </c:pt>
                <c:pt idx="3">
                  <c:v>81</c:v>
                </c:pt>
                <c:pt idx="4">
                  <c:v>140</c:v>
                </c:pt>
                <c:pt idx="5">
                  <c:v>61</c:v>
                </c:pt>
                <c:pt idx="6">
                  <c:v>61</c:v>
                </c:pt>
              </c:numCache>
            </c:numRef>
          </c:val>
          <c:smooth val="0"/>
          <c:extLst>
            <c:ext xmlns:c16="http://schemas.microsoft.com/office/drawing/2014/chart" uri="{C3380CC4-5D6E-409C-BE32-E72D297353CC}">
              <c16:uniqueId val="{00000000-9A11-4F0E-A98B-E52A5DF1189A}"/>
            </c:ext>
          </c:extLst>
        </c:ser>
        <c:ser>
          <c:idx val="1"/>
          <c:order val="1"/>
          <c:tx>
            <c:strRef>
              <c:f>'KPIs IDL'!$AA$61</c:f>
              <c:strCache>
                <c:ptCount val="1"/>
                <c:pt idx="0">
                  <c:v>Payment</c:v>
                </c:pt>
              </c:strCache>
            </c:strRef>
          </c:tx>
          <c:spPr>
            <a:ln w="28575" cap="rnd">
              <a:solidFill>
                <a:schemeClr val="accent2"/>
              </a:solidFill>
              <a:round/>
            </a:ln>
            <a:effectLst/>
          </c:spPr>
          <c:marker>
            <c:symbol val="none"/>
          </c:marker>
          <c:cat>
            <c:strRef>
              <c:f>'KPIs IDL'!$Y$62:$Y$68</c:f>
              <c:strCache>
                <c:ptCount val="7"/>
                <c:pt idx="0">
                  <c:v>Sprint_4_4+Sprint_4_5</c:v>
                </c:pt>
                <c:pt idx="1">
                  <c:v>Sprint_4_6+Sprint_4_8</c:v>
                </c:pt>
                <c:pt idx="2">
                  <c:v>Sprint_1_1+Sprint_1_2</c:v>
                </c:pt>
                <c:pt idx="3">
                  <c:v>Sprint_1_3+Sprint_1_4</c:v>
                </c:pt>
                <c:pt idx="4">
                  <c:v>Sprint_1_5+Sprint_1_6</c:v>
                </c:pt>
                <c:pt idx="5">
                  <c:v>Sprint_2_1+Sprint_2_2</c:v>
                </c:pt>
                <c:pt idx="6">
                  <c:v>Sprint_2_3u4</c:v>
                </c:pt>
              </c:strCache>
            </c:strRef>
          </c:cat>
          <c:val>
            <c:numRef>
              <c:f>'KPIs IDL'!$AA$62:$AA$68</c:f>
              <c:numCache>
                <c:formatCode>General</c:formatCode>
                <c:ptCount val="7"/>
                <c:pt idx="0">
                  <c:v>18</c:v>
                </c:pt>
                <c:pt idx="1">
                  <c:v>23</c:v>
                </c:pt>
                <c:pt idx="2">
                  <c:v>30</c:v>
                </c:pt>
                <c:pt idx="3">
                  <c:v>27</c:v>
                </c:pt>
                <c:pt idx="4">
                  <c:v>31</c:v>
                </c:pt>
                <c:pt idx="5">
                  <c:v>34</c:v>
                </c:pt>
                <c:pt idx="6">
                  <c:v>20</c:v>
                </c:pt>
              </c:numCache>
            </c:numRef>
          </c:val>
          <c:smooth val="0"/>
          <c:extLst>
            <c:ext xmlns:c16="http://schemas.microsoft.com/office/drawing/2014/chart" uri="{C3380CC4-5D6E-409C-BE32-E72D297353CC}">
              <c16:uniqueId val="{00000001-9A11-4F0E-A98B-E52A5DF1189A}"/>
            </c:ext>
          </c:extLst>
        </c:ser>
        <c:ser>
          <c:idx val="2"/>
          <c:order val="2"/>
          <c:tx>
            <c:strRef>
              <c:f>'KPIs IDL'!$AB$61</c:f>
              <c:strCache>
                <c:ptCount val="1"/>
                <c:pt idx="0">
                  <c:v>Sales</c:v>
                </c:pt>
              </c:strCache>
            </c:strRef>
          </c:tx>
          <c:spPr>
            <a:ln w="28575" cap="rnd">
              <a:solidFill>
                <a:schemeClr val="accent3"/>
              </a:solidFill>
              <a:round/>
            </a:ln>
            <a:effectLst/>
          </c:spPr>
          <c:marker>
            <c:symbol val="none"/>
          </c:marker>
          <c:cat>
            <c:strRef>
              <c:f>'KPIs IDL'!$Y$62:$Y$68</c:f>
              <c:strCache>
                <c:ptCount val="7"/>
                <c:pt idx="0">
                  <c:v>Sprint_4_4+Sprint_4_5</c:v>
                </c:pt>
                <c:pt idx="1">
                  <c:v>Sprint_4_6+Sprint_4_8</c:v>
                </c:pt>
                <c:pt idx="2">
                  <c:v>Sprint_1_1+Sprint_1_2</c:v>
                </c:pt>
                <c:pt idx="3">
                  <c:v>Sprint_1_3+Sprint_1_4</c:v>
                </c:pt>
                <c:pt idx="4">
                  <c:v>Sprint_1_5+Sprint_1_6</c:v>
                </c:pt>
                <c:pt idx="5">
                  <c:v>Sprint_2_1+Sprint_2_2</c:v>
                </c:pt>
                <c:pt idx="6">
                  <c:v>Sprint_2_3u4</c:v>
                </c:pt>
              </c:strCache>
            </c:strRef>
          </c:cat>
          <c:val>
            <c:numRef>
              <c:f>'KPIs IDL'!$AB$62:$AB$68</c:f>
              <c:numCache>
                <c:formatCode>General</c:formatCode>
                <c:ptCount val="7"/>
                <c:pt idx="0">
                  <c:v>73</c:v>
                </c:pt>
                <c:pt idx="1">
                  <c:v>58</c:v>
                </c:pt>
                <c:pt idx="2">
                  <c:v>82</c:v>
                </c:pt>
                <c:pt idx="3">
                  <c:v>90</c:v>
                </c:pt>
                <c:pt idx="4">
                  <c:v>82</c:v>
                </c:pt>
                <c:pt idx="5">
                  <c:v>79</c:v>
                </c:pt>
                <c:pt idx="6">
                  <c:v>71</c:v>
                </c:pt>
              </c:numCache>
            </c:numRef>
          </c:val>
          <c:smooth val="0"/>
          <c:extLst>
            <c:ext xmlns:c16="http://schemas.microsoft.com/office/drawing/2014/chart" uri="{C3380CC4-5D6E-409C-BE32-E72D297353CC}">
              <c16:uniqueId val="{00000002-9A11-4F0E-A98B-E52A5DF1189A}"/>
            </c:ext>
          </c:extLst>
        </c:ser>
        <c:ser>
          <c:idx val="3"/>
          <c:order val="3"/>
          <c:tx>
            <c:strRef>
              <c:f>'KPIs IDL'!$AC$61</c:f>
              <c:strCache>
                <c:ptCount val="1"/>
                <c:pt idx="0">
                  <c:v>Vlinder</c:v>
                </c:pt>
              </c:strCache>
            </c:strRef>
          </c:tx>
          <c:spPr>
            <a:ln w="28575" cap="rnd">
              <a:solidFill>
                <a:schemeClr val="accent4"/>
              </a:solidFill>
              <a:round/>
            </a:ln>
            <a:effectLst/>
          </c:spPr>
          <c:marker>
            <c:symbol val="none"/>
          </c:marker>
          <c:cat>
            <c:strRef>
              <c:f>'KPIs IDL'!$Y$62:$Y$68</c:f>
              <c:strCache>
                <c:ptCount val="7"/>
                <c:pt idx="0">
                  <c:v>Sprint_4_4+Sprint_4_5</c:v>
                </c:pt>
                <c:pt idx="1">
                  <c:v>Sprint_4_6+Sprint_4_8</c:v>
                </c:pt>
                <c:pt idx="2">
                  <c:v>Sprint_1_1+Sprint_1_2</c:v>
                </c:pt>
                <c:pt idx="3">
                  <c:v>Sprint_1_3+Sprint_1_4</c:v>
                </c:pt>
                <c:pt idx="4">
                  <c:v>Sprint_1_5+Sprint_1_6</c:v>
                </c:pt>
                <c:pt idx="5">
                  <c:v>Sprint_2_1+Sprint_2_2</c:v>
                </c:pt>
                <c:pt idx="6">
                  <c:v>Sprint_2_3u4</c:v>
                </c:pt>
              </c:strCache>
            </c:strRef>
          </c:cat>
          <c:val>
            <c:numRef>
              <c:f>'KPIs IDL'!$AC$62:$AC$68</c:f>
              <c:numCache>
                <c:formatCode>General</c:formatCode>
                <c:ptCount val="7"/>
                <c:pt idx="0">
                  <c:v>79</c:v>
                </c:pt>
                <c:pt idx="1">
                  <c:v>52</c:v>
                </c:pt>
                <c:pt idx="2">
                  <c:v>54</c:v>
                </c:pt>
                <c:pt idx="3">
                  <c:v>66</c:v>
                </c:pt>
                <c:pt idx="4">
                  <c:v>70</c:v>
                </c:pt>
                <c:pt idx="5">
                  <c:v>56</c:v>
                </c:pt>
                <c:pt idx="6">
                  <c:v>92</c:v>
                </c:pt>
              </c:numCache>
            </c:numRef>
          </c:val>
          <c:smooth val="0"/>
          <c:extLst>
            <c:ext xmlns:c16="http://schemas.microsoft.com/office/drawing/2014/chart" uri="{C3380CC4-5D6E-409C-BE32-E72D297353CC}">
              <c16:uniqueId val="{00000003-9A11-4F0E-A98B-E52A5DF1189A}"/>
            </c:ext>
          </c:extLst>
        </c:ser>
        <c:ser>
          <c:idx val="4"/>
          <c:order val="4"/>
          <c:tx>
            <c:strRef>
              <c:f>'KPIs IDL'!$AD$61</c:f>
              <c:strCache>
                <c:ptCount val="1"/>
                <c:pt idx="0">
                  <c:v>TTT</c:v>
                </c:pt>
              </c:strCache>
            </c:strRef>
          </c:tx>
          <c:spPr>
            <a:ln w="28575" cap="rnd">
              <a:solidFill>
                <a:schemeClr val="accent5"/>
              </a:solidFill>
              <a:round/>
            </a:ln>
            <a:effectLst/>
          </c:spPr>
          <c:marker>
            <c:symbol val="none"/>
          </c:marker>
          <c:cat>
            <c:strRef>
              <c:f>'KPIs IDL'!$Y$62:$Y$68</c:f>
              <c:strCache>
                <c:ptCount val="7"/>
                <c:pt idx="0">
                  <c:v>Sprint_4_4+Sprint_4_5</c:v>
                </c:pt>
                <c:pt idx="1">
                  <c:v>Sprint_4_6+Sprint_4_8</c:v>
                </c:pt>
                <c:pt idx="2">
                  <c:v>Sprint_1_1+Sprint_1_2</c:v>
                </c:pt>
                <c:pt idx="3">
                  <c:v>Sprint_1_3+Sprint_1_4</c:v>
                </c:pt>
                <c:pt idx="4">
                  <c:v>Sprint_1_5+Sprint_1_6</c:v>
                </c:pt>
                <c:pt idx="5">
                  <c:v>Sprint_2_1+Sprint_2_2</c:v>
                </c:pt>
                <c:pt idx="6">
                  <c:v>Sprint_2_3u4</c:v>
                </c:pt>
              </c:strCache>
            </c:strRef>
          </c:cat>
          <c:val>
            <c:numRef>
              <c:f>'KPIs IDL'!$AD$62:$AD$68</c:f>
              <c:numCache>
                <c:formatCode>General</c:formatCode>
                <c:ptCount val="7"/>
                <c:pt idx="0">
                  <c:v>65</c:v>
                </c:pt>
                <c:pt idx="1">
                  <c:v>96</c:v>
                </c:pt>
                <c:pt idx="2">
                  <c:v>55</c:v>
                </c:pt>
                <c:pt idx="3">
                  <c:v>67</c:v>
                </c:pt>
                <c:pt idx="4">
                  <c:v>66</c:v>
                </c:pt>
                <c:pt idx="5">
                  <c:v>37</c:v>
                </c:pt>
                <c:pt idx="6">
                  <c:v>49</c:v>
                </c:pt>
              </c:numCache>
            </c:numRef>
          </c:val>
          <c:smooth val="0"/>
          <c:extLst>
            <c:ext xmlns:c16="http://schemas.microsoft.com/office/drawing/2014/chart" uri="{C3380CC4-5D6E-409C-BE32-E72D297353CC}">
              <c16:uniqueId val="{00000004-9A11-4F0E-A98B-E52A5DF1189A}"/>
            </c:ext>
          </c:extLst>
        </c:ser>
        <c:ser>
          <c:idx val="5"/>
          <c:order val="5"/>
          <c:tx>
            <c:strRef>
              <c:f>'KPIs IDL'!$AE$61</c:f>
              <c:strCache>
                <c:ptCount val="1"/>
                <c:pt idx="0">
                  <c:v>TNT</c:v>
                </c:pt>
              </c:strCache>
            </c:strRef>
          </c:tx>
          <c:spPr>
            <a:ln w="28575" cap="rnd">
              <a:solidFill>
                <a:schemeClr val="accent6"/>
              </a:solidFill>
              <a:round/>
            </a:ln>
            <a:effectLst/>
          </c:spPr>
          <c:marker>
            <c:symbol val="none"/>
          </c:marker>
          <c:cat>
            <c:strRef>
              <c:f>'KPIs IDL'!$Y$62:$Y$68</c:f>
              <c:strCache>
                <c:ptCount val="7"/>
                <c:pt idx="0">
                  <c:v>Sprint_4_4+Sprint_4_5</c:v>
                </c:pt>
                <c:pt idx="1">
                  <c:v>Sprint_4_6+Sprint_4_8</c:v>
                </c:pt>
                <c:pt idx="2">
                  <c:v>Sprint_1_1+Sprint_1_2</c:v>
                </c:pt>
                <c:pt idx="3">
                  <c:v>Sprint_1_3+Sprint_1_4</c:v>
                </c:pt>
                <c:pt idx="4">
                  <c:v>Sprint_1_5+Sprint_1_6</c:v>
                </c:pt>
                <c:pt idx="5">
                  <c:v>Sprint_2_1+Sprint_2_2</c:v>
                </c:pt>
                <c:pt idx="6">
                  <c:v>Sprint_2_3u4</c:v>
                </c:pt>
              </c:strCache>
            </c:strRef>
          </c:cat>
          <c:val>
            <c:numRef>
              <c:f>'KPIs IDL'!$AE$62:$AE$68</c:f>
              <c:numCache>
                <c:formatCode>General</c:formatCode>
                <c:ptCount val="7"/>
                <c:pt idx="0">
                  <c:v>75</c:v>
                </c:pt>
                <c:pt idx="1">
                  <c:v>90</c:v>
                </c:pt>
                <c:pt idx="2">
                  <c:v>88</c:v>
                </c:pt>
                <c:pt idx="3">
                  <c:v>61</c:v>
                </c:pt>
                <c:pt idx="4">
                  <c:v>66</c:v>
                </c:pt>
                <c:pt idx="5">
                  <c:v>61</c:v>
                </c:pt>
                <c:pt idx="6">
                  <c:v>61</c:v>
                </c:pt>
              </c:numCache>
            </c:numRef>
          </c:val>
          <c:smooth val="0"/>
          <c:extLst>
            <c:ext xmlns:c16="http://schemas.microsoft.com/office/drawing/2014/chart" uri="{C3380CC4-5D6E-409C-BE32-E72D297353CC}">
              <c16:uniqueId val="{00000005-9A11-4F0E-A98B-E52A5DF1189A}"/>
            </c:ext>
          </c:extLst>
        </c:ser>
        <c:ser>
          <c:idx val="6"/>
          <c:order val="6"/>
          <c:tx>
            <c:strRef>
              <c:f>'KPIs IDL'!$AF$61</c:f>
              <c:strCache>
                <c:ptCount val="1"/>
                <c:pt idx="0">
                  <c:v>TFS</c:v>
                </c:pt>
              </c:strCache>
            </c:strRef>
          </c:tx>
          <c:spPr>
            <a:ln w="28575" cap="rnd">
              <a:solidFill>
                <a:schemeClr val="accent1">
                  <a:lumMod val="60000"/>
                </a:schemeClr>
              </a:solidFill>
              <a:round/>
            </a:ln>
            <a:effectLst/>
          </c:spPr>
          <c:marker>
            <c:symbol val="none"/>
          </c:marker>
          <c:cat>
            <c:strRef>
              <c:f>'KPIs IDL'!$Y$62:$Y$68</c:f>
              <c:strCache>
                <c:ptCount val="7"/>
                <c:pt idx="0">
                  <c:v>Sprint_4_4+Sprint_4_5</c:v>
                </c:pt>
                <c:pt idx="1">
                  <c:v>Sprint_4_6+Sprint_4_8</c:v>
                </c:pt>
                <c:pt idx="2">
                  <c:v>Sprint_1_1+Sprint_1_2</c:v>
                </c:pt>
                <c:pt idx="3">
                  <c:v>Sprint_1_3+Sprint_1_4</c:v>
                </c:pt>
                <c:pt idx="4">
                  <c:v>Sprint_1_5+Sprint_1_6</c:v>
                </c:pt>
                <c:pt idx="5">
                  <c:v>Sprint_2_1+Sprint_2_2</c:v>
                </c:pt>
                <c:pt idx="6">
                  <c:v>Sprint_2_3u4</c:v>
                </c:pt>
              </c:strCache>
            </c:strRef>
          </c:cat>
          <c:val>
            <c:numRef>
              <c:f>'KPIs IDL'!$AF$62:$AF$68</c:f>
              <c:numCache>
                <c:formatCode>General</c:formatCode>
                <c:ptCount val="7"/>
                <c:pt idx="0">
                  <c:v>46</c:v>
                </c:pt>
                <c:pt idx="1">
                  <c:v>50</c:v>
                </c:pt>
                <c:pt idx="2">
                  <c:v>41</c:v>
                </c:pt>
                <c:pt idx="3">
                  <c:v>60</c:v>
                </c:pt>
                <c:pt idx="4">
                  <c:v>51</c:v>
                </c:pt>
                <c:pt idx="5">
                  <c:v>41</c:v>
                </c:pt>
                <c:pt idx="6">
                  <c:v>42</c:v>
                </c:pt>
              </c:numCache>
            </c:numRef>
          </c:val>
          <c:smooth val="0"/>
          <c:extLst>
            <c:ext xmlns:c16="http://schemas.microsoft.com/office/drawing/2014/chart" uri="{C3380CC4-5D6E-409C-BE32-E72D297353CC}">
              <c16:uniqueId val="{00000006-9A11-4F0E-A98B-E52A5DF1189A}"/>
            </c:ext>
          </c:extLst>
        </c:ser>
        <c:ser>
          <c:idx val="7"/>
          <c:order val="7"/>
          <c:tx>
            <c:strRef>
              <c:f>'KPIs IDL'!$AG$61</c:f>
              <c:strCache>
                <c:ptCount val="1"/>
                <c:pt idx="0">
                  <c:v>0-Noise</c:v>
                </c:pt>
              </c:strCache>
            </c:strRef>
          </c:tx>
          <c:spPr>
            <a:ln w="28575" cap="rnd">
              <a:solidFill>
                <a:schemeClr val="accent2">
                  <a:lumMod val="60000"/>
                </a:schemeClr>
              </a:solidFill>
              <a:round/>
            </a:ln>
            <a:effectLst/>
          </c:spPr>
          <c:marker>
            <c:symbol val="none"/>
          </c:marker>
          <c:cat>
            <c:strRef>
              <c:f>'KPIs IDL'!$Y$62:$Y$68</c:f>
              <c:strCache>
                <c:ptCount val="7"/>
                <c:pt idx="0">
                  <c:v>Sprint_4_4+Sprint_4_5</c:v>
                </c:pt>
                <c:pt idx="1">
                  <c:v>Sprint_4_6+Sprint_4_8</c:v>
                </c:pt>
                <c:pt idx="2">
                  <c:v>Sprint_1_1+Sprint_1_2</c:v>
                </c:pt>
                <c:pt idx="3">
                  <c:v>Sprint_1_3+Sprint_1_4</c:v>
                </c:pt>
                <c:pt idx="4">
                  <c:v>Sprint_1_5+Sprint_1_6</c:v>
                </c:pt>
                <c:pt idx="5">
                  <c:v>Sprint_2_1+Sprint_2_2</c:v>
                </c:pt>
                <c:pt idx="6">
                  <c:v>Sprint_2_3u4</c:v>
                </c:pt>
              </c:strCache>
            </c:strRef>
          </c:cat>
          <c:val>
            <c:numRef>
              <c:f>'KPIs IDL'!$AG$62:$AG$68</c:f>
              <c:numCache>
                <c:formatCode>General</c:formatCode>
                <c:ptCount val="7"/>
                <c:pt idx="0">
                  <c:v>28</c:v>
                </c:pt>
                <c:pt idx="1">
                  <c:v>48</c:v>
                </c:pt>
              </c:numCache>
            </c:numRef>
          </c:val>
          <c:smooth val="0"/>
          <c:extLst>
            <c:ext xmlns:c16="http://schemas.microsoft.com/office/drawing/2014/chart" uri="{C3380CC4-5D6E-409C-BE32-E72D297353CC}">
              <c16:uniqueId val="{00000007-9A11-4F0E-A98B-E52A5DF1189A}"/>
            </c:ext>
          </c:extLst>
        </c:ser>
        <c:ser>
          <c:idx val="8"/>
          <c:order val="8"/>
          <c:tx>
            <c:strRef>
              <c:f>'KPIs IDL'!$AH$61</c:f>
              <c:strCache>
                <c:ptCount val="1"/>
                <c:pt idx="0">
                  <c:v>Synergy</c:v>
                </c:pt>
              </c:strCache>
            </c:strRef>
          </c:tx>
          <c:spPr>
            <a:ln w="28575" cap="rnd">
              <a:solidFill>
                <a:schemeClr val="accent3">
                  <a:lumMod val="60000"/>
                </a:schemeClr>
              </a:solidFill>
              <a:round/>
            </a:ln>
            <a:effectLst/>
          </c:spPr>
          <c:marker>
            <c:symbol val="none"/>
          </c:marker>
          <c:cat>
            <c:strRef>
              <c:f>'KPIs IDL'!$Y$62:$Y$68</c:f>
              <c:strCache>
                <c:ptCount val="7"/>
                <c:pt idx="0">
                  <c:v>Sprint_4_4+Sprint_4_5</c:v>
                </c:pt>
                <c:pt idx="1">
                  <c:v>Sprint_4_6+Sprint_4_8</c:v>
                </c:pt>
                <c:pt idx="2">
                  <c:v>Sprint_1_1+Sprint_1_2</c:v>
                </c:pt>
                <c:pt idx="3">
                  <c:v>Sprint_1_3+Sprint_1_4</c:v>
                </c:pt>
                <c:pt idx="4">
                  <c:v>Sprint_1_5+Sprint_1_6</c:v>
                </c:pt>
                <c:pt idx="5">
                  <c:v>Sprint_2_1+Sprint_2_2</c:v>
                </c:pt>
                <c:pt idx="6">
                  <c:v>Sprint_2_3u4</c:v>
                </c:pt>
              </c:strCache>
            </c:strRef>
          </c:cat>
          <c:val>
            <c:numRef>
              <c:f>'KPIs IDL'!$AH$62:$AH$68</c:f>
              <c:numCache>
                <c:formatCode>General</c:formatCode>
                <c:ptCount val="7"/>
                <c:pt idx="0">
                  <c:v>48</c:v>
                </c:pt>
                <c:pt idx="1">
                  <c:v>92</c:v>
                </c:pt>
                <c:pt idx="2">
                  <c:v>55</c:v>
                </c:pt>
                <c:pt idx="3">
                  <c:v>47</c:v>
                </c:pt>
                <c:pt idx="4">
                  <c:v>72</c:v>
                </c:pt>
                <c:pt idx="5">
                  <c:v>89</c:v>
                </c:pt>
                <c:pt idx="6">
                  <c:v>83</c:v>
                </c:pt>
              </c:numCache>
            </c:numRef>
          </c:val>
          <c:smooth val="0"/>
          <c:extLst>
            <c:ext xmlns:c16="http://schemas.microsoft.com/office/drawing/2014/chart" uri="{C3380CC4-5D6E-409C-BE32-E72D297353CC}">
              <c16:uniqueId val="{00000008-9A11-4F0E-A98B-E52A5DF1189A}"/>
            </c:ext>
          </c:extLst>
        </c:ser>
        <c:ser>
          <c:idx val="9"/>
          <c:order val="9"/>
          <c:tx>
            <c:strRef>
              <c:f>'KPIs IDL'!$AI$61</c:f>
              <c:strCache>
                <c:ptCount val="1"/>
                <c:pt idx="0">
                  <c:v>Papillon</c:v>
                </c:pt>
              </c:strCache>
            </c:strRef>
          </c:tx>
          <c:spPr>
            <a:ln w="28575" cap="rnd">
              <a:solidFill>
                <a:schemeClr val="accent4">
                  <a:lumMod val="60000"/>
                </a:schemeClr>
              </a:solidFill>
              <a:round/>
            </a:ln>
            <a:effectLst/>
          </c:spPr>
          <c:marker>
            <c:symbol val="none"/>
          </c:marker>
          <c:cat>
            <c:strRef>
              <c:f>'KPIs IDL'!$Y$62:$Y$68</c:f>
              <c:strCache>
                <c:ptCount val="7"/>
                <c:pt idx="0">
                  <c:v>Sprint_4_4+Sprint_4_5</c:v>
                </c:pt>
                <c:pt idx="1">
                  <c:v>Sprint_4_6+Sprint_4_8</c:v>
                </c:pt>
                <c:pt idx="2">
                  <c:v>Sprint_1_1+Sprint_1_2</c:v>
                </c:pt>
                <c:pt idx="3">
                  <c:v>Sprint_1_3+Sprint_1_4</c:v>
                </c:pt>
                <c:pt idx="4">
                  <c:v>Sprint_1_5+Sprint_1_6</c:v>
                </c:pt>
                <c:pt idx="5">
                  <c:v>Sprint_2_1+Sprint_2_2</c:v>
                </c:pt>
                <c:pt idx="6">
                  <c:v>Sprint_2_3u4</c:v>
                </c:pt>
              </c:strCache>
            </c:strRef>
          </c:cat>
          <c:val>
            <c:numRef>
              <c:f>'KPIs IDL'!$AI$62:$AI$68</c:f>
              <c:numCache>
                <c:formatCode>General</c:formatCode>
                <c:ptCount val="7"/>
                <c:pt idx="0">
                  <c:v>35</c:v>
                </c:pt>
                <c:pt idx="1">
                  <c:v>69</c:v>
                </c:pt>
                <c:pt idx="2">
                  <c:v>64.5</c:v>
                </c:pt>
                <c:pt idx="3">
                  <c:v>105.5</c:v>
                </c:pt>
                <c:pt idx="4">
                  <c:v>108</c:v>
                </c:pt>
                <c:pt idx="5">
                  <c:v>81.5</c:v>
                </c:pt>
                <c:pt idx="6">
                  <c:v>85.5</c:v>
                </c:pt>
              </c:numCache>
            </c:numRef>
          </c:val>
          <c:smooth val="0"/>
          <c:extLst>
            <c:ext xmlns:c16="http://schemas.microsoft.com/office/drawing/2014/chart" uri="{C3380CC4-5D6E-409C-BE32-E72D297353CC}">
              <c16:uniqueId val="{00000009-9A11-4F0E-A98B-E52A5DF1189A}"/>
            </c:ext>
          </c:extLst>
        </c:ser>
        <c:dLbls>
          <c:showLegendKey val="0"/>
          <c:showVal val="0"/>
          <c:showCatName val="0"/>
          <c:showSerName val="0"/>
          <c:showPercent val="0"/>
          <c:showBubbleSize val="0"/>
        </c:dLbls>
        <c:smooth val="0"/>
        <c:axId val="621849920"/>
        <c:axId val="621847760"/>
      </c:lineChart>
      <c:catAx>
        <c:axId val="62184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1847760"/>
        <c:crosses val="autoZero"/>
        <c:auto val="1"/>
        <c:lblAlgn val="ctr"/>
        <c:lblOffset val="100"/>
        <c:noMultiLvlLbl val="0"/>
      </c:catAx>
      <c:valAx>
        <c:axId val="62184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1849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95% Likelihood VELOCITY - PAY@MCO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'Diagramme PAY@MCO (FTE)'!$D$53</c:f>
              <c:strCache>
                <c:ptCount val="1"/>
                <c:pt idx="0">
                  <c:v>  95% VELOCITY</c:v>
                </c:pt>
              </c:strCache>
            </c:strRef>
          </c:tx>
          <c:spPr>
            <a:ln w="88900" cap="rnd">
              <a:solidFill>
                <a:srgbClr val="00B050"/>
              </a:solidFill>
              <a:round/>
              <a:headEnd type="none" w="med" len="med"/>
              <a:tailEnd type="oval" w="sm" len="sm"/>
            </a:ln>
            <a:effectLst/>
          </c:spPr>
          <c:marker>
            <c:symbol val="none"/>
          </c:marker>
          <c:cat>
            <c:strRef>
              <c:f>'Diagramme PAY@MCO (FTE)'!$A$58:$A$63</c:f>
              <c:strCache>
                <c:ptCount val="6"/>
                <c:pt idx="0">
                  <c:v>Sprint 1_3+4</c:v>
                </c:pt>
                <c:pt idx="1">
                  <c:v>Sprint 1_5+6</c:v>
                </c:pt>
                <c:pt idx="2">
                  <c:v>Sprint 2_1+2</c:v>
                </c:pt>
                <c:pt idx="3">
                  <c:v>Sprint 2_3/4</c:v>
                </c:pt>
                <c:pt idx="4">
                  <c:v>Sprint 2_5/6</c:v>
                </c:pt>
                <c:pt idx="5">
                  <c:v>Sprint 3_1/2</c:v>
                </c:pt>
              </c:strCache>
            </c:strRef>
          </c:cat>
          <c:val>
            <c:numRef>
              <c:f>'Diagramme PAY@MCO (FTE)'!$D$58:$D$63</c:f>
              <c:numCache>
                <c:formatCode>General</c:formatCode>
                <c:ptCount val="6"/>
                <c:pt idx="0">
                  <c:v>24.344709099318703</c:v>
                </c:pt>
                <c:pt idx="1">
                  <c:v>26.854367442205117</c:v>
                </c:pt>
                <c:pt idx="2">
                  <c:v>27.056430358217344</c:v>
                </c:pt>
                <c:pt idx="3">
                  <c:v>28.290465492241808</c:v>
                </c:pt>
                <c:pt idx="4">
                  <c:v>27.362573297084534</c:v>
                </c:pt>
                <c:pt idx="5">
                  <c:v>25.565488218821493</c:v>
                </c:pt>
              </c:numCache>
            </c:numRef>
          </c:val>
          <c:smooth val="0"/>
          <c:extLst>
            <c:ext xmlns:c16="http://schemas.microsoft.com/office/drawing/2014/chart" uri="{C3380CC4-5D6E-409C-BE32-E72D297353CC}">
              <c16:uniqueId val="{00000000-05CD-427A-9ED0-8FD1D73EE996}"/>
            </c:ext>
          </c:extLst>
        </c:ser>
        <c:ser>
          <c:idx val="1"/>
          <c:order val="1"/>
          <c:tx>
            <c:strRef>
              <c:f>'Diagramme PAY@MCO (FTE)'!$E$53</c:f>
              <c:strCache>
                <c:ptCount val="1"/>
                <c:pt idx="0">
                  <c:v>  Mean Velocity (Current + 5)</c:v>
                </c:pt>
              </c:strCache>
            </c:strRef>
          </c:tx>
          <c:spPr>
            <a:ln w="38100" cap="rnd">
              <a:solidFill>
                <a:schemeClr val="accent2"/>
              </a:solidFill>
              <a:prstDash val="solid"/>
              <a:round/>
              <a:tailEnd type="none"/>
            </a:ln>
            <a:effectLst/>
          </c:spPr>
          <c:marker>
            <c:symbol val="none"/>
          </c:marker>
          <c:cat>
            <c:strRef>
              <c:f>'Diagramme PAY@MCO (FTE)'!$A$58:$A$63</c:f>
              <c:strCache>
                <c:ptCount val="6"/>
                <c:pt idx="0">
                  <c:v>Sprint 1_3+4</c:v>
                </c:pt>
                <c:pt idx="1">
                  <c:v>Sprint 1_5+6</c:v>
                </c:pt>
                <c:pt idx="2">
                  <c:v>Sprint 2_1+2</c:v>
                </c:pt>
                <c:pt idx="3">
                  <c:v>Sprint 2_3/4</c:v>
                </c:pt>
                <c:pt idx="4">
                  <c:v>Sprint 2_5/6</c:v>
                </c:pt>
                <c:pt idx="5">
                  <c:v>Sprint 3_1/2</c:v>
                </c:pt>
              </c:strCache>
            </c:strRef>
          </c:cat>
          <c:val>
            <c:numRef>
              <c:f>'Diagramme PAY@MCO (FTE)'!$E$58:$E$63</c:f>
              <c:numCache>
                <c:formatCode>0</c:formatCode>
                <c:ptCount val="6"/>
                <c:pt idx="0">
                  <c:v>28.75</c:v>
                </c:pt>
                <c:pt idx="1">
                  <c:v>33.4</c:v>
                </c:pt>
                <c:pt idx="2">
                  <c:v>33</c:v>
                </c:pt>
                <c:pt idx="3">
                  <c:v>33.666666666666664</c:v>
                </c:pt>
                <c:pt idx="4">
                  <c:v>33</c:v>
                </c:pt>
                <c:pt idx="5">
                  <c:v>31</c:v>
                </c:pt>
              </c:numCache>
            </c:numRef>
          </c:val>
          <c:smooth val="1"/>
          <c:extLst>
            <c:ext xmlns:c16="http://schemas.microsoft.com/office/drawing/2014/chart" uri="{C3380CC4-5D6E-409C-BE32-E72D297353CC}">
              <c16:uniqueId val="{00000001-05CD-427A-9ED0-8FD1D73EE996}"/>
            </c:ext>
          </c:extLst>
        </c:ser>
        <c:ser>
          <c:idx val="2"/>
          <c:order val="2"/>
          <c:tx>
            <c:strRef>
              <c:f>'Diagramme PAY@MCO (FTE)'!$F$53</c:f>
              <c:strCache>
                <c:ptCount val="1"/>
                <c:pt idx="0">
                  <c:v>  HIL Sprint Velocity</c:v>
                </c:pt>
              </c:strCache>
            </c:strRef>
          </c:tx>
          <c:spPr>
            <a:ln w="38100" cap="rnd">
              <a:solidFill>
                <a:schemeClr val="tx2">
                  <a:lumMod val="50000"/>
                  <a:lumOff val="50000"/>
                </a:schemeClr>
              </a:solidFill>
              <a:round/>
              <a:tailEnd type="oval"/>
            </a:ln>
            <a:effectLst/>
          </c:spPr>
          <c:marker>
            <c:symbol val="none"/>
          </c:marker>
          <c:cat>
            <c:strRef>
              <c:f>'Diagramme PAY@MCO (FTE)'!$A$58:$A$63</c:f>
              <c:strCache>
                <c:ptCount val="6"/>
                <c:pt idx="0">
                  <c:v>Sprint 1_3+4</c:v>
                </c:pt>
                <c:pt idx="1">
                  <c:v>Sprint 1_5+6</c:v>
                </c:pt>
                <c:pt idx="2">
                  <c:v>Sprint 2_1+2</c:v>
                </c:pt>
                <c:pt idx="3">
                  <c:v>Sprint 2_3/4</c:v>
                </c:pt>
                <c:pt idx="4">
                  <c:v>Sprint 2_5/6</c:v>
                </c:pt>
                <c:pt idx="5">
                  <c:v>Sprint 3_1/2</c:v>
                </c:pt>
              </c:strCache>
            </c:strRef>
          </c:cat>
          <c:val>
            <c:numRef>
              <c:f>'Diagramme PAY@MCO (FTE)'!$F$58:$F$63</c:f>
              <c:numCache>
                <c:formatCode>0</c:formatCode>
                <c:ptCount val="6"/>
                <c:pt idx="0">
                  <c:v>29</c:v>
                </c:pt>
                <c:pt idx="1">
                  <c:v>52</c:v>
                </c:pt>
                <c:pt idx="2">
                  <c:v>31</c:v>
                </c:pt>
                <c:pt idx="3">
                  <c:v>21</c:v>
                </c:pt>
                <c:pt idx="4">
                  <c:v>25</c:v>
                </c:pt>
                <c:pt idx="5">
                  <c:v>28</c:v>
                </c:pt>
              </c:numCache>
            </c:numRef>
          </c:val>
          <c:smooth val="0"/>
          <c:extLst>
            <c:ext xmlns:c16="http://schemas.microsoft.com/office/drawing/2014/chart" uri="{C3380CC4-5D6E-409C-BE32-E72D297353CC}">
              <c16:uniqueId val="{00000002-05CD-427A-9ED0-8FD1D73EE996}"/>
            </c:ext>
          </c:extLst>
        </c:ser>
        <c:ser>
          <c:idx val="3"/>
          <c:order val="3"/>
          <c:tx>
            <c:strRef>
              <c:f>'Diagramme PAY@MCO (FTE)'!$G$53</c:f>
              <c:strCache>
                <c:ptCount val="1"/>
                <c:pt idx="0">
                  <c:v>FTE corrected</c:v>
                </c:pt>
              </c:strCache>
            </c:strRef>
          </c:tx>
          <c:spPr>
            <a:ln w="28575" cap="rnd">
              <a:solidFill>
                <a:schemeClr val="accent5"/>
              </a:solidFill>
              <a:round/>
            </a:ln>
            <a:effectLst/>
          </c:spPr>
          <c:marker>
            <c:symbol val="none"/>
          </c:marker>
          <c:cat>
            <c:strRef>
              <c:f>'Diagramme PAY@MCO (FTE)'!$A$58:$A$63</c:f>
              <c:strCache>
                <c:ptCount val="6"/>
                <c:pt idx="0">
                  <c:v>Sprint 1_3+4</c:v>
                </c:pt>
                <c:pt idx="1">
                  <c:v>Sprint 1_5+6</c:v>
                </c:pt>
                <c:pt idx="2">
                  <c:v>Sprint 2_1+2</c:v>
                </c:pt>
                <c:pt idx="3">
                  <c:v>Sprint 2_3/4</c:v>
                </c:pt>
                <c:pt idx="4">
                  <c:v>Sprint 2_5/6</c:v>
                </c:pt>
                <c:pt idx="5">
                  <c:v>Sprint 3_1/2</c:v>
                </c:pt>
              </c:strCache>
            </c:strRef>
          </c:cat>
          <c:val>
            <c:numRef>
              <c:f>'Diagramme PAY@MCO (FTE)'!$G$58:$G$63</c:f>
              <c:numCache>
                <c:formatCode>0.0</c:formatCode>
                <c:ptCount val="6"/>
                <c:pt idx="0">
                  <c:v>24.43625919941066</c:v>
                </c:pt>
                <c:pt idx="1">
                  <c:v>33.336930009263689</c:v>
                </c:pt>
                <c:pt idx="2">
                  <c:v>26.446417003683234</c:v>
                </c:pt>
                <c:pt idx="3">
                  <c:v>27.07914476637805</c:v>
                </c:pt>
                <c:pt idx="4">
                  <c:v>29.073936490316179</c:v>
                </c:pt>
                <c:pt idx="5">
                  <c:v>27.083678375781304</c:v>
                </c:pt>
              </c:numCache>
            </c:numRef>
          </c:val>
          <c:smooth val="0"/>
          <c:extLst>
            <c:ext xmlns:c16="http://schemas.microsoft.com/office/drawing/2014/chart" uri="{C3380CC4-5D6E-409C-BE32-E72D297353CC}">
              <c16:uniqueId val="{00000003-05CD-427A-9ED0-8FD1D73EE996}"/>
            </c:ext>
          </c:extLst>
        </c:ser>
        <c:dLbls>
          <c:showLegendKey val="0"/>
          <c:showVal val="0"/>
          <c:showCatName val="0"/>
          <c:showSerName val="0"/>
          <c:showPercent val="0"/>
          <c:showBubbleSize val="0"/>
        </c:dLbls>
        <c:smooth val="0"/>
        <c:axId val="648656200"/>
        <c:axId val="648658000"/>
      </c:lineChart>
      <c:catAx>
        <c:axId val="64865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8658000"/>
        <c:crosses val="autoZero"/>
        <c:auto val="1"/>
        <c:lblAlgn val="ctr"/>
        <c:lblOffset val="100"/>
        <c:noMultiLvlLbl val="0"/>
      </c:catAx>
      <c:valAx>
        <c:axId val="648658000"/>
        <c:scaling>
          <c:orientation val="minMax"/>
          <c:max val="6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out"/>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8656200"/>
        <c:crosses val="autoZero"/>
        <c:crossBetween val="between"/>
        <c:majorUnit val="10"/>
        <c:minorUnit val="1"/>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de-DE" sz="1400" b="0" i="0" u="none" strike="noStrike" kern="1200" spc="0" baseline="0">
                <a:solidFill>
                  <a:sysClr val="windowText" lastClr="000000">
                    <a:lumMod val="65000"/>
                    <a:lumOff val="35000"/>
                  </a:sysClr>
                </a:solidFill>
              </a:rPr>
              <a:t>SODA Chart - PAY@MCO</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de-DE"/>
        </a:p>
      </c:txPr>
    </c:title>
    <c:autoTitleDeleted val="0"/>
    <c:plotArea>
      <c:layout/>
      <c:lineChart>
        <c:grouping val="standard"/>
        <c:varyColors val="0"/>
        <c:ser>
          <c:idx val="0"/>
          <c:order val="0"/>
          <c:spPr>
            <a:ln w="28575" cap="rnd">
              <a:noFill/>
              <a:round/>
            </a:ln>
            <a:effectLst/>
          </c:spPr>
          <c:marker>
            <c:symbol val="circle"/>
            <c:size val="6"/>
            <c:spPr>
              <a:solidFill>
                <a:schemeClr val="tx2">
                  <a:lumMod val="50000"/>
                  <a:lumOff val="50000"/>
                  <a:alpha val="20000"/>
                </a:schemeClr>
              </a:solidFill>
              <a:ln w="9525">
                <a:noFill/>
              </a:ln>
              <a:effectLst/>
            </c:spPr>
          </c:marker>
          <c:cat>
            <c:strRef>
              <c:f>'Diagramme PAY@MCO (FTE)'!$AA$3:$AF$3</c:f>
              <c:strCache>
                <c:ptCount val="6"/>
                <c:pt idx="0">
                  <c:v>Sprint 1_3+4</c:v>
                </c:pt>
                <c:pt idx="1">
                  <c:v>Sprint 1_5+6</c:v>
                </c:pt>
                <c:pt idx="2">
                  <c:v>Sprint 2_1+2</c:v>
                </c:pt>
                <c:pt idx="3">
                  <c:v>Sprint 2_3/4</c:v>
                </c:pt>
                <c:pt idx="4">
                  <c:v>Sprint 2_5/6</c:v>
                </c:pt>
                <c:pt idx="5">
                  <c:v>Sprint 3_1/2</c:v>
                </c:pt>
              </c:strCache>
            </c:strRef>
          </c:cat>
          <c:val>
            <c:numRef>
              <c:f>'Diagramme PAY@MCO (FTE)'!$AA$4:$AF$4</c:f>
              <c:numCache>
                <c:formatCode>General</c:formatCode>
                <c:ptCount val="6"/>
                <c:pt idx="4">
                  <c:v>30</c:v>
                </c:pt>
                <c:pt idx="5">
                  <c:v>27</c:v>
                </c:pt>
              </c:numCache>
            </c:numRef>
          </c:val>
          <c:smooth val="0"/>
          <c:extLst>
            <c:ext xmlns:c16="http://schemas.microsoft.com/office/drawing/2014/chart" uri="{C3380CC4-5D6E-409C-BE32-E72D297353CC}">
              <c16:uniqueId val="{00000000-19BC-4E68-8152-08801616EF19}"/>
            </c:ext>
          </c:extLst>
        </c:ser>
        <c:ser>
          <c:idx val="1"/>
          <c:order val="1"/>
          <c:spPr>
            <a:ln w="28575" cap="rnd">
              <a:noFill/>
              <a:round/>
            </a:ln>
            <a:effectLst/>
          </c:spPr>
          <c:marker>
            <c:symbol val="circle"/>
            <c:size val="10"/>
            <c:spPr>
              <a:solidFill>
                <a:schemeClr val="tx2">
                  <a:lumMod val="50000"/>
                  <a:lumOff val="50000"/>
                  <a:alpha val="30000"/>
                </a:schemeClr>
              </a:solidFill>
              <a:ln w="9525">
                <a:noFill/>
              </a:ln>
              <a:effectLst/>
            </c:spPr>
          </c:marker>
          <c:cat>
            <c:strRef>
              <c:f>'Diagramme PAY@MCO (FTE)'!$AA$3:$AF$3</c:f>
              <c:strCache>
                <c:ptCount val="6"/>
                <c:pt idx="0">
                  <c:v>Sprint 1_3+4</c:v>
                </c:pt>
                <c:pt idx="1">
                  <c:v>Sprint 1_5+6</c:v>
                </c:pt>
                <c:pt idx="2">
                  <c:v>Sprint 2_1+2</c:v>
                </c:pt>
                <c:pt idx="3">
                  <c:v>Sprint 2_3/4</c:v>
                </c:pt>
                <c:pt idx="4">
                  <c:v>Sprint 2_5/6</c:v>
                </c:pt>
                <c:pt idx="5">
                  <c:v>Sprint 3_1/2</c:v>
                </c:pt>
              </c:strCache>
            </c:strRef>
          </c:cat>
          <c:val>
            <c:numRef>
              <c:f>'Diagramme PAY@MCO (FTE)'!$AA$5:$AF$5</c:f>
              <c:numCache>
                <c:formatCode>General</c:formatCode>
                <c:ptCount val="6"/>
                <c:pt idx="3">
                  <c:v>30</c:v>
                </c:pt>
                <c:pt idx="4">
                  <c:v>27</c:v>
                </c:pt>
                <c:pt idx="5">
                  <c:v>31</c:v>
                </c:pt>
              </c:numCache>
            </c:numRef>
          </c:val>
          <c:smooth val="0"/>
          <c:extLst>
            <c:ext xmlns:c16="http://schemas.microsoft.com/office/drawing/2014/chart" uri="{C3380CC4-5D6E-409C-BE32-E72D297353CC}">
              <c16:uniqueId val="{00000001-19BC-4E68-8152-08801616EF19}"/>
            </c:ext>
          </c:extLst>
        </c:ser>
        <c:ser>
          <c:idx val="2"/>
          <c:order val="2"/>
          <c:spPr>
            <a:ln w="28575" cap="rnd">
              <a:noFill/>
              <a:round/>
            </a:ln>
            <a:effectLst/>
          </c:spPr>
          <c:marker>
            <c:symbol val="circle"/>
            <c:size val="14"/>
            <c:spPr>
              <a:solidFill>
                <a:schemeClr val="tx2">
                  <a:lumMod val="50000"/>
                  <a:lumOff val="50000"/>
                  <a:alpha val="40000"/>
                </a:schemeClr>
              </a:solidFill>
              <a:ln w="9525">
                <a:noFill/>
              </a:ln>
              <a:effectLst/>
            </c:spPr>
          </c:marker>
          <c:cat>
            <c:strRef>
              <c:f>'Diagramme PAY@MCO (FTE)'!$AA$3:$AF$3</c:f>
              <c:strCache>
                <c:ptCount val="6"/>
                <c:pt idx="0">
                  <c:v>Sprint 1_3+4</c:v>
                </c:pt>
                <c:pt idx="1">
                  <c:v>Sprint 1_5+6</c:v>
                </c:pt>
                <c:pt idx="2">
                  <c:v>Sprint 2_1+2</c:v>
                </c:pt>
                <c:pt idx="3">
                  <c:v>Sprint 2_3/4</c:v>
                </c:pt>
                <c:pt idx="4">
                  <c:v>Sprint 2_5/6</c:v>
                </c:pt>
                <c:pt idx="5">
                  <c:v>Sprint 3_1/2</c:v>
                </c:pt>
              </c:strCache>
            </c:strRef>
          </c:cat>
          <c:val>
            <c:numRef>
              <c:f>'Diagramme PAY@MCO (FTE)'!$AA$6:$AF$6</c:f>
              <c:numCache>
                <c:formatCode>General</c:formatCode>
                <c:ptCount val="6"/>
                <c:pt idx="2">
                  <c:v>30</c:v>
                </c:pt>
                <c:pt idx="3">
                  <c:v>27</c:v>
                </c:pt>
                <c:pt idx="4">
                  <c:v>31</c:v>
                </c:pt>
                <c:pt idx="5">
                  <c:v>34</c:v>
                </c:pt>
              </c:numCache>
            </c:numRef>
          </c:val>
          <c:smooth val="0"/>
          <c:extLst>
            <c:ext xmlns:c16="http://schemas.microsoft.com/office/drawing/2014/chart" uri="{C3380CC4-5D6E-409C-BE32-E72D297353CC}">
              <c16:uniqueId val="{00000002-19BC-4E68-8152-08801616EF19}"/>
            </c:ext>
          </c:extLst>
        </c:ser>
        <c:ser>
          <c:idx val="3"/>
          <c:order val="3"/>
          <c:spPr>
            <a:ln w="28575" cap="rnd">
              <a:noFill/>
              <a:round/>
            </a:ln>
            <a:effectLst/>
          </c:spPr>
          <c:marker>
            <c:symbol val="circle"/>
            <c:size val="18"/>
            <c:spPr>
              <a:solidFill>
                <a:schemeClr val="tx2">
                  <a:lumMod val="50000"/>
                  <a:lumOff val="50000"/>
                  <a:alpha val="50000"/>
                </a:schemeClr>
              </a:solidFill>
              <a:ln w="9525">
                <a:noFill/>
              </a:ln>
              <a:effectLst/>
            </c:spPr>
          </c:marker>
          <c:cat>
            <c:strRef>
              <c:f>'Diagramme PAY@MCO (FTE)'!$AA$3:$AF$3</c:f>
              <c:strCache>
                <c:ptCount val="6"/>
                <c:pt idx="0">
                  <c:v>Sprint 1_3+4</c:v>
                </c:pt>
                <c:pt idx="1">
                  <c:v>Sprint 1_5+6</c:v>
                </c:pt>
                <c:pt idx="2">
                  <c:v>Sprint 2_1+2</c:v>
                </c:pt>
                <c:pt idx="3">
                  <c:v>Sprint 2_3/4</c:v>
                </c:pt>
                <c:pt idx="4">
                  <c:v>Sprint 2_5/6</c:v>
                </c:pt>
                <c:pt idx="5">
                  <c:v>Sprint 3_1/2</c:v>
                </c:pt>
              </c:strCache>
            </c:strRef>
          </c:cat>
          <c:val>
            <c:numRef>
              <c:f>'Diagramme PAY@MCO (FTE)'!$AA$7:$AF$7</c:f>
              <c:numCache>
                <c:formatCode>General</c:formatCode>
                <c:ptCount val="6"/>
                <c:pt idx="1">
                  <c:v>30</c:v>
                </c:pt>
                <c:pt idx="2">
                  <c:v>27</c:v>
                </c:pt>
                <c:pt idx="3">
                  <c:v>31</c:v>
                </c:pt>
                <c:pt idx="4">
                  <c:v>34</c:v>
                </c:pt>
                <c:pt idx="5">
                  <c:v>20</c:v>
                </c:pt>
              </c:numCache>
            </c:numRef>
          </c:val>
          <c:smooth val="0"/>
          <c:extLst>
            <c:ext xmlns:c16="http://schemas.microsoft.com/office/drawing/2014/chart" uri="{C3380CC4-5D6E-409C-BE32-E72D297353CC}">
              <c16:uniqueId val="{00000003-19BC-4E68-8152-08801616EF19}"/>
            </c:ext>
          </c:extLst>
        </c:ser>
        <c:ser>
          <c:idx val="4"/>
          <c:order val="4"/>
          <c:spPr>
            <a:ln w="28575" cap="rnd">
              <a:noFill/>
              <a:round/>
            </a:ln>
            <a:effectLst/>
          </c:spPr>
          <c:marker>
            <c:symbol val="circle"/>
            <c:size val="22"/>
            <c:spPr>
              <a:solidFill>
                <a:schemeClr val="tx2">
                  <a:lumMod val="50000"/>
                  <a:lumOff val="50000"/>
                  <a:alpha val="60000"/>
                </a:schemeClr>
              </a:solidFill>
              <a:ln w="9525">
                <a:noFill/>
              </a:ln>
              <a:effectLst/>
            </c:spPr>
          </c:marker>
          <c:cat>
            <c:strRef>
              <c:f>'Diagramme PAY@MCO (FTE)'!$AA$3:$AF$3</c:f>
              <c:strCache>
                <c:ptCount val="6"/>
                <c:pt idx="0">
                  <c:v>Sprint 1_3+4</c:v>
                </c:pt>
                <c:pt idx="1">
                  <c:v>Sprint 1_5+6</c:v>
                </c:pt>
                <c:pt idx="2">
                  <c:v>Sprint 2_1+2</c:v>
                </c:pt>
                <c:pt idx="3">
                  <c:v>Sprint 2_3/4</c:v>
                </c:pt>
                <c:pt idx="4">
                  <c:v>Sprint 2_5/6</c:v>
                </c:pt>
                <c:pt idx="5">
                  <c:v>Sprint 3_1/2</c:v>
                </c:pt>
              </c:strCache>
            </c:strRef>
          </c:cat>
          <c:val>
            <c:numRef>
              <c:f>'Diagramme PAY@MCO (FTE)'!$AA$8:$AF$8</c:f>
              <c:numCache>
                <c:formatCode>General</c:formatCode>
                <c:ptCount val="6"/>
                <c:pt idx="0">
                  <c:v>30</c:v>
                </c:pt>
                <c:pt idx="1">
                  <c:v>27</c:v>
                </c:pt>
                <c:pt idx="2">
                  <c:v>31</c:v>
                </c:pt>
                <c:pt idx="3">
                  <c:v>34</c:v>
                </c:pt>
                <c:pt idx="4">
                  <c:v>20</c:v>
                </c:pt>
                <c:pt idx="5">
                  <c:v>26</c:v>
                </c:pt>
              </c:numCache>
            </c:numRef>
          </c:val>
          <c:smooth val="0"/>
          <c:extLst>
            <c:ext xmlns:c16="http://schemas.microsoft.com/office/drawing/2014/chart" uri="{C3380CC4-5D6E-409C-BE32-E72D297353CC}">
              <c16:uniqueId val="{00000004-19BC-4E68-8152-08801616EF19}"/>
            </c:ext>
          </c:extLst>
        </c:ser>
        <c:ser>
          <c:idx val="5"/>
          <c:order val="5"/>
          <c:spPr>
            <a:ln w="28575" cap="rnd">
              <a:solidFill>
                <a:schemeClr val="tx2">
                  <a:lumMod val="50000"/>
                  <a:lumOff val="50000"/>
                </a:schemeClr>
              </a:solidFill>
              <a:prstDash val="sysDot"/>
              <a:round/>
            </a:ln>
            <a:effectLst/>
          </c:spPr>
          <c:marker>
            <c:symbol val="circle"/>
            <c:size val="26"/>
            <c:spPr>
              <a:solidFill>
                <a:schemeClr val="tx2">
                  <a:lumMod val="50000"/>
                  <a:lumOff val="50000"/>
                  <a:alpha val="80000"/>
                </a:schemeClr>
              </a:solidFill>
              <a:ln w="9525">
                <a:noFill/>
                <a:prstDash val="sysDot"/>
              </a:ln>
              <a:effectLst/>
            </c:spPr>
          </c:marker>
          <c:cat>
            <c:strRef>
              <c:f>'Diagramme PAY@MCO (FTE)'!$AA$3:$AF$3</c:f>
              <c:strCache>
                <c:ptCount val="6"/>
                <c:pt idx="0">
                  <c:v>Sprint 1_3+4</c:v>
                </c:pt>
                <c:pt idx="1">
                  <c:v>Sprint 1_5+6</c:v>
                </c:pt>
                <c:pt idx="2">
                  <c:v>Sprint 2_1+2</c:v>
                </c:pt>
                <c:pt idx="3">
                  <c:v>Sprint 2_3/4</c:v>
                </c:pt>
                <c:pt idx="4">
                  <c:v>Sprint 2_5/6</c:v>
                </c:pt>
                <c:pt idx="5">
                  <c:v>Sprint 3_1/2</c:v>
                </c:pt>
              </c:strCache>
            </c:strRef>
          </c:cat>
          <c:val>
            <c:numRef>
              <c:f>'Diagramme PAY@MCO (FTE)'!$AA$9:$AF$9</c:f>
              <c:numCache>
                <c:formatCode>General</c:formatCode>
                <c:ptCount val="6"/>
                <c:pt idx="0">
                  <c:v>27</c:v>
                </c:pt>
                <c:pt idx="1">
                  <c:v>31</c:v>
                </c:pt>
                <c:pt idx="2">
                  <c:v>34</c:v>
                </c:pt>
                <c:pt idx="3">
                  <c:v>20</c:v>
                </c:pt>
                <c:pt idx="4">
                  <c:v>26</c:v>
                </c:pt>
                <c:pt idx="5">
                  <c:v>26</c:v>
                </c:pt>
              </c:numCache>
            </c:numRef>
          </c:val>
          <c:smooth val="1"/>
          <c:extLst>
            <c:ext xmlns:c16="http://schemas.microsoft.com/office/drawing/2014/chart" uri="{C3380CC4-5D6E-409C-BE32-E72D297353CC}">
              <c16:uniqueId val="{00000005-19BC-4E68-8152-08801616EF19}"/>
            </c:ext>
          </c:extLst>
        </c:ser>
        <c:dLbls>
          <c:showLegendKey val="0"/>
          <c:showVal val="0"/>
          <c:showCatName val="0"/>
          <c:showSerName val="0"/>
          <c:showPercent val="0"/>
          <c:showBubbleSize val="0"/>
        </c:dLbls>
        <c:marker val="1"/>
        <c:smooth val="0"/>
        <c:axId val="606671304"/>
        <c:axId val="606672744"/>
      </c:lineChart>
      <c:lineChart>
        <c:grouping val="standard"/>
        <c:varyColors val="0"/>
        <c:ser>
          <c:idx val="6"/>
          <c:order val="6"/>
          <c:spPr>
            <a:ln w="25400" cap="rnd">
              <a:noFill/>
              <a:round/>
            </a:ln>
            <a:effectLst/>
          </c:spPr>
          <c:marker>
            <c:symbol val="circle"/>
            <c:size val="5"/>
            <c:spPr>
              <a:solidFill>
                <a:schemeClr val="bg1"/>
              </a:solidFill>
              <a:ln w="19050">
                <a:solidFill>
                  <a:schemeClr val="accent1">
                    <a:lumMod val="60000"/>
                    <a:lumOff val="40000"/>
                  </a:schemeClr>
                </a:solidFill>
              </a:ln>
              <a:effectLst/>
            </c:spPr>
          </c:marker>
          <c:cat>
            <c:strRef>
              <c:f>'Diagramme PAY@MCO (FTE)'!$AA$3:$AF$3</c:f>
              <c:strCache>
                <c:ptCount val="6"/>
                <c:pt idx="0">
                  <c:v>Sprint 1_3+4</c:v>
                </c:pt>
                <c:pt idx="1">
                  <c:v>Sprint 1_5+6</c:v>
                </c:pt>
                <c:pt idx="2">
                  <c:v>Sprint 2_1+2</c:v>
                </c:pt>
                <c:pt idx="3">
                  <c:v>Sprint 2_3/4</c:v>
                </c:pt>
                <c:pt idx="4">
                  <c:v>Sprint 2_5/6</c:v>
                </c:pt>
                <c:pt idx="5">
                  <c:v>Sprint 3_1/2</c:v>
                </c:pt>
              </c:strCache>
            </c:strRef>
          </c:cat>
          <c:val>
            <c:numRef>
              <c:f>'Diagramme PAY@MCO (FTE)'!$AA$10:$AF$10</c:f>
              <c:numCache>
                <c:formatCode>General</c:formatCode>
                <c:ptCount val="6"/>
                <c:pt idx="0">
                  <c:v>2</c:v>
                </c:pt>
                <c:pt idx="1">
                  <c:v>1</c:v>
                </c:pt>
                <c:pt idx="2">
                  <c:v>1</c:v>
                </c:pt>
                <c:pt idx="3">
                  <c:v>5</c:v>
                </c:pt>
                <c:pt idx="4">
                  <c:v>5</c:v>
                </c:pt>
                <c:pt idx="5">
                  <c:v>4</c:v>
                </c:pt>
              </c:numCache>
            </c:numRef>
          </c:val>
          <c:smooth val="0"/>
          <c:extLst>
            <c:ext xmlns:c16="http://schemas.microsoft.com/office/drawing/2014/chart" uri="{C3380CC4-5D6E-409C-BE32-E72D297353CC}">
              <c16:uniqueId val="{00000006-19BC-4E68-8152-08801616EF19}"/>
            </c:ext>
          </c:extLst>
        </c:ser>
        <c:dLbls>
          <c:showLegendKey val="0"/>
          <c:showVal val="0"/>
          <c:showCatName val="0"/>
          <c:showSerName val="0"/>
          <c:showPercent val="0"/>
          <c:showBubbleSize val="0"/>
        </c:dLbls>
        <c:marker val="1"/>
        <c:smooth val="0"/>
        <c:axId val="594987984"/>
        <c:axId val="594989424"/>
      </c:lineChart>
      <c:catAx>
        <c:axId val="606671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6672744"/>
        <c:crosses val="autoZero"/>
        <c:auto val="1"/>
        <c:lblAlgn val="ctr"/>
        <c:lblOffset val="100"/>
        <c:noMultiLvlLbl val="0"/>
      </c:catAx>
      <c:valAx>
        <c:axId val="606672744"/>
        <c:scaling>
          <c:orientation val="minMax"/>
          <c:max val="50"/>
          <c:min val="0"/>
        </c:scaling>
        <c:delete val="0"/>
        <c:axPos val="l"/>
        <c:majorGridlines>
          <c:spPr>
            <a:ln w="25400" cap="flat" cmpd="sng" algn="ctr">
              <a:solidFill>
                <a:schemeClr val="tx2">
                  <a:lumMod val="10000"/>
                  <a:lumOff val="90000"/>
                </a:schemeClr>
              </a:solidFill>
              <a:prstDash val="sysDot"/>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kern="1200" baseline="0">
                    <a:solidFill>
                      <a:sysClr val="windowText" lastClr="000000">
                        <a:lumMod val="65000"/>
                        <a:lumOff val="35000"/>
                      </a:sysClr>
                    </a:solidFill>
                  </a:rPr>
                  <a:t>IDL Sprint Velocities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100" b="0" i="0" u="none" strike="noStrike" kern="1200" baseline="0">
                <a:solidFill>
                  <a:schemeClr val="tx2">
                    <a:lumMod val="25000"/>
                    <a:lumOff val="75000"/>
                  </a:schemeClr>
                </a:solidFill>
                <a:latin typeface="+mn-lt"/>
                <a:ea typeface="+mn-ea"/>
                <a:cs typeface="+mn-cs"/>
              </a:defRPr>
            </a:pPr>
            <a:endParaRPr lang="de-DE"/>
          </a:p>
        </c:txPr>
        <c:crossAx val="606671304"/>
        <c:crosses val="autoZero"/>
        <c:crossBetween val="between"/>
        <c:majorUnit val="10"/>
        <c:minorUnit val="2"/>
      </c:valAx>
      <c:valAx>
        <c:axId val="594989424"/>
        <c:scaling>
          <c:orientation val="maxMin"/>
          <c:max val="6"/>
          <c:min val="1"/>
        </c:scaling>
        <c:delete val="0"/>
        <c:axPos val="r"/>
        <c:majorGridlines>
          <c:spPr>
            <a:ln w="1587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accent1">
                    <a:lumMod val="60000"/>
                    <a:lumOff val="40000"/>
                  </a:schemeClr>
                </a:solidFill>
                <a:latin typeface="+mn-lt"/>
                <a:ea typeface="+mn-ea"/>
                <a:cs typeface="+mn-cs"/>
              </a:defRPr>
            </a:pPr>
            <a:endParaRPr lang="de-DE"/>
          </a:p>
        </c:txPr>
        <c:crossAx val="594987984"/>
        <c:crosses val="max"/>
        <c:crossBetween val="between"/>
        <c:majorUnit val="1"/>
      </c:valAx>
      <c:catAx>
        <c:axId val="594987984"/>
        <c:scaling>
          <c:orientation val="minMax"/>
        </c:scaling>
        <c:delete val="1"/>
        <c:axPos val="t"/>
        <c:numFmt formatCode="General" sourceLinked="1"/>
        <c:majorTickMark val="out"/>
        <c:minorTickMark val="none"/>
        <c:tickLblPos val="nextTo"/>
        <c:crossAx val="594989424"/>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V.A.L.E. Chart - PAY@MCO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2"/>
          <c:order val="2"/>
          <c:tx>
            <c:strRef>
              <c:f>'Diagramme PAY@MCO'!$E$28</c:f>
              <c:strCache>
                <c:ptCount val="1"/>
                <c:pt idx="0">
                  <c:v>  RZ: Alarming</c:v>
                </c:pt>
              </c:strCache>
            </c:strRef>
          </c:tx>
          <c:spPr>
            <a:solidFill>
              <a:srgbClr val="EE0000">
                <a:alpha val="70000"/>
              </a:srgbClr>
            </a:solidFill>
            <a:ln>
              <a:solidFill>
                <a:schemeClr val="tx1"/>
              </a:solidFill>
            </a:ln>
            <a:effectLst/>
          </c:spPr>
          <c:invertIfNegative val="0"/>
          <c:cat>
            <c:strRef>
              <c:f>'Diagramme PAY@MCO'!$A$33:$A$38</c:f>
              <c:strCache>
                <c:ptCount val="6"/>
                <c:pt idx="0">
                  <c:v>Sprint 1_3+4</c:v>
                </c:pt>
                <c:pt idx="1">
                  <c:v>Sprint 1_5+6</c:v>
                </c:pt>
                <c:pt idx="2">
                  <c:v>Sprint 2_1+2</c:v>
                </c:pt>
                <c:pt idx="3">
                  <c:v>Sprint 2_3/4</c:v>
                </c:pt>
                <c:pt idx="4">
                  <c:v>Sprint 2_5/6</c:v>
                </c:pt>
                <c:pt idx="5">
                  <c:v>Sprint 3_1/2</c:v>
                </c:pt>
              </c:strCache>
            </c:strRef>
          </c:cat>
          <c:val>
            <c:numRef>
              <c:f>'Diagramme PAY@MCO'!$E$33:$E$38</c:f>
              <c:numCache>
                <c:formatCode>0</c:formatCode>
                <c:ptCount val="6"/>
                <c:pt idx="0">
                  <c:v>13.823451293177735</c:v>
                </c:pt>
                <c:pt idx="1">
                  <c:v>15.5</c:v>
                </c:pt>
                <c:pt idx="2">
                  <c:v>21.525050201005634</c:v>
                </c:pt>
                <c:pt idx="3">
                  <c:v>25.5</c:v>
                </c:pt>
                <c:pt idx="4">
                  <c:v>17.511911518298483</c:v>
                </c:pt>
                <c:pt idx="5">
                  <c:v>17.131619709202347</c:v>
                </c:pt>
              </c:numCache>
            </c:numRef>
          </c:val>
          <c:extLst>
            <c:ext xmlns:c16="http://schemas.microsoft.com/office/drawing/2014/chart" uri="{C3380CC4-5D6E-409C-BE32-E72D297353CC}">
              <c16:uniqueId val="{00000000-943A-4CB9-B1F8-F2FD23588DFF}"/>
            </c:ext>
          </c:extLst>
        </c:ser>
        <c:ser>
          <c:idx val="3"/>
          <c:order val="3"/>
          <c:tx>
            <c:strRef>
              <c:f>'Diagramme PAY@MCO'!$F$28</c:f>
              <c:strCache>
                <c:ptCount val="1"/>
                <c:pt idx="0">
                  <c:v>  RZ: Concerning</c:v>
                </c:pt>
              </c:strCache>
            </c:strRef>
          </c:tx>
          <c:spPr>
            <a:solidFill>
              <a:srgbClr val="FFFF00">
                <a:alpha val="70000"/>
              </a:srgbClr>
            </a:solidFill>
            <a:ln>
              <a:solidFill>
                <a:schemeClr val="tx1"/>
              </a:solidFill>
            </a:ln>
            <a:effectLst/>
          </c:spPr>
          <c:invertIfNegative val="0"/>
          <c:cat>
            <c:strRef>
              <c:f>'Diagramme PAY@MCO'!$A$33:$A$38</c:f>
              <c:strCache>
                <c:ptCount val="6"/>
                <c:pt idx="0">
                  <c:v>Sprint 1_3+4</c:v>
                </c:pt>
                <c:pt idx="1">
                  <c:v>Sprint 1_5+6</c:v>
                </c:pt>
                <c:pt idx="2">
                  <c:v>Sprint 2_1+2</c:v>
                </c:pt>
                <c:pt idx="3">
                  <c:v>Sprint 2_3/4</c:v>
                </c:pt>
                <c:pt idx="4">
                  <c:v>Sprint 2_5/6</c:v>
                </c:pt>
                <c:pt idx="5">
                  <c:v>Sprint 3_1/2</c:v>
                </c:pt>
              </c:strCache>
            </c:strRef>
          </c:cat>
          <c:val>
            <c:numRef>
              <c:f>'Diagramme PAY@MCO'!$F$33:$F$38</c:f>
              <c:numCache>
                <c:formatCode>0</c:formatCode>
                <c:ptCount val="6"/>
                <c:pt idx="0">
                  <c:v>4.9216076867444665</c:v>
                </c:pt>
                <c:pt idx="1">
                  <c:v>4.5</c:v>
                </c:pt>
                <c:pt idx="2">
                  <c:v>3.1124748994971831</c:v>
                </c:pt>
                <c:pt idx="3">
                  <c:v>2.5</c:v>
                </c:pt>
                <c:pt idx="4">
                  <c:v>5.2440442408507577</c:v>
                </c:pt>
                <c:pt idx="5">
                  <c:v>5.3091901453988255</c:v>
                </c:pt>
              </c:numCache>
            </c:numRef>
          </c:val>
          <c:extLst>
            <c:ext xmlns:c16="http://schemas.microsoft.com/office/drawing/2014/chart" uri="{C3380CC4-5D6E-409C-BE32-E72D297353CC}">
              <c16:uniqueId val="{00000001-943A-4CB9-B1F8-F2FD23588DFF}"/>
            </c:ext>
          </c:extLst>
        </c:ser>
        <c:ser>
          <c:idx val="4"/>
          <c:order val="4"/>
          <c:tx>
            <c:strRef>
              <c:f>'Diagramme PAY@MCO'!$G$28</c:f>
              <c:strCache>
                <c:ptCount val="1"/>
                <c:pt idx="0">
                  <c:v>  RZ: Healthy</c:v>
                </c:pt>
              </c:strCache>
            </c:strRef>
          </c:tx>
          <c:spPr>
            <a:solidFill>
              <a:srgbClr val="92D050">
                <a:alpha val="70000"/>
              </a:srgbClr>
            </a:solidFill>
            <a:ln>
              <a:solidFill>
                <a:schemeClr val="tx1"/>
              </a:solidFill>
            </a:ln>
            <a:effectLst/>
          </c:spPr>
          <c:invertIfNegative val="0"/>
          <c:cat>
            <c:strRef>
              <c:f>'Diagramme PAY@MCO'!$A$33:$A$38</c:f>
              <c:strCache>
                <c:ptCount val="6"/>
                <c:pt idx="0">
                  <c:v>Sprint 1_3+4</c:v>
                </c:pt>
                <c:pt idx="1">
                  <c:v>Sprint 1_5+6</c:v>
                </c:pt>
                <c:pt idx="2">
                  <c:v>Sprint 2_1+2</c:v>
                </c:pt>
                <c:pt idx="3">
                  <c:v>Sprint 2_3/4</c:v>
                </c:pt>
                <c:pt idx="4">
                  <c:v>Sprint 2_5/6</c:v>
                </c:pt>
                <c:pt idx="5">
                  <c:v>Sprint 3_1/2</c:v>
                </c:pt>
              </c:strCache>
            </c:strRef>
          </c:cat>
          <c:val>
            <c:numRef>
              <c:f>'Diagramme PAY@MCO'!$G$33:$G$38</c:f>
              <c:numCache>
                <c:formatCode>0</c:formatCode>
                <c:ptCount val="6"/>
                <c:pt idx="0">
                  <c:v>4.9216076867444665</c:v>
                </c:pt>
                <c:pt idx="1">
                  <c:v>4.5</c:v>
                </c:pt>
                <c:pt idx="2">
                  <c:v>3.1124748994971831</c:v>
                </c:pt>
                <c:pt idx="3">
                  <c:v>2.5</c:v>
                </c:pt>
                <c:pt idx="4">
                  <c:v>5.2440442408507577</c:v>
                </c:pt>
                <c:pt idx="5">
                  <c:v>5.3091901453988255</c:v>
                </c:pt>
              </c:numCache>
            </c:numRef>
          </c:val>
          <c:extLst>
            <c:ext xmlns:c16="http://schemas.microsoft.com/office/drawing/2014/chart" uri="{C3380CC4-5D6E-409C-BE32-E72D297353CC}">
              <c16:uniqueId val="{00000002-943A-4CB9-B1F8-F2FD23588DFF}"/>
            </c:ext>
          </c:extLst>
        </c:ser>
        <c:ser>
          <c:idx val="5"/>
          <c:order val="5"/>
          <c:tx>
            <c:strRef>
              <c:f>'Diagramme PAY@MCO'!$H$28</c:f>
              <c:strCache>
                <c:ptCount val="1"/>
                <c:pt idx="0">
                  <c:v>  RZ: Spot-On</c:v>
                </c:pt>
              </c:strCache>
            </c:strRef>
          </c:tx>
          <c:spPr>
            <a:solidFill>
              <a:srgbClr val="00B050">
                <a:alpha val="70000"/>
              </a:srgbClr>
            </a:solidFill>
            <a:ln>
              <a:solidFill>
                <a:schemeClr val="tx1"/>
              </a:solidFill>
            </a:ln>
            <a:effectLst/>
          </c:spPr>
          <c:invertIfNegative val="0"/>
          <c:cat>
            <c:strRef>
              <c:f>'Diagramme PAY@MCO'!$A$33:$A$38</c:f>
              <c:strCache>
                <c:ptCount val="6"/>
                <c:pt idx="0">
                  <c:v>Sprint 1_3+4</c:v>
                </c:pt>
                <c:pt idx="1">
                  <c:v>Sprint 1_5+6</c:v>
                </c:pt>
                <c:pt idx="2">
                  <c:v>Sprint 2_1+2</c:v>
                </c:pt>
                <c:pt idx="3">
                  <c:v>Sprint 2_3/4</c:v>
                </c:pt>
                <c:pt idx="4">
                  <c:v>Sprint 2_5/6</c:v>
                </c:pt>
                <c:pt idx="5">
                  <c:v>Sprint 3_1/2</c:v>
                </c:pt>
              </c:strCache>
            </c:strRef>
          </c:cat>
          <c:val>
            <c:numRef>
              <c:f>'Diagramme PAY@MCO'!$H$33:$H$38</c:f>
              <c:numCache>
                <c:formatCode>0</c:formatCode>
                <c:ptCount val="6"/>
                <c:pt idx="0">
                  <c:v>4.9216076867444665</c:v>
                </c:pt>
                <c:pt idx="1">
                  <c:v>4.5</c:v>
                </c:pt>
                <c:pt idx="2">
                  <c:v>3.1124748994971831</c:v>
                </c:pt>
                <c:pt idx="3">
                  <c:v>2.5</c:v>
                </c:pt>
                <c:pt idx="4">
                  <c:v>5.2440442408507577</c:v>
                </c:pt>
                <c:pt idx="5">
                  <c:v>5.3091901453988255</c:v>
                </c:pt>
              </c:numCache>
            </c:numRef>
          </c:val>
          <c:extLst>
            <c:ext xmlns:c16="http://schemas.microsoft.com/office/drawing/2014/chart" uri="{C3380CC4-5D6E-409C-BE32-E72D297353CC}">
              <c16:uniqueId val="{00000003-943A-4CB9-B1F8-F2FD23588DFF}"/>
            </c:ext>
          </c:extLst>
        </c:ser>
        <c:ser>
          <c:idx val="6"/>
          <c:order val="6"/>
          <c:tx>
            <c:strRef>
              <c:f>'Diagramme PAY@MCO'!$I$28</c:f>
              <c:strCache>
                <c:ptCount val="1"/>
                <c:pt idx="0">
                  <c:v>  RZ: Lively</c:v>
                </c:pt>
              </c:strCache>
            </c:strRef>
          </c:tx>
          <c:spPr>
            <a:solidFill>
              <a:srgbClr val="92D050">
                <a:alpha val="69804"/>
              </a:srgbClr>
            </a:solidFill>
            <a:ln>
              <a:solidFill>
                <a:schemeClr val="tx1"/>
              </a:solidFill>
            </a:ln>
            <a:effectLst/>
          </c:spPr>
          <c:invertIfNegative val="0"/>
          <c:cat>
            <c:strRef>
              <c:f>'Diagramme PAY@MCO'!$A$33:$A$38</c:f>
              <c:strCache>
                <c:ptCount val="6"/>
                <c:pt idx="0">
                  <c:v>Sprint 1_3+4</c:v>
                </c:pt>
                <c:pt idx="1">
                  <c:v>Sprint 1_5+6</c:v>
                </c:pt>
                <c:pt idx="2">
                  <c:v>Sprint 2_1+2</c:v>
                </c:pt>
                <c:pt idx="3">
                  <c:v>Sprint 2_3/4</c:v>
                </c:pt>
                <c:pt idx="4">
                  <c:v>Sprint 2_5/6</c:v>
                </c:pt>
                <c:pt idx="5">
                  <c:v>Sprint 3_1/2</c:v>
                </c:pt>
              </c:strCache>
            </c:strRef>
          </c:cat>
          <c:val>
            <c:numRef>
              <c:f>'Diagramme PAY@MCO'!$I$33:$I$38</c:f>
              <c:numCache>
                <c:formatCode>0</c:formatCode>
                <c:ptCount val="6"/>
                <c:pt idx="0">
                  <c:v>4.9216076867444665</c:v>
                </c:pt>
                <c:pt idx="1">
                  <c:v>4.5</c:v>
                </c:pt>
                <c:pt idx="2">
                  <c:v>3.1124748994971831</c:v>
                </c:pt>
                <c:pt idx="3">
                  <c:v>2.5</c:v>
                </c:pt>
                <c:pt idx="4">
                  <c:v>5.2440442408507577</c:v>
                </c:pt>
                <c:pt idx="5">
                  <c:v>5.3091901453988255</c:v>
                </c:pt>
              </c:numCache>
            </c:numRef>
          </c:val>
          <c:extLst>
            <c:ext xmlns:c16="http://schemas.microsoft.com/office/drawing/2014/chart" uri="{C3380CC4-5D6E-409C-BE32-E72D297353CC}">
              <c16:uniqueId val="{00000004-943A-4CB9-B1F8-F2FD23588DFF}"/>
            </c:ext>
          </c:extLst>
        </c:ser>
        <c:ser>
          <c:idx val="7"/>
          <c:order val="7"/>
          <c:tx>
            <c:strRef>
              <c:f>'Diagramme PAY@MCO'!$J$28</c:f>
              <c:strCache>
                <c:ptCount val="1"/>
                <c:pt idx="0">
                  <c:v>  RZ: Bloated</c:v>
                </c:pt>
              </c:strCache>
            </c:strRef>
          </c:tx>
          <c:spPr>
            <a:solidFill>
              <a:srgbClr val="00B0F0">
                <a:alpha val="69804"/>
              </a:srgbClr>
            </a:solidFill>
            <a:ln>
              <a:solidFill>
                <a:schemeClr val="tx1"/>
              </a:solidFill>
            </a:ln>
            <a:effectLst/>
          </c:spPr>
          <c:invertIfNegative val="0"/>
          <c:cat>
            <c:strRef>
              <c:f>'Diagramme PAY@MCO'!$A$33:$A$38</c:f>
              <c:strCache>
                <c:ptCount val="6"/>
                <c:pt idx="0">
                  <c:v>Sprint 1_3+4</c:v>
                </c:pt>
                <c:pt idx="1">
                  <c:v>Sprint 1_5+6</c:v>
                </c:pt>
                <c:pt idx="2">
                  <c:v>Sprint 2_1+2</c:v>
                </c:pt>
                <c:pt idx="3">
                  <c:v>Sprint 2_3/4</c:v>
                </c:pt>
                <c:pt idx="4">
                  <c:v>Sprint 2_5/6</c:v>
                </c:pt>
                <c:pt idx="5">
                  <c:v>Sprint 3_1/2</c:v>
                </c:pt>
              </c:strCache>
            </c:strRef>
          </c:cat>
          <c:val>
            <c:numRef>
              <c:f>'Diagramme PAY@MCO'!$J$33:$J$38</c:f>
              <c:numCache>
                <c:formatCode>0</c:formatCode>
                <c:ptCount val="6"/>
                <c:pt idx="0">
                  <c:v>166.49011795984438</c:v>
                </c:pt>
                <c:pt idx="1">
                  <c:v>166.5</c:v>
                </c:pt>
                <c:pt idx="2">
                  <c:v>166.02505020100563</c:v>
                </c:pt>
                <c:pt idx="3">
                  <c:v>164.5</c:v>
                </c:pt>
                <c:pt idx="4">
                  <c:v>161.51191151829849</c:v>
                </c:pt>
                <c:pt idx="5">
                  <c:v>161.63161970920237</c:v>
                </c:pt>
              </c:numCache>
            </c:numRef>
          </c:val>
          <c:extLst>
            <c:ext xmlns:c16="http://schemas.microsoft.com/office/drawing/2014/chart" uri="{C3380CC4-5D6E-409C-BE32-E72D297353CC}">
              <c16:uniqueId val="{00000005-943A-4CB9-B1F8-F2FD23588DFF}"/>
            </c:ext>
          </c:extLst>
        </c:ser>
        <c:dLbls>
          <c:showLegendKey val="0"/>
          <c:showVal val="0"/>
          <c:showCatName val="0"/>
          <c:showSerName val="0"/>
          <c:showPercent val="0"/>
          <c:showBubbleSize val="0"/>
        </c:dLbls>
        <c:gapWidth val="150"/>
        <c:overlap val="100"/>
        <c:axId val="561396128"/>
        <c:axId val="561396848"/>
      </c:barChart>
      <c:lineChart>
        <c:grouping val="standard"/>
        <c:varyColors val="0"/>
        <c:ser>
          <c:idx val="0"/>
          <c:order val="0"/>
          <c:tx>
            <c:strRef>
              <c:f>'Diagramme PAY@MCO'!$C$28</c:f>
              <c:strCache>
                <c:ptCount val="1"/>
                <c:pt idx="0">
                  <c:v>  Average Velocity</c:v>
                </c:pt>
              </c:strCache>
            </c:strRef>
          </c:tx>
          <c:spPr>
            <a:ln w="38100" cap="rnd">
              <a:solidFill>
                <a:schemeClr val="tx1"/>
              </a:solidFill>
              <a:prstDash val="sysDash"/>
              <a:round/>
            </a:ln>
            <a:effectLst/>
          </c:spPr>
          <c:marker>
            <c:symbol val="none"/>
          </c:marker>
          <c:cat>
            <c:strRef>
              <c:f>'Diagramme PAY@MCO'!$A$33:$A$38</c:f>
              <c:strCache>
                <c:ptCount val="6"/>
                <c:pt idx="0">
                  <c:v>Sprint 1_3+4</c:v>
                </c:pt>
                <c:pt idx="1">
                  <c:v>Sprint 1_5+6</c:v>
                </c:pt>
                <c:pt idx="2">
                  <c:v>Sprint 2_1+2</c:v>
                </c:pt>
                <c:pt idx="3">
                  <c:v>Sprint 2_3/4</c:v>
                </c:pt>
                <c:pt idx="4">
                  <c:v>Sprint 2_5/6</c:v>
                </c:pt>
                <c:pt idx="5">
                  <c:v>Sprint 3_1/2</c:v>
                </c:pt>
              </c:strCache>
            </c:strRef>
          </c:cat>
          <c:val>
            <c:numRef>
              <c:f>'Diagramme PAY@MCO'!$C$33:$C$38</c:f>
              <c:numCache>
                <c:formatCode>0</c:formatCode>
                <c:ptCount val="6"/>
                <c:pt idx="0">
                  <c:v>23.666666666666668</c:v>
                </c:pt>
                <c:pt idx="1">
                  <c:v>24.5</c:v>
                </c:pt>
                <c:pt idx="2">
                  <c:v>27.75</c:v>
                </c:pt>
                <c:pt idx="3">
                  <c:v>30.5</c:v>
                </c:pt>
                <c:pt idx="4">
                  <c:v>28</c:v>
                </c:pt>
                <c:pt idx="5">
                  <c:v>27.75</c:v>
                </c:pt>
              </c:numCache>
            </c:numRef>
          </c:val>
          <c:smooth val="1"/>
          <c:extLst>
            <c:ext xmlns:c16="http://schemas.microsoft.com/office/drawing/2014/chart" uri="{C3380CC4-5D6E-409C-BE32-E72D297353CC}">
              <c16:uniqueId val="{00000006-943A-4CB9-B1F8-F2FD23588DFF}"/>
            </c:ext>
          </c:extLst>
        </c:ser>
        <c:ser>
          <c:idx val="1"/>
          <c:order val="1"/>
          <c:tx>
            <c:strRef>
              <c:f>'Diagramme PAY@MCO'!$D$28</c:f>
              <c:strCache>
                <c:ptCount val="1"/>
                <c:pt idx="0">
                  <c:v>  IDL Sprint Velocity</c:v>
                </c:pt>
              </c:strCache>
            </c:strRef>
          </c:tx>
          <c:spPr>
            <a:ln w="88900" cap="rnd" cmpd="sng">
              <a:solidFill>
                <a:schemeClr val="tx1"/>
              </a:solidFill>
              <a:round/>
              <a:headEnd type="none" w="med" len="med"/>
              <a:tailEnd type="oval" w="sm" len="sm"/>
            </a:ln>
            <a:effectLst/>
          </c:spPr>
          <c:marker>
            <c:symbol val="circle"/>
            <c:size val="10"/>
            <c:spPr>
              <a:solidFill>
                <a:schemeClr val="tx1"/>
              </a:solidFill>
              <a:ln w="9525">
                <a:noFill/>
              </a:ln>
              <a:effectLst/>
            </c:spPr>
          </c:marker>
          <c:cat>
            <c:strRef>
              <c:f>'Diagramme PAY@MCO'!$A$33:$A$38</c:f>
              <c:strCache>
                <c:ptCount val="6"/>
                <c:pt idx="0">
                  <c:v>Sprint 1_3+4</c:v>
                </c:pt>
                <c:pt idx="1">
                  <c:v>Sprint 1_5+6</c:v>
                </c:pt>
                <c:pt idx="2">
                  <c:v>Sprint 2_1+2</c:v>
                </c:pt>
                <c:pt idx="3">
                  <c:v>Sprint 2_3/4</c:v>
                </c:pt>
                <c:pt idx="4">
                  <c:v>Sprint 2_5/6</c:v>
                </c:pt>
                <c:pt idx="5">
                  <c:v>Sprint 3_1/2</c:v>
                </c:pt>
              </c:strCache>
            </c:strRef>
          </c:cat>
          <c:val>
            <c:numRef>
              <c:f>'Diagramme PAY@MCO'!$D$33:$D$38</c:f>
              <c:numCache>
                <c:formatCode>General</c:formatCode>
                <c:ptCount val="6"/>
                <c:pt idx="0">
                  <c:v>27</c:v>
                </c:pt>
                <c:pt idx="1">
                  <c:v>31</c:v>
                </c:pt>
                <c:pt idx="2">
                  <c:v>34</c:v>
                </c:pt>
                <c:pt idx="3">
                  <c:v>20</c:v>
                </c:pt>
                <c:pt idx="4">
                  <c:v>26</c:v>
                </c:pt>
                <c:pt idx="5">
                  <c:v>26</c:v>
                </c:pt>
              </c:numCache>
            </c:numRef>
          </c:val>
          <c:smooth val="0"/>
          <c:extLst>
            <c:ext xmlns:c16="http://schemas.microsoft.com/office/drawing/2014/chart" uri="{C3380CC4-5D6E-409C-BE32-E72D297353CC}">
              <c16:uniqueId val="{00000007-943A-4CB9-B1F8-F2FD23588DFF}"/>
            </c:ext>
          </c:extLst>
        </c:ser>
        <c:ser>
          <c:idx val="8"/>
          <c:order val="8"/>
          <c:tx>
            <c:strRef>
              <c:f>'Diagramme PAY@MCO'!$K$28</c:f>
              <c:strCache>
                <c:ptCount val="1"/>
                <c:pt idx="0">
                  <c:v>  Target Trajectory</c:v>
                </c:pt>
              </c:strCache>
            </c:strRef>
          </c:tx>
          <c:spPr>
            <a:ln w="28575" cap="rnd">
              <a:solidFill>
                <a:schemeClr val="accent5"/>
              </a:solidFill>
              <a:round/>
              <a:headEnd type="none" w="med" len="med"/>
              <a:tailEnd type="arrow" w="med" len="med"/>
            </a:ln>
            <a:effectLst/>
          </c:spPr>
          <c:marker>
            <c:symbol val="none"/>
          </c:marker>
          <c:cat>
            <c:strRef>
              <c:f>'Diagramme PAY@MCO'!$A$33:$A$38</c:f>
              <c:strCache>
                <c:ptCount val="6"/>
                <c:pt idx="0">
                  <c:v>Sprint 1_3+4</c:v>
                </c:pt>
                <c:pt idx="1">
                  <c:v>Sprint 1_5+6</c:v>
                </c:pt>
                <c:pt idx="2">
                  <c:v>Sprint 2_1+2</c:v>
                </c:pt>
                <c:pt idx="3">
                  <c:v>Sprint 2_3/4</c:v>
                </c:pt>
                <c:pt idx="4">
                  <c:v>Sprint 2_5/6</c:v>
                </c:pt>
                <c:pt idx="5">
                  <c:v>Sprint 3_1/2</c:v>
                </c:pt>
              </c:strCache>
            </c:strRef>
          </c:cat>
          <c:val>
            <c:numRef>
              <c:f>'Diagramme PAY@MCO'!$K$33:$K$38</c:f>
              <c:numCache>
                <c:formatCode>General</c:formatCode>
                <c:ptCount val="6"/>
                <c:pt idx="0">
                  <c:v>27</c:v>
                </c:pt>
                <c:pt idx="1">
                  <c:v>27</c:v>
                </c:pt>
                <c:pt idx="3">
                  <c:v>20</c:v>
                </c:pt>
                <c:pt idx="4">
                  <c:v>20</c:v>
                </c:pt>
              </c:numCache>
            </c:numRef>
          </c:val>
          <c:smooth val="0"/>
          <c:extLst>
            <c:ext xmlns:c16="http://schemas.microsoft.com/office/drawing/2014/chart" uri="{C3380CC4-5D6E-409C-BE32-E72D297353CC}">
              <c16:uniqueId val="{00000000-B7FD-454B-AEFC-49ACD815596E}"/>
            </c:ext>
          </c:extLst>
        </c:ser>
        <c:ser>
          <c:idx val="9"/>
          <c:order val="9"/>
          <c:tx>
            <c:strRef>
              <c:f>'Diagramme PAY@MCO'!$L$28</c:f>
              <c:strCache>
                <c:ptCount val="1"/>
                <c:pt idx="0">
                  <c:v>tt</c:v>
                </c:pt>
              </c:strCache>
            </c:strRef>
          </c:tx>
          <c:spPr>
            <a:ln w="28575" cap="rnd">
              <a:solidFill>
                <a:schemeClr val="accent5"/>
              </a:solidFill>
              <a:round/>
              <a:headEnd type="none" w="med" len="med"/>
              <a:tailEnd type="arrow" w="med" len="med"/>
            </a:ln>
            <a:effectLst/>
          </c:spPr>
          <c:marker>
            <c:symbol val="none"/>
          </c:marker>
          <c:cat>
            <c:strRef>
              <c:f>'Diagramme PAY@MCO'!$A$33:$A$38</c:f>
              <c:strCache>
                <c:ptCount val="6"/>
                <c:pt idx="0">
                  <c:v>Sprint 1_3+4</c:v>
                </c:pt>
                <c:pt idx="1">
                  <c:v>Sprint 1_5+6</c:v>
                </c:pt>
                <c:pt idx="2">
                  <c:v>Sprint 2_1+2</c:v>
                </c:pt>
                <c:pt idx="3">
                  <c:v>Sprint 2_3/4</c:v>
                </c:pt>
                <c:pt idx="4">
                  <c:v>Sprint 2_5/6</c:v>
                </c:pt>
                <c:pt idx="5">
                  <c:v>Sprint 3_1/2</c:v>
                </c:pt>
              </c:strCache>
            </c:strRef>
          </c:cat>
          <c:val>
            <c:numRef>
              <c:f>'Diagramme PAY@MCO'!$L$33:$L$38</c:f>
              <c:numCache>
                <c:formatCode>General</c:formatCode>
                <c:ptCount val="6"/>
                <c:pt idx="1">
                  <c:v>31</c:v>
                </c:pt>
                <c:pt idx="2">
                  <c:v>29</c:v>
                </c:pt>
                <c:pt idx="4">
                  <c:v>26</c:v>
                </c:pt>
                <c:pt idx="5">
                  <c:v>30</c:v>
                </c:pt>
              </c:numCache>
            </c:numRef>
          </c:val>
          <c:smooth val="0"/>
          <c:extLst>
            <c:ext xmlns:c16="http://schemas.microsoft.com/office/drawing/2014/chart" uri="{C3380CC4-5D6E-409C-BE32-E72D297353CC}">
              <c16:uniqueId val="{00000001-B7FD-454B-AEFC-49ACD815596E}"/>
            </c:ext>
          </c:extLst>
        </c:ser>
        <c:ser>
          <c:idx val="10"/>
          <c:order val="10"/>
          <c:tx>
            <c:strRef>
              <c:f>'Diagramme PAY@MCO'!$M$28</c:f>
              <c:strCache>
                <c:ptCount val="1"/>
                <c:pt idx="0">
                  <c:v>tt</c:v>
                </c:pt>
              </c:strCache>
            </c:strRef>
          </c:tx>
          <c:spPr>
            <a:ln w="28575" cap="rnd">
              <a:solidFill>
                <a:schemeClr val="accent5"/>
              </a:solidFill>
              <a:round/>
              <a:headEnd type="none" w="med" len="med"/>
              <a:tailEnd type="arrow" w="med" len="med"/>
            </a:ln>
            <a:effectLst/>
          </c:spPr>
          <c:marker>
            <c:symbol val="none"/>
          </c:marker>
          <c:cat>
            <c:strRef>
              <c:f>'Diagramme PAY@MCO'!$A$33:$A$38</c:f>
              <c:strCache>
                <c:ptCount val="6"/>
                <c:pt idx="0">
                  <c:v>Sprint 1_3+4</c:v>
                </c:pt>
                <c:pt idx="1">
                  <c:v>Sprint 1_5+6</c:v>
                </c:pt>
                <c:pt idx="2">
                  <c:v>Sprint 2_1+2</c:v>
                </c:pt>
                <c:pt idx="3">
                  <c:v>Sprint 2_3/4</c:v>
                </c:pt>
                <c:pt idx="4">
                  <c:v>Sprint 2_5/6</c:v>
                </c:pt>
                <c:pt idx="5">
                  <c:v>Sprint 3_1/2</c:v>
                </c:pt>
              </c:strCache>
            </c:strRef>
          </c:cat>
          <c:val>
            <c:numRef>
              <c:f>'Diagramme PAY@MCO'!$M$33:$M$38</c:f>
              <c:numCache>
                <c:formatCode>General</c:formatCode>
                <c:ptCount val="6"/>
                <c:pt idx="0">
                  <c:v>31</c:v>
                </c:pt>
                <c:pt idx="2">
                  <c:v>34</c:v>
                </c:pt>
                <c:pt idx="3">
                  <c:v>34</c:v>
                </c:pt>
                <c:pt idx="5">
                  <c:v>26</c:v>
                </c:pt>
              </c:numCache>
            </c:numRef>
          </c:val>
          <c:smooth val="0"/>
          <c:extLst>
            <c:ext xmlns:c16="http://schemas.microsoft.com/office/drawing/2014/chart" uri="{C3380CC4-5D6E-409C-BE32-E72D297353CC}">
              <c16:uniqueId val="{00000002-B7FD-454B-AEFC-49ACD815596E}"/>
            </c:ext>
          </c:extLst>
        </c:ser>
        <c:dLbls>
          <c:showLegendKey val="0"/>
          <c:showVal val="0"/>
          <c:showCatName val="0"/>
          <c:showSerName val="0"/>
          <c:showPercent val="0"/>
          <c:showBubbleSize val="0"/>
        </c:dLbls>
        <c:marker val="1"/>
        <c:smooth val="0"/>
        <c:axId val="561396128"/>
        <c:axId val="561396848"/>
      </c:lineChart>
      <c:catAx>
        <c:axId val="561396128"/>
        <c:scaling>
          <c:orientation val="minMax"/>
        </c:scaling>
        <c:delete val="0"/>
        <c:axPos val="b"/>
        <c:title>
          <c:tx>
            <c:rich>
              <a:bodyPr rot="0" spcFirstLastPara="1" vertOverflow="ellipsis" vert="horz" wrap="square" anchor="ctr" anchorCtr="1"/>
              <a:lstStyle/>
              <a:p>
                <a:pPr algn="l">
                  <a:defRPr sz="1400" b="0" i="0" u="none" strike="noStrike" kern="1200" baseline="0">
                    <a:solidFill>
                      <a:schemeClr val="tx1">
                        <a:lumMod val="65000"/>
                        <a:lumOff val="35000"/>
                      </a:schemeClr>
                    </a:solidFill>
                    <a:latin typeface="+mn-lt"/>
                    <a:ea typeface="+mn-ea"/>
                    <a:cs typeface="+mn-cs"/>
                  </a:defRPr>
                </a:pPr>
                <a:r>
                  <a:rPr lang="de-DE" sz="1200" b="0" i="0" u="none" strike="noStrike" baseline="0"/>
                  <a:t>Position and size of each Sprint's </a:t>
                </a:r>
                <a:r>
                  <a:rPr lang="de-DE" sz="1200" b="1" i="0" u="none" strike="noStrike" baseline="0"/>
                  <a:t>Rating Zones (RZ) </a:t>
                </a:r>
                <a:r>
                  <a:rPr lang="de-DE" sz="1200" b="0" i="0" u="none" strike="noStrike" baseline="0"/>
                  <a:t>are determined by the average and standard deviation of its </a:t>
                </a:r>
                <a:r>
                  <a:rPr lang="de-DE" sz="1200" b="0" i="0" u="none" strike="noStrike" kern="1200" baseline="0">
                    <a:solidFill>
                      <a:sysClr val="windowText" lastClr="000000">
                        <a:lumMod val="65000"/>
                        <a:lumOff val="35000"/>
                      </a:sysClr>
                    </a:solidFill>
                  </a:rPr>
                  <a:t>4 preceding</a:t>
                </a:r>
              </a:p>
              <a:p>
                <a:pPr algn="l">
                  <a:defRPr sz="1400"/>
                </a:pPr>
                <a:r>
                  <a:rPr lang="de-DE" sz="1200" b="0" i="0" u="none" strike="noStrike" kern="1200" baseline="0">
                    <a:solidFill>
                      <a:sysClr val="windowText" lastClr="000000">
                        <a:lumMod val="65000"/>
                        <a:lumOff val="35000"/>
                      </a:sysClr>
                    </a:solidFill>
                  </a:rPr>
                  <a:t>Sprints' </a:t>
                </a:r>
                <a:r>
                  <a:rPr lang="de-DE" sz="1200" b="0" i="0" u="none" strike="noStrike" baseline="0"/>
                  <a:t>IDL Velocities (which factor in the residual scope of carry-overs and the partial accomplishment of spill-overs)</a:t>
                </a:r>
                <a:endParaRPr lang="de-DE" sz="1200"/>
              </a:p>
            </c:rich>
          </c:tx>
          <c:layout>
            <c:manualLayout>
              <c:xMode val="edge"/>
              <c:yMode val="edge"/>
              <c:x val="0.25161974206349208"/>
              <c:y val="0.90104583333333332"/>
            </c:manualLayout>
          </c:layout>
          <c:overlay val="0"/>
          <c:spPr>
            <a:solidFill>
              <a:schemeClr val="bg1">
                <a:lumMod val="95000"/>
              </a:schemeClr>
            </a:solidFill>
            <a:ln>
              <a:noFill/>
            </a:ln>
            <a:effectLst/>
          </c:spPr>
          <c:txPr>
            <a:bodyPr rot="0" spcFirstLastPara="1" vertOverflow="ellipsis" vert="horz" wrap="square" anchor="ctr" anchorCtr="1"/>
            <a:lstStyle/>
            <a:p>
              <a:pPr algn="l">
                <a:defRPr sz="14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1396848"/>
        <c:crosses val="autoZero"/>
        <c:auto val="1"/>
        <c:lblAlgn val="ctr"/>
        <c:lblOffset val="100"/>
        <c:noMultiLvlLbl val="0"/>
      </c:catAx>
      <c:valAx>
        <c:axId val="561396848"/>
        <c:scaling>
          <c:orientation val="minMax"/>
          <c:max val="50"/>
          <c:min val="0"/>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Velocity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out"/>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1396128"/>
        <c:crosses val="autoZero"/>
        <c:crossBetween val="between"/>
        <c:majorUnit val="10"/>
        <c:minorUnit val="2"/>
      </c:valAx>
      <c:spPr>
        <a:noFill/>
        <a:ln>
          <a:noFill/>
        </a:ln>
        <a:effectLst/>
      </c:spPr>
    </c:plotArea>
    <c:legend>
      <c:legendPos val="l"/>
      <c:legendEntry>
        <c:idx val="9"/>
        <c:delete val="1"/>
      </c:legendEntry>
      <c:legendEntry>
        <c:idx val="10"/>
        <c:delete val="1"/>
      </c:legendEntry>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95% Likelihood VELOCITY - PAY@MCO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'Diagramme PAY@MCO'!$C$53</c:f>
              <c:strCache>
                <c:ptCount val="1"/>
                <c:pt idx="0">
                  <c:v>  HIL Sprint Velocity</c:v>
                </c:pt>
              </c:strCache>
            </c:strRef>
          </c:tx>
          <c:spPr>
            <a:ln w="38100" cap="rnd">
              <a:solidFill>
                <a:schemeClr val="tx2">
                  <a:lumMod val="50000"/>
                  <a:lumOff val="50000"/>
                </a:schemeClr>
              </a:solidFill>
              <a:round/>
              <a:tailEnd type="oval"/>
            </a:ln>
            <a:effectLst/>
          </c:spPr>
          <c:marker>
            <c:symbol val="none"/>
          </c:marker>
          <c:cat>
            <c:strRef>
              <c:f>'Diagramme PAY@MCO'!$A$58:$A$63</c:f>
              <c:strCache>
                <c:ptCount val="6"/>
                <c:pt idx="0">
                  <c:v>Sprint 1_3+4</c:v>
                </c:pt>
                <c:pt idx="1">
                  <c:v>Sprint 1_5+6</c:v>
                </c:pt>
                <c:pt idx="2">
                  <c:v>Sprint 2_1+2</c:v>
                </c:pt>
                <c:pt idx="3">
                  <c:v>Sprint 2_3/4</c:v>
                </c:pt>
                <c:pt idx="4">
                  <c:v>Sprint 2_5/6</c:v>
                </c:pt>
                <c:pt idx="5">
                  <c:v>Sprint 3_1/2</c:v>
                </c:pt>
              </c:strCache>
            </c:strRef>
          </c:cat>
          <c:val>
            <c:numRef>
              <c:f>'Diagramme PAY@MCO'!$C$58:$C$63</c:f>
              <c:numCache>
                <c:formatCode>General</c:formatCode>
                <c:ptCount val="6"/>
                <c:pt idx="0">
                  <c:v>29</c:v>
                </c:pt>
                <c:pt idx="1">
                  <c:v>52</c:v>
                </c:pt>
                <c:pt idx="2">
                  <c:v>31</c:v>
                </c:pt>
                <c:pt idx="3">
                  <c:v>21</c:v>
                </c:pt>
                <c:pt idx="4">
                  <c:v>25</c:v>
                </c:pt>
                <c:pt idx="5">
                  <c:v>28</c:v>
                </c:pt>
              </c:numCache>
            </c:numRef>
          </c:val>
          <c:smooth val="0"/>
          <c:extLst>
            <c:ext xmlns:c16="http://schemas.microsoft.com/office/drawing/2014/chart" uri="{C3380CC4-5D6E-409C-BE32-E72D297353CC}">
              <c16:uniqueId val="{00000000-B107-4C1E-936D-281D646EFEB9}"/>
            </c:ext>
          </c:extLst>
        </c:ser>
        <c:ser>
          <c:idx val="1"/>
          <c:order val="1"/>
          <c:tx>
            <c:strRef>
              <c:f>'Diagramme PAY@MCO'!$D$53</c:f>
              <c:strCache>
                <c:ptCount val="1"/>
                <c:pt idx="0">
                  <c:v>  Mean Velocity (Current + 5)</c:v>
                </c:pt>
              </c:strCache>
            </c:strRef>
          </c:tx>
          <c:spPr>
            <a:ln w="38100" cap="rnd">
              <a:solidFill>
                <a:schemeClr val="accent2"/>
              </a:solidFill>
              <a:prstDash val="solid"/>
              <a:round/>
              <a:tailEnd type="none"/>
            </a:ln>
            <a:effectLst/>
          </c:spPr>
          <c:marker>
            <c:symbol val="none"/>
          </c:marker>
          <c:cat>
            <c:strRef>
              <c:f>'Diagramme PAY@MCO'!$A$58:$A$63</c:f>
              <c:strCache>
                <c:ptCount val="6"/>
                <c:pt idx="0">
                  <c:v>Sprint 1_3+4</c:v>
                </c:pt>
                <c:pt idx="1">
                  <c:v>Sprint 1_5+6</c:v>
                </c:pt>
                <c:pt idx="2">
                  <c:v>Sprint 2_1+2</c:v>
                </c:pt>
                <c:pt idx="3">
                  <c:v>Sprint 2_3/4</c:v>
                </c:pt>
                <c:pt idx="4">
                  <c:v>Sprint 2_5/6</c:v>
                </c:pt>
                <c:pt idx="5">
                  <c:v>Sprint 3_1/2</c:v>
                </c:pt>
              </c:strCache>
            </c:strRef>
          </c:cat>
          <c:val>
            <c:numRef>
              <c:f>'Diagramme PAY@MCO'!$D$58:$D$63</c:f>
              <c:numCache>
                <c:formatCode>0</c:formatCode>
                <c:ptCount val="6"/>
                <c:pt idx="0">
                  <c:v>28.75</c:v>
                </c:pt>
                <c:pt idx="1">
                  <c:v>33.4</c:v>
                </c:pt>
                <c:pt idx="2">
                  <c:v>33</c:v>
                </c:pt>
                <c:pt idx="3">
                  <c:v>33.666666666666664</c:v>
                </c:pt>
                <c:pt idx="4">
                  <c:v>33</c:v>
                </c:pt>
                <c:pt idx="5">
                  <c:v>31</c:v>
                </c:pt>
              </c:numCache>
            </c:numRef>
          </c:val>
          <c:smooth val="1"/>
          <c:extLst>
            <c:ext xmlns:c16="http://schemas.microsoft.com/office/drawing/2014/chart" uri="{C3380CC4-5D6E-409C-BE32-E72D297353CC}">
              <c16:uniqueId val="{00000001-B107-4C1E-936D-281D646EFEB9}"/>
            </c:ext>
          </c:extLst>
        </c:ser>
        <c:ser>
          <c:idx val="2"/>
          <c:order val="2"/>
          <c:tx>
            <c:strRef>
              <c:f>'Diagramme PAY@MCO'!$E$53</c:f>
              <c:strCache>
                <c:ptCount val="1"/>
                <c:pt idx="0">
                  <c:v>  95%-Success VELOCITY</c:v>
                </c:pt>
              </c:strCache>
            </c:strRef>
          </c:tx>
          <c:spPr>
            <a:ln w="88900" cap="rnd">
              <a:solidFill>
                <a:srgbClr val="92D050"/>
              </a:solidFill>
              <a:round/>
              <a:headEnd type="none" w="med" len="med"/>
              <a:tailEnd type="oval" w="sm" len="sm"/>
            </a:ln>
            <a:effectLst/>
          </c:spPr>
          <c:marker>
            <c:symbol val="none"/>
          </c:marker>
          <c:cat>
            <c:strRef>
              <c:f>'Diagramme PAY@MCO'!$A$58:$A$63</c:f>
              <c:strCache>
                <c:ptCount val="6"/>
                <c:pt idx="0">
                  <c:v>Sprint 1_3+4</c:v>
                </c:pt>
                <c:pt idx="1">
                  <c:v>Sprint 1_5+6</c:v>
                </c:pt>
                <c:pt idx="2">
                  <c:v>Sprint 2_1+2</c:v>
                </c:pt>
                <c:pt idx="3">
                  <c:v>Sprint 2_3/4</c:v>
                </c:pt>
                <c:pt idx="4">
                  <c:v>Sprint 2_5/6</c:v>
                </c:pt>
                <c:pt idx="5">
                  <c:v>Sprint 3_1/2</c:v>
                </c:pt>
              </c:strCache>
            </c:strRef>
          </c:cat>
          <c:val>
            <c:numRef>
              <c:f>'Diagramme PAY@MCO'!$E$58:$E$63</c:f>
              <c:numCache>
                <c:formatCode>0.0</c:formatCode>
                <c:ptCount val="6"/>
                <c:pt idx="0">
                  <c:v>24.344709099318703</c:v>
                </c:pt>
                <c:pt idx="1">
                  <c:v>26.854367442205117</c:v>
                </c:pt>
                <c:pt idx="2">
                  <c:v>27.056430358217344</c:v>
                </c:pt>
                <c:pt idx="3">
                  <c:v>28.290465492241808</c:v>
                </c:pt>
                <c:pt idx="4">
                  <c:v>27.362573297084534</c:v>
                </c:pt>
                <c:pt idx="5">
                  <c:v>25.565488218821493</c:v>
                </c:pt>
              </c:numCache>
            </c:numRef>
          </c:val>
          <c:smooth val="0"/>
          <c:extLst>
            <c:ext xmlns:c16="http://schemas.microsoft.com/office/drawing/2014/chart" uri="{C3380CC4-5D6E-409C-BE32-E72D297353CC}">
              <c16:uniqueId val="{00000003-72CC-4233-9E81-139585B3E9D3}"/>
            </c:ext>
          </c:extLst>
        </c:ser>
        <c:dLbls>
          <c:showLegendKey val="0"/>
          <c:showVal val="0"/>
          <c:showCatName val="0"/>
          <c:showSerName val="0"/>
          <c:showPercent val="0"/>
          <c:showBubbleSize val="0"/>
        </c:dLbls>
        <c:smooth val="0"/>
        <c:axId val="648656200"/>
        <c:axId val="648658000"/>
      </c:lineChart>
      <c:catAx>
        <c:axId val="64865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8658000"/>
        <c:crosses val="autoZero"/>
        <c:auto val="1"/>
        <c:lblAlgn val="ctr"/>
        <c:lblOffset val="100"/>
        <c:noMultiLvlLbl val="0"/>
      </c:catAx>
      <c:valAx>
        <c:axId val="648658000"/>
        <c:scaling>
          <c:orientation val="minMax"/>
          <c:max val="5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out"/>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8656200"/>
        <c:crosses val="autoZero"/>
        <c:crossBetween val="between"/>
        <c:majorUnit val="10"/>
        <c:minorUnit val="1"/>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de-DE" sz="1400" b="0" i="0" u="none" strike="noStrike" kern="1200" spc="0" baseline="0">
                <a:solidFill>
                  <a:sysClr val="windowText" lastClr="000000">
                    <a:lumMod val="65000"/>
                    <a:lumOff val="35000"/>
                  </a:sysClr>
                </a:solidFill>
              </a:rPr>
              <a:t>S.O.D.A. Chart - PAY@MCO</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de-DE"/>
        </a:p>
      </c:txPr>
    </c:title>
    <c:autoTitleDeleted val="0"/>
    <c:plotArea>
      <c:layout/>
      <c:lineChart>
        <c:grouping val="standard"/>
        <c:varyColors val="0"/>
        <c:ser>
          <c:idx val="0"/>
          <c:order val="0"/>
          <c:spPr>
            <a:ln w="28575" cap="rnd">
              <a:noFill/>
              <a:round/>
            </a:ln>
            <a:effectLst/>
          </c:spPr>
          <c:marker>
            <c:symbol val="circle"/>
            <c:size val="6"/>
            <c:spPr>
              <a:solidFill>
                <a:schemeClr val="tx2">
                  <a:lumMod val="50000"/>
                  <a:lumOff val="50000"/>
                  <a:alpha val="20000"/>
                </a:schemeClr>
              </a:solidFill>
              <a:ln w="9525">
                <a:noFill/>
              </a:ln>
              <a:effectLst/>
            </c:spPr>
          </c:marker>
          <c:cat>
            <c:strRef>
              <c:f>'Diagramme PAY@MCO'!$AA$3:$AF$3</c:f>
              <c:strCache>
                <c:ptCount val="6"/>
                <c:pt idx="0">
                  <c:v>Sprint 1_3+4</c:v>
                </c:pt>
                <c:pt idx="1">
                  <c:v>Sprint 1_5+6</c:v>
                </c:pt>
                <c:pt idx="2">
                  <c:v>Sprint 2_1+2</c:v>
                </c:pt>
                <c:pt idx="3">
                  <c:v>Sprint 2_3/4</c:v>
                </c:pt>
                <c:pt idx="4">
                  <c:v>Sprint 2_5/6</c:v>
                </c:pt>
                <c:pt idx="5">
                  <c:v>Sprint 3_1/2</c:v>
                </c:pt>
              </c:strCache>
            </c:strRef>
          </c:cat>
          <c:val>
            <c:numRef>
              <c:f>'Diagramme PAY@MCO'!$AA$4:$AF$4</c:f>
              <c:numCache>
                <c:formatCode>General</c:formatCode>
                <c:ptCount val="6"/>
                <c:pt idx="0">
                  <c:v>0</c:v>
                </c:pt>
                <c:pt idx="1">
                  <c:v>0</c:v>
                </c:pt>
                <c:pt idx="2">
                  <c:v>18</c:v>
                </c:pt>
                <c:pt idx="3">
                  <c:v>23</c:v>
                </c:pt>
                <c:pt idx="4">
                  <c:v>30</c:v>
                </c:pt>
                <c:pt idx="5">
                  <c:v>27</c:v>
                </c:pt>
              </c:numCache>
            </c:numRef>
          </c:val>
          <c:smooth val="0"/>
          <c:extLst>
            <c:ext xmlns:c16="http://schemas.microsoft.com/office/drawing/2014/chart" uri="{C3380CC4-5D6E-409C-BE32-E72D297353CC}">
              <c16:uniqueId val="{00000000-FDC8-4644-A4D6-0EE0F0A2BD01}"/>
            </c:ext>
          </c:extLst>
        </c:ser>
        <c:ser>
          <c:idx val="1"/>
          <c:order val="1"/>
          <c:spPr>
            <a:ln w="28575" cap="rnd">
              <a:noFill/>
              <a:round/>
            </a:ln>
            <a:effectLst/>
          </c:spPr>
          <c:marker>
            <c:symbol val="circle"/>
            <c:size val="10"/>
            <c:spPr>
              <a:solidFill>
                <a:schemeClr val="tx2">
                  <a:lumMod val="50000"/>
                  <a:lumOff val="50000"/>
                  <a:alpha val="30000"/>
                </a:schemeClr>
              </a:solidFill>
              <a:ln w="9525">
                <a:noFill/>
              </a:ln>
              <a:effectLst/>
            </c:spPr>
          </c:marker>
          <c:cat>
            <c:strRef>
              <c:f>'Diagramme PAY@MCO'!$AA$3:$AF$3</c:f>
              <c:strCache>
                <c:ptCount val="6"/>
                <c:pt idx="0">
                  <c:v>Sprint 1_3+4</c:v>
                </c:pt>
                <c:pt idx="1">
                  <c:v>Sprint 1_5+6</c:v>
                </c:pt>
                <c:pt idx="2">
                  <c:v>Sprint 2_1+2</c:v>
                </c:pt>
                <c:pt idx="3">
                  <c:v>Sprint 2_3/4</c:v>
                </c:pt>
                <c:pt idx="4">
                  <c:v>Sprint 2_5/6</c:v>
                </c:pt>
                <c:pt idx="5">
                  <c:v>Sprint 3_1/2</c:v>
                </c:pt>
              </c:strCache>
            </c:strRef>
          </c:cat>
          <c:val>
            <c:numRef>
              <c:f>'Diagramme PAY@MCO'!$AA$5:$AF$5</c:f>
              <c:numCache>
                <c:formatCode>General</c:formatCode>
                <c:ptCount val="6"/>
                <c:pt idx="0">
                  <c:v>0</c:v>
                </c:pt>
                <c:pt idx="1">
                  <c:v>18</c:v>
                </c:pt>
                <c:pt idx="2">
                  <c:v>23</c:v>
                </c:pt>
                <c:pt idx="3">
                  <c:v>30</c:v>
                </c:pt>
                <c:pt idx="4">
                  <c:v>27</c:v>
                </c:pt>
                <c:pt idx="5">
                  <c:v>31</c:v>
                </c:pt>
              </c:numCache>
            </c:numRef>
          </c:val>
          <c:smooth val="0"/>
          <c:extLst>
            <c:ext xmlns:c16="http://schemas.microsoft.com/office/drawing/2014/chart" uri="{C3380CC4-5D6E-409C-BE32-E72D297353CC}">
              <c16:uniqueId val="{00000001-FDC8-4644-A4D6-0EE0F0A2BD01}"/>
            </c:ext>
          </c:extLst>
        </c:ser>
        <c:ser>
          <c:idx val="2"/>
          <c:order val="2"/>
          <c:spPr>
            <a:ln w="28575" cap="rnd">
              <a:noFill/>
              <a:round/>
            </a:ln>
            <a:effectLst/>
          </c:spPr>
          <c:marker>
            <c:symbol val="circle"/>
            <c:size val="14"/>
            <c:spPr>
              <a:solidFill>
                <a:schemeClr val="tx2">
                  <a:lumMod val="50000"/>
                  <a:lumOff val="50000"/>
                  <a:alpha val="40000"/>
                </a:schemeClr>
              </a:solidFill>
              <a:ln w="9525">
                <a:noFill/>
              </a:ln>
              <a:effectLst/>
            </c:spPr>
          </c:marker>
          <c:cat>
            <c:strRef>
              <c:f>'Diagramme PAY@MCO'!$AA$3:$AF$3</c:f>
              <c:strCache>
                <c:ptCount val="6"/>
                <c:pt idx="0">
                  <c:v>Sprint 1_3+4</c:v>
                </c:pt>
                <c:pt idx="1">
                  <c:v>Sprint 1_5+6</c:v>
                </c:pt>
                <c:pt idx="2">
                  <c:v>Sprint 2_1+2</c:v>
                </c:pt>
                <c:pt idx="3">
                  <c:v>Sprint 2_3/4</c:v>
                </c:pt>
                <c:pt idx="4">
                  <c:v>Sprint 2_5/6</c:v>
                </c:pt>
                <c:pt idx="5">
                  <c:v>Sprint 3_1/2</c:v>
                </c:pt>
              </c:strCache>
            </c:strRef>
          </c:cat>
          <c:val>
            <c:numRef>
              <c:f>'Diagramme PAY@MCO'!$AA$6:$AF$6</c:f>
              <c:numCache>
                <c:formatCode>General</c:formatCode>
                <c:ptCount val="6"/>
                <c:pt idx="0">
                  <c:v>18</c:v>
                </c:pt>
                <c:pt idx="1">
                  <c:v>23</c:v>
                </c:pt>
                <c:pt idx="2">
                  <c:v>30</c:v>
                </c:pt>
                <c:pt idx="3">
                  <c:v>27</c:v>
                </c:pt>
                <c:pt idx="4">
                  <c:v>31</c:v>
                </c:pt>
                <c:pt idx="5">
                  <c:v>34</c:v>
                </c:pt>
              </c:numCache>
            </c:numRef>
          </c:val>
          <c:smooth val="0"/>
          <c:extLst>
            <c:ext xmlns:c16="http://schemas.microsoft.com/office/drawing/2014/chart" uri="{C3380CC4-5D6E-409C-BE32-E72D297353CC}">
              <c16:uniqueId val="{00000002-FDC8-4644-A4D6-0EE0F0A2BD01}"/>
            </c:ext>
          </c:extLst>
        </c:ser>
        <c:ser>
          <c:idx val="3"/>
          <c:order val="3"/>
          <c:spPr>
            <a:ln w="28575" cap="rnd">
              <a:noFill/>
              <a:round/>
            </a:ln>
            <a:effectLst/>
          </c:spPr>
          <c:marker>
            <c:symbol val="circle"/>
            <c:size val="18"/>
            <c:spPr>
              <a:solidFill>
                <a:schemeClr val="tx2">
                  <a:lumMod val="50000"/>
                  <a:lumOff val="50000"/>
                  <a:alpha val="50000"/>
                </a:schemeClr>
              </a:solidFill>
              <a:ln w="9525">
                <a:noFill/>
              </a:ln>
              <a:effectLst/>
            </c:spPr>
          </c:marker>
          <c:cat>
            <c:strRef>
              <c:f>'Diagramme PAY@MCO'!$AA$3:$AF$3</c:f>
              <c:strCache>
                <c:ptCount val="6"/>
                <c:pt idx="0">
                  <c:v>Sprint 1_3+4</c:v>
                </c:pt>
                <c:pt idx="1">
                  <c:v>Sprint 1_5+6</c:v>
                </c:pt>
                <c:pt idx="2">
                  <c:v>Sprint 2_1+2</c:v>
                </c:pt>
                <c:pt idx="3">
                  <c:v>Sprint 2_3/4</c:v>
                </c:pt>
                <c:pt idx="4">
                  <c:v>Sprint 2_5/6</c:v>
                </c:pt>
                <c:pt idx="5">
                  <c:v>Sprint 3_1/2</c:v>
                </c:pt>
              </c:strCache>
            </c:strRef>
          </c:cat>
          <c:val>
            <c:numRef>
              <c:f>'Diagramme PAY@MCO'!$AA$7:$AF$7</c:f>
              <c:numCache>
                <c:formatCode>General</c:formatCode>
                <c:ptCount val="6"/>
                <c:pt idx="0">
                  <c:v>23</c:v>
                </c:pt>
                <c:pt idx="1">
                  <c:v>30</c:v>
                </c:pt>
                <c:pt idx="2">
                  <c:v>27</c:v>
                </c:pt>
                <c:pt idx="3">
                  <c:v>31</c:v>
                </c:pt>
                <c:pt idx="4">
                  <c:v>34</c:v>
                </c:pt>
                <c:pt idx="5">
                  <c:v>20</c:v>
                </c:pt>
              </c:numCache>
            </c:numRef>
          </c:val>
          <c:smooth val="0"/>
          <c:extLst>
            <c:ext xmlns:c16="http://schemas.microsoft.com/office/drawing/2014/chart" uri="{C3380CC4-5D6E-409C-BE32-E72D297353CC}">
              <c16:uniqueId val="{00000003-FDC8-4644-A4D6-0EE0F0A2BD01}"/>
            </c:ext>
          </c:extLst>
        </c:ser>
        <c:ser>
          <c:idx val="4"/>
          <c:order val="4"/>
          <c:spPr>
            <a:ln w="28575" cap="rnd">
              <a:noFill/>
              <a:round/>
            </a:ln>
            <a:effectLst/>
          </c:spPr>
          <c:marker>
            <c:symbol val="circle"/>
            <c:size val="22"/>
            <c:spPr>
              <a:solidFill>
                <a:schemeClr val="tx2">
                  <a:lumMod val="50000"/>
                  <a:lumOff val="50000"/>
                  <a:alpha val="60000"/>
                </a:schemeClr>
              </a:solidFill>
              <a:ln w="9525">
                <a:noFill/>
              </a:ln>
              <a:effectLst/>
            </c:spPr>
          </c:marker>
          <c:cat>
            <c:strRef>
              <c:f>'Diagramme PAY@MCO'!$AA$3:$AF$3</c:f>
              <c:strCache>
                <c:ptCount val="6"/>
                <c:pt idx="0">
                  <c:v>Sprint 1_3+4</c:v>
                </c:pt>
                <c:pt idx="1">
                  <c:v>Sprint 1_5+6</c:v>
                </c:pt>
                <c:pt idx="2">
                  <c:v>Sprint 2_1+2</c:v>
                </c:pt>
                <c:pt idx="3">
                  <c:v>Sprint 2_3/4</c:v>
                </c:pt>
                <c:pt idx="4">
                  <c:v>Sprint 2_5/6</c:v>
                </c:pt>
                <c:pt idx="5">
                  <c:v>Sprint 3_1/2</c:v>
                </c:pt>
              </c:strCache>
            </c:strRef>
          </c:cat>
          <c:val>
            <c:numRef>
              <c:f>'Diagramme PAY@MCO'!$AA$8:$AF$8</c:f>
              <c:numCache>
                <c:formatCode>General</c:formatCode>
                <c:ptCount val="6"/>
                <c:pt idx="0">
                  <c:v>30</c:v>
                </c:pt>
                <c:pt idx="1">
                  <c:v>27</c:v>
                </c:pt>
                <c:pt idx="2">
                  <c:v>31</c:v>
                </c:pt>
                <c:pt idx="3">
                  <c:v>34</c:v>
                </c:pt>
                <c:pt idx="4">
                  <c:v>20</c:v>
                </c:pt>
                <c:pt idx="5">
                  <c:v>26</c:v>
                </c:pt>
              </c:numCache>
            </c:numRef>
          </c:val>
          <c:smooth val="0"/>
          <c:extLst>
            <c:ext xmlns:c16="http://schemas.microsoft.com/office/drawing/2014/chart" uri="{C3380CC4-5D6E-409C-BE32-E72D297353CC}">
              <c16:uniqueId val="{00000004-FDC8-4644-A4D6-0EE0F0A2BD01}"/>
            </c:ext>
          </c:extLst>
        </c:ser>
        <c:ser>
          <c:idx val="5"/>
          <c:order val="5"/>
          <c:spPr>
            <a:ln w="28575" cap="rnd">
              <a:solidFill>
                <a:schemeClr val="tx2">
                  <a:lumMod val="50000"/>
                  <a:lumOff val="50000"/>
                </a:schemeClr>
              </a:solidFill>
              <a:prstDash val="sysDot"/>
              <a:round/>
            </a:ln>
            <a:effectLst/>
          </c:spPr>
          <c:marker>
            <c:symbol val="circle"/>
            <c:size val="26"/>
            <c:spPr>
              <a:solidFill>
                <a:schemeClr val="tx2">
                  <a:lumMod val="50000"/>
                  <a:lumOff val="50000"/>
                  <a:alpha val="80000"/>
                </a:schemeClr>
              </a:solidFill>
              <a:ln w="9525">
                <a:noFill/>
                <a:prstDash val="sysDot"/>
              </a:ln>
              <a:effectLst/>
            </c:spPr>
          </c:marker>
          <c:cat>
            <c:strRef>
              <c:f>'Diagramme PAY@MCO'!$AA$3:$AF$3</c:f>
              <c:strCache>
                <c:ptCount val="6"/>
                <c:pt idx="0">
                  <c:v>Sprint 1_3+4</c:v>
                </c:pt>
                <c:pt idx="1">
                  <c:v>Sprint 1_5+6</c:v>
                </c:pt>
                <c:pt idx="2">
                  <c:v>Sprint 2_1+2</c:v>
                </c:pt>
                <c:pt idx="3">
                  <c:v>Sprint 2_3/4</c:v>
                </c:pt>
                <c:pt idx="4">
                  <c:v>Sprint 2_5/6</c:v>
                </c:pt>
                <c:pt idx="5">
                  <c:v>Sprint 3_1/2</c:v>
                </c:pt>
              </c:strCache>
            </c:strRef>
          </c:cat>
          <c:val>
            <c:numRef>
              <c:f>'Diagramme PAY@MCO'!$AA$9:$AF$9</c:f>
              <c:numCache>
                <c:formatCode>General</c:formatCode>
                <c:ptCount val="6"/>
                <c:pt idx="0">
                  <c:v>27</c:v>
                </c:pt>
                <c:pt idx="1">
                  <c:v>31</c:v>
                </c:pt>
                <c:pt idx="2">
                  <c:v>34</c:v>
                </c:pt>
                <c:pt idx="3">
                  <c:v>20</c:v>
                </c:pt>
                <c:pt idx="4">
                  <c:v>26</c:v>
                </c:pt>
                <c:pt idx="5">
                  <c:v>26</c:v>
                </c:pt>
              </c:numCache>
            </c:numRef>
          </c:val>
          <c:smooth val="1"/>
          <c:extLst>
            <c:ext xmlns:c16="http://schemas.microsoft.com/office/drawing/2014/chart" uri="{C3380CC4-5D6E-409C-BE32-E72D297353CC}">
              <c16:uniqueId val="{00000005-FDC8-4644-A4D6-0EE0F0A2BD01}"/>
            </c:ext>
          </c:extLst>
        </c:ser>
        <c:dLbls>
          <c:showLegendKey val="0"/>
          <c:showVal val="0"/>
          <c:showCatName val="0"/>
          <c:showSerName val="0"/>
          <c:showPercent val="0"/>
          <c:showBubbleSize val="0"/>
        </c:dLbls>
        <c:marker val="1"/>
        <c:smooth val="0"/>
        <c:axId val="606671304"/>
        <c:axId val="606672744"/>
      </c:lineChart>
      <c:lineChart>
        <c:grouping val="standard"/>
        <c:varyColors val="0"/>
        <c:ser>
          <c:idx val="6"/>
          <c:order val="6"/>
          <c:spPr>
            <a:ln w="25400" cap="rnd">
              <a:noFill/>
              <a:round/>
            </a:ln>
            <a:effectLst/>
          </c:spPr>
          <c:marker>
            <c:symbol val="circle"/>
            <c:size val="15"/>
            <c:spPr>
              <a:solidFill>
                <a:schemeClr val="bg1"/>
              </a:solidFill>
              <a:ln w="12700">
                <a:solidFill>
                  <a:schemeClr val="tx2">
                    <a:lumMod val="50000"/>
                    <a:lumOff val="50000"/>
                  </a:schemeClr>
                </a:solidFill>
              </a:ln>
              <a:effectLst/>
            </c:spPr>
          </c:marker>
          <c:cat>
            <c:strRef>
              <c:f>'Diagramme PAY@MCO'!$AA$3:$AF$3</c:f>
              <c:strCache>
                <c:ptCount val="6"/>
                <c:pt idx="0">
                  <c:v>Sprint 1_3+4</c:v>
                </c:pt>
                <c:pt idx="1">
                  <c:v>Sprint 1_5+6</c:v>
                </c:pt>
                <c:pt idx="2">
                  <c:v>Sprint 2_1+2</c:v>
                </c:pt>
                <c:pt idx="3">
                  <c:v>Sprint 2_3/4</c:v>
                </c:pt>
                <c:pt idx="4">
                  <c:v>Sprint 2_5/6</c:v>
                </c:pt>
                <c:pt idx="5">
                  <c:v>Sprint 3_1/2</c:v>
                </c:pt>
              </c:strCache>
            </c:strRef>
          </c:cat>
          <c:val>
            <c:numRef>
              <c:f>'Diagramme PAY@MCO'!$AA$10:$AF$10</c:f>
              <c:numCache>
                <c:formatCode>General</c:formatCode>
                <c:ptCount val="6"/>
                <c:pt idx="0">
                  <c:v>2</c:v>
                </c:pt>
                <c:pt idx="1">
                  <c:v>1</c:v>
                </c:pt>
                <c:pt idx="2">
                  <c:v>1</c:v>
                </c:pt>
                <c:pt idx="3">
                  <c:v>6</c:v>
                </c:pt>
                <c:pt idx="4">
                  <c:v>5</c:v>
                </c:pt>
                <c:pt idx="5">
                  <c:v>4</c:v>
                </c:pt>
              </c:numCache>
            </c:numRef>
          </c:val>
          <c:smooth val="0"/>
          <c:extLst>
            <c:ext xmlns:c16="http://schemas.microsoft.com/office/drawing/2014/chart" uri="{C3380CC4-5D6E-409C-BE32-E72D297353CC}">
              <c16:uniqueId val="{00000000-C6EF-42E8-AC09-0E1D8022B2B7}"/>
            </c:ext>
          </c:extLst>
        </c:ser>
        <c:dLbls>
          <c:showLegendKey val="0"/>
          <c:showVal val="0"/>
          <c:showCatName val="0"/>
          <c:showSerName val="0"/>
          <c:showPercent val="0"/>
          <c:showBubbleSize val="0"/>
        </c:dLbls>
        <c:marker val="1"/>
        <c:smooth val="0"/>
        <c:axId val="594987984"/>
        <c:axId val="594989424"/>
      </c:lineChart>
      <c:catAx>
        <c:axId val="606671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6672744"/>
        <c:crosses val="autoZero"/>
        <c:auto val="1"/>
        <c:lblAlgn val="ctr"/>
        <c:lblOffset val="100"/>
        <c:noMultiLvlLbl val="0"/>
      </c:catAx>
      <c:valAx>
        <c:axId val="606672744"/>
        <c:scaling>
          <c:orientation val="minMax"/>
          <c:max val="50"/>
          <c:min val="0"/>
        </c:scaling>
        <c:delete val="0"/>
        <c:axPos val="l"/>
        <c:majorGridlines>
          <c:spPr>
            <a:ln w="25400" cap="flat" cmpd="sng" algn="ctr">
              <a:solidFill>
                <a:schemeClr val="tx2">
                  <a:lumMod val="10000"/>
                  <a:lumOff val="90000"/>
                </a:schemeClr>
              </a:solidFill>
              <a:prstDash val="sysDot"/>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kern="1200" baseline="0">
                    <a:solidFill>
                      <a:sysClr val="windowText" lastClr="000000">
                        <a:lumMod val="65000"/>
                        <a:lumOff val="35000"/>
                      </a:sysClr>
                    </a:solidFill>
                  </a:rPr>
                  <a:t>IDL Sprint Velocities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2">
                    <a:lumMod val="50000"/>
                    <a:lumOff val="50000"/>
                  </a:schemeClr>
                </a:solidFill>
                <a:latin typeface="+mn-lt"/>
                <a:ea typeface="+mn-ea"/>
                <a:cs typeface="+mn-cs"/>
              </a:defRPr>
            </a:pPr>
            <a:endParaRPr lang="de-DE"/>
          </a:p>
        </c:txPr>
        <c:crossAx val="606671304"/>
        <c:crosses val="autoZero"/>
        <c:crossBetween val="between"/>
        <c:majorUnit val="10"/>
        <c:minorUnit val="2"/>
      </c:valAx>
      <c:valAx>
        <c:axId val="594989424"/>
        <c:scaling>
          <c:orientation val="maxMin"/>
          <c:max val="6"/>
          <c:min val="1"/>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ln w="3175">
                  <a:solidFill>
                    <a:schemeClr val="tx2">
                      <a:lumMod val="50000"/>
                      <a:lumOff val="50000"/>
                    </a:schemeClr>
                  </a:solidFill>
                </a:ln>
                <a:solidFill>
                  <a:schemeClr val="bg1"/>
                </a:solidFill>
                <a:latin typeface="+mn-lt"/>
                <a:ea typeface="+mn-ea"/>
                <a:cs typeface="+mn-cs"/>
              </a:defRPr>
            </a:pPr>
            <a:endParaRPr lang="de-DE"/>
          </a:p>
        </c:txPr>
        <c:crossAx val="594987984"/>
        <c:crosses val="max"/>
        <c:crossBetween val="between"/>
        <c:majorUnit val="1"/>
      </c:valAx>
      <c:catAx>
        <c:axId val="594987984"/>
        <c:scaling>
          <c:orientation val="minMax"/>
        </c:scaling>
        <c:delete val="1"/>
        <c:axPos val="t"/>
        <c:numFmt formatCode="General" sourceLinked="1"/>
        <c:majorTickMark val="out"/>
        <c:minorTickMark val="none"/>
        <c:tickLblPos val="nextTo"/>
        <c:crossAx val="594989424"/>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R.A.I.N.B.O.W. Chart - PAY@MCO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percentStacked"/>
        <c:varyColors val="0"/>
        <c:ser>
          <c:idx val="1"/>
          <c:order val="1"/>
          <c:tx>
            <c:strRef>
              <c:f>'Diagramme PAY@MCO'!$AQ$31</c:f>
              <c:strCache>
                <c:ptCount val="1"/>
              </c:strCache>
            </c:strRef>
          </c:tx>
          <c:spPr>
            <a:solidFill>
              <a:srgbClr val="FF0000"/>
            </a:solidFill>
            <a:ln>
              <a:noFill/>
            </a:ln>
            <a:effectLst/>
          </c:spPr>
          <c:invertIfNegative val="0"/>
          <c:cat>
            <c:strRef>
              <c:f>'Diagramme PAY@MCO'!$AO$32:$AO$37</c:f>
              <c:strCache>
                <c:ptCount val="6"/>
                <c:pt idx="0">
                  <c:v>Sprint 1_3+4</c:v>
                </c:pt>
                <c:pt idx="1">
                  <c:v>Sprint 1_5+6</c:v>
                </c:pt>
                <c:pt idx="2">
                  <c:v>Sprint 2_1+2</c:v>
                </c:pt>
                <c:pt idx="3">
                  <c:v>Sprint 2_3/4</c:v>
                </c:pt>
                <c:pt idx="4">
                  <c:v>Sprint 2_5/6</c:v>
                </c:pt>
                <c:pt idx="5">
                  <c:v>Sprint 3_1/2</c:v>
                </c:pt>
              </c:strCache>
            </c:strRef>
          </c:cat>
          <c:val>
            <c:numRef>
              <c:f>'Diagramme PAY@MCO'!$AQ$32:$AQ$37</c:f>
              <c:numCache>
                <c:formatCode>0</c:formatCode>
                <c:ptCount val="6"/>
                <c:pt idx="0">
                  <c:v>1</c:v>
                </c:pt>
              </c:numCache>
            </c:numRef>
          </c:val>
          <c:extLst>
            <c:ext xmlns:c16="http://schemas.microsoft.com/office/drawing/2014/chart" uri="{C3380CC4-5D6E-409C-BE32-E72D297353CC}">
              <c16:uniqueId val="{00000000-C3B7-47DB-B27E-EA10B5F7EF1F}"/>
            </c:ext>
          </c:extLst>
        </c:ser>
        <c:ser>
          <c:idx val="2"/>
          <c:order val="2"/>
          <c:tx>
            <c:strRef>
              <c:f>'Diagramme PAY@MCO'!$AR$31</c:f>
              <c:strCache>
                <c:ptCount val="1"/>
              </c:strCache>
            </c:strRef>
          </c:tx>
          <c:spPr>
            <a:solidFill>
              <a:srgbClr val="FFFF00"/>
            </a:solidFill>
            <a:ln>
              <a:noFill/>
            </a:ln>
            <a:effectLst/>
          </c:spPr>
          <c:invertIfNegative val="0"/>
          <c:cat>
            <c:strRef>
              <c:f>'Diagramme PAY@MCO'!$AO$32:$AO$37</c:f>
              <c:strCache>
                <c:ptCount val="6"/>
                <c:pt idx="0">
                  <c:v>Sprint 1_3+4</c:v>
                </c:pt>
                <c:pt idx="1">
                  <c:v>Sprint 1_5+6</c:v>
                </c:pt>
                <c:pt idx="2">
                  <c:v>Sprint 2_1+2</c:v>
                </c:pt>
                <c:pt idx="3">
                  <c:v>Sprint 2_3/4</c:v>
                </c:pt>
                <c:pt idx="4">
                  <c:v>Sprint 2_5/6</c:v>
                </c:pt>
                <c:pt idx="5">
                  <c:v>Sprint 3_1/2</c:v>
                </c:pt>
              </c:strCache>
            </c:strRef>
          </c:cat>
          <c:val>
            <c:numRef>
              <c:f>'Diagramme PAY@MCO'!$AR$32:$AR$37</c:f>
              <c:numCache>
                <c:formatCode>0</c:formatCode>
                <c:ptCount val="6"/>
                <c:pt idx="1">
                  <c:v>1</c:v>
                </c:pt>
              </c:numCache>
            </c:numRef>
          </c:val>
          <c:extLst>
            <c:ext xmlns:c16="http://schemas.microsoft.com/office/drawing/2014/chart" uri="{C3380CC4-5D6E-409C-BE32-E72D297353CC}">
              <c16:uniqueId val="{00000001-C3B7-47DB-B27E-EA10B5F7EF1F}"/>
            </c:ext>
          </c:extLst>
        </c:ser>
        <c:ser>
          <c:idx val="3"/>
          <c:order val="3"/>
          <c:tx>
            <c:strRef>
              <c:f>'Diagramme PAY@MCO'!$AS$31</c:f>
              <c:strCache>
                <c:ptCount val="1"/>
              </c:strCache>
            </c:strRef>
          </c:tx>
          <c:spPr>
            <a:solidFill>
              <a:srgbClr val="92D050"/>
            </a:solidFill>
            <a:ln>
              <a:noFill/>
            </a:ln>
            <a:effectLst/>
          </c:spPr>
          <c:invertIfNegative val="0"/>
          <c:cat>
            <c:strRef>
              <c:f>'Diagramme PAY@MCO'!$AO$32:$AO$37</c:f>
              <c:strCache>
                <c:ptCount val="6"/>
                <c:pt idx="0">
                  <c:v>Sprint 1_3+4</c:v>
                </c:pt>
                <c:pt idx="1">
                  <c:v>Sprint 1_5+6</c:v>
                </c:pt>
                <c:pt idx="2">
                  <c:v>Sprint 2_1+2</c:v>
                </c:pt>
                <c:pt idx="3">
                  <c:v>Sprint 2_3/4</c:v>
                </c:pt>
                <c:pt idx="4">
                  <c:v>Sprint 2_5/6</c:v>
                </c:pt>
                <c:pt idx="5">
                  <c:v>Sprint 3_1/2</c:v>
                </c:pt>
              </c:strCache>
            </c:strRef>
          </c:cat>
          <c:val>
            <c:numRef>
              <c:f>'Diagramme PAY@MCO'!$AS$32:$AS$37</c:f>
              <c:numCache>
                <c:formatCode>0</c:formatCode>
                <c:ptCount val="6"/>
                <c:pt idx="2">
                  <c:v>1</c:v>
                </c:pt>
              </c:numCache>
            </c:numRef>
          </c:val>
          <c:extLst>
            <c:ext xmlns:c16="http://schemas.microsoft.com/office/drawing/2014/chart" uri="{C3380CC4-5D6E-409C-BE32-E72D297353CC}">
              <c16:uniqueId val="{00000002-C3B7-47DB-B27E-EA10B5F7EF1F}"/>
            </c:ext>
          </c:extLst>
        </c:ser>
        <c:ser>
          <c:idx val="4"/>
          <c:order val="4"/>
          <c:tx>
            <c:strRef>
              <c:f>'Diagramme PAY@MCO'!$AT$31</c:f>
              <c:strCache>
                <c:ptCount val="1"/>
              </c:strCache>
            </c:strRef>
          </c:tx>
          <c:spPr>
            <a:solidFill>
              <a:srgbClr val="00B050"/>
            </a:solidFill>
            <a:ln>
              <a:noFill/>
            </a:ln>
            <a:effectLst/>
          </c:spPr>
          <c:invertIfNegative val="0"/>
          <c:cat>
            <c:strRef>
              <c:f>'Diagramme PAY@MCO'!$AO$32:$AO$37</c:f>
              <c:strCache>
                <c:ptCount val="6"/>
                <c:pt idx="0">
                  <c:v>Sprint 1_3+4</c:v>
                </c:pt>
                <c:pt idx="1">
                  <c:v>Sprint 1_5+6</c:v>
                </c:pt>
                <c:pt idx="2">
                  <c:v>Sprint 2_1+2</c:v>
                </c:pt>
                <c:pt idx="3">
                  <c:v>Sprint 2_3/4</c:v>
                </c:pt>
                <c:pt idx="4">
                  <c:v>Sprint 2_5/6</c:v>
                </c:pt>
                <c:pt idx="5">
                  <c:v>Sprint 3_1/2</c:v>
                </c:pt>
              </c:strCache>
            </c:strRef>
          </c:cat>
          <c:val>
            <c:numRef>
              <c:f>'Diagramme PAY@MCO'!$AT$32:$AT$37</c:f>
              <c:numCache>
                <c:formatCode>0</c:formatCode>
                <c:ptCount val="6"/>
                <c:pt idx="3">
                  <c:v>1</c:v>
                </c:pt>
              </c:numCache>
            </c:numRef>
          </c:val>
          <c:extLst>
            <c:ext xmlns:c16="http://schemas.microsoft.com/office/drawing/2014/chart" uri="{C3380CC4-5D6E-409C-BE32-E72D297353CC}">
              <c16:uniqueId val="{00000003-C3B7-47DB-B27E-EA10B5F7EF1F}"/>
            </c:ext>
          </c:extLst>
        </c:ser>
        <c:ser>
          <c:idx val="5"/>
          <c:order val="5"/>
          <c:tx>
            <c:strRef>
              <c:f>'Diagramme PAY@MCO'!$AU$31</c:f>
              <c:strCache>
                <c:ptCount val="1"/>
              </c:strCache>
            </c:strRef>
          </c:tx>
          <c:spPr>
            <a:solidFill>
              <a:srgbClr val="92D050"/>
            </a:solidFill>
            <a:ln>
              <a:noFill/>
            </a:ln>
            <a:effectLst/>
          </c:spPr>
          <c:invertIfNegative val="0"/>
          <c:cat>
            <c:strRef>
              <c:f>'Diagramme PAY@MCO'!$AO$32:$AO$37</c:f>
              <c:strCache>
                <c:ptCount val="6"/>
                <c:pt idx="0">
                  <c:v>Sprint 1_3+4</c:v>
                </c:pt>
                <c:pt idx="1">
                  <c:v>Sprint 1_5+6</c:v>
                </c:pt>
                <c:pt idx="2">
                  <c:v>Sprint 2_1+2</c:v>
                </c:pt>
                <c:pt idx="3">
                  <c:v>Sprint 2_3/4</c:v>
                </c:pt>
                <c:pt idx="4">
                  <c:v>Sprint 2_5/6</c:v>
                </c:pt>
                <c:pt idx="5">
                  <c:v>Sprint 3_1/2</c:v>
                </c:pt>
              </c:strCache>
            </c:strRef>
          </c:cat>
          <c:val>
            <c:numRef>
              <c:f>'Diagramme PAY@MCO'!$AU$32:$AU$37</c:f>
              <c:numCache>
                <c:formatCode>0</c:formatCode>
                <c:ptCount val="6"/>
                <c:pt idx="4">
                  <c:v>1</c:v>
                </c:pt>
              </c:numCache>
            </c:numRef>
          </c:val>
          <c:extLst>
            <c:ext xmlns:c16="http://schemas.microsoft.com/office/drawing/2014/chart" uri="{C3380CC4-5D6E-409C-BE32-E72D297353CC}">
              <c16:uniqueId val="{00000004-C3B7-47DB-B27E-EA10B5F7EF1F}"/>
            </c:ext>
          </c:extLst>
        </c:ser>
        <c:ser>
          <c:idx val="6"/>
          <c:order val="6"/>
          <c:tx>
            <c:strRef>
              <c:f>'Diagramme PAY@MCO'!$AV$31</c:f>
              <c:strCache>
                <c:ptCount val="1"/>
              </c:strCache>
            </c:strRef>
          </c:tx>
          <c:spPr>
            <a:solidFill>
              <a:srgbClr val="00B0F0"/>
            </a:solidFill>
            <a:ln>
              <a:noFill/>
            </a:ln>
            <a:effectLst/>
          </c:spPr>
          <c:invertIfNegative val="0"/>
          <c:cat>
            <c:strRef>
              <c:f>'Diagramme PAY@MCO'!$AO$32:$AO$37</c:f>
              <c:strCache>
                <c:ptCount val="6"/>
                <c:pt idx="0">
                  <c:v>Sprint 1_3+4</c:v>
                </c:pt>
                <c:pt idx="1">
                  <c:v>Sprint 1_5+6</c:v>
                </c:pt>
                <c:pt idx="2">
                  <c:v>Sprint 2_1+2</c:v>
                </c:pt>
                <c:pt idx="3">
                  <c:v>Sprint 2_3/4</c:v>
                </c:pt>
                <c:pt idx="4">
                  <c:v>Sprint 2_5/6</c:v>
                </c:pt>
                <c:pt idx="5">
                  <c:v>Sprint 3_1/2</c:v>
                </c:pt>
              </c:strCache>
            </c:strRef>
          </c:cat>
          <c:val>
            <c:numRef>
              <c:f>'Diagramme PAY@MCO'!$AV$32:$AV$37</c:f>
              <c:numCache>
                <c:formatCode>0</c:formatCode>
                <c:ptCount val="6"/>
                <c:pt idx="5">
                  <c:v>1</c:v>
                </c:pt>
              </c:numCache>
            </c:numRef>
          </c:val>
          <c:extLst>
            <c:ext xmlns:c16="http://schemas.microsoft.com/office/drawing/2014/chart" uri="{C3380CC4-5D6E-409C-BE32-E72D297353CC}">
              <c16:uniqueId val="{00000005-C3B7-47DB-B27E-EA10B5F7EF1F}"/>
            </c:ext>
          </c:extLst>
        </c:ser>
        <c:dLbls>
          <c:showLegendKey val="0"/>
          <c:showVal val="0"/>
          <c:showCatName val="0"/>
          <c:showSerName val="0"/>
          <c:showPercent val="0"/>
          <c:showBubbleSize val="0"/>
        </c:dLbls>
        <c:gapWidth val="0"/>
        <c:overlap val="100"/>
        <c:axId val="688668568"/>
        <c:axId val="539995816"/>
      </c:barChart>
      <c:lineChart>
        <c:grouping val="standard"/>
        <c:varyColors val="0"/>
        <c:ser>
          <c:idx val="0"/>
          <c:order val="0"/>
          <c:tx>
            <c:strRef>
              <c:f>'Diagramme PAY@MCO'!$AP$31</c:f>
              <c:strCache>
                <c:ptCount val="1"/>
                <c:pt idx="0">
                  <c:v>Velocity</c:v>
                </c:pt>
              </c:strCache>
            </c:strRef>
          </c:tx>
          <c:spPr>
            <a:ln w="57150" cap="rnd">
              <a:solidFill>
                <a:schemeClr val="tx1"/>
              </a:solidFill>
              <a:round/>
            </a:ln>
            <a:effectLst/>
          </c:spPr>
          <c:marker>
            <c:symbol val="circle"/>
            <c:size val="10"/>
            <c:spPr>
              <a:solidFill>
                <a:schemeClr val="tx1"/>
              </a:solidFill>
              <a:ln w="57150">
                <a:noFill/>
              </a:ln>
              <a:effectLst/>
            </c:spPr>
          </c:marker>
          <c:cat>
            <c:strRef>
              <c:f>'Diagramme PAY@MCO'!$AO$32:$AO$37</c:f>
              <c:strCache>
                <c:ptCount val="6"/>
                <c:pt idx="0">
                  <c:v>Sprint 1_3+4</c:v>
                </c:pt>
                <c:pt idx="1">
                  <c:v>Sprint 1_5+6</c:v>
                </c:pt>
                <c:pt idx="2">
                  <c:v>Sprint 2_1+2</c:v>
                </c:pt>
                <c:pt idx="3">
                  <c:v>Sprint 2_3/4</c:v>
                </c:pt>
                <c:pt idx="4">
                  <c:v>Sprint 2_5/6</c:v>
                </c:pt>
                <c:pt idx="5">
                  <c:v>Sprint 3_1/2</c:v>
                </c:pt>
              </c:strCache>
            </c:strRef>
          </c:cat>
          <c:val>
            <c:numRef>
              <c:f>'Diagramme PAY@MCO'!$AP$32:$AP$37</c:f>
              <c:numCache>
                <c:formatCode>0</c:formatCode>
                <c:ptCount val="6"/>
                <c:pt idx="0">
                  <c:v>36.772854614785963</c:v>
                </c:pt>
                <c:pt idx="1">
                  <c:v>44.444444444444443</c:v>
                </c:pt>
                <c:pt idx="2">
                  <c:v>50.080483222562471</c:v>
                </c:pt>
                <c:pt idx="3">
                  <c:v>-12</c:v>
                </c:pt>
                <c:pt idx="4">
                  <c:v>26.186149643017629</c:v>
                </c:pt>
                <c:pt idx="5">
                  <c:v>26.70382873456392</c:v>
                </c:pt>
              </c:numCache>
            </c:numRef>
          </c:val>
          <c:smooth val="0"/>
          <c:extLst>
            <c:ext xmlns:c16="http://schemas.microsoft.com/office/drawing/2014/chart" uri="{C3380CC4-5D6E-409C-BE32-E72D297353CC}">
              <c16:uniqueId val="{00000000-B7A5-4B53-8628-F7D20D90409C}"/>
            </c:ext>
          </c:extLst>
        </c:ser>
        <c:dLbls>
          <c:showLegendKey val="0"/>
          <c:showVal val="0"/>
          <c:showCatName val="0"/>
          <c:showSerName val="0"/>
          <c:showPercent val="0"/>
          <c:showBubbleSize val="0"/>
        </c:dLbls>
        <c:marker val="1"/>
        <c:smooth val="0"/>
        <c:axId val="415374600"/>
        <c:axId val="415376400"/>
      </c:lineChart>
      <c:catAx>
        <c:axId val="415374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15376400"/>
        <c:crosses val="autoZero"/>
        <c:auto val="1"/>
        <c:lblAlgn val="ctr"/>
        <c:lblOffset val="100"/>
        <c:noMultiLvlLbl val="0"/>
      </c:catAx>
      <c:valAx>
        <c:axId val="415376400"/>
        <c:scaling>
          <c:orientation val="minMax"/>
          <c:max val="60"/>
          <c:min val="0"/>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415374600"/>
        <c:crosses val="autoZero"/>
        <c:crossBetween val="between"/>
      </c:valAx>
      <c:valAx>
        <c:axId val="539995816"/>
        <c:scaling>
          <c:orientation val="minMax"/>
        </c:scaling>
        <c:delete val="1"/>
        <c:axPos val="t"/>
        <c:numFmt formatCode="0%" sourceLinked="1"/>
        <c:majorTickMark val="out"/>
        <c:minorTickMark val="none"/>
        <c:tickLblPos val="nextTo"/>
        <c:crossAx val="688668568"/>
        <c:crosses val="max"/>
        <c:crossBetween val="between"/>
      </c:valAx>
      <c:catAx>
        <c:axId val="688668568"/>
        <c:scaling>
          <c:orientation val="minMax"/>
        </c:scaling>
        <c:delete val="1"/>
        <c:axPos val="l"/>
        <c:numFmt formatCode="General" sourceLinked="1"/>
        <c:majorTickMark val="out"/>
        <c:minorTickMark val="none"/>
        <c:tickLblPos val="nextTo"/>
        <c:crossAx val="539995816"/>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R.E.A.L. KPI - PAY@MCO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cked"/>
        <c:varyColors val="0"/>
        <c:ser>
          <c:idx val="0"/>
          <c:order val="0"/>
          <c:tx>
            <c:strRef>
              <c:f>'Diagramme PAY@MCO'!$AR$43</c:f>
              <c:strCache>
                <c:ptCount val="1"/>
                <c:pt idx="0">
                  <c:v>Real KPI</c:v>
                </c:pt>
              </c:strCache>
            </c:strRef>
          </c:tx>
          <c:spPr>
            <a:ln w="28575" cap="rnd">
              <a:solidFill>
                <a:schemeClr val="accent1"/>
              </a:solidFill>
              <a:round/>
            </a:ln>
            <a:effectLst/>
          </c:spPr>
          <c:marker>
            <c:symbol val="none"/>
          </c:marker>
          <c:cat>
            <c:strRef>
              <c:f>'Diagramme PAY@MCO'!$AO$45:$AO$50</c:f>
              <c:strCache>
                <c:ptCount val="6"/>
                <c:pt idx="0">
                  <c:v>Sprint 1_3+4</c:v>
                </c:pt>
                <c:pt idx="1">
                  <c:v>Sprint 1_5+6</c:v>
                </c:pt>
                <c:pt idx="2">
                  <c:v>Sprint 2_1+2</c:v>
                </c:pt>
                <c:pt idx="3">
                  <c:v>Sprint 2_3/4</c:v>
                </c:pt>
                <c:pt idx="4">
                  <c:v>Sprint 2_5/6</c:v>
                </c:pt>
                <c:pt idx="5">
                  <c:v>Sprint 3_1/2</c:v>
                </c:pt>
              </c:strCache>
            </c:strRef>
          </c:cat>
          <c:val>
            <c:numRef>
              <c:f>'Diagramme PAY@MCO'!$AR$45:$AR$50</c:f>
              <c:numCache>
                <c:formatCode>0%</c:formatCode>
                <c:ptCount val="6"/>
                <c:pt idx="0">
                  <c:v>0.85714285714285721</c:v>
                </c:pt>
                <c:pt idx="1">
                  <c:v>1</c:v>
                </c:pt>
                <c:pt idx="2">
                  <c:v>1</c:v>
                </c:pt>
                <c:pt idx="3">
                  <c:v>0</c:v>
                </c:pt>
                <c:pt idx="4">
                  <c:v>1</c:v>
                </c:pt>
                <c:pt idx="5">
                  <c:v>0.7142857142857143</c:v>
                </c:pt>
              </c:numCache>
            </c:numRef>
          </c:val>
          <c:smooth val="0"/>
          <c:extLst>
            <c:ext xmlns:c16="http://schemas.microsoft.com/office/drawing/2014/chart" uri="{C3380CC4-5D6E-409C-BE32-E72D297353CC}">
              <c16:uniqueId val="{00000000-4CF4-4B7F-9E21-EAD584E42829}"/>
            </c:ext>
          </c:extLst>
        </c:ser>
        <c:dLbls>
          <c:showLegendKey val="0"/>
          <c:showVal val="0"/>
          <c:showCatName val="0"/>
          <c:showSerName val="0"/>
          <c:showPercent val="0"/>
          <c:showBubbleSize val="0"/>
        </c:dLbls>
        <c:smooth val="0"/>
        <c:axId val="409069400"/>
        <c:axId val="409067240"/>
      </c:lineChart>
      <c:catAx>
        <c:axId val="409069400"/>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9067240"/>
        <c:crosses val="autoZero"/>
        <c:auto val="1"/>
        <c:lblAlgn val="ctr"/>
        <c:lblOffset val="0"/>
        <c:noMultiLvlLbl val="0"/>
      </c:catAx>
      <c:valAx>
        <c:axId val="409067240"/>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9069400"/>
        <c:crosses val="autoZero"/>
        <c:crossBetween val="between"/>
        <c:majorUnit val="0.25"/>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V.A.L.E. Chart - PAY@MCO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2"/>
          <c:order val="2"/>
          <c:tx>
            <c:strRef>
              <c:f>'Diagramme PAY@MCO'!$E$28</c:f>
              <c:strCache>
                <c:ptCount val="1"/>
                <c:pt idx="0">
                  <c:v>  RZ: Alarming</c:v>
                </c:pt>
              </c:strCache>
            </c:strRef>
          </c:tx>
          <c:spPr>
            <a:solidFill>
              <a:srgbClr val="EE0000">
                <a:alpha val="70000"/>
              </a:srgbClr>
            </a:solidFill>
            <a:ln>
              <a:solidFill>
                <a:schemeClr val="tx1"/>
              </a:solidFill>
            </a:ln>
            <a:effectLst/>
          </c:spPr>
          <c:invertIfNegative val="0"/>
          <c:cat>
            <c:strRef>
              <c:f>'Diagramme PAY@MCO'!$A$33:$A$38</c:f>
              <c:strCache>
                <c:ptCount val="6"/>
                <c:pt idx="0">
                  <c:v>Sprint 1_3+4</c:v>
                </c:pt>
                <c:pt idx="1">
                  <c:v>Sprint 1_5+6</c:v>
                </c:pt>
                <c:pt idx="2">
                  <c:v>Sprint 2_1+2</c:v>
                </c:pt>
                <c:pt idx="3">
                  <c:v>Sprint 2_3/4</c:v>
                </c:pt>
                <c:pt idx="4">
                  <c:v>Sprint 2_5/6</c:v>
                </c:pt>
                <c:pt idx="5">
                  <c:v>Sprint 3_1/2</c:v>
                </c:pt>
              </c:strCache>
            </c:strRef>
          </c:cat>
          <c:val>
            <c:numRef>
              <c:f>'Diagramme PAY@MCO'!$E$33:$E$38</c:f>
              <c:numCache>
                <c:formatCode>0</c:formatCode>
                <c:ptCount val="6"/>
                <c:pt idx="0">
                  <c:v>13.823451293177735</c:v>
                </c:pt>
                <c:pt idx="1">
                  <c:v>15.5</c:v>
                </c:pt>
                <c:pt idx="2">
                  <c:v>21.525050201005634</c:v>
                </c:pt>
                <c:pt idx="3">
                  <c:v>25.5</c:v>
                </c:pt>
                <c:pt idx="4">
                  <c:v>17.511911518298483</c:v>
                </c:pt>
                <c:pt idx="5">
                  <c:v>17.131619709202347</c:v>
                </c:pt>
              </c:numCache>
            </c:numRef>
          </c:val>
          <c:extLst>
            <c:ext xmlns:c16="http://schemas.microsoft.com/office/drawing/2014/chart" uri="{C3380CC4-5D6E-409C-BE32-E72D297353CC}">
              <c16:uniqueId val="{00000000-A44B-420B-B04D-1B63C01CD3E3}"/>
            </c:ext>
          </c:extLst>
        </c:ser>
        <c:ser>
          <c:idx val="3"/>
          <c:order val="3"/>
          <c:tx>
            <c:strRef>
              <c:f>'Diagramme PAY@MCO'!$F$28</c:f>
              <c:strCache>
                <c:ptCount val="1"/>
                <c:pt idx="0">
                  <c:v>  RZ: Concerning</c:v>
                </c:pt>
              </c:strCache>
            </c:strRef>
          </c:tx>
          <c:spPr>
            <a:solidFill>
              <a:srgbClr val="FFFF00">
                <a:alpha val="70000"/>
              </a:srgbClr>
            </a:solidFill>
            <a:ln>
              <a:solidFill>
                <a:schemeClr val="tx1"/>
              </a:solidFill>
            </a:ln>
            <a:effectLst/>
          </c:spPr>
          <c:invertIfNegative val="0"/>
          <c:cat>
            <c:strRef>
              <c:f>'Diagramme PAY@MCO'!$A$33:$A$38</c:f>
              <c:strCache>
                <c:ptCount val="6"/>
                <c:pt idx="0">
                  <c:v>Sprint 1_3+4</c:v>
                </c:pt>
                <c:pt idx="1">
                  <c:v>Sprint 1_5+6</c:v>
                </c:pt>
                <c:pt idx="2">
                  <c:v>Sprint 2_1+2</c:v>
                </c:pt>
                <c:pt idx="3">
                  <c:v>Sprint 2_3/4</c:v>
                </c:pt>
                <c:pt idx="4">
                  <c:v>Sprint 2_5/6</c:v>
                </c:pt>
                <c:pt idx="5">
                  <c:v>Sprint 3_1/2</c:v>
                </c:pt>
              </c:strCache>
            </c:strRef>
          </c:cat>
          <c:val>
            <c:numRef>
              <c:f>'Diagramme PAY@MCO'!$F$33:$F$38</c:f>
              <c:numCache>
                <c:formatCode>0</c:formatCode>
                <c:ptCount val="6"/>
                <c:pt idx="0">
                  <c:v>4.9216076867444665</c:v>
                </c:pt>
                <c:pt idx="1">
                  <c:v>4.5</c:v>
                </c:pt>
                <c:pt idx="2">
                  <c:v>3.1124748994971831</c:v>
                </c:pt>
                <c:pt idx="3">
                  <c:v>2.5</c:v>
                </c:pt>
                <c:pt idx="4">
                  <c:v>5.2440442408507577</c:v>
                </c:pt>
                <c:pt idx="5">
                  <c:v>5.3091901453988255</c:v>
                </c:pt>
              </c:numCache>
            </c:numRef>
          </c:val>
          <c:extLst>
            <c:ext xmlns:c16="http://schemas.microsoft.com/office/drawing/2014/chart" uri="{C3380CC4-5D6E-409C-BE32-E72D297353CC}">
              <c16:uniqueId val="{00000001-A44B-420B-B04D-1B63C01CD3E3}"/>
            </c:ext>
          </c:extLst>
        </c:ser>
        <c:ser>
          <c:idx val="4"/>
          <c:order val="4"/>
          <c:tx>
            <c:strRef>
              <c:f>'Diagramme PAY@MCO'!$G$28</c:f>
              <c:strCache>
                <c:ptCount val="1"/>
                <c:pt idx="0">
                  <c:v>  RZ: Healthy</c:v>
                </c:pt>
              </c:strCache>
            </c:strRef>
          </c:tx>
          <c:spPr>
            <a:solidFill>
              <a:srgbClr val="92D050">
                <a:alpha val="70000"/>
              </a:srgbClr>
            </a:solidFill>
            <a:ln>
              <a:solidFill>
                <a:schemeClr val="tx1"/>
              </a:solidFill>
            </a:ln>
            <a:effectLst/>
          </c:spPr>
          <c:invertIfNegative val="0"/>
          <c:cat>
            <c:strRef>
              <c:f>'Diagramme PAY@MCO'!$A$33:$A$38</c:f>
              <c:strCache>
                <c:ptCount val="6"/>
                <c:pt idx="0">
                  <c:v>Sprint 1_3+4</c:v>
                </c:pt>
                <c:pt idx="1">
                  <c:v>Sprint 1_5+6</c:v>
                </c:pt>
                <c:pt idx="2">
                  <c:v>Sprint 2_1+2</c:v>
                </c:pt>
                <c:pt idx="3">
                  <c:v>Sprint 2_3/4</c:v>
                </c:pt>
                <c:pt idx="4">
                  <c:v>Sprint 2_5/6</c:v>
                </c:pt>
                <c:pt idx="5">
                  <c:v>Sprint 3_1/2</c:v>
                </c:pt>
              </c:strCache>
            </c:strRef>
          </c:cat>
          <c:val>
            <c:numRef>
              <c:f>'Diagramme PAY@MCO'!$G$33:$G$38</c:f>
              <c:numCache>
                <c:formatCode>0</c:formatCode>
                <c:ptCount val="6"/>
                <c:pt idx="0">
                  <c:v>4.9216076867444665</c:v>
                </c:pt>
                <c:pt idx="1">
                  <c:v>4.5</c:v>
                </c:pt>
                <c:pt idx="2">
                  <c:v>3.1124748994971831</c:v>
                </c:pt>
                <c:pt idx="3">
                  <c:v>2.5</c:v>
                </c:pt>
                <c:pt idx="4">
                  <c:v>5.2440442408507577</c:v>
                </c:pt>
                <c:pt idx="5">
                  <c:v>5.3091901453988255</c:v>
                </c:pt>
              </c:numCache>
            </c:numRef>
          </c:val>
          <c:extLst>
            <c:ext xmlns:c16="http://schemas.microsoft.com/office/drawing/2014/chart" uri="{C3380CC4-5D6E-409C-BE32-E72D297353CC}">
              <c16:uniqueId val="{00000002-A44B-420B-B04D-1B63C01CD3E3}"/>
            </c:ext>
          </c:extLst>
        </c:ser>
        <c:ser>
          <c:idx val="5"/>
          <c:order val="5"/>
          <c:tx>
            <c:strRef>
              <c:f>'Diagramme PAY@MCO'!$H$28</c:f>
              <c:strCache>
                <c:ptCount val="1"/>
                <c:pt idx="0">
                  <c:v>  RZ: Spot-On</c:v>
                </c:pt>
              </c:strCache>
            </c:strRef>
          </c:tx>
          <c:spPr>
            <a:solidFill>
              <a:srgbClr val="00B050">
                <a:alpha val="70000"/>
              </a:srgbClr>
            </a:solidFill>
            <a:ln>
              <a:solidFill>
                <a:schemeClr val="tx1"/>
              </a:solidFill>
            </a:ln>
            <a:effectLst/>
          </c:spPr>
          <c:invertIfNegative val="0"/>
          <c:cat>
            <c:strRef>
              <c:f>'Diagramme PAY@MCO'!$A$33:$A$38</c:f>
              <c:strCache>
                <c:ptCount val="6"/>
                <c:pt idx="0">
                  <c:v>Sprint 1_3+4</c:v>
                </c:pt>
                <c:pt idx="1">
                  <c:v>Sprint 1_5+6</c:v>
                </c:pt>
                <c:pt idx="2">
                  <c:v>Sprint 2_1+2</c:v>
                </c:pt>
                <c:pt idx="3">
                  <c:v>Sprint 2_3/4</c:v>
                </c:pt>
                <c:pt idx="4">
                  <c:v>Sprint 2_5/6</c:v>
                </c:pt>
                <c:pt idx="5">
                  <c:v>Sprint 3_1/2</c:v>
                </c:pt>
              </c:strCache>
            </c:strRef>
          </c:cat>
          <c:val>
            <c:numRef>
              <c:f>'Diagramme PAY@MCO'!$H$33:$H$38</c:f>
              <c:numCache>
                <c:formatCode>0</c:formatCode>
                <c:ptCount val="6"/>
                <c:pt idx="0">
                  <c:v>4.9216076867444665</c:v>
                </c:pt>
                <c:pt idx="1">
                  <c:v>4.5</c:v>
                </c:pt>
                <c:pt idx="2">
                  <c:v>3.1124748994971831</c:v>
                </c:pt>
                <c:pt idx="3">
                  <c:v>2.5</c:v>
                </c:pt>
                <c:pt idx="4">
                  <c:v>5.2440442408507577</c:v>
                </c:pt>
                <c:pt idx="5">
                  <c:v>5.3091901453988255</c:v>
                </c:pt>
              </c:numCache>
            </c:numRef>
          </c:val>
          <c:extLst>
            <c:ext xmlns:c16="http://schemas.microsoft.com/office/drawing/2014/chart" uri="{C3380CC4-5D6E-409C-BE32-E72D297353CC}">
              <c16:uniqueId val="{00000003-A44B-420B-B04D-1B63C01CD3E3}"/>
            </c:ext>
          </c:extLst>
        </c:ser>
        <c:ser>
          <c:idx val="6"/>
          <c:order val="6"/>
          <c:tx>
            <c:strRef>
              <c:f>'Diagramme PAY@MCO'!$I$28</c:f>
              <c:strCache>
                <c:ptCount val="1"/>
                <c:pt idx="0">
                  <c:v>  RZ: Lively</c:v>
                </c:pt>
              </c:strCache>
            </c:strRef>
          </c:tx>
          <c:spPr>
            <a:solidFill>
              <a:srgbClr val="92D050">
                <a:alpha val="69804"/>
              </a:srgbClr>
            </a:solidFill>
            <a:ln>
              <a:solidFill>
                <a:schemeClr val="tx1"/>
              </a:solidFill>
            </a:ln>
            <a:effectLst/>
          </c:spPr>
          <c:invertIfNegative val="0"/>
          <c:cat>
            <c:strRef>
              <c:f>'Diagramme PAY@MCO'!$A$33:$A$38</c:f>
              <c:strCache>
                <c:ptCount val="6"/>
                <c:pt idx="0">
                  <c:v>Sprint 1_3+4</c:v>
                </c:pt>
                <c:pt idx="1">
                  <c:v>Sprint 1_5+6</c:v>
                </c:pt>
                <c:pt idx="2">
                  <c:v>Sprint 2_1+2</c:v>
                </c:pt>
                <c:pt idx="3">
                  <c:v>Sprint 2_3/4</c:v>
                </c:pt>
                <c:pt idx="4">
                  <c:v>Sprint 2_5/6</c:v>
                </c:pt>
                <c:pt idx="5">
                  <c:v>Sprint 3_1/2</c:v>
                </c:pt>
              </c:strCache>
            </c:strRef>
          </c:cat>
          <c:val>
            <c:numRef>
              <c:f>'Diagramme PAY@MCO'!$I$33:$I$38</c:f>
              <c:numCache>
                <c:formatCode>0</c:formatCode>
                <c:ptCount val="6"/>
                <c:pt idx="0">
                  <c:v>4.9216076867444665</c:v>
                </c:pt>
                <c:pt idx="1">
                  <c:v>4.5</c:v>
                </c:pt>
                <c:pt idx="2">
                  <c:v>3.1124748994971831</c:v>
                </c:pt>
                <c:pt idx="3">
                  <c:v>2.5</c:v>
                </c:pt>
                <c:pt idx="4">
                  <c:v>5.2440442408507577</c:v>
                </c:pt>
                <c:pt idx="5">
                  <c:v>5.3091901453988255</c:v>
                </c:pt>
              </c:numCache>
            </c:numRef>
          </c:val>
          <c:extLst>
            <c:ext xmlns:c16="http://schemas.microsoft.com/office/drawing/2014/chart" uri="{C3380CC4-5D6E-409C-BE32-E72D297353CC}">
              <c16:uniqueId val="{00000004-A44B-420B-B04D-1B63C01CD3E3}"/>
            </c:ext>
          </c:extLst>
        </c:ser>
        <c:ser>
          <c:idx val="7"/>
          <c:order val="7"/>
          <c:tx>
            <c:strRef>
              <c:f>'Diagramme PAY@MCO'!$J$28</c:f>
              <c:strCache>
                <c:ptCount val="1"/>
                <c:pt idx="0">
                  <c:v>  RZ: Bloated</c:v>
                </c:pt>
              </c:strCache>
            </c:strRef>
          </c:tx>
          <c:spPr>
            <a:solidFill>
              <a:srgbClr val="00B0F0">
                <a:alpha val="69804"/>
              </a:srgbClr>
            </a:solidFill>
            <a:ln>
              <a:solidFill>
                <a:schemeClr val="tx1"/>
              </a:solidFill>
            </a:ln>
            <a:effectLst/>
          </c:spPr>
          <c:invertIfNegative val="0"/>
          <c:cat>
            <c:strRef>
              <c:f>'Diagramme PAY@MCO'!$A$33:$A$38</c:f>
              <c:strCache>
                <c:ptCount val="6"/>
                <c:pt idx="0">
                  <c:v>Sprint 1_3+4</c:v>
                </c:pt>
                <c:pt idx="1">
                  <c:v>Sprint 1_5+6</c:v>
                </c:pt>
                <c:pt idx="2">
                  <c:v>Sprint 2_1+2</c:v>
                </c:pt>
                <c:pt idx="3">
                  <c:v>Sprint 2_3/4</c:v>
                </c:pt>
                <c:pt idx="4">
                  <c:v>Sprint 2_5/6</c:v>
                </c:pt>
                <c:pt idx="5">
                  <c:v>Sprint 3_1/2</c:v>
                </c:pt>
              </c:strCache>
            </c:strRef>
          </c:cat>
          <c:val>
            <c:numRef>
              <c:f>'Diagramme PAY@MCO'!$J$33:$J$38</c:f>
              <c:numCache>
                <c:formatCode>0</c:formatCode>
                <c:ptCount val="6"/>
                <c:pt idx="0">
                  <c:v>166.49011795984438</c:v>
                </c:pt>
                <c:pt idx="1">
                  <c:v>166.5</c:v>
                </c:pt>
                <c:pt idx="2">
                  <c:v>166.02505020100563</c:v>
                </c:pt>
                <c:pt idx="3">
                  <c:v>164.5</c:v>
                </c:pt>
                <c:pt idx="4">
                  <c:v>161.51191151829849</c:v>
                </c:pt>
                <c:pt idx="5">
                  <c:v>161.63161970920237</c:v>
                </c:pt>
              </c:numCache>
            </c:numRef>
          </c:val>
          <c:extLst>
            <c:ext xmlns:c16="http://schemas.microsoft.com/office/drawing/2014/chart" uri="{C3380CC4-5D6E-409C-BE32-E72D297353CC}">
              <c16:uniqueId val="{00000005-A44B-420B-B04D-1B63C01CD3E3}"/>
            </c:ext>
          </c:extLst>
        </c:ser>
        <c:dLbls>
          <c:showLegendKey val="0"/>
          <c:showVal val="0"/>
          <c:showCatName val="0"/>
          <c:showSerName val="0"/>
          <c:showPercent val="0"/>
          <c:showBubbleSize val="0"/>
        </c:dLbls>
        <c:gapWidth val="150"/>
        <c:overlap val="100"/>
        <c:axId val="561396128"/>
        <c:axId val="561396848"/>
      </c:barChart>
      <c:lineChart>
        <c:grouping val="standard"/>
        <c:varyColors val="0"/>
        <c:ser>
          <c:idx val="0"/>
          <c:order val="0"/>
          <c:tx>
            <c:strRef>
              <c:f>'Diagramme PAY@MCO'!$C$28</c:f>
              <c:strCache>
                <c:ptCount val="1"/>
                <c:pt idx="0">
                  <c:v>  Average Velocity</c:v>
                </c:pt>
              </c:strCache>
            </c:strRef>
          </c:tx>
          <c:spPr>
            <a:ln w="38100" cap="rnd">
              <a:solidFill>
                <a:schemeClr val="tx1"/>
              </a:solidFill>
              <a:prstDash val="sysDash"/>
              <a:round/>
            </a:ln>
            <a:effectLst/>
          </c:spPr>
          <c:marker>
            <c:symbol val="none"/>
          </c:marker>
          <c:cat>
            <c:strRef>
              <c:f>'Diagramme PAY@MCO'!$A$33:$A$38</c:f>
              <c:strCache>
                <c:ptCount val="6"/>
                <c:pt idx="0">
                  <c:v>Sprint 1_3+4</c:v>
                </c:pt>
                <c:pt idx="1">
                  <c:v>Sprint 1_5+6</c:v>
                </c:pt>
                <c:pt idx="2">
                  <c:v>Sprint 2_1+2</c:v>
                </c:pt>
                <c:pt idx="3">
                  <c:v>Sprint 2_3/4</c:v>
                </c:pt>
                <c:pt idx="4">
                  <c:v>Sprint 2_5/6</c:v>
                </c:pt>
                <c:pt idx="5">
                  <c:v>Sprint 3_1/2</c:v>
                </c:pt>
              </c:strCache>
            </c:strRef>
          </c:cat>
          <c:val>
            <c:numRef>
              <c:f>'Diagramme PAY@MCO'!$C$33:$C$38</c:f>
              <c:numCache>
                <c:formatCode>0</c:formatCode>
                <c:ptCount val="6"/>
                <c:pt idx="0">
                  <c:v>23.666666666666668</c:v>
                </c:pt>
                <c:pt idx="1">
                  <c:v>24.5</c:v>
                </c:pt>
                <c:pt idx="2">
                  <c:v>27.75</c:v>
                </c:pt>
                <c:pt idx="3">
                  <c:v>30.5</c:v>
                </c:pt>
                <c:pt idx="4">
                  <c:v>28</c:v>
                </c:pt>
                <c:pt idx="5">
                  <c:v>27.75</c:v>
                </c:pt>
              </c:numCache>
            </c:numRef>
          </c:val>
          <c:smooth val="1"/>
          <c:extLst>
            <c:ext xmlns:c16="http://schemas.microsoft.com/office/drawing/2014/chart" uri="{C3380CC4-5D6E-409C-BE32-E72D297353CC}">
              <c16:uniqueId val="{00000006-A44B-420B-B04D-1B63C01CD3E3}"/>
            </c:ext>
          </c:extLst>
        </c:ser>
        <c:ser>
          <c:idx val="1"/>
          <c:order val="1"/>
          <c:tx>
            <c:strRef>
              <c:f>'Diagramme PAY@MCO'!$D$28</c:f>
              <c:strCache>
                <c:ptCount val="1"/>
                <c:pt idx="0">
                  <c:v>  IDL Sprint Velocity</c:v>
                </c:pt>
              </c:strCache>
            </c:strRef>
          </c:tx>
          <c:spPr>
            <a:ln w="88900" cap="rnd" cmpd="sng">
              <a:solidFill>
                <a:schemeClr val="tx1"/>
              </a:solidFill>
              <a:round/>
              <a:headEnd type="none" w="med" len="med"/>
              <a:tailEnd type="oval" w="sm" len="sm"/>
            </a:ln>
            <a:effectLst/>
          </c:spPr>
          <c:marker>
            <c:symbol val="circle"/>
            <c:size val="10"/>
            <c:spPr>
              <a:solidFill>
                <a:schemeClr val="tx1"/>
              </a:solidFill>
              <a:ln w="9525">
                <a:noFill/>
              </a:ln>
              <a:effectLst/>
            </c:spPr>
          </c:marker>
          <c:cat>
            <c:strRef>
              <c:f>'Diagramme PAY@MCO'!$A$33:$A$38</c:f>
              <c:strCache>
                <c:ptCount val="6"/>
                <c:pt idx="0">
                  <c:v>Sprint 1_3+4</c:v>
                </c:pt>
                <c:pt idx="1">
                  <c:v>Sprint 1_5+6</c:v>
                </c:pt>
                <c:pt idx="2">
                  <c:v>Sprint 2_1+2</c:v>
                </c:pt>
                <c:pt idx="3">
                  <c:v>Sprint 2_3/4</c:v>
                </c:pt>
                <c:pt idx="4">
                  <c:v>Sprint 2_5/6</c:v>
                </c:pt>
                <c:pt idx="5">
                  <c:v>Sprint 3_1/2</c:v>
                </c:pt>
              </c:strCache>
            </c:strRef>
          </c:cat>
          <c:val>
            <c:numRef>
              <c:f>'Diagramme PAY@MCO'!$D$33:$D$38</c:f>
              <c:numCache>
                <c:formatCode>General</c:formatCode>
                <c:ptCount val="6"/>
                <c:pt idx="0">
                  <c:v>27</c:v>
                </c:pt>
                <c:pt idx="1">
                  <c:v>31</c:v>
                </c:pt>
                <c:pt idx="2">
                  <c:v>34</c:v>
                </c:pt>
                <c:pt idx="3">
                  <c:v>20</c:v>
                </c:pt>
                <c:pt idx="4">
                  <c:v>26</c:v>
                </c:pt>
                <c:pt idx="5">
                  <c:v>26</c:v>
                </c:pt>
              </c:numCache>
            </c:numRef>
          </c:val>
          <c:smooth val="0"/>
          <c:extLst>
            <c:ext xmlns:c16="http://schemas.microsoft.com/office/drawing/2014/chart" uri="{C3380CC4-5D6E-409C-BE32-E72D297353CC}">
              <c16:uniqueId val="{00000007-A44B-420B-B04D-1B63C01CD3E3}"/>
            </c:ext>
          </c:extLst>
        </c:ser>
        <c:dLbls>
          <c:showLegendKey val="0"/>
          <c:showVal val="0"/>
          <c:showCatName val="0"/>
          <c:showSerName val="0"/>
          <c:showPercent val="0"/>
          <c:showBubbleSize val="0"/>
        </c:dLbls>
        <c:marker val="1"/>
        <c:smooth val="0"/>
        <c:axId val="561396128"/>
        <c:axId val="561396848"/>
      </c:lineChart>
      <c:catAx>
        <c:axId val="561396128"/>
        <c:scaling>
          <c:orientation val="minMax"/>
        </c:scaling>
        <c:delete val="0"/>
        <c:axPos val="b"/>
        <c:title>
          <c:tx>
            <c:rich>
              <a:bodyPr rot="0" spcFirstLastPara="1" vertOverflow="ellipsis" vert="horz" wrap="square" anchor="ctr" anchorCtr="1"/>
              <a:lstStyle/>
              <a:p>
                <a:pPr algn="l">
                  <a:defRPr sz="1400" b="0" i="0" u="none" strike="noStrike" kern="1200" baseline="0">
                    <a:solidFill>
                      <a:schemeClr val="tx1">
                        <a:lumMod val="65000"/>
                        <a:lumOff val="35000"/>
                      </a:schemeClr>
                    </a:solidFill>
                    <a:latin typeface="+mn-lt"/>
                    <a:ea typeface="+mn-ea"/>
                    <a:cs typeface="+mn-cs"/>
                  </a:defRPr>
                </a:pPr>
                <a:r>
                  <a:rPr lang="de-DE" sz="1200" b="0" i="0" u="none" strike="noStrike" baseline="0"/>
                  <a:t>Position and size of each Sprint's </a:t>
                </a:r>
                <a:r>
                  <a:rPr lang="de-DE" sz="1200" b="1" i="0" u="none" strike="noStrike" baseline="0"/>
                  <a:t>Rating Zones (RZ) </a:t>
                </a:r>
                <a:r>
                  <a:rPr lang="de-DE" sz="1200" b="0" i="0" u="none" strike="noStrike" baseline="0"/>
                  <a:t>are determined by the average and standard deviation of its </a:t>
                </a:r>
                <a:r>
                  <a:rPr lang="de-DE" sz="1200" b="0" i="0" u="none" strike="noStrike" kern="1200" baseline="0">
                    <a:solidFill>
                      <a:sysClr val="windowText" lastClr="000000">
                        <a:lumMod val="65000"/>
                        <a:lumOff val="35000"/>
                      </a:sysClr>
                    </a:solidFill>
                  </a:rPr>
                  <a:t>4 preceding</a:t>
                </a:r>
              </a:p>
              <a:p>
                <a:pPr algn="l">
                  <a:defRPr sz="1400"/>
                </a:pPr>
                <a:r>
                  <a:rPr lang="de-DE" sz="1200" b="0" i="0" u="none" strike="noStrike" kern="1200" baseline="0">
                    <a:solidFill>
                      <a:sysClr val="windowText" lastClr="000000">
                        <a:lumMod val="65000"/>
                        <a:lumOff val="35000"/>
                      </a:sysClr>
                    </a:solidFill>
                  </a:rPr>
                  <a:t>Sprints' </a:t>
                </a:r>
                <a:r>
                  <a:rPr lang="de-DE" sz="1200" b="0" i="0" u="none" strike="noStrike" baseline="0"/>
                  <a:t>IDL Velocities (which factor in the residual scope of carry-overs and the partial accomplishment of spill-overs)</a:t>
                </a:r>
                <a:endParaRPr lang="de-DE" sz="1200"/>
              </a:p>
            </c:rich>
          </c:tx>
          <c:layout>
            <c:manualLayout>
              <c:xMode val="edge"/>
              <c:yMode val="edge"/>
              <c:x val="0.25161974206349208"/>
              <c:y val="0.90104583333333332"/>
            </c:manualLayout>
          </c:layout>
          <c:overlay val="0"/>
          <c:spPr>
            <a:solidFill>
              <a:schemeClr val="bg1">
                <a:lumMod val="95000"/>
              </a:schemeClr>
            </a:solidFill>
            <a:ln>
              <a:noFill/>
            </a:ln>
            <a:effectLst/>
          </c:spPr>
          <c:txPr>
            <a:bodyPr rot="0" spcFirstLastPara="1" vertOverflow="ellipsis" vert="horz" wrap="square" anchor="ctr" anchorCtr="1"/>
            <a:lstStyle/>
            <a:p>
              <a:pPr algn="l">
                <a:defRPr sz="14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1396848"/>
        <c:crosses val="autoZero"/>
        <c:auto val="1"/>
        <c:lblAlgn val="ctr"/>
        <c:lblOffset val="100"/>
        <c:noMultiLvlLbl val="0"/>
      </c:catAx>
      <c:valAx>
        <c:axId val="561396848"/>
        <c:scaling>
          <c:orientation val="minMax"/>
          <c:max val="50"/>
          <c:min val="0"/>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Velocity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out"/>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1396128"/>
        <c:crosses val="autoZero"/>
        <c:crossBetween val="between"/>
        <c:majorUnit val="10"/>
        <c:minorUnit val="2"/>
      </c:valAx>
      <c:spPr>
        <a:noFill/>
        <a:ln>
          <a:noFill/>
        </a:ln>
        <a:effectLst/>
      </c:spPr>
    </c:plotArea>
    <c:legend>
      <c:legendPos val="l"/>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12</xdr:col>
      <xdr:colOff>249011</xdr:colOff>
      <xdr:row>27</xdr:row>
      <xdr:rowOff>79374</xdr:rowOff>
    </xdr:from>
    <xdr:to>
      <xdr:col>25</xdr:col>
      <xdr:colOff>423011</xdr:colOff>
      <xdr:row>53</xdr:row>
      <xdr:rowOff>166374</xdr:rowOff>
    </xdr:to>
    <xdr:graphicFrame macro="">
      <xdr:nvGraphicFramePr>
        <xdr:cNvPr id="2" name="Diagramm 1">
          <a:extLst>
            <a:ext uri="{FF2B5EF4-FFF2-40B4-BE49-F238E27FC236}">
              <a16:creationId xmlns:a16="http://schemas.microsoft.com/office/drawing/2014/main" id="{5C920AB5-508B-456E-AEFB-0B786C477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254000</xdr:colOff>
      <xdr:row>54</xdr:row>
      <xdr:rowOff>88899</xdr:rowOff>
    </xdr:from>
    <xdr:to>
      <xdr:col>25</xdr:col>
      <xdr:colOff>428000</xdr:colOff>
      <xdr:row>80</xdr:row>
      <xdr:rowOff>175899</xdr:rowOff>
    </xdr:to>
    <xdr:graphicFrame macro="">
      <xdr:nvGraphicFramePr>
        <xdr:cNvPr id="3" name="Diagramm 2">
          <a:extLst>
            <a:ext uri="{FF2B5EF4-FFF2-40B4-BE49-F238E27FC236}">
              <a16:creationId xmlns:a16="http://schemas.microsoft.com/office/drawing/2014/main" id="{86886812-A996-4359-9013-7A14AED50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235250</xdr:colOff>
      <xdr:row>0</xdr:row>
      <xdr:rowOff>121859</xdr:rowOff>
    </xdr:from>
    <xdr:to>
      <xdr:col>25</xdr:col>
      <xdr:colOff>409250</xdr:colOff>
      <xdr:row>27</xdr:row>
      <xdr:rowOff>18359</xdr:rowOff>
    </xdr:to>
    <xdr:graphicFrame macro="">
      <xdr:nvGraphicFramePr>
        <xdr:cNvPr id="4" name="Diagramm 3">
          <a:extLst>
            <a:ext uri="{FF2B5EF4-FFF2-40B4-BE49-F238E27FC236}">
              <a16:creationId xmlns:a16="http://schemas.microsoft.com/office/drawing/2014/main" id="{49B23C31-FFA3-4B07-8C6D-3CE1403B3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237107</xdr:colOff>
      <xdr:row>27</xdr:row>
      <xdr:rowOff>91281</xdr:rowOff>
    </xdr:from>
    <xdr:to>
      <xdr:col>25</xdr:col>
      <xdr:colOff>411107</xdr:colOff>
      <xdr:row>53</xdr:row>
      <xdr:rowOff>178281</xdr:rowOff>
    </xdr:to>
    <xdr:graphicFrame macro="">
      <xdr:nvGraphicFramePr>
        <xdr:cNvPr id="3" name="Diagramm 2">
          <a:extLst>
            <a:ext uri="{FF2B5EF4-FFF2-40B4-BE49-F238E27FC236}">
              <a16:creationId xmlns:a16="http://schemas.microsoft.com/office/drawing/2014/main" id="{3F4D5B21-CCE9-4D96-84E1-FC259D256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254000</xdr:colOff>
      <xdr:row>54</xdr:row>
      <xdr:rowOff>88899</xdr:rowOff>
    </xdr:from>
    <xdr:to>
      <xdr:col>25</xdr:col>
      <xdr:colOff>428000</xdr:colOff>
      <xdr:row>80</xdr:row>
      <xdr:rowOff>175899</xdr:rowOff>
    </xdr:to>
    <xdr:graphicFrame macro="">
      <xdr:nvGraphicFramePr>
        <xdr:cNvPr id="9" name="Diagramm 8">
          <a:extLst>
            <a:ext uri="{FF2B5EF4-FFF2-40B4-BE49-F238E27FC236}">
              <a16:creationId xmlns:a16="http://schemas.microsoft.com/office/drawing/2014/main" id="{E90F7A32-64BF-2293-DC69-DC93C5F0B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235250</xdr:colOff>
      <xdr:row>0</xdr:row>
      <xdr:rowOff>121859</xdr:rowOff>
    </xdr:from>
    <xdr:to>
      <xdr:col>25</xdr:col>
      <xdr:colOff>409250</xdr:colOff>
      <xdr:row>27</xdr:row>
      <xdr:rowOff>18359</xdr:rowOff>
    </xdr:to>
    <xdr:graphicFrame macro="">
      <xdr:nvGraphicFramePr>
        <xdr:cNvPr id="5" name="Diagramm 4">
          <a:extLst>
            <a:ext uri="{FF2B5EF4-FFF2-40B4-BE49-F238E27FC236}">
              <a16:creationId xmlns:a16="http://schemas.microsoft.com/office/drawing/2014/main" id="{2A67385F-4B3F-6B95-E91D-66573736B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698215</xdr:colOff>
      <xdr:row>27</xdr:row>
      <xdr:rowOff>127568</xdr:rowOff>
    </xdr:from>
    <xdr:to>
      <xdr:col>39</xdr:col>
      <xdr:colOff>110215</xdr:colOff>
      <xdr:row>54</xdr:row>
      <xdr:rowOff>24068</xdr:rowOff>
    </xdr:to>
    <xdr:graphicFrame macro="">
      <xdr:nvGraphicFramePr>
        <xdr:cNvPr id="2" name="Diagramm 1">
          <a:extLst>
            <a:ext uri="{FF2B5EF4-FFF2-40B4-BE49-F238E27FC236}">
              <a16:creationId xmlns:a16="http://schemas.microsoft.com/office/drawing/2014/main" id="{1A1FBC76-25E5-5572-8D33-900E3829C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720328</xdr:colOff>
      <xdr:row>0</xdr:row>
      <xdr:rowOff>122633</xdr:rowOff>
    </xdr:from>
    <xdr:to>
      <xdr:col>39</xdr:col>
      <xdr:colOff>132328</xdr:colOff>
      <xdr:row>27</xdr:row>
      <xdr:rowOff>19133</xdr:rowOff>
    </xdr:to>
    <xdr:graphicFrame macro="">
      <xdr:nvGraphicFramePr>
        <xdr:cNvPr id="8" name="Diagramm 7">
          <a:extLst>
            <a:ext uri="{FF2B5EF4-FFF2-40B4-BE49-F238E27FC236}">
              <a16:creationId xmlns:a16="http://schemas.microsoft.com/office/drawing/2014/main" id="{25B81048-35F2-CFEA-DBAA-6CEFA5731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297656</xdr:colOff>
      <xdr:row>27</xdr:row>
      <xdr:rowOff>154782</xdr:rowOff>
    </xdr:from>
    <xdr:to>
      <xdr:col>25</xdr:col>
      <xdr:colOff>471656</xdr:colOff>
      <xdr:row>54</xdr:row>
      <xdr:rowOff>51282</xdr:rowOff>
    </xdr:to>
    <xdr:graphicFrame macro="">
      <xdr:nvGraphicFramePr>
        <xdr:cNvPr id="4" name="Diagramm 3">
          <a:extLst>
            <a:ext uri="{FF2B5EF4-FFF2-40B4-BE49-F238E27FC236}">
              <a16:creationId xmlns:a16="http://schemas.microsoft.com/office/drawing/2014/main" id="{98E07237-C39F-4FE9-97F1-1DE88931C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752461</xdr:colOff>
      <xdr:row>141</xdr:row>
      <xdr:rowOff>8333</xdr:rowOff>
    </xdr:from>
    <xdr:to>
      <xdr:col>11</xdr:col>
      <xdr:colOff>752461</xdr:colOff>
      <xdr:row>155</xdr:row>
      <xdr:rowOff>84533</xdr:rowOff>
    </xdr:to>
    <xdr:graphicFrame macro="">
      <xdr:nvGraphicFramePr>
        <xdr:cNvPr id="4" name="Diagramm 3">
          <a:extLst>
            <a:ext uri="{FF2B5EF4-FFF2-40B4-BE49-F238E27FC236}">
              <a16:creationId xmlns:a16="http://schemas.microsoft.com/office/drawing/2014/main" id="{433521B6-3E31-5A11-25BF-560647DF2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1066805</xdr:colOff>
      <xdr:row>141</xdr:row>
      <xdr:rowOff>8333</xdr:rowOff>
    </xdr:from>
    <xdr:to>
      <xdr:col>18</xdr:col>
      <xdr:colOff>209555</xdr:colOff>
      <xdr:row>155</xdr:row>
      <xdr:rowOff>84533</xdr:rowOff>
    </xdr:to>
    <xdr:graphicFrame macro="">
      <xdr:nvGraphicFramePr>
        <xdr:cNvPr id="5" name="Diagramm 4">
          <a:extLst>
            <a:ext uri="{FF2B5EF4-FFF2-40B4-BE49-F238E27FC236}">
              <a16:creationId xmlns:a16="http://schemas.microsoft.com/office/drawing/2014/main" id="{5B31C6A7-9EB8-846F-E500-C23BF73F2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752461</xdr:colOff>
      <xdr:row>125</xdr:row>
      <xdr:rowOff>145595</xdr:rowOff>
    </xdr:from>
    <xdr:to>
      <xdr:col>11</xdr:col>
      <xdr:colOff>752461</xdr:colOff>
      <xdr:row>140</xdr:row>
      <xdr:rowOff>31295</xdr:rowOff>
    </xdr:to>
    <xdr:graphicFrame macro="">
      <xdr:nvGraphicFramePr>
        <xdr:cNvPr id="7" name="Diagramm 6">
          <a:extLst>
            <a:ext uri="{FF2B5EF4-FFF2-40B4-BE49-F238E27FC236}">
              <a16:creationId xmlns:a16="http://schemas.microsoft.com/office/drawing/2014/main" id="{1D4858B6-C4B4-4C87-81BA-13D10AF5D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1066805</xdr:colOff>
      <xdr:row>125</xdr:row>
      <xdr:rowOff>145595</xdr:rowOff>
    </xdr:from>
    <xdr:to>
      <xdr:col>18</xdr:col>
      <xdr:colOff>219761</xdr:colOff>
      <xdr:row>140</xdr:row>
      <xdr:rowOff>31295</xdr:rowOff>
    </xdr:to>
    <xdr:graphicFrame macro="">
      <xdr:nvGraphicFramePr>
        <xdr:cNvPr id="8" name="Diagramm 7">
          <a:extLst>
            <a:ext uri="{FF2B5EF4-FFF2-40B4-BE49-F238E27FC236}">
              <a16:creationId xmlns:a16="http://schemas.microsoft.com/office/drawing/2014/main" id="{65AC92D3-28F7-4976-A010-57880C82D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23</xdr:col>
      <xdr:colOff>698500</xdr:colOff>
      <xdr:row>72</xdr:row>
      <xdr:rowOff>79375</xdr:rowOff>
    </xdr:from>
    <xdr:to>
      <xdr:col>42</xdr:col>
      <xdr:colOff>111125</xdr:colOff>
      <xdr:row>114</xdr:row>
      <xdr:rowOff>31749</xdr:rowOff>
    </xdr:to>
    <xdr:graphicFrame macro="">
      <xdr:nvGraphicFramePr>
        <xdr:cNvPr id="2" name="Diagramm 1">
          <a:extLst>
            <a:ext uri="{FF2B5EF4-FFF2-40B4-BE49-F238E27FC236}">
              <a16:creationId xmlns:a16="http://schemas.microsoft.com/office/drawing/2014/main" id="{28C2AF4E-5FC7-7980-6E87-E73E2C00F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51</xdr:row>
      <xdr:rowOff>0</xdr:rowOff>
    </xdr:from>
    <xdr:to>
      <xdr:col>1</xdr:col>
      <xdr:colOff>207010</xdr:colOff>
      <xdr:row>52</xdr:row>
      <xdr:rowOff>38100</xdr:rowOff>
    </xdr:to>
    <xdr:sp macro="" textlink="">
      <xdr:nvSpPr>
        <xdr:cNvPr id="2" name="AutoShape 1" descr="Task">
          <a:extLst>
            <a:ext uri="{FF2B5EF4-FFF2-40B4-BE49-F238E27FC236}">
              <a16:creationId xmlns:a16="http://schemas.microsoft.com/office/drawing/2014/main" id="{F8370277-1E78-4190-B02D-071FC7BD9645}"/>
            </a:ext>
          </a:extLst>
        </xdr:cNvPr>
        <xdr:cNvSpPr>
          <a:spLocks noChangeAspect="1" noChangeArrowheads="1"/>
        </xdr:cNvSpPr>
      </xdr:nvSpPr>
      <xdr:spPr bwMode="auto">
        <a:xfrm>
          <a:off x="1066800" y="9153525"/>
          <a:ext cx="20701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51</xdr:row>
      <xdr:rowOff>0</xdr:rowOff>
    </xdr:from>
    <xdr:to>
      <xdr:col>2</xdr:col>
      <xdr:colOff>304800</xdr:colOff>
      <xdr:row>52</xdr:row>
      <xdr:rowOff>135890</xdr:rowOff>
    </xdr:to>
    <xdr:sp macro="" textlink="">
      <xdr:nvSpPr>
        <xdr:cNvPr id="3" name="AutoShape 2">
          <a:extLst>
            <a:ext uri="{FF2B5EF4-FFF2-40B4-BE49-F238E27FC236}">
              <a16:creationId xmlns:a16="http://schemas.microsoft.com/office/drawing/2014/main" id="{D4983F58-7DA6-4814-BFF2-BFA744709AA1}"/>
            </a:ext>
          </a:extLst>
        </xdr:cNvPr>
        <xdr:cNvSpPr>
          <a:spLocks noChangeAspect="1" noChangeArrowheads="1"/>
        </xdr:cNvSpPr>
      </xdr:nvSpPr>
      <xdr:spPr bwMode="auto">
        <a:xfrm>
          <a:off x="5924550" y="9153525"/>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52</xdr:row>
      <xdr:rowOff>0</xdr:rowOff>
    </xdr:from>
    <xdr:to>
      <xdr:col>2</xdr:col>
      <xdr:colOff>207010</xdr:colOff>
      <xdr:row>53</xdr:row>
      <xdr:rowOff>38100</xdr:rowOff>
    </xdr:to>
    <xdr:sp macro="" textlink="">
      <xdr:nvSpPr>
        <xdr:cNvPr id="4" name="AutoShape 3" descr="Task">
          <a:extLst>
            <a:ext uri="{FF2B5EF4-FFF2-40B4-BE49-F238E27FC236}">
              <a16:creationId xmlns:a16="http://schemas.microsoft.com/office/drawing/2014/main" id="{AB74BD11-7790-4783-B3A3-9C774032A891}"/>
            </a:ext>
          </a:extLst>
        </xdr:cNvPr>
        <xdr:cNvSpPr>
          <a:spLocks noChangeAspect="1" noChangeArrowheads="1"/>
        </xdr:cNvSpPr>
      </xdr:nvSpPr>
      <xdr:spPr bwMode="auto">
        <a:xfrm>
          <a:off x="5924550" y="9324975"/>
          <a:ext cx="20701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52</xdr:row>
      <xdr:rowOff>0</xdr:rowOff>
    </xdr:from>
    <xdr:to>
      <xdr:col>3</xdr:col>
      <xdr:colOff>304800</xdr:colOff>
      <xdr:row>53</xdr:row>
      <xdr:rowOff>135890</xdr:rowOff>
    </xdr:to>
    <xdr:sp macro="" textlink="">
      <xdr:nvSpPr>
        <xdr:cNvPr id="5" name="AutoShape 4">
          <a:extLst>
            <a:ext uri="{FF2B5EF4-FFF2-40B4-BE49-F238E27FC236}">
              <a16:creationId xmlns:a16="http://schemas.microsoft.com/office/drawing/2014/main" id="{919F99BA-A6E8-4DF2-AB65-30C9AB9B4A50}"/>
            </a:ext>
          </a:extLst>
        </xdr:cNvPr>
        <xdr:cNvSpPr>
          <a:spLocks noChangeAspect="1" noChangeArrowheads="1"/>
        </xdr:cNvSpPr>
      </xdr:nvSpPr>
      <xdr:spPr bwMode="auto">
        <a:xfrm>
          <a:off x="6953250" y="9324975"/>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53</xdr:row>
      <xdr:rowOff>0</xdr:rowOff>
    </xdr:from>
    <xdr:to>
      <xdr:col>2</xdr:col>
      <xdr:colOff>207010</xdr:colOff>
      <xdr:row>54</xdr:row>
      <xdr:rowOff>38100</xdr:rowOff>
    </xdr:to>
    <xdr:sp macro="" textlink="">
      <xdr:nvSpPr>
        <xdr:cNvPr id="6" name="AutoShape 5" descr="Task">
          <a:extLst>
            <a:ext uri="{FF2B5EF4-FFF2-40B4-BE49-F238E27FC236}">
              <a16:creationId xmlns:a16="http://schemas.microsoft.com/office/drawing/2014/main" id="{44E1EE70-8655-4A28-9A29-27C4955B629E}"/>
            </a:ext>
          </a:extLst>
        </xdr:cNvPr>
        <xdr:cNvSpPr>
          <a:spLocks noChangeAspect="1" noChangeArrowheads="1"/>
        </xdr:cNvSpPr>
      </xdr:nvSpPr>
      <xdr:spPr bwMode="auto">
        <a:xfrm>
          <a:off x="5924550" y="9496425"/>
          <a:ext cx="20701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53</xdr:row>
      <xdr:rowOff>0</xdr:rowOff>
    </xdr:from>
    <xdr:to>
      <xdr:col>3</xdr:col>
      <xdr:colOff>304800</xdr:colOff>
      <xdr:row>54</xdr:row>
      <xdr:rowOff>135890</xdr:rowOff>
    </xdr:to>
    <xdr:sp macro="" textlink="">
      <xdr:nvSpPr>
        <xdr:cNvPr id="7" name="AutoShape 6">
          <a:extLst>
            <a:ext uri="{FF2B5EF4-FFF2-40B4-BE49-F238E27FC236}">
              <a16:creationId xmlns:a16="http://schemas.microsoft.com/office/drawing/2014/main" id="{3C7BA13A-DE37-4FD0-AD28-009C095A3BE0}"/>
            </a:ext>
          </a:extLst>
        </xdr:cNvPr>
        <xdr:cNvSpPr>
          <a:spLocks noChangeAspect="1" noChangeArrowheads="1"/>
        </xdr:cNvSpPr>
      </xdr:nvSpPr>
      <xdr:spPr bwMode="auto">
        <a:xfrm>
          <a:off x="6953250" y="9496425"/>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54</xdr:row>
      <xdr:rowOff>0</xdr:rowOff>
    </xdr:from>
    <xdr:to>
      <xdr:col>2</xdr:col>
      <xdr:colOff>207010</xdr:colOff>
      <xdr:row>55</xdr:row>
      <xdr:rowOff>38100</xdr:rowOff>
    </xdr:to>
    <xdr:sp macro="" textlink="">
      <xdr:nvSpPr>
        <xdr:cNvPr id="8" name="AutoShape 7" descr="Bug">
          <a:extLst>
            <a:ext uri="{FF2B5EF4-FFF2-40B4-BE49-F238E27FC236}">
              <a16:creationId xmlns:a16="http://schemas.microsoft.com/office/drawing/2014/main" id="{BD2472AB-C842-41E4-B053-98448C51A03D}"/>
            </a:ext>
          </a:extLst>
        </xdr:cNvPr>
        <xdr:cNvSpPr>
          <a:spLocks noChangeAspect="1" noChangeArrowheads="1"/>
        </xdr:cNvSpPr>
      </xdr:nvSpPr>
      <xdr:spPr bwMode="auto">
        <a:xfrm>
          <a:off x="5924550" y="9667875"/>
          <a:ext cx="20701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54</xdr:row>
      <xdr:rowOff>0</xdr:rowOff>
    </xdr:from>
    <xdr:to>
      <xdr:col>3</xdr:col>
      <xdr:colOff>304800</xdr:colOff>
      <xdr:row>55</xdr:row>
      <xdr:rowOff>135890</xdr:rowOff>
    </xdr:to>
    <xdr:sp macro="" textlink="">
      <xdr:nvSpPr>
        <xdr:cNvPr id="9" name="AutoShape 8">
          <a:extLst>
            <a:ext uri="{FF2B5EF4-FFF2-40B4-BE49-F238E27FC236}">
              <a16:creationId xmlns:a16="http://schemas.microsoft.com/office/drawing/2014/main" id="{02CA0AE6-F3F4-4C13-8D74-BE3E332BDAD2}"/>
            </a:ext>
          </a:extLst>
        </xdr:cNvPr>
        <xdr:cNvSpPr>
          <a:spLocks noChangeAspect="1" noChangeArrowheads="1"/>
        </xdr:cNvSpPr>
      </xdr:nvSpPr>
      <xdr:spPr bwMode="auto">
        <a:xfrm>
          <a:off x="6953250" y="9667875"/>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xdr:row>
      <xdr:rowOff>0</xdr:rowOff>
    </xdr:from>
    <xdr:to>
      <xdr:col>2</xdr:col>
      <xdr:colOff>207010</xdr:colOff>
      <xdr:row>56</xdr:row>
      <xdr:rowOff>38100</xdr:rowOff>
    </xdr:to>
    <xdr:sp macro="" textlink="">
      <xdr:nvSpPr>
        <xdr:cNvPr id="10" name="AutoShape 9" descr="Bug">
          <a:extLst>
            <a:ext uri="{FF2B5EF4-FFF2-40B4-BE49-F238E27FC236}">
              <a16:creationId xmlns:a16="http://schemas.microsoft.com/office/drawing/2014/main" id="{9CF05331-D354-4A0E-94D5-7D774A53A7E9}"/>
            </a:ext>
          </a:extLst>
        </xdr:cNvPr>
        <xdr:cNvSpPr>
          <a:spLocks noChangeAspect="1" noChangeArrowheads="1"/>
        </xdr:cNvSpPr>
      </xdr:nvSpPr>
      <xdr:spPr bwMode="auto">
        <a:xfrm>
          <a:off x="5924550" y="9839325"/>
          <a:ext cx="20701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55</xdr:row>
      <xdr:rowOff>0</xdr:rowOff>
    </xdr:from>
    <xdr:to>
      <xdr:col>3</xdr:col>
      <xdr:colOff>304800</xdr:colOff>
      <xdr:row>56</xdr:row>
      <xdr:rowOff>135890</xdr:rowOff>
    </xdr:to>
    <xdr:sp macro="" textlink="">
      <xdr:nvSpPr>
        <xdr:cNvPr id="11" name="AutoShape 10">
          <a:extLst>
            <a:ext uri="{FF2B5EF4-FFF2-40B4-BE49-F238E27FC236}">
              <a16:creationId xmlns:a16="http://schemas.microsoft.com/office/drawing/2014/main" id="{419DA64E-D955-4F89-A0BA-CF0BCD17FC9A}"/>
            </a:ext>
          </a:extLst>
        </xdr:cNvPr>
        <xdr:cNvSpPr>
          <a:spLocks noChangeAspect="1" noChangeArrowheads="1"/>
        </xdr:cNvSpPr>
      </xdr:nvSpPr>
      <xdr:spPr bwMode="auto">
        <a:xfrm>
          <a:off x="6953250" y="9839325"/>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56</xdr:row>
      <xdr:rowOff>0</xdr:rowOff>
    </xdr:from>
    <xdr:to>
      <xdr:col>2</xdr:col>
      <xdr:colOff>207010</xdr:colOff>
      <xdr:row>57</xdr:row>
      <xdr:rowOff>38100</xdr:rowOff>
    </xdr:to>
    <xdr:sp macro="" textlink="">
      <xdr:nvSpPr>
        <xdr:cNvPr id="12" name="AutoShape 11" descr="Bug">
          <a:extLst>
            <a:ext uri="{FF2B5EF4-FFF2-40B4-BE49-F238E27FC236}">
              <a16:creationId xmlns:a16="http://schemas.microsoft.com/office/drawing/2014/main" id="{C9CBDD87-7405-463C-91B2-5316AA278625}"/>
            </a:ext>
          </a:extLst>
        </xdr:cNvPr>
        <xdr:cNvSpPr>
          <a:spLocks noChangeAspect="1" noChangeArrowheads="1"/>
        </xdr:cNvSpPr>
      </xdr:nvSpPr>
      <xdr:spPr bwMode="auto">
        <a:xfrm>
          <a:off x="5924550" y="10010775"/>
          <a:ext cx="20701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56</xdr:row>
      <xdr:rowOff>0</xdr:rowOff>
    </xdr:from>
    <xdr:to>
      <xdr:col>3</xdr:col>
      <xdr:colOff>304800</xdr:colOff>
      <xdr:row>57</xdr:row>
      <xdr:rowOff>135890</xdr:rowOff>
    </xdr:to>
    <xdr:sp macro="" textlink="">
      <xdr:nvSpPr>
        <xdr:cNvPr id="13" name="AutoShape 12">
          <a:extLst>
            <a:ext uri="{FF2B5EF4-FFF2-40B4-BE49-F238E27FC236}">
              <a16:creationId xmlns:a16="http://schemas.microsoft.com/office/drawing/2014/main" id="{B6CF1EB3-A9DC-4641-9494-0E83DEBCCCD1}"/>
            </a:ext>
          </a:extLst>
        </xdr:cNvPr>
        <xdr:cNvSpPr>
          <a:spLocks noChangeAspect="1" noChangeArrowheads="1"/>
        </xdr:cNvSpPr>
      </xdr:nvSpPr>
      <xdr:spPr bwMode="auto">
        <a:xfrm>
          <a:off x="6953250" y="10010775"/>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57</xdr:row>
      <xdr:rowOff>0</xdr:rowOff>
    </xdr:from>
    <xdr:to>
      <xdr:col>2</xdr:col>
      <xdr:colOff>207010</xdr:colOff>
      <xdr:row>58</xdr:row>
      <xdr:rowOff>38100</xdr:rowOff>
    </xdr:to>
    <xdr:sp macro="" textlink="">
      <xdr:nvSpPr>
        <xdr:cNvPr id="14" name="AutoShape 13" descr="Bug">
          <a:extLst>
            <a:ext uri="{FF2B5EF4-FFF2-40B4-BE49-F238E27FC236}">
              <a16:creationId xmlns:a16="http://schemas.microsoft.com/office/drawing/2014/main" id="{D91F7CA2-959A-46C4-881E-22B06B0B4CD5}"/>
            </a:ext>
          </a:extLst>
        </xdr:cNvPr>
        <xdr:cNvSpPr>
          <a:spLocks noChangeAspect="1" noChangeArrowheads="1"/>
        </xdr:cNvSpPr>
      </xdr:nvSpPr>
      <xdr:spPr bwMode="auto">
        <a:xfrm>
          <a:off x="5924550" y="10182225"/>
          <a:ext cx="20701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57</xdr:row>
      <xdr:rowOff>0</xdr:rowOff>
    </xdr:from>
    <xdr:to>
      <xdr:col>3</xdr:col>
      <xdr:colOff>304800</xdr:colOff>
      <xdr:row>58</xdr:row>
      <xdr:rowOff>135890</xdr:rowOff>
    </xdr:to>
    <xdr:sp macro="" textlink="">
      <xdr:nvSpPr>
        <xdr:cNvPr id="15" name="AutoShape 14">
          <a:extLst>
            <a:ext uri="{FF2B5EF4-FFF2-40B4-BE49-F238E27FC236}">
              <a16:creationId xmlns:a16="http://schemas.microsoft.com/office/drawing/2014/main" id="{ABA007B9-4330-4767-BAE2-3CC602FE7CE6}"/>
            </a:ext>
          </a:extLst>
        </xdr:cNvPr>
        <xdr:cNvSpPr>
          <a:spLocks noChangeAspect="1" noChangeArrowheads="1"/>
        </xdr:cNvSpPr>
      </xdr:nvSpPr>
      <xdr:spPr bwMode="auto">
        <a:xfrm>
          <a:off x="6953250" y="10182225"/>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58</xdr:row>
      <xdr:rowOff>0</xdr:rowOff>
    </xdr:from>
    <xdr:to>
      <xdr:col>2</xdr:col>
      <xdr:colOff>207010</xdr:colOff>
      <xdr:row>59</xdr:row>
      <xdr:rowOff>38100</xdr:rowOff>
    </xdr:to>
    <xdr:sp macro="" textlink="">
      <xdr:nvSpPr>
        <xdr:cNvPr id="16" name="AutoShape 15" descr="Bug">
          <a:extLst>
            <a:ext uri="{FF2B5EF4-FFF2-40B4-BE49-F238E27FC236}">
              <a16:creationId xmlns:a16="http://schemas.microsoft.com/office/drawing/2014/main" id="{A208C7E7-ACFE-4595-BD3F-B77667592061}"/>
            </a:ext>
          </a:extLst>
        </xdr:cNvPr>
        <xdr:cNvSpPr>
          <a:spLocks noChangeAspect="1" noChangeArrowheads="1"/>
        </xdr:cNvSpPr>
      </xdr:nvSpPr>
      <xdr:spPr bwMode="auto">
        <a:xfrm>
          <a:off x="5924550" y="10353675"/>
          <a:ext cx="20701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58</xdr:row>
      <xdr:rowOff>0</xdr:rowOff>
    </xdr:from>
    <xdr:to>
      <xdr:col>3</xdr:col>
      <xdr:colOff>304800</xdr:colOff>
      <xdr:row>59</xdr:row>
      <xdr:rowOff>135890</xdr:rowOff>
    </xdr:to>
    <xdr:sp macro="" textlink="">
      <xdr:nvSpPr>
        <xdr:cNvPr id="17" name="AutoShape 16">
          <a:extLst>
            <a:ext uri="{FF2B5EF4-FFF2-40B4-BE49-F238E27FC236}">
              <a16:creationId xmlns:a16="http://schemas.microsoft.com/office/drawing/2014/main" id="{BC7397C7-F033-4119-8EDA-7799E15EAD21}"/>
            </a:ext>
          </a:extLst>
        </xdr:cNvPr>
        <xdr:cNvSpPr>
          <a:spLocks noChangeAspect="1" noChangeArrowheads="1"/>
        </xdr:cNvSpPr>
      </xdr:nvSpPr>
      <xdr:spPr bwMode="auto">
        <a:xfrm>
          <a:off x="6953250" y="10353675"/>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59</xdr:row>
      <xdr:rowOff>0</xdr:rowOff>
    </xdr:from>
    <xdr:to>
      <xdr:col>2</xdr:col>
      <xdr:colOff>207010</xdr:colOff>
      <xdr:row>60</xdr:row>
      <xdr:rowOff>38100</xdr:rowOff>
    </xdr:to>
    <xdr:sp macro="" textlink="">
      <xdr:nvSpPr>
        <xdr:cNvPr id="18" name="AutoShape 17" descr="Story">
          <a:extLst>
            <a:ext uri="{FF2B5EF4-FFF2-40B4-BE49-F238E27FC236}">
              <a16:creationId xmlns:a16="http://schemas.microsoft.com/office/drawing/2014/main" id="{133FF65C-CBB0-4B24-9450-608965696933}"/>
            </a:ext>
          </a:extLst>
        </xdr:cNvPr>
        <xdr:cNvSpPr>
          <a:spLocks noChangeAspect="1" noChangeArrowheads="1"/>
        </xdr:cNvSpPr>
      </xdr:nvSpPr>
      <xdr:spPr bwMode="auto">
        <a:xfrm>
          <a:off x="5924550" y="10525125"/>
          <a:ext cx="20701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59</xdr:row>
      <xdr:rowOff>0</xdr:rowOff>
    </xdr:from>
    <xdr:to>
      <xdr:col>3</xdr:col>
      <xdr:colOff>304800</xdr:colOff>
      <xdr:row>60</xdr:row>
      <xdr:rowOff>135890</xdr:rowOff>
    </xdr:to>
    <xdr:sp macro="" textlink="">
      <xdr:nvSpPr>
        <xdr:cNvPr id="19" name="AutoShape 18">
          <a:extLst>
            <a:ext uri="{FF2B5EF4-FFF2-40B4-BE49-F238E27FC236}">
              <a16:creationId xmlns:a16="http://schemas.microsoft.com/office/drawing/2014/main" id="{B6464F6D-6BE9-4111-AD9C-2956098CDA8F}"/>
            </a:ext>
          </a:extLst>
        </xdr:cNvPr>
        <xdr:cNvSpPr>
          <a:spLocks noChangeAspect="1" noChangeArrowheads="1"/>
        </xdr:cNvSpPr>
      </xdr:nvSpPr>
      <xdr:spPr bwMode="auto">
        <a:xfrm>
          <a:off x="6953250" y="10525125"/>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60</xdr:row>
      <xdr:rowOff>0</xdr:rowOff>
    </xdr:from>
    <xdr:to>
      <xdr:col>2</xdr:col>
      <xdr:colOff>207010</xdr:colOff>
      <xdr:row>61</xdr:row>
      <xdr:rowOff>38100</xdr:rowOff>
    </xdr:to>
    <xdr:sp macro="" textlink="">
      <xdr:nvSpPr>
        <xdr:cNvPr id="20" name="AutoShape 19" descr="Bug">
          <a:extLst>
            <a:ext uri="{FF2B5EF4-FFF2-40B4-BE49-F238E27FC236}">
              <a16:creationId xmlns:a16="http://schemas.microsoft.com/office/drawing/2014/main" id="{0E86236C-6D13-4F53-AE8D-D2905DF9548D}"/>
            </a:ext>
          </a:extLst>
        </xdr:cNvPr>
        <xdr:cNvSpPr>
          <a:spLocks noChangeAspect="1" noChangeArrowheads="1"/>
        </xdr:cNvSpPr>
      </xdr:nvSpPr>
      <xdr:spPr bwMode="auto">
        <a:xfrm>
          <a:off x="5924550" y="10696575"/>
          <a:ext cx="20701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60</xdr:row>
      <xdr:rowOff>0</xdr:rowOff>
    </xdr:from>
    <xdr:to>
      <xdr:col>3</xdr:col>
      <xdr:colOff>304800</xdr:colOff>
      <xdr:row>61</xdr:row>
      <xdr:rowOff>135890</xdr:rowOff>
    </xdr:to>
    <xdr:sp macro="" textlink="">
      <xdr:nvSpPr>
        <xdr:cNvPr id="21" name="AutoShape 20">
          <a:extLst>
            <a:ext uri="{FF2B5EF4-FFF2-40B4-BE49-F238E27FC236}">
              <a16:creationId xmlns:a16="http://schemas.microsoft.com/office/drawing/2014/main" id="{6DB40AC5-5111-4F33-96A5-DA001EF0E859}"/>
            </a:ext>
          </a:extLst>
        </xdr:cNvPr>
        <xdr:cNvSpPr>
          <a:spLocks noChangeAspect="1" noChangeArrowheads="1"/>
        </xdr:cNvSpPr>
      </xdr:nvSpPr>
      <xdr:spPr bwMode="auto">
        <a:xfrm>
          <a:off x="6953250" y="10696575"/>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61</xdr:row>
      <xdr:rowOff>0</xdr:rowOff>
    </xdr:from>
    <xdr:to>
      <xdr:col>2</xdr:col>
      <xdr:colOff>207010</xdr:colOff>
      <xdr:row>62</xdr:row>
      <xdr:rowOff>38100</xdr:rowOff>
    </xdr:to>
    <xdr:sp macro="" textlink="">
      <xdr:nvSpPr>
        <xdr:cNvPr id="22" name="AutoShape 21" descr="Task">
          <a:extLst>
            <a:ext uri="{FF2B5EF4-FFF2-40B4-BE49-F238E27FC236}">
              <a16:creationId xmlns:a16="http://schemas.microsoft.com/office/drawing/2014/main" id="{AC304F4F-174A-4058-805E-DA5945CDF2F1}"/>
            </a:ext>
          </a:extLst>
        </xdr:cNvPr>
        <xdr:cNvSpPr>
          <a:spLocks noChangeAspect="1" noChangeArrowheads="1"/>
        </xdr:cNvSpPr>
      </xdr:nvSpPr>
      <xdr:spPr bwMode="auto">
        <a:xfrm>
          <a:off x="5924550" y="10868025"/>
          <a:ext cx="20701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61</xdr:row>
      <xdr:rowOff>0</xdr:rowOff>
    </xdr:from>
    <xdr:to>
      <xdr:col>3</xdr:col>
      <xdr:colOff>304800</xdr:colOff>
      <xdr:row>62</xdr:row>
      <xdr:rowOff>135890</xdr:rowOff>
    </xdr:to>
    <xdr:sp macro="" textlink="">
      <xdr:nvSpPr>
        <xdr:cNvPr id="23" name="AutoShape 22">
          <a:extLst>
            <a:ext uri="{FF2B5EF4-FFF2-40B4-BE49-F238E27FC236}">
              <a16:creationId xmlns:a16="http://schemas.microsoft.com/office/drawing/2014/main" id="{232F1563-CFF2-49CE-83D8-6C75ACF30E2F}"/>
            </a:ext>
          </a:extLst>
        </xdr:cNvPr>
        <xdr:cNvSpPr>
          <a:spLocks noChangeAspect="1" noChangeArrowheads="1"/>
        </xdr:cNvSpPr>
      </xdr:nvSpPr>
      <xdr:spPr bwMode="auto">
        <a:xfrm>
          <a:off x="6953250" y="10868025"/>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62</xdr:row>
      <xdr:rowOff>0</xdr:rowOff>
    </xdr:from>
    <xdr:to>
      <xdr:col>2</xdr:col>
      <xdr:colOff>207010</xdr:colOff>
      <xdr:row>63</xdr:row>
      <xdr:rowOff>38100</xdr:rowOff>
    </xdr:to>
    <xdr:sp macro="" textlink="">
      <xdr:nvSpPr>
        <xdr:cNvPr id="24" name="AutoShape 23" descr="Task">
          <a:extLst>
            <a:ext uri="{FF2B5EF4-FFF2-40B4-BE49-F238E27FC236}">
              <a16:creationId xmlns:a16="http://schemas.microsoft.com/office/drawing/2014/main" id="{6D1E9B89-5AA6-4B2B-9055-0C7253DED5D5}"/>
            </a:ext>
          </a:extLst>
        </xdr:cNvPr>
        <xdr:cNvSpPr>
          <a:spLocks noChangeAspect="1" noChangeArrowheads="1"/>
        </xdr:cNvSpPr>
      </xdr:nvSpPr>
      <xdr:spPr bwMode="auto">
        <a:xfrm>
          <a:off x="5924550" y="11039475"/>
          <a:ext cx="20701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62</xdr:row>
      <xdr:rowOff>0</xdr:rowOff>
    </xdr:from>
    <xdr:to>
      <xdr:col>3</xdr:col>
      <xdr:colOff>304800</xdr:colOff>
      <xdr:row>63</xdr:row>
      <xdr:rowOff>135890</xdr:rowOff>
    </xdr:to>
    <xdr:sp macro="" textlink="">
      <xdr:nvSpPr>
        <xdr:cNvPr id="25" name="AutoShape 24">
          <a:extLst>
            <a:ext uri="{FF2B5EF4-FFF2-40B4-BE49-F238E27FC236}">
              <a16:creationId xmlns:a16="http://schemas.microsoft.com/office/drawing/2014/main" id="{DD3D82DC-348C-4F52-A7F8-A2899039EE17}"/>
            </a:ext>
          </a:extLst>
        </xdr:cNvPr>
        <xdr:cNvSpPr>
          <a:spLocks noChangeAspect="1" noChangeArrowheads="1"/>
        </xdr:cNvSpPr>
      </xdr:nvSpPr>
      <xdr:spPr bwMode="auto">
        <a:xfrm>
          <a:off x="6953250" y="11039475"/>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63</xdr:row>
      <xdr:rowOff>0</xdr:rowOff>
    </xdr:from>
    <xdr:to>
      <xdr:col>2</xdr:col>
      <xdr:colOff>207010</xdr:colOff>
      <xdr:row>64</xdr:row>
      <xdr:rowOff>38100</xdr:rowOff>
    </xdr:to>
    <xdr:sp macro="" textlink="">
      <xdr:nvSpPr>
        <xdr:cNvPr id="26" name="AutoShape 25" descr="Task">
          <a:extLst>
            <a:ext uri="{FF2B5EF4-FFF2-40B4-BE49-F238E27FC236}">
              <a16:creationId xmlns:a16="http://schemas.microsoft.com/office/drawing/2014/main" id="{8226695C-D39B-4963-B9A8-7E97B41D0C2C}"/>
            </a:ext>
          </a:extLst>
        </xdr:cNvPr>
        <xdr:cNvSpPr>
          <a:spLocks noChangeAspect="1" noChangeArrowheads="1"/>
        </xdr:cNvSpPr>
      </xdr:nvSpPr>
      <xdr:spPr bwMode="auto">
        <a:xfrm>
          <a:off x="5924550" y="11210925"/>
          <a:ext cx="20701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63</xdr:row>
      <xdr:rowOff>0</xdr:rowOff>
    </xdr:from>
    <xdr:to>
      <xdr:col>3</xdr:col>
      <xdr:colOff>304800</xdr:colOff>
      <xdr:row>64</xdr:row>
      <xdr:rowOff>135890</xdr:rowOff>
    </xdr:to>
    <xdr:sp macro="" textlink="">
      <xdr:nvSpPr>
        <xdr:cNvPr id="27" name="AutoShape 26">
          <a:extLst>
            <a:ext uri="{FF2B5EF4-FFF2-40B4-BE49-F238E27FC236}">
              <a16:creationId xmlns:a16="http://schemas.microsoft.com/office/drawing/2014/main" id="{F21CEEBF-FD05-4F1E-AEA1-47C3CFB552DB}"/>
            </a:ext>
          </a:extLst>
        </xdr:cNvPr>
        <xdr:cNvSpPr>
          <a:spLocks noChangeAspect="1" noChangeArrowheads="1"/>
        </xdr:cNvSpPr>
      </xdr:nvSpPr>
      <xdr:spPr bwMode="auto">
        <a:xfrm>
          <a:off x="6953250" y="11210925"/>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64</xdr:row>
      <xdr:rowOff>0</xdr:rowOff>
    </xdr:from>
    <xdr:to>
      <xdr:col>2</xdr:col>
      <xdr:colOff>207010</xdr:colOff>
      <xdr:row>65</xdr:row>
      <xdr:rowOff>38100</xdr:rowOff>
    </xdr:to>
    <xdr:sp macro="" textlink="">
      <xdr:nvSpPr>
        <xdr:cNvPr id="28" name="AutoShape 27" descr="Task">
          <a:extLst>
            <a:ext uri="{FF2B5EF4-FFF2-40B4-BE49-F238E27FC236}">
              <a16:creationId xmlns:a16="http://schemas.microsoft.com/office/drawing/2014/main" id="{44FA53A5-8161-4749-B4D9-55BB814BE270}"/>
            </a:ext>
          </a:extLst>
        </xdr:cNvPr>
        <xdr:cNvSpPr>
          <a:spLocks noChangeAspect="1" noChangeArrowheads="1"/>
        </xdr:cNvSpPr>
      </xdr:nvSpPr>
      <xdr:spPr bwMode="auto">
        <a:xfrm>
          <a:off x="5924550" y="11382375"/>
          <a:ext cx="20701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64</xdr:row>
      <xdr:rowOff>0</xdr:rowOff>
    </xdr:from>
    <xdr:to>
      <xdr:col>3</xdr:col>
      <xdr:colOff>304800</xdr:colOff>
      <xdr:row>65</xdr:row>
      <xdr:rowOff>135890</xdr:rowOff>
    </xdr:to>
    <xdr:sp macro="" textlink="">
      <xdr:nvSpPr>
        <xdr:cNvPr id="29" name="AutoShape 28">
          <a:extLst>
            <a:ext uri="{FF2B5EF4-FFF2-40B4-BE49-F238E27FC236}">
              <a16:creationId xmlns:a16="http://schemas.microsoft.com/office/drawing/2014/main" id="{4441846D-1FB1-4BB1-8069-7C9118D84E52}"/>
            </a:ext>
          </a:extLst>
        </xdr:cNvPr>
        <xdr:cNvSpPr>
          <a:spLocks noChangeAspect="1" noChangeArrowheads="1"/>
        </xdr:cNvSpPr>
      </xdr:nvSpPr>
      <xdr:spPr bwMode="auto">
        <a:xfrm>
          <a:off x="6953250" y="11382375"/>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65</xdr:row>
      <xdr:rowOff>0</xdr:rowOff>
    </xdr:from>
    <xdr:to>
      <xdr:col>2</xdr:col>
      <xdr:colOff>207010</xdr:colOff>
      <xdr:row>66</xdr:row>
      <xdr:rowOff>38100</xdr:rowOff>
    </xdr:to>
    <xdr:sp macro="" textlink="">
      <xdr:nvSpPr>
        <xdr:cNvPr id="30" name="AutoShape 29" descr="Task">
          <a:extLst>
            <a:ext uri="{FF2B5EF4-FFF2-40B4-BE49-F238E27FC236}">
              <a16:creationId xmlns:a16="http://schemas.microsoft.com/office/drawing/2014/main" id="{88E29BE4-E28A-4098-B10B-8CD8344A6DA9}"/>
            </a:ext>
          </a:extLst>
        </xdr:cNvPr>
        <xdr:cNvSpPr>
          <a:spLocks noChangeAspect="1" noChangeArrowheads="1"/>
        </xdr:cNvSpPr>
      </xdr:nvSpPr>
      <xdr:spPr bwMode="auto">
        <a:xfrm>
          <a:off x="5924550" y="11553825"/>
          <a:ext cx="20701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65</xdr:row>
      <xdr:rowOff>0</xdr:rowOff>
    </xdr:from>
    <xdr:to>
      <xdr:col>3</xdr:col>
      <xdr:colOff>304800</xdr:colOff>
      <xdr:row>66</xdr:row>
      <xdr:rowOff>135890</xdr:rowOff>
    </xdr:to>
    <xdr:sp macro="" textlink="">
      <xdr:nvSpPr>
        <xdr:cNvPr id="31" name="AutoShape 30">
          <a:extLst>
            <a:ext uri="{FF2B5EF4-FFF2-40B4-BE49-F238E27FC236}">
              <a16:creationId xmlns:a16="http://schemas.microsoft.com/office/drawing/2014/main" id="{252FD6B0-DEF9-49A2-B41C-70AC3D1062D4}"/>
            </a:ext>
          </a:extLst>
        </xdr:cNvPr>
        <xdr:cNvSpPr>
          <a:spLocks noChangeAspect="1" noChangeArrowheads="1"/>
        </xdr:cNvSpPr>
      </xdr:nvSpPr>
      <xdr:spPr bwMode="auto">
        <a:xfrm>
          <a:off x="6953250" y="11553825"/>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66</xdr:row>
      <xdr:rowOff>0</xdr:rowOff>
    </xdr:from>
    <xdr:to>
      <xdr:col>2</xdr:col>
      <xdr:colOff>207010</xdr:colOff>
      <xdr:row>67</xdr:row>
      <xdr:rowOff>38100</xdr:rowOff>
    </xdr:to>
    <xdr:sp macro="" textlink="">
      <xdr:nvSpPr>
        <xdr:cNvPr id="32" name="AutoShape 31" descr="Task">
          <a:extLst>
            <a:ext uri="{FF2B5EF4-FFF2-40B4-BE49-F238E27FC236}">
              <a16:creationId xmlns:a16="http://schemas.microsoft.com/office/drawing/2014/main" id="{5E5123F7-B6C3-4D87-BB56-E8F6D636CD32}"/>
            </a:ext>
          </a:extLst>
        </xdr:cNvPr>
        <xdr:cNvSpPr>
          <a:spLocks noChangeAspect="1" noChangeArrowheads="1"/>
        </xdr:cNvSpPr>
      </xdr:nvSpPr>
      <xdr:spPr bwMode="auto">
        <a:xfrm>
          <a:off x="5924550" y="11725275"/>
          <a:ext cx="20701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66</xdr:row>
      <xdr:rowOff>0</xdr:rowOff>
    </xdr:from>
    <xdr:to>
      <xdr:col>3</xdr:col>
      <xdr:colOff>304800</xdr:colOff>
      <xdr:row>67</xdr:row>
      <xdr:rowOff>135890</xdr:rowOff>
    </xdr:to>
    <xdr:sp macro="" textlink="">
      <xdr:nvSpPr>
        <xdr:cNvPr id="33" name="AutoShape 32">
          <a:extLst>
            <a:ext uri="{FF2B5EF4-FFF2-40B4-BE49-F238E27FC236}">
              <a16:creationId xmlns:a16="http://schemas.microsoft.com/office/drawing/2014/main" id="{BD25CBF4-0E3F-4FBF-9589-C80D5265AD71}"/>
            </a:ext>
          </a:extLst>
        </xdr:cNvPr>
        <xdr:cNvSpPr>
          <a:spLocks noChangeAspect="1" noChangeArrowheads="1"/>
        </xdr:cNvSpPr>
      </xdr:nvSpPr>
      <xdr:spPr bwMode="auto">
        <a:xfrm>
          <a:off x="6953250" y="11725275"/>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67</xdr:row>
      <xdr:rowOff>0</xdr:rowOff>
    </xdr:from>
    <xdr:to>
      <xdr:col>2</xdr:col>
      <xdr:colOff>207010</xdr:colOff>
      <xdr:row>68</xdr:row>
      <xdr:rowOff>38100</xdr:rowOff>
    </xdr:to>
    <xdr:sp macro="" textlink="">
      <xdr:nvSpPr>
        <xdr:cNvPr id="34" name="AutoShape 33" descr="Task">
          <a:extLst>
            <a:ext uri="{FF2B5EF4-FFF2-40B4-BE49-F238E27FC236}">
              <a16:creationId xmlns:a16="http://schemas.microsoft.com/office/drawing/2014/main" id="{5D1328FD-02D6-4ECC-918A-3C0FAB2FDEA7}"/>
            </a:ext>
          </a:extLst>
        </xdr:cNvPr>
        <xdr:cNvSpPr>
          <a:spLocks noChangeAspect="1" noChangeArrowheads="1"/>
        </xdr:cNvSpPr>
      </xdr:nvSpPr>
      <xdr:spPr bwMode="auto">
        <a:xfrm>
          <a:off x="5924550" y="11896725"/>
          <a:ext cx="20701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67</xdr:row>
      <xdr:rowOff>0</xdr:rowOff>
    </xdr:from>
    <xdr:to>
      <xdr:col>3</xdr:col>
      <xdr:colOff>304800</xdr:colOff>
      <xdr:row>68</xdr:row>
      <xdr:rowOff>135890</xdr:rowOff>
    </xdr:to>
    <xdr:sp macro="" textlink="">
      <xdr:nvSpPr>
        <xdr:cNvPr id="35" name="AutoShape 34">
          <a:extLst>
            <a:ext uri="{FF2B5EF4-FFF2-40B4-BE49-F238E27FC236}">
              <a16:creationId xmlns:a16="http://schemas.microsoft.com/office/drawing/2014/main" id="{00EE5A69-92B3-49DE-BBC0-3BD8B9B93733}"/>
            </a:ext>
          </a:extLst>
        </xdr:cNvPr>
        <xdr:cNvSpPr>
          <a:spLocks noChangeAspect="1" noChangeArrowheads="1"/>
        </xdr:cNvSpPr>
      </xdr:nvSpPr>
      <xdr:spPr bwMode="auto">
        <a:xfrm>
          <a:off x="6953250" y="11896725"/>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60</xdr:row>
      <xdr:rowOff>0</xdr:rowOff>
    </xdr:from>
    <xdr:ext cx="203200" cy="200660"/>
    <xdr:sp macro="" textlink="">
      <xdr:nvSpPr>
        <xdr:cNvPr id="36" name="AutoShape 3" descr="Task">
          <a:extLst>
            <a:ext uri="{FF2B5EF4-FFF2-40B4-BE49-F238E27FC236}">
              <a16:creationId xmlns:a16="http://schemas.microsoft.com/office/drawing/2014/main" id="{A757053B-8C82-45EE-BCBF-A0F9B013918A}"/>
            </a:ext>
          </a:extLst>
        </xdr:cNvPr>
        <xdr:cNvSpPr>
          <a:spLocks noChangeAspect="1" noChangeArrowheads="1"/>
        </xdr:cNvSpPr>
      </xdr:nvSpPr>
      <xdr:spPr bwMode="auto">
        <a:xfrm>
          <a:off x="5924550" y="10696575"/>
          <a:ext cx="203200" cy="2006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61</xdr:row>
      <xdr:rowOff>0</xdr:rowOff>
    </xdr:from>
    <xdr:ext cx="203200" cy="200660"/>
    <xdr:sp macro="" textlink="">
      <xdr:nvSpPr>
        <xdr:cNvPr id="37" name="AutoShape 5" descr="Task">
          <a:extLst>
            <a:ext uri="{FF2B5EF4-FFF2-40B4-BE49-F238E27FC236}">
              <a16:creationId xmlns:a16="http://schemas.microsoft.com/office/drawing/2014/main" id="{874013A6-25AD-4FDF-8975-7A76DB6C038B}"/>
            </a:ext>
          </a:extLst>
        </xdr:cNvPr>
        <xdr:cNvSpPr>
          <a:spLocks noChangeAspect="1" noChangeArrowheads="1"/>
        </xdr:cNvSpPr>
      </xdr:nvSpPr>
      <xdr:spPr bwMode="auto">
        <a:xfrm>
          <a:off x="5924550" y="10868025"/>
          <a:ext cx="203200" cy="2006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61</xdr:row>
      <xdr:rowOff>0</xdr:rowOff>
    </xdr:from>
    <xdr:ext cx="203200" cy="200660"/>
    <xdr:sp macro="" textlink="">
      <xdr:nvSpPr>
        <xdr:cNvPr id="38" name="AutoShape 3" descr="Task">
          <a:extLst>
            <a:ext uri="{FF2B5EF4-FFF2-40B4-BE49-F238E27FC236}">
              <a16:creationId xmlns:a16="http://schemas.microsoft.com/office/drawing/2014/main" id="{1ED3D023-43E2-4B40-96C9-67622A6A3F91}"/>
            </a:ext>
          </a:extLst>
        </xdr:cNvPr>
        <xdr:cNvSpPr>
          <a:spLocks noChangeAspect="1" noChangeArrowheads="1"/>
        </xdr:cNvSpPr>
      </xdr:nvSpPr>
      <xdr:spPr bwMode="auto">
        <a:xfrm>
          <a:off x="5924550" y="10868025"/>
          <a:ext cx="203200" cy="2006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62</xdr:row>
      <xdr:rowOff>0</xdr:rowOff>
    </xdr:from>
    <xdr:ext cx="203200" cy="200660"/>
    <xdr:sp macro="" textlink="">
      <xdr:nvSpPr>
        <xdr:cNvPr id="39" name="AutoShape 5" descr="Task">
          <a:extLst>
            <a:ext uri="{FF2B5EF4-FFF2-40B4-BE49-F238E27FC236}">
              <a16:creationId xmlns:a16="http://schemas.microsoft.com/office/drawing/2014/main" id="{83B9DADE-1A71-4B55-A2AB-6AF6BA4653FB}"/>
            </a:ext>
          </a:extLst>
        </xdr:cNvPr>
        <xdr:cNvSpPr>
          <a:spLocks noChangeAspect="1" noChangeArrowheads="1"/>
        </xdr:cNvSpPr>
      </xdr:nvSpPr>
      <xdr:spPr bwMode="auto">
        <a:xfrm>
          <a:off x="5924550" y="11039475"/>
          <a:ext cx="203200" cy="2006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62</xdr:row>
      <xdr:rowOff>0</xdr:rowOff>
    </xdr:from>
    <xdr:ext cx="203200" cy="200660"/>
    <xdr:sp macro="" textlink="">
      <xdr:nvSpPr>
        <xdr:cNvPr id="40" name="AutoShape 3" descr="Task">
          <a:extLst>
            <a:ext uri="{FF2B5EF4-FFF2-40B4-BE49-F238E27FC236}">
              <a16:creationId xmlns:a16="http://schemas.microsoft.com/office/drawing/2014/main" id="{BFFCFF59-DA04-46C0-84DE-FAA96121B1EC}"/>
            </a:ext>
          </a:extLst>
        </xdr:cNvPr>
        <xdr:cNvSpPr>
          <a:spLocks noChangeAspect="1" noChangeArrowheads="1"/>
        </xdr:cNvSpPr>
      </xdr:nvSpPr>
      <xdr:spPr bwMode="auto">
        <a:xfrm>
          <a:off x="5924550" y="11039475"/>
          <a:ext cx="203200" cy="2006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63</xdr:row>
      <xdr:rowOff>0</xdr:rowOff>
    </xdr:from>
    <xdr:ext cx="203200" cy="200660"/>
    <xdr:sp macro="" textlink="">
      <xdr:nvSpPr>
        <xdr:cNvPr id="41" name="AutoShape 5" descr="Task">
          <a:extLst>
            <a:ext uri="{FF2B5EF4-FFF2-40B4-BE49-F238E27FC236}">
              <a16:creationId xmlns:a16="http://schemas.microsoft.com/office/drawing/2014/main" id="{11655B43-37E1-4C6B-BFFE-FA98E82829CC}"/>
            </a:ext>
          </a:extLst>
        </xdr:cNvPr>
        <xdr:cNvSpPr>
          <a:spLocks noChangeAspect="1" noChangeArrowheads="1"/>
        </xdr:cNvSpPr>
      </xdr:nvSpPr>
      <xdr:spPr bwMode="auto">
        <a:xfrm>
          <a:off x="5924550" y="11210925"/>
          <a:ext cx="203200" cy="2006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63</xdr:row>
      <xdr:rowOff>0</xdr:rowOff>
    </xdr:from>
    <xdr:ext cx="203200" cy="200660"/>
    <xdr:sp macro="" textlink="">
      <xdr:nvSpPr>
        <xdr:cNvPr id="42" name="AutoShape 3" descr="Task">
          <a:extLst>
            <a:ext uri="{FF2B5EF4-FFF2-40B4-BE49-F238E27FC236}">
              <a16:creationId xmlns:a16="http://schemas.microsoft.com/office/drawing/2014/main" id="{CC116534-1705-4184-824A-7D4A8C33546B}"/>
            </a:ext>
          </a:extLst>
        </xdr:cNvPr>
        <xdr:cNvSpPr>
          <a:spLocks noChangeAspect="1" noChangeArrowheads="1"/>
        </xdr:cNvSpPr>
      </xdr:nvSpPr>
      <xdr:spPr bwMode="auto">
        <a:xfrm>
          <a:off x="5924550" y="11210925"/>
          <a:ext cx="203200" cy="2006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64</xdr:row>
      <xdr:rowOff>0</xdr:rowOff>
    </xdr:from>
    <xdr:ext cx="203200" cy="200660"/>
    <xdr:sp macro="" textlink="">
      <xdr:nvSpPr>
        <xdr:cNvPr id="43" name="AutoShape 5" descr="Task">
          <a:extLst>
            <a:ext uri="{FF2B5EF4-FFF2-40B4-BE49-F238E27FC236}">
              <a16:creationId xmlns:a16="http://schemas.microsoft.com/office/drawing/2014/main" id="{D8D5D7ED-97D1-4ED6-BF06-9D1E5976204E}"/>
            </a:ext>
          </a:extLst>
        </xdr:cNvPr>
        <xdr:cNvSpPr>
          <a:spLocks noChangeAspect="1" noChangeArrowheads="1"/>
        </xdr:cNvSpPr>
      </xdr:nvSpPr>
      <xdr:spPr bwMode="auto">
        <a:xfrm>
          <a:off x="5924550" y="11382375"/>
          <a:ext cx="203200" cy="2006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64</xdr:row>
      <xdr:rowOff>0</xdr:rowOff>
    </xdr:from>
    <xdr:ext cx="203200" cy="200660"/>
    <xdr:sp macro="" textlink="">
      <xdr:nvSpPr>
        <xdr:cNvPr id="44" name="AutoShape 3" descr="Task">
          <a:extLst>
            <a:ext uri="{FF2B5EF4-FFF2-40B4-BE49-F238E27FC236}">
              <a16:creationId xmlns:a16="http://schemas.microsoft.com/office/drawing/2014/main" id="{98A5E1B2-58D3-4A09-8A18-C9DC609F0075}"/>
            </a:ext>
          </a:extLst>
        </xdr:cNvPr>
        <xdr:cNvSpPr>
          <a:spLocks noChangeAspect="1" noChangeArrowheads="1"/>
        </xdr:cNvSpPr>
      </xdr:nvSpPr>
      <xdr:spPr bwMode="auto">
        <a:xfrm>
          <a:off x="5924550" y="11382375"/>
          <a:ext cx="203200" cy="2006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65</xdr:row>
      <xdr:rowOff>0</xdr:rowOff>
    </xdr:from>
    <xdr:ext cx="203200" cy="200660"/>
    <xdr:sp macro="" textlink="">
      <xdr:nvSpPr>
        <xdr:cNvPr id="45" name="AutoShape 5" descr="Task">
          <a:extLst>
            <a:ext uri="{FF2B5EF4-FFF2-40B4-BE49-F238E27FC236}">
              <a16:creationId xmlns:a16="http://schemas.microsoft.com/office/drawing/2014/main" id="{06782531-2279-466A-AF09-6AFA0F1A1B49}"/>
            </a:ext>
          </a:extLst>
        </xdr:cNvPr>
        <xdr:cNvSpPr>
          <a:spLocks noChangeAspect="1" noChangeArrowheads="1"/>
        </xdr:cNvSpPr>
      </xdr:nvSpPr>
      <xdr:spPr bwMode="auto">
        <a:xfrm>
          <a:off x="5924550" y="11553825"/>
          <a:ext cx="203200" cy="2006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65</xdr:row>
      <xdr:rowOff>0</xdr:rowOff>
    </xdr:from>
    <xdr:ext cx="203200" cy="200660"/>
    <xdr:sp macro="" textlink="">
      <xdr:nvSpPr>
        <xdr:cNvPr id="46" name="AutoShape 3" descr="Task">
          <a:extLst>
            <a:ext uri="{FF2B5EF4-FFF2-40B4-BE49-F238E27FC236}">
              <a16:creationId xmlns:a16="http://schemas.microsoft.com/office/drawing/2014/main" id="{BA042DE5-60A4-4AFD-BD3F-D91585EF16B9}"/>
            </a:ext>
          </a:extLst>
        </xdr:cNvPr>
        <xdr:cNvSpPr>
          <a:spLocks noChangeAspect="1" noChangeArrowheads="1"/>
        </xdr:cNvSpPr>
      </xdr:nvSpPr>
      <xdr:spPr bwMode="auto">
        <a:xfrm>
          <a:off x="5924550" y="11553825"/>
          <a:ext cx="203200" cy="2006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66</xdr:row>
      <xdr:rowOff>0</xdr:rowOff>
    </xdr:from>
    <xdr:ext cx="203200" cy="200660"/>
    <xdr:sp macro="" textlink="">
      <xdr:nvSpPr>
        <xdr:cNvPr id="47" name="AutoShape 5" descr="Task">
          <a:extLst>
            <a:ext uri="{FF2B5EF4-FFF2-40B4-BE49-F238E27FC236}">
              <a16:creationId xmlns:a16="http://schemas.microsoft.com/office/drawing/2014/main" id="{D13209FB-CD91-4B00-A0B5-2A0D5506848F}"/>
            </a:ext>
          </a:extLst>
        </xdr:cNvPr>
        <xdr:cNvSpPr>
          <a:spLocks noChangeAspect="1" noChangeArrowheads="1"/>
        </xdr:cNvSpPr>
      </xdr:nvSpPr>
      <xdr:spPr bwMode="auto">
        <a:xfrm>
          <a:off x="5924550" y="11725275"/>
          <a:ext cx="203200" cy="2006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66</xdr:row>
      <xdr:rowOff>0</xdr:rowOff>
    </xdr:from>
    <xdr:ext cx="203200" cy="200660"/>
    <xdr:sp macro="" textlink="">
      <xdr:nvSpPr>
        <xdr:cNvPr id="48" name="AutoShape 3" descr="Task">
          <a:extLst>
            <a:ext uri="{FF2B5EF4-FFF2-40B4-BE49-F238E27FC236}">
              <a16:creationId xmlns:a16="http://schemas.microsoft.com/office/drawing/2014/main" id="{F0102176-237C-4CB8-A441-13ED0A1EF190}"/>
            </a:ext>
          </a:extLst>
        </xdr:cNvPr>
        <xdr:cNvSpPr>
          <a:spLocks noChangeAspect="1" noChangeArrowheads="1"/>
        </xdr:cNvSpPr>
      </xdr:nvSpPr>
      <xdr:spPr bwMode="auto">
        <a:xfrm>
          <a:off x="5924550" y="11725275"/>
          <a:ext cx="203200" cy="2006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xdr:col>
      <xdr:colOff>0</xdr:colOff>
      <xdr:row>72</xdr:row>
      <xdr:rowOff>0</xdr:rowOff>
    </xdr:from>
    <xdr:to>
      <xdr:col>3</xdr:col>
      <xdr:colOff>304800</xdr:colOff>
      <xdr:row>73</xdr:row>
      <xdr:rowOff>137160</xdr:rowOff>
    </xdr:to>
    <xdr:sp macro="" textlink="">
      <xdr:nvSpPr>
        <xdr:cNvPr id="49" name="AutoShape 4">
          <a:extLst>
            <a:ext uri="{FF2B5EF4-FFF2-40B4-BE49-F238E27FC236}">
              <a16:creationId xmlns:a16="http://schemas.microsoft.com/office/drawing/2014/main" id="{5B03C452-FDC5-4ED4-A4AB-DC32D6598177}"/>
            </a:ext>
          </a:extLst>
        </xdr:cNvPr>
        <xdr:cNvSpPr>
          <a:spLocks noChangeAspect="1" noChangeArrowheads="1"/>
        </xdr:cNvSpPr>
      </xdr:nvSpPr>
      <xdr:spPr bwMode="auto">
        <a:xfrm>
          <a:off x="6953250" y="1275397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73</xdr:row>
      <xdr:rowOff>0</xdr:rowOff>
    </xdr:from>
    <xdr:to>
      <xdr:col>3</xdr:col>
      <xdr:colOff>304800</xdr:colOff>
      <xdr:row>74</xdr:row>
      <xdr:rowOff>137160</xdr:rowOff>
    </xdr:to>
    <xdr:sp macro="" textlink="">
      <xdr:nvSpPr>
        <xdr:cNvPr id="50" name="AutoShape 6">
          <a:extLst>
            <a:ext uri="{FF2B5EF4-FFF2-40B4-BE49-F238E27FC236}">
              <a16:creationId xmlns:a16="http://schemas.microsoft.com/office/drawing/2014/main" id="{39147A8C-8233-485B-9B7D-B93F8BF8EE27}"/>
            </a:ext>
          </a:extLst>
        </xdr:cNvPr>
        <xdr:cNvSpPr>
          <a:spLocks noChangeAspect="1" noChangeArrowheads="1"/>
        </xdr:cNvSpPr>
      </xdr:nvSpPr>
      <xdr:spPr bwMode="auto">
        <a:xfrm>
          <a:off x="6953250" y="1292542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74</xdr:row>
      <xdr:rowOff>0</xdr:rowOff>
    </xdr:from>
    <xdr:to>
      <xdr:col>3</xdr:col>
      <xdr:colOff>304800</xdr:colOff>
      <xdr:row>75</xdr:row>
      <xdr:rowOff>137160</xdr:rowOff>
    </xdr:to>
    <xdr:sp macro="" textlink="">
      <xdr:nvSpPr>
        <xdr:cNvPr id="51" name="AutoShape 8">
          <a:extLst>
            <a:ext uri="{FF2B5EF4-FFF2-40B4-BE49-F238E27FC236}">
              <a16:creationId xmlns:a16="http://schemas.microsoft.com/office/drawing/2014/main" id="{4A5B9B8E-5FE8-4E57-AABB-79F73F1074CF}"/>
            </a:ext>
          </a:extLst>
        </xdr:cNvPr>
        <xdr:cNvSpPr>
          <a:spLocks noChangeAspect="1" noChangeArrowheads="1"/>
        </xdr:cNvSpPr>
      </xdr:nvSpPr>
      <xdr:spPr bwMode="auto">
        <a:xfrm>
          <a:off x="6953250" y="1309687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75</xdr:row>
      <xdr:rowOff>0</xdr:rowOff>
    </xdr:from>
    <xdr:to>
      <xdr:col>2</xdr:col>
      <xdr:colOff>152400</xdr:colOff>
      <xdr:row>75</xdr:row>
      <xdr:rowOff>152400</xdr:rowOff>
    </xdr:to>
    <xdr:sp macro="" textlink="">
      <xdr:nvSpPr>
        <xdr:cNvPr id="52" name="AutoShape 9" descr="Bug">
          <a:extLst>
            <a:ext uri="{FF2B5EF4-FFF2-40B4-BE49-F238E27FC236}">
              <a16:creationId xmlns:a16="http://schemas.microsoft.com/office/drawing/2014/main" id="{C1FE38F7-170D-421D-AF61-E73921830E88}"/>
            </a:ext>
          </a:extLst>
        </xdr:cNvPr>
        <xdr:cNvSpPr>
          <a:spLocks noChangeAspect="1" noChangeArrowheads="1"/>
        </xdr:cNvSpPr>
      </xdr:nvSpPr>
      <xdr:spPr bwMode="auto">
        <a:xfrm>
          <a:off x="5924550" y="1326832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75</xdr:row>
      <xdr:rowOff>0</xdr:rowOff>
    </xdr:from>
    <xdr:to>
      <xdr:col>3</xdr:col>
      <xdr:colOff>304800</xdr:colOff>
      <xdr:row>76</xdr:row>
      <xdr:rowOff>137160</xdr:rowOff>
    </xdr:to>
    <xdr:sp macro="" textlink="">
      <xdr:nvSpPr>
        <xdr:cNvPr id="53" name="AutoShape 10">
          <a:extLst>
            <a:ext uri="{FF2B5EF4-FFF2-40B4-BE49-F238E27FC236}">
              <a16:creationId xmlns:a16="http://schemas.microsoft.com/office/drawing/2014/main" id="{A4D15248-2D57-4027-B408-B7F83CFD96A2}"/>
            </a:ext>
          </a:extLst>
        </xdr:cNvPr>
        <xdr:cNvSpPr>
          <a:spLocks noChangeAspect="1" noChangeArrowheads="1"/>
        </xdr:cNvSpPr>
      </xdr:nvSpPr>
      <xdr:spPr bwMode="auto">
        <a:xfrm>
          <a:off x="6953250" y="1326832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76</xdr:row>
      <xdr:rowOff>0</xdr:rowOff>
    </xdr:from>
    <xdr:to>
      <xdr:col>3</xdr:col>
      <xdr:colOff>304800</xdr:colOff>
      <xdr:row>77</xdr:row>
      <xdr:rowOff>137160</xdr:rowOff>
    </xdr:to>
    <xdr:sp macro="" textlink="">
      <xdr:nvSpPr>
        <xdr:cNvPr id="54" name="AutoShape 12">
          <a:extLst>
            <a:ext uri="{FF2B5EF4-FFF2-40B4-BE49-F238E27FC236}">
              <a16:creationId xmlns:a16="http://schemas.microsoft.com/office/drawing/2014/main" id="{1F802243-963B-4864-9B0A-360CD5776F91}"/>
            </a:ext>
          </a:extLst>
        </xdr:cNvPr>
        <xdr:cNvSpPr>
          <a:spLocks noChangeAspect="1" noChangeArrowheads="1"/>
        </xdr:cNvSpPr>
      </xdr:nvSpPr>
      <xdr:spPr bwMode="auto">
        <a:xfrm>
          <a:off x="6953250" y="1343977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77</xdr:row>
      <xdr:rowOff>0</xdr:rowOff>
    </xdr:from>
    <xdr:to>
      <xdr:col>3</xdr:col>
      <xdr:colOff>304800</xdr:colOff>
      <xdr:row>78</xdr:row>
      <xdr:rowOff>137160</xdr:rowOff>
    </xdr:to>
    <xdr:sp macro="" textlink="">
      <xdr:nvSpPr>
        <xdr:cNvPr id="55" name="AutoShape 14">
          <a:extLst>
            <a:ext uri="{FF2B5EF4-FFF2-40B4-BE49-F238E27FC236}">
              <a16:creationId xmlns:a16="http://schemas.microsoft.com/office/drawing/2014/main" id="{F3C36E40-669A-4C67-B4D3-710537DC082E}"/>
            </a:ext>
          </a:extLst>
        </xdr:cNvPr>
        <xdr:cNvSpPr>
          <a:spLocks noChangeAspect="1" noChangeArrowheads="1"/>
        </xdr:cNvSpPr>
      </xdr:nvSpPr>
      <xdr:spPr bwMode="auto">
        <a:xfrm>
          <a:off x="6953250" y="1361122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78</xdr:row>
      <xdr:rowOff>0</xdr:rowOff>
    </xdr:from>
    <xdr:to>
      <xdr:col>3</xdr:col>
      <xdr:colOff>304800</xdr:colOff>
      <xdr:row>79</xdr:row>
      <xdr:rowOff>137160</xdr:rowOff>
    </xdr:to>
    <xdr:sp macro="" textlink="">
      <xdr:nvSpPr>
        <xdr:cNvPr id="56" name="AutoShape 16">
          <a:extLst>
            <a:ext uri="{FF2B5EF4-FFF2-40B4-BE49-F238E27FC236}">
              <a16:creationId xmlns:a16="http://schemas.microsoft.com/office/drawing/2014/main" id="{8DCE86E5-F11F-43DB-A771-113C69D27FED}"/>
            </a:ext>
          </a:extLst>
        </xdr:cNvPr>
        <xdr:cNvSpPr>
          <a:spLocks noChangeAspect="1" noChangeArrowheads="1"/>
        </xdr:cNvSpPr>
      </xdr:nvSpPr>
      <xdr:spPr bwMode="auto">
        <a:xfrm>
          <a:off x="6953250" y="1378267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79</xdr:row>
      <xdr:rowOff>0</xdr:rowOff>
    </xdr:from>
    <xdr:to>
      <xdr:col>3</xdr:col>
      <xdr:colOff>304800</xdr:colOff>
      <xdr:row>80</xdr:row>
      <xdr:rowOff>137160</xdr:rowOff>
    </xdr:to>
    <xdr:sp macro="" textlink="">
      <xdr:nvSpPr>
        <xdr:cNvPr id="57" name="AutoShape 18">
          <a:extLst>
            <a:ext uri="{FF2B5EF4-FFF2-40B4-BE49-F238E27FC236}">
              <a16:creationId xmlns:a16="http://schemas.microsoft.com/office/drawing/2014/main" id="{2950601A-F98F-4BA3-BF7D-F2DC18C1D063}"/>
            </a:ext>
          </a:extLst>
        </xdr:cNvPr>
        <xdr:cNvSpPr>
          <a:spLocks noChangeAspect="1" noChangeArrowheads="1"/>
        </xdr:cNvSpPr>
      </xdr:nvSpPr>
      <xdr:spPr bwMode="auto">
        <a:xfrm>
          <a:off x="6953250" y="1395412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80</xdr:row>
      <xdr:rowOff>0</xdr:rowOff>
    </xdr:from>
    <xdr:to>
      <xdr:col>3</xdr:col>
      <xdr:colOff>304800</xdr:colOff>
      <xdr:row>81</xdr:row>
      <xdr:rowOff>137160</xdr:rowOff>
    </xdr:to>
    <xdr:sp macro="" textlink="">
      <xdr:nvSpPr>
        <xdr:cNvPr id="58" name="AutoShape 20">
          <a:extLst>
            <a:ext uri="{FF2B5EF4-FFF2-40B4-BE49-F238E27FC236}">
              <a16:creationId xmlns:a16="http://schemas.microsoft.com/office/drawing/2014/main" id="{3795ABFF-B5EA-45A2-9DBE-DC626212DC52}"/>
            </a:ext>
          </a:extLst>
        </xdr:cNvPr>
        <xdr:cNvSpPr>
          <a:spLocks noChangeAspect="1" noChangeArrowheads="1"/>
        </xdr:cNvSpPr>
      </xdr:nvSpPr>
      <xdr:spPr bwMode="auto">
        <a:xfrm>
          <a:off x="6953250" y="1412557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81</xdr:row>
      <xdr:rowOff>0</xdr:rowOff>
    </xdr:from>
    <xdr:to>
      <xdr:col>3</xdr:col>
      <xdr:colOff>304800</xdr:colOff>
      <xdr:row>82</xdr:row>
      <xdr:rowOff>137160</xdr:rowOff>
    </xdr:to>
    <xdr:sp macro="" textlink="">
      <xdr:nvSpPr>
        <xdr:cNvPr id="59" name="AutoShape 22">
          <a:extLst>
            <a:ext uri="{FF2B5EF4-FFF2-40B4-BE49-F238E27FC236}">
              <a16:creationId xmlns:a16="http://schemas.microsoft.com/office/drawing/2014/main" id="{C323A1FF-FDBA-49E6-A9C4-D3C17CC72A4E}"/>
            </a:ext>
          </a:extLst>
        </xdr:cNvPr>
        <xdr:cNvSpPr>
          <a:spLocks noChangeAspect="1" noChangeArrowheads="1"/>
        </xdr:cNvSpPr>
      </xdr:nvSpPr>
      <xdr:spPr bwMode="auto">
        <a:xfrm>
          <a:off x="6953250" y="1429702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82</xdr:row>
      <xdr:rowOff>0</xdr:rowOff>
    </xdr:from>
    <xdr:to>
      <xdr:col>3</xdr:col>
      <xdr:colOff>304800</xdr:colOff>
      <xdr:row>83</xdr:row>
      <xdr:rowOff>137160</xdr:rowOff>
    </xdr:to>
    <xdr:sp macro="" textlink="">
      <xdr:nvSpPr>
        <xdr:cNvPr id="60" name="AutoShape 24">
          <a:extLst>
            <a:ext uri="{FF2B5EF4-FFF2-40B4-BE49-F238E27FC236}">
              <a16:creationId xmlns:a16="http://schemas.microsoft.com/office/drawing/2014/main" id="{55DDD77E-D1EC-4CCF-99D4-4F90B80E2C51}"/>
            </a:ext>
          </a:extLst>
        </xdr:cNvPr>
        <xdr:cNvSpPr>
          <a:spLocks noChangeAspect="1" noChangeArrowheads="1"/>
        </xdr:cNvSpPr>
      </xdr:nvSpPr>
      <xdr:spPr bwMode="auto">
        <a:xfrm>
          <a:off x="6953250" y="1446847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83</xdr:row>
      <xdr:rowOff>0</xdr:rowOff>
    </xdr:from>
    <xdr:to>
      <xdr:col>3</xdr:col>
      <xdr:colOff>304800</xdr:colOff>
      <xdr:row>84</xdr:row>
      <xdr:rowOff>137160</xdr:rowOff>
    </xdr:to>
    <xdr:sp macro="" textlink="">
      <xdr:nvSpPr>
        <xdr:cNvPr id="61" name="AutoShape 26">
          <a:extLst>
            <a:ext uri="{FF2B5EF4-FFF2-40B4-BE49-F238E27FC236}">
              <a16:creationId xmlns:a16="http://schemas.microsoft.com/office/drawing/2014/main" id="{D5D09D4C-98AD-4070-88BF-50D577CD0009}"/>
            </a:ext>
          </a:extLst>
        </xdr:cNvPr>
        <xdr:cNvSpPr>
          <a:spLocks noChangeAspect="1" noChangeArrowheads="1"/>
        </xdr:cNvSpPr>
      </xdr:nvSpPr>
      <xdr:spPr bwMode="auto">
        <a:xfrm>
          <a:off x="6953250" y="1463992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84</xdr:row>
      <xdr:rowOff>0</xdr:rowOff>
    </xdr:from>
    <xdr:to>
      <xdr:col>3</xdr:col>
      <xdr:colOff>304800</xdr:colOff>
      <xdr:row>85</xdr:row>
      <xdr:rowOff>137160</xdr:rowOff>
    </xdr:to>
    <xdr:sp macro="" textlink="">
      <xdr:nvSpPr>
        <xdr:cNvPr id="62" name="AutoShape 28">
          <a:extLst>
            <a:ext uri="{FF2B5EF4-FFF2-40B4-BE49-F238E27FC236}">
              <a16:creationId xmlns:a16="http://schemas.microsoft.com/office/drawing/2014/main" id="{0F7E1D94-7477-438A-BFD3-1E7E9598DA2B}"/>
            </a:ext>
          </a:extLst>
        </xdr:cNvPr>
        <xdr:cNvSpPr>
          <a:spLocks noChangeAspect="1" noChangeArrowheads="1"/>
        </xdr:cNvSpPr>
      </xdr:nvSpPr>
      <xdr:spPr bwMode="auto">
        <a:xfrm>
          <a:off x="6953250" y="1481137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85</xdr:row>
      <xdr:rowOff>0</xdr:rowOff>
    </xdr:from>
    <xdr:to>
      <xdr:col>2</xdr:col>
      <xdr:colOff>152400</xdr:colOff>
      <xdr:row>85</xdr:row>
      <xdr:rowOff>152400</xdr:rowOff>
    </xdr:to>
    <xdr:sp macro="" textlink="">
      <xdr:nvSpPr>
        <xdr:cNvPr id="63" name="AutoShape 29" descr="Task">
          <a:extLst>
            <a:ext uri="{FF2B5EF4-FFF2-40B4-BE49-F238E27FC236}">
              <a16:creationId xmlns:a16="http://schemas.microsoft.com/office/drawing/2014/main" id="{4AD02E41-295A-4898-9270-16B3D25BD09C}"/>
            </a:ext>
          </a:extLst>
        </xdr:cNvPr>
        <xdr:cNvSpPr>
          <a:spLocks noChangeAspect="1" noChangeArrowheads="1"/>
        </xdr:cNvSpPr>
      </xdr:nvSpPr>
      <xdr:spPr bwMode="auto">
        <a:xfrm>
          <a:off x="5924550" y="1498282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85</xdr:row>
      <xdr:rowOff>0</xdr:rowOff>
    </xdr:from>
    <xdr:to>
      <xdr:col>3</xdr:col>
      <xdr:colOff>304800</xdr:colOff>
      <xdr:row>86</xdr:row>
      <xdr:rowOff>137160</xdr:rowOff>
    </xdr:to>
    <xdr:sp macro="" textlink="">
      <xdr:nvSpPr>
        <xdr:cNvPr id="64" name="AutoShape 30">
          <a:extLst>
            <a:ext uri="{FF2B5EF4-FFF2-40B4-BE49-F238E27FC236}">
              <a16:creationId xmlns:a16="http://schemas.microsoft.com/office/drawing/2014/main" id="{D7C8EAE8-57AD-4171-BDC6-D3677AA61EFD}"/>
            </a:ext>
          </a:extLst>
        </xdr:cNvPr>
        <xdr:cNvSpPr>
          <a:spLocks noChangeAspect="1" noChangeArrowheads="1"/>
        </xdr:cNvSpPr>
      </xdr:nvSpPr>
      <xdr:spPr bwMode="auto">
        <a:xfrm>
          <a:off x="6953250" y="1498282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86</xdr:row>
      <xdr:rowOff>0</xdr:rowOff>
    </xdr:from>
    <xdr:to>
      <xdr:col>3</xdr:col>
      <xdr:colOff>304800</xdr:colOff>
      <xdr:row>87</xdr:row>
      <xdr:rowOff>137160</xdr:rowOff>
    </xdr:to>
    <xdr:sp macro="" textlink="">
      <xdr:nvSpPr>
        <xdr:cNvPr id="65" name="AutoShape 32">
          <a:extLst>
            <a:ext uri="{FF2B5EF4-FFF2-40B4-BE49-F238E27FC236}">
              <a16:creationId xmlns:a16="http://schemas.microsoft.com/office/drawing/2014/main" id="{DDB09368-3439-429D-91E2-E822DCFC909C}"/>
            </a:ext>
          </a:extLst>
        </xdr:cNvPr>
        <xdr:cNvSpPr>
          <a:spLocks noChangeAspect="1" noChangeArrowheads="1"/>
        </xdr:cNvSpPr>
      </xdr:nvSpPr>
      <xdr:spPr bwMode="auto">
        <a:xfrm>
          <a:off x="6953250" y="1515427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87</xdr:row>
      <xdr:rowOff>0</xdr:rowOff>
    </xdr:from>
    <xdr:to>
      <xdr:col>3</xdr:col>
      <xdr:colOff>304800</xdr:colOff>
      <xdr:row>88</xdr:row>
      <xdr:rowOff>137160</xdr:rowOff>
    </xdr:to>
    <xdr:sp macro="" textlink="">
      <xdr:nvSpPr>
        <xdr:cNvPr id="66" name="AutoShape 34">
          <a:extLst>
            <a:ext uri="{FF2B5EF4-FFF2-40B4-BE49-F238E27FC236}">
              <a16:creationId xmlns:a16="http://schemas.microsoft.com/office/drawing/2014/main" id="{CBF6A750-79D3-4EF1-A1A3-090B2440962E}"/>
            </a:ext>
          </a:extLst>
        </xdr:cNvPr>
        <xdr:cNvSpPr>
          <a:spLocks noChangeAspect="1" noChangeArrowheads="1"/>
        </xdr:cNvSpPr>
      </xdr:nvSpPr>
      <xdr:spPr bwMode="auto">
        <a:xfrm>
          <a:off x="6953250" y="1532572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88</xdr:row>
      <xdr:rowOff>0</xdr:rowOff>
    </xdr:from>
    <xdr:to>
      <xdr:col>3</xdr:col>
      <xdr:colOff>304800</xdr:colOff>
      <xdr:row>89</xdr:row>
      <xdr:rowOff>137160</xdr:rowOff>
    </xdr:to>
    <xdr:sp macro="" textlink="">
      <xdr:nvSpPr>
        <xdr:cNvPr id="67" name="AutoShape 36">
          <a:extLst>
            <a:ext uri="{FF2B5EF4-FFF2-40B4-BE49-F238E27FC236}">
              <a16:creationId xmlns:a16="http://schemas.microsoft.com/office/drawing/2014/main" id="{EFBA67DF-821C-4075-9C02-C20C69F1A9B8}"/>
            </a:ext>
          </a:extLst>
        </xdr:cNvPr>
        <xdr:cNvSpPr>
          <a:spLocks noChangeAspect="1" noChangeArrowheads="1"/>
        </xdr:cNvSpPr>
      </xdr:nvSpPr>
      <xdr:spPr bwMode="auto">
        <a:xfrm>
          <a:off x="6953250" y="1549717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89</xdr:row>
      <xdr:rowOff>0</xdr:rowOff>
    </xdr:from>
    <xdr:to>
      <xdr:col>3</xdr:col>
      <xdr:colOff>304800</xdr:colOff>
      <xdr:row>90</xdr:row>
      <xdr:rowOff>137160</xdr:rowOff>
    </xdr:to>
    <xdr:sp macro="" textlink="">
      <xdr:nvSpPr>
        <xdr:cNvPr id="68" name="AutoShape 38">
          <a:extLst>
            <a:ext uri="{FF2B5EF4-FFF2-40B4-BE49-F238E27FC236}">
              <a16:creationId xmlns:a16="http://schemas.microsoft.com/office/drawing/2014/main" id="{1D6FB418-1322-400F-BE84-98B304AAB78B}"/>
            </a:ext>
          </a:extLst>
        </xdr:cNvPr>
        <xdr:cNvSpPr>
          <a:spLocks noChangeAspect="1" noChangeArrowheads="1"/>
        </xdr:cNvSpPr>
      </xdr:nvSpPr>
      <xdr:spPr bwMode="auto">
        <a:xfrm>
          <a:off x="6953250" y="1566862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90</xdr:row>
      <xdr:rowOff>0</xdr:rowOff>
    </xdr:from>
    <xdr:to>
      <xdr:col>3</xdr:col>
      <xdr:colOff>304800</xdr:colOff>
      <xdr:row>91</xdr:row>
      <xdr:rowOff>137160</xdr:rowOff>
    </xdr:to>
    <xdr:sp macro="" textlink="">
      <xdr:nvSpPr>
        <xdr:cNvPr id="69" name="AutoShape 40">
          <a:extLst>
            <a:ext uri="{FF2B5EF4-FFF2-40B4-BE49-F238E27FC236}">
              <a16:creationId xmlns:a16="http://schemas.microsoft.com/office/drawing/2014/main" id="{7D0CCF76-B168-4962-A1C3-C72D9647614B}"/>
            </a:ext>
          </a:extLst>
        </xdr:cNvPr>
        <xdr:cNvSpPr>
          <a:spLocks noChangeAspect="1" noChangeArrowheads="1"/>
        </xdr:cNvSpPr>
      </xdr:nvSpPr>
      <xdr:spPr bwMode="auto">
        <a:xfrm>
          <a:off x="6953250" y="1584007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91</xdr:row>
      <xdr:rowOff>0</xdr:rowOff>
    </xdr:from>
    <xdr:to>
      <xdr:col>3</xdr:col>
      <xdr:colOff>304800</xdr:colOff>
      <xdr:row>92</xdr:row>
      <xdr:rowOff>137160</xdr:rowOff>
    </xdr:to>
    <xdr:sp macro="" textlink="">
      <xdr:nvSpPr>
        <xdr:cNvPr id="70" name="AutoShape 42">
          <a:extLst>
            <a:ext uri="{FF2B5EF4-FFF2-40B4-BE49-F238E27FC236}">
              <a16:creationId xmlns:a16="http://schemas.microsoft.com/office/drawing/2014/main" id="{2C7620A0-7568-4567-B5C0-59621AA9CAF5}"/>
            </a:ext>
          </a:extLst>
        </xdr:cNvPr>
        <xdr:cNvSpPr>
          <a:spLocks noChangeAspect="1" noChangeArrowheads="1"/>
        </xdr:cNvSpPr>
      </xdr:nvSpPr>
      <xdr:spPr bwMode="auto">
        <a:xfrm>
          <a:off x="6953250" y="1601152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92</xdr:row>
      <xdr:rowOff>0</xdr:rowOff>
    </xdr:from>
    <xdr:to>
      <xdr:col>3</xdr:col>
      <xdr:colOff>304800</xdr:colOff>
      <xdr:row>93</xdr:row>
      <xdr:rowOff>137160</xdr:rowOff>
    </xdr:to>
    <xdr:sp macro="" textlink="">
      <xdr:nvSpPr>
        <xdr:cNvPr id="71" name="AutoShape 44">
          <a:extLst>
            <a:ext uri="{FF2B5EF4-FFF2-40B4-BE49-F238E27FC236}">
              <a16:creationId xmlns:a16="http://schemas.microsoft.com/office/drawing/2014/main" id="{D9A10F37-95D5-4EB1-880E-3888E9DD977D}"/>
            </a:ext>
          </a:extLst>
        </xdr:cNvPr>
        <xdr:cNvSpPr>
          <a:spLocks noChangeAspect="1" noChangeArrowheads="1"/>
        </xdr:cNvSpPr>
      </xdr:nvSpPr>
      <xdr:spPr bwMode="auto">
        <a:xfrm>
          <a:off x="6953250" y="16182975"/>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gebit365.sharepoint.com/sites/team_as_warp-Projektleitung/Freigegebene%20Dokumente/Projektleitung/Budget%20&amp;%20Forecast/Sprintreport/Sprintreport.xlsx" TargetMode="External"/><Relationship Id="rId1" Type="http://schemas.openxmlformats.org/officeDocument/2006/relationships/externalLinkPath" Target="https://gebit365.sharepoint.com/sites/team_as_warp-Projektleitung/Freigegebene%20Dokumente/Projektleitung/Budget%20&amp;%20Forecast/Sprintreport/Sprint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icketsData_CHO"/>
      <sheetName val="ticketsData"/>
      <sheetName val="Backlog Reach"/>
      <sheetName val="data"/>
      <sheetName val="Sprints+Effort"/>
      <sheetName val="KPI Goals"/>
      <sheetName val="Velocity1"/>
      <sheetName val="Velocity2"/>
      <sheetName val="Velocity3"/>
      <sheetName val="Sprint Bugfixing Effort"/>
      <sheetName val="Sprint_nnn"/>
      <sheetName val="Sprint_3.6"/>
      <sheetName val="Sprint_318"/>
      <sheetName val="Sprint_317"/>
      <sheetName val="Sprint_316"/>
      <sheetName val="Sprint_315"/>
      <sheetName val="Sprint_314"/>
      <sheetName val="Sprint_313"/>
      <sheetName val="Sprint_312"/>
      <sheetName val="Sprint_311"/>
      <sheetName val="Sprint_310"/>
      <sheetName val="Sprint_309"/>
      <sheetName val="Sprint_308"/>
      <sheetName val="Sprint_307"/>
      <sheetName val="Sprint_306"/>
      <sheetName val="Sprint_305"/>
      <sheetName val="Sprint_304"/>
      <sheetName val="Sprint_303"/>
      <sheetName val="Sprint_302"/>
      <sheetName val="Sprint_301"/>
      <sheetName val="Sprint_227"/>
      <sheetName val="Sprint_226"/>
      <sheetName val="Sprint_225"/>
      <sheetName val="Sprint_224"/>
      <sheetName val="Sprint_223"/>
      <sheetName val="Sprint_222"/>
      <sheetName val="Sprint_221"/>
      <sheetName val="Sprint_220"/>
      <sheetName val="Sprint_219"/>
      <sheetName val="Sprint_218"/>
      <sheetName val="Sprint_217"/>
      <sheetName val="Sprint_216"/>
      <sheetName val="Sprint_215"/>
      <sheetName val="Sprint_214"/>
      <sheetName val="Sprint_213"/>
      <sheetName val="Sprint_212"/>
      <sheetName val="Sprint_211"/>
      <sheetName val="Sprint_210"/>
      <sheetName val="Sprint_209"/>
      <sheetName val="Sprint_208"/>
      <sheetName val="Sprint_207"/>
      <sheetName val="Sprint_206"/>
      <sheetName val="Sprint_205"/>
      <sheetName val="Sprint_204"/>
      <sheetName val="Sprint_203"/>
      <sheetName val="Sprint_202"/>
      <sheetName val="Sprint_201"/>
      <sheetName val="Sprint_117"/>
      <sheetName val="Sprint_116"/>
      <sheetName val="Sprint_115"/>
      <sheetName val="Sprint_114"/>
      <sheetName val="Sprint_113"/>
      <sheetName val="Sprint_112"/>
      <sheetName val="Sprint_111"/>
      <sheetName val="Sprint_110"/>
      <sheetName val="Sprint_109"/>
      <sheetName val="Sprint_108"/>
      <sheetName val="Sprint_107"/>
      <sheetName val="Sprint_106"/>
      <sheetName val="Sprint_105"/>
      <sheetName val="Sprint_104"/>
      <sheetName val="Sprint_103"/>
      <sheetName val="Sprint_102"/>
      <sheetName val="Sprint_32"/>
      <sheetName val="Sprint_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fan Lieser" refreshedDate="45821.454165162038" createdVersion="8" refreshedVersion="8" minRefreshableVersion="3" recordCount="270" xr:uid="{FDE38923-E744-4968-BDD7-2D3510060F4B}">
  <cacheSource type="worksheet">
    <worksheetSource name="Tabelle132456891011121314151617"/>
  </cacheSource>
  <cacheFields count="18">
    <cacheField name="Key" numFmtId="0">
      <sharedItems containsNonDate="0" containsString="0" containsBlank="1"/>
    </cacheField>
    <cacheField name="Summary" numFmtId="0">
      <sharedItems containsNonDate="0" containsString="0" containsBlank="1"/>
    </cacheField>
    <cacheField name="Issue Type" numFmtId="0">
      <sharedItems containsNonDate="0" containsString="0" containsBlank="1"/>
    </cacheField>
    <cacheField name="Priority" numFmtId="0">
      <sharedItems containsNonDate="0" containsString="0" containsBlank="1"/>
    </cacheField>
    <cacheField name="Jira Status" numFmtId="0">
      <sharedItems containsNonDate="0" containsString="0" containsBlank="1"/>
    </cacheField>
    <cacheField name="Jira Story Points" numFmtId="1">
      <sharedItems containsMixedTypes="1" containsNumber="1" containsInteger="1" minValue="5" maxValue="13"/>
    </cacheField>
    <cacheField name="Team" numFmtId="0">
      <sharedItems containsBlank="1" count="11">
        <s v="Vlinder"/>
        <s v="TFS"/>
        <s v="TNT"/>
        <s v="0-Noise"/>
        <s v="TTT"/>
        <s v="Engineering"/>
        <s v="Synergy"/>
        <s v="Sales"/>
        <s v="Papillon"/>
        <s v="Payment"/>
        <m u="1"/>
      </sharedItems>
    </cacheField>
    <cacheField name="Pulled after Start" numFmtId="4">
      <sharedItems containsBlank="1"/>
    </cacheField>
    <cacheField name="Notes" numFmtId="0">
      <sharedItems containsNonDate="0" containsString="0" containsBlank="1"/>
    </cacheField>
    <cacheField name="Epic" numFmtId="0">
      <sharedItems containsBlank="1" count="24">
        <s v="Epic #8"/>
        <s v="Epic #7"/>
        <s v="Epic #4"/>
        <s v="Epic #2"/>
        <s v="Epic #1"/>
        <s v="Epic #9"/>
        <s v="Epic #5"/>
        <s v="Epic #6"/>
        <s v="Epic #3"/>
        <s v="Epic #10"/>
        <m u="1"/>
        <s v="Epic 5" u="1"/>
        <s v="Epic 2" u="1"/>
        <s v="Epic 8" u="1"/>
        <s v="Epic 3" u="1"/>
        <s v="Epic 6" u="1"/>
        <s v="Epic 7" u="1"/>
        <s v="Epic 9" u="1"/>
        <s v="Epic 4" u="1"/>
        <s v="Epic 1" u="1"/>
        <s v="Epic 10" u="1"/>
        <s v="[ANP-25743] Fix critical CHOP SIT/UAT findings" u="1"/>
        <s v="[ANP-22244] Collect Logfiles in /var/log" u="1"/>
        <s v="[ANP-25418] Hypercare for CHOP AT/CH Pilots" u="1"/>
      </sharedItems>
    </cacheField>
    <cacheField name="Status" numFmtId="0">
      <sharedItems/>
    </cacheField>
    <cacheField name="Carry-over" numFmtId="1">
      <sharedItems containsString="0" containsBlank="1" containsNumber="1" containsInteger="1" minValue="0" maxValue="21"/>
    </cacheField>
    <cacheField name="Spill-over" numFmtId="1">
      <sharedItems containsString="0" containsBlank="1" containsNumber="1" containsInteger="1" minValue="0" maxValue="2"/>
    </cacheField>
    <cacheField name="COsSP Initially Planned" numFmtId="1">
      <sharedItems containsSemiMixedTypes="0" containsString="0" containsNumber="1" containsInteger="1" minValue="0" maxValue="13"/>
    </cacheField>
    <cacheField name="COsSP Pulled after Start" numFmtId="1">
      <sharedItems containsSemiMixedTypes="0" containsString="0" containsNumber="1" containsInteger="1" minValue="0" maxValue="21"/>
    </cacheField>
    <cacheField name="CSOsSP Completed" numFmtId="1">
      <sharedItems containsSemiMixedTypes="0" containsString="0" containsNumber="1" containsInteger="1" minValue="-2" maxValue="21"/>
    </cacheField>
    <cacheField name="CSOsSP Removed" numFmtId="1">
      <sharedItems containsSemiMixedTypes="0" containsString="0" containsNumber="1" containsInteger="1" minValue="0" maxValue="21"/>
    </cacheField>
    <cacheField name="CSOsSP Not Completed" numFmtId="1">
      <sharedItems containsSemiMixedTypes="0" containsString="0" containsNumber="1" containsInteger="1" minValue="0" maxValue="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m/>
    <m/>
    <m/>
    <m/>
    <m/>
    <n v="5"/>
    <x v="0"/>
    <s v="yes"/>
    <m/>
    <x v="0"/>
    <s v="Completed"/>
    <n v="0"/>
    <n v="0"/>
    <n v="0"/>
    <n v="0"/>
    <n v="0"/>
    <n v="0"/>
    <n v="0"/>
  </r>
  <r>
    <m/>
    <m/>
    <m/>
    <m/>
    <m/>
    <n v="13"/>
    <x v="1"/>
    <s v="yes"/>
    <m/>
    <x v="1"/>
    <s v="Completed"/>
    <n v="0"/>
    <n v="0"/>
    <n v="0"/>
    <n v="0"/>
    <n v="0"/>
    <n v="0"/>
    <n v="0"/>
  </r>
  <r>
    <m/>
    <m/>
    <m/>
    <m/>
    <m/>
    <s v="-"/>
    <x v="2"/>
    <s v="yes"/>
    <m/>
    <x v="2"/>
    <s v="Completed"/>
    <n v="0"/>
    <n v="0"/>
    <n v="0"/>
    <n v="0"/>
    <n v="0"/>
    <n v="0"/>
    <n v="0"/>
  </r>
  <r>
    <m/>
    <m/>
    <m/>
    <m/>
    <m/>
    <n v="5"/>
    <x v="1"/>
    <s v="yes"/>
    <m/>
    <x v="1"/>
    <s v="Completed"/>
    <n v="3"/>
    <n v="0"/>
    <n v="0"/>
    <n v="3"/>
    <n v="3"/>
    <n v="0"/>
    <n v="0"/>
  </r>
  <r>
    <m/>
    <m/>
    <m/>
    <m/>
    <m/>
    <n v="13"/>
    <x v="1"/>
    <s v="yes"/>
    <m/>
    <x v="3"/>
    <s v="Completed"/>
    <n v="3"/>
    <n v="0"/>
    <n v="0"/>
    <n v="3"/>
    <n v="3"/>
    <n v="0"/>
    <n v="0"/>
  </r>
  <r>
    <m/>
    <m/>
    <m/>
    <m/>
    <m/>
    <s v="-"/>
    <x v="3"/>
    <s v="yes"/>
    <m/>
    <x v="4"/>
    <s v="Completed"/>
    <n v="3"/>
    <n v="0"/>
    <n v="0"/>
    <n v="3"/>
    <n v="3"/>
    <n v="0"/>
    <n v="0"/>
  </r>
  <r>
    <m/>
    <m/>
    <m/>
    <m/>
    <m/>
    <n v="5"/>
    <x v="4"/>
    <s v="yes"/>
    <m/>
    <x v="3"/>
    <s v="Completed"/>
    <n v="8"/>
    <n v="0"/>
    <n v="0"/>
    <n v="8"/>
    <n v="8"/>
    <n v="0"/>
    <n v="0"/>
  </r>
  <r>
    <m/>
    <m/>
    <m/>
    <m/>
    <m/>
    <n v="13"/>
    <x v="2"/>
    <s v="yes"/>
    <m/>
    <x v="0"/>
    <s v="Completed"/>
    <n v="8"/>
    <n v="0"/>
    <n v="0"/>
    <n v="8"/>
    <n v="8"/>
    <n v="0"/>
    <n v="0"/>
  </r>
  <r>
    <m/>
    <m/>
    <m/>
    <m/>
    <m/>
    <s v="-"/>
    <x v="3"/>
    <s v="yes"/>
    <m/>
    <x v="4"/>
    <s v="Completed"/>
    <n v="8"/>
    <n v="0"/>
    <n v="0"/>
    <n v="8"/>
    <n v="8"/>
    <n v="0"/>
    <n v="0"/>
  </r>
  <r>
    <m/>
    <m/>
    <m/>
    <m/>
    <m/>
    <n v="5"/>
    <x v="0"/>
    <s v="yes"/>
    <m/>
    <x v="1"/>
    <s v="Completed"/>
    <n v="21"/>
    <n v="0"/>
    <n v="0"/>
    <n v="21"/>
    <n v="21"/>
    <n v="0"/>
    <n v="0"/>
  </r>
  <r>
    <m/>
    <m/>
    <m/>
    <m/>
    <m/>
    <n v="13"/>
    <x v="4"/>
    <s v="yes"/>
    <m/>
    <x v="2"/>
    <s v="Completed"/>
    <n v="21"/>
    <n v="0"/>
    <n v="0"/>
    <n v="21"/>
    <n v="21"/>
    <n v="0"/>
    <n v="0"/>
  </r>
  <r>
    <m/>
    <m/>
    <m/>
    <m/>
    <m/>
    <s v="-"/>
    <x v="4"/>
    <s v="yes"/>
    <m/>
    <x v="1"/>
    <s v="Completed"/>
    <n v="21"/>
    <n v="0"/>
    <n v="0"/>
    <n v="21"/>
    <n v="21"/>
    <n v="0"/>
    <n v="0"/>
  </r>
  <r>
    <m/>
    <m/>
    <m/>
    <m/>
    <m/>
    <n v="5"/>
    <x v="5"/>
    <s v="yes"/>
    <m/>
    <x v="2"/>
    <s v="Completed"/>
    <m/>
    <n v="0"/>
    <n v="0"/>
    <n v="5"/>
    <n v="5"/>
    <n v="0"/>
    <n v="0"/>
  </r>
  <r>
    <m/>
    <m/>
    <m/>
    <m/>
    <m/>
    <n v="13"/>
    <x v="0"/>
    <s v="yes"/>
    <m/>
    <x v="2"/>
    <s v="Completed"/>
    <m/>
    <n v="0"/>
    <n v="0"/>
    <n v="13"/>
    <n v="13"/>
    <n v="0"/>
    <n v="0"/>
  </r>
  <r>
    <m/>
    <m/>
    <m/>
    <m/>
    <m/>
    <s v="-"/>
    <x v="6"/>
    <s v="yes"/>
    <m/>
    <x v="1"/>
    <s v="Completed"/>
    <m/>
    <n v="0"/>
    <n v="0"/>
    <n v="0"/>
    <n v="0"/>
    <n v="0"/>
    <n v="0"/>
  </r>
  <r>
    <m/>
    <m/>
    <m/>
    <m/>
    <m/>
    <n v="5"/>
    <x v="1"/>
    <s v="yes"/>
    <m/>
    <x v="5"/>
    <s v="Completed"/>
    <n v="0"/>
    <n v="2"/>
    <n v="0"/>
    <n v="0"/>
    <n v="0"/>
    <n v="0"/>
    <n v="0"/>
  </r>
  <r>
    <m/>
    <m/>
    <m/>
    <m/>
    <m/>
    <n v="13"/>
    <x v="5"/>
    <s v="yes"/>
    <m/>
    <x v="4"/>
    <s v="Completed"/>
    <n v="0"/>
    <n v="2"/>
    <n v="0"/>
    <n v="0"/>
    <n v="0"/>
    <n v="0"/>
    <n v="0"/>
  </r>
  <r>
    <m/>
    <m/>
    <m/>
    <m/>
    <m/>
    <s v="-"/>
    <x v="5"/>
    <s v="yes"/>
    <m/>
    <x v="0"/>
    <s v="Completed"/>
    <n v="0"/>
    <n v="2"/>
    <n v="0"/>
    <n v="0"/>
    <n v="0"/>
    <n v="0"/>
    <n v="0"/>
  </r>
  <r>
    <m/>
    <m/>
    <m/>
    <m/>
    <m/>
    <n v="5"/>
    <x v="4"/>
    <s v="yes"/>
    <m/>
    <x v="6"/>
    <s v="Completed"/>
    <n v="3"/>
    <n v="2"/>
    <n v="0"/>
    <n v="3"/>
    <n v="3"/>
    <n v="0"/>
    <n v="0"/>
  </r>
  <r>
    <m/>
    <m/>
    <m/>
    <m/>
    <m/>
    <n v="13"/>
    <x v="1"/>
    <s v="yes"/>
    <m/>
    <x v="5"/>
    <s v="Completed"/>
    <n v="3"/>
    <n v="2"/>
    <n v="0"/>
    <n v="3"/>
    <n v="3"/>
    <n v="0"/>
    <n v="0"/>
  </r>
  <r>
    <m/>
    <m/>
    <m/>
    <m/>
    <m/>
    <s v="-"/>
    <x v="0"/>
    <s v="yes"/>
    <m/>
    <x v="7"/>
    <s v="Completed"/>
    <n v="3"/>
    <n v="2"/>
    <n v="0"/>
    <n v="3"/>
    <n v="3"/>
    <n v="0"/>
    <n v="0"/>
  </r>
  <r>
    <m/>
    <m/>
    <m/>
    <m/>
    <m/>
    <n v="5"/>
    <x v="4"/>
    <s v="yes"/>
    <m/>
    <x v="5"/>
    <s v="Completed"/>
    <n v="8"/>
    <n v="2"/>
    <n v="0"/>
    <n v="8"/>
    <n v="8"/>
    <n v="0"/>
    <n v="0"/>
  </r>
  <r>
    <m/>
    <m/>
    <m/>
    <m/>
    <m/>
    <n v="13"/>
    <x v="4"/>
    <s v="yes"/>
    <m/>
    <x v="2"/>
    <s v="Completed"/>
    <n v="8"/>
    <n v="2"/>
    <n v="0"/>
    <n v="8"/>
    <n v="8"/>
    <n v="0"/>
    <n v="0"/>
  </r>
  <r>
    <m/>
    <m/>
    <m/>
    <m/>
    <m/>
    <s v="-"/>
    <x v="1"/>
    <s v="yes"/>
    <m/>
    <x v="1"/>
    <s v="Completed"/>
    <n v="8"/>
    <n v="2"/>
    <n v="0"/>
    <n v="8"/>
    <n v="8"/>
    <n v="0"/>
    <n v="0"/>
  </r>
  <r>
    <m/>
    <m/>
    <m/>
    <m/>
    <m/>
    <n v="5"/>
    <x v="0"/>
    <s v="yes"/>
    <m/>
    <x v="3"/>
    <s v="Completed"/>
    <n v="21"/>
    <n v="2"/>
    <n v="0"/>
    <n v="21"/>
    <n v="21"/>
    <n v="0"/>
    <n v="0"/>
  </r>
  <r>
    <m/>
    <m/>
    <m/>
    <m/>
    <m/>
    <n v="13"/>
    <x v="6"/>
    <s v="yes"/>
    <m/>
    <x v="5"/>
    <s v="Completed"/>
    <n v="21"/>
    <n v="2"/>
    <n v="0"/>
    <n v="21"/>
    <n v="21"/>
    <n v="0"/>
    <n v="0"/>
  </r>
  <r>
    <m/>
    <m/>
    <m/>
    <m/>
    <m/>
    <s v="-"/>
    <x v="6"/>
    <s v="yes"/>
    <m/>
    <x v="3"/>
    <s v="Completed"/>
    <n v="21"/>
    <n v="2"/>
    <n v="0"/>
    <n v="21"/>
    <n v="21"/>
    <n v="0"/>
    <n v="0"/>
  </r>
  <r>
    <m/>
    <m/>
    <m/>
    <m/>
    <m/>
    <n v="5"/>
    <x v="7"/>
    <s v="yes"/>
    <m/>
    <x v="6"/>
    <s v="Completed"/>
    <m/>
    <n v="2"/>
    <n v="0"/>
    <n v="5"/>
    <n v="5"/>
    <n v="0"/>
    <n v="0"/>
  </r>
  <r>
    <m/>
    <m/>
    <m/>
    <m/>
    <m/>
    <n v="13"/>
    <x v="7"/>
    <s v="yes"/>
    <m/>
    <x v="8"/>
    <s v="Completed"/>
    <m/>
    <n v="2"/>
    <n v="0"/>
    <n v="13"/>
    <n v="13"/>
    <n v="0"/>
    <n v="0"/>
  </r>
  <r>
    <m/>
    <m/>
    <m/>
    <m/>
    <m/>
    <s v="-"/>
    <x v="8"/>
    <s v="yes"/>
    <m/>
    <x v="5"/>
    <s v="Completed"/>
    <m/>
    <n v="2"/>
    <n v="0"/>
    <n v="0"/>
    <n v="0"/>
    <n v="0"/>
    <n v="0"/>
  </r>
  <r>
    <m/>
    <m/>
    <m/>
    <m/>
    <m/>
    <n v="5"/>
    <x v="4"/>
    <s v="yes"/>
    <m/>
    <x v="4"/>
    <s v="Completed"/>
    <n v="0"/>
    <m/>
    <n v="0"/>
    <n v="0"/>
    <n v="0"/>
    <n v="0"/>
    <n v="0"/>
  </r>
  <r>
    <m/>
    <m/>
    <m/>
    <m/>
    <m/>
    <n v="13"/>
    <x v="0"/>
    <s v="yes"/>
    <m/>
    <x v="8"/>
    <s v="Completed"/>
    <n v="0"/>
    <m/>
    <n v="0"/>
    <n v="0"/>
    <n v="0"/>
    <n v="0"/>
    <n v="0"/>
  </r>
  <r>
    <m/>
    <m/>
    <m/>
    <m/>
    <m/>
    <s v="-"/>
    <x v="2"/>
    <s v="yes"/>
    <m/>
    <x v="1"/>
    <s v="Completed"/>
    <n v="0"/>
    <m/>
    <n v="0"/>
    <n v="0"/>
    <n v="0"/>
    <n v="0"/>
    <n v="0"/>
  </r>
  <r>
    <m/>
    <m/>
    <m/>
    <m/>
    <m/>
    <n v="5"/>
    <x v="0"/>
    <s v="yes"/>
    <m/>
    <x v="1"/>
    <s v="Completed"/>
    <n v="3"/>
    <m/>
    <n v="0"/>
    <n v="3"/>
    <n v="3"/>
    <n v="0"/>
    <n v="0"/>
  </r>
  <r>
    <m/>
    <m/>
    <m/>
    <m/>
    <m/>
    <n v="13"/>
    <x v="3"/>
    <s v="yes"/>
    <m/>
    <x v="0"/>
    <s v="Completed"/>
    <n v="3"/>
    <m/>
    <n v="0"/>
    <n v="3"/>
    <n v="3"/>
    <n v="0"/>
    <n v="0"/>
  </r>
  <r>
    <m/>
    <m/>
    <m/>
    <m/>
    <m/>
    <s v="-"/>
    <x v="9"/>
    <s v="yes"/>
    <m/>
    <x v="2"/>
    <s v="Completed"/>
    <n v="3"/>
    <m/>
    <n v="0"/>
    <n v="3"/>
    <n v="3"/>
    <n v="0"/>
    <n v="0"/>
  </r>
  <r>
    <m/>
    <m/>
    <m/>
    <m/>
    <m/>
    <n v="5"/>
    <x v="0"/>
    <s v="yes"/>
    <m/>
    <x v="9"/>
    <s v="Completed"/>
    <n v="8"/>
    <m/>
    <n v="0"/>
    <n v="8"/>
    <n v="8"/>
    <n v="0"/>
    <n v="0"/>
  </r>
  <r>
    <m/>
    <m/>
    <m/>
    <m/>
    <m/>
    <n v="13"/>
    <x v="3"/>
    <s v="yes"/>
    <m/>
    <x v="3"/>
    <s v="Completed"/>
    <n v="8"/>
    <m/>
    <n v="0"/>
    <n v="8"/>
    <n v="8"/>
    <n v="0"/>
    <n v="0"/>
  </r>
  <r>
    <m/>
    <m/>
    <m/>
    <m/>
    <m/>
    <s v="-"/>
    <x v="3"/>
    <s v="yes"/>
    <m/>
    <x v="5"/>
    <s v="Completed"/>
    <n v="8"/>
    <m/>
    <n v="0"/>
    <n v="8"/>
    <n v="8"/>
    <n v="0"/>
    <n v="0"/>
  </r>
  <r>
    <m/>
    <m/>
    <m/>
    <m/>
    <m/>
    <n v="5"/>
    <x v="1"/>
    <s v="yes"/>
    <m/>
    <x v="6"/>
    <s v="Completed"/>
    <n v="21"/>
    <m/>
    <n v="0"/>
    <n v="21"/>
    <n v="21"/>
    <n v="0"/>
    <n v="0"/>
  </r>
  <r>
    <m/>
    <m/>
    <m/>
    <m/>
    <m/>
    <n v="13"/>
    <x v="9"/>
    <s v="yes"/>
    <m/>
    <x v="6"/>
    <s v="Completed"/>
    <n v="21"/>
    <m/>
    <n v="0"/>
    <n v="21"/>
    <n v="21"/>
    <n v="0"/>
    <n v="0"/>
  </r>
  <r>
    <m/>
    <m/>
    <m/>
    <m/>
    <m/>
    <s v="-"/>
    <x v="1"/>
    <s v="yes"/>
    <m/>
    <x v="8"/>
    <s v="Completed"/>
    <n v="21"/>
    <m/>
    <n v="0"/>
    <n v="21"/>
    <n v="21"/>
    <n v="0"/>
    <n v="0"/>
  </r>
  <r>
    <m/>
    <m/>
    <m/>
    <m/>
    <m/>
    <n v="5"/>
    <x v="8"/>
    <s v="yes"/>
    <m/>
    <x v="4"/>
    <s v="Completed"/>
    <m/>
    <m/>
    <n v="0"/>
    <n v="5"/>
    <n v="5"/>
    <n v="0"/>
    <n v="0"/>
  </r>
  <r>
    <m/>
    <m/>
    <m/>
    <m/>
    <m/>
    <n v="13"/>
    <x v="9"/>
    <s v="yes"/>
    <m/>
    <x v="2"/>
    <s v="Completed"/>
    <m/>
    <m/>
    <n v="0"/>
    <n v="13"/>
    <n v="13"/>
    <n v="0"/>
    <n v="0"/>
  </r>
  <r>
    <m/>
    <m/>
    <m/>
    <m/>
    <m/>
    <s v="-"/>
    <x v="3"/>
    <s v="yes"/>
    <m/>
    <x v="1"/>
    <s v="Completed"/>
    <m/>
    <m/>
    <n v="0"/>
    <n v="0"/>
    <n v="0"/>
    <n v="0"/>
    <n v="0"/>
  </r>
  <r>
    <m/>
    <m/>
    <m/>
    <m/>
    <m/>
    <n v="5"/>
    <x v="0"/>
    <m/>
    <m/>
    <x v="6"/>
    <s v="Completed"/>
    <n v="0"/>
    <n v="0"/>
    <n v="0"/>
    <n v="0"/>
    <n v="0"/>
    <n v="0"/>
    <n v="0"/>
  </r>
  <r>
    <m/>
    <m/>
    <m/>
    <m/>
    <m/>
    <n v="13"/>
    <x v="3"/>
    <m/>
    <m/>
    <x v="2"/>
    <s v="Completed"/>
    <n v="0"/>
    <n v="0"/>
    <n v="0"/>
    <n v="0"/>
    <n v="0"/>
    <n v="0"/>
    <n v="0"/>
  </r>
  <r>
    <m/>
    <m/>
    <m/>
    <m/>
    <m/>
    <s v="-"/>
    <x v="0"/>
    <m/>
    <m/>
    <x v="5"/>
    <s v="Completed"/>
    <n v="0"/>
    <n v="0"/>
    <n v="0"/>
    <n v="0"/>
    <n v="0"/>
    <n v="0"/>
    <n v="0"/>
  </r>
  <r>
    <m/>
    <m/>
    <m/>
    <m/>
    <m/>
    <n v="5"/>
    <x v="1"/>
    <m/>
    <m/>
    <x v="9"/>
    <s v="Completed"/>
    <n v="3"/>
    <n v="0"/>
    <n v="3"/>
    <n v="0"/>
    <n v="3"/>
    <n v="0"/>
    <n v="0"/>
  </r>
  <r>
    <m/>
    <m/>
    <m/>
    <m/>
    <m/>
    <n v="13"/>
    <x v="9"/>
    <m/>
    <m/>
    <x v="7"/>
    <s v="Completed"/>
    <n v="3"/>
    <n v="0"/>
    <n v="3"/>
    <n v="0"/>
    <n v="3"/>
    <n v="0"/>
    <n v="0"/>
  </r>
  <r>
    <m/>
    <m/>
    <m/>
    <m/>
    <m/>
    <s v="-"/>
    <x v="3"/>
    <m/>
    <m/>
    <x v="0"/>
    <s v="Completed"/>
    <n v="3"/>
    <n v="0"/>
    <n v="0"/>
    <n v="3"/>
    <n v="3"/>
    <n v="0"/>
    <n v="0"/>
  </r>
  <r>
    <m/>
    <m/>
    <m/>
    <m/>
    <m/>
    <n v="5"/>
    <x v="9"/>
    <m/>
    <m/>
    <x v="3"/>
    <s v="Completed"/>
    <n v="8"/>
    <n v="0"/>
    <n v="5"/>
    <n v="3"/>
    <n v="8"/>
    <n v="0"/>
    <n v="0"/>
  </r>
  <r>
    <m/>
    <m/>
    <m/>
    <m/>
    <m/>
    <n v="13"/>
    <x v="5"/>
    <m/>
    <m/>
    <x v="7"/>
    <s v="Completed"/>
    <n v="8"/>
    <n v="0"/>
    <n v="8"/>
    <n v="0"/>
    <n v="8"/>
    <n v="0"/>
    <n v="0"/>
  </r>
  <r>
    <m/>
    <m/>
    <m/>
    <m/>
    <m/>
    <s v="-"/>
    <x v="6"/>
    <m/>
    <m/>
    <x v="2"/>
    <s v="Completed"/>
    <n v="8"/>
    <n v="0"/>
    <n v="0"/>
    <n v="8"/>
    <n v="8"/>
    <n v="0"/>
    <n v="0"/>
  </r>
  <r>
    <m/>
    <m/>
    <m/>
    <m/>
    <m/>
    <n v="5"/>
    <x v="7"/>
    <m/>
    <m/>
    <x v="1"/>
    <s v="Completed"/>
    <n v="21"/>
    <n v="0"/>
    <n v="5"/>
    <n v="16"/>
    <n v="21"/>
    <n v="0"/>
    <n v="0"/>
  </r>
  <r>
    <m/>
    <m/>
    <m/>
    <m/>
    <m/>
    <n v="13"/>
    <x v="8"/>
    <m/>
    <m/>
    <x v="8"/>
    <s v="Completed"/>
    <n v="21"/>
    <n v="0"/>
    <n v="13"/>
    <n v="8"/>
    <n v="21"/>
    <n v="0"/>
    <n v="0"/>
  </r>
  <r>
    <m/>
    <m/>
    <m/>
    <m/>
    <m/>
    <s v="-"/>
    <x v="0"/>
    <m/>
    <m/>
    <x v="9"/>
    <s v="Completed"/>
    <n v="21"/>
    <n v="0"/>
    <n v="0"/>
    <n v="21"/>
    <n v="21"/>
    <n v="0"/>
    <n v="0"/>
  </r>
  <r>
    <m/>
    <m/>
    <m/>
    <m/>
    <m/>
    <n v="5"/>
    <x v="1"/>
    <m/>
    <m/>
    <x v="4"/>
    <s v="Completed"/>
    <m/>
    <n v="0"/>
    <n v="5"/>
    <n v="0"/>
    <n v="5"/>
    <n v="0"/>
    <n v="0"/>
  </r>
  <r>
    <m/>
    <m/>
    <m/>
    <m/>
    <m/>
    <n v="13"/>
    <x v="2"/>
    <m/>
    <m/>
    <x v="0"/>
    <s v="Completed"/>
    <m/>
    <n v="0"/>
    <n v="13"/>
    <n v="0"/>
    <n v="13"/>
    <n v="0"/>
    <n v="0"/>
  </r>
  <r>
    <m/>
    <m/>
    <m/>
    <m/>
    <m/>
    <s v="-"/>
    <x v="2"/>
    <m/>
    <m/>
    <x v="9"/>
    <s v="Completed"/>
    <m/>
    <n v="0"/>
    <n v="0"/>
    <n v="0"/>
    <n v="0"/>
    <n v="0"/>
    <n v="0"/>
  </r>
  <r>
    <m/>
    <m/>
    <m/>
    <m/>
    <m/>
    <n v="5"/>
    <x v="2"/>
    <m/>
    <m/>
    <x v="2"/>
    <s v="Completed"/>
    <n v="0"/>
    <n v="2"/>
    <n v="0"/>
    <n v="0"/>
    <n v="0"/>
    <n v="0"/>
    <n v="0"/>
  </r>
  <r>
    <m/>
    <m/>
    <m/>
    <m/>
    <m/>
    <n v="13"/>
    <x v="0"/>
    <m/>
    <m/>
    <x v="8"/>
    <s v="Completed"/>
    <n v="0"/>
    <n v="2"/>
    <n v="0"/>
    <n v="0"/>
    <n v="0"/>
    <n v="0"/>
    <n v="0"/>
  </r>
  <r>
    <m/>
    <m/>
    <m/>
    <m/>
    <m/>
    <s v="-"/>
    <x v="7"/>
    <m/>
    <m/>
    <x v="0"/>
    <s v="Completed"/>
    <n v="0"/>
    <n v="2"/>
    <n v="0"/>
    <n v="0"/>
    <n v="0"/>
    <n v="0"/>
    <n v="0"/>
  </r>
  <r>
    <m/>
    <m/>
    <m/>
    <m/>
    <m/>
    <n v="5"/>
    <x v="8"/>
    <m/>
    <m/>
    <x v="6"/>
    <s v="Completed"/>
    <n v="3"/>
    <n v="2"/>
    <n v="3"/>
    <n v="0"/>
    <n v="3"/>
    <n v="0"/>
    <n v="0"/>
  </r>
  <r>
    <m/>
    <m/>
    <m/>
    <m/>
    <m/>
    <n v="13"/>
    <x v="8"/>
    <m/>
    <m/>
    <x v="0"/>
    <s v="Completed"/>
    <n v="3"/>
    <n v="2"/>
    <n v="3"/>
    <n v="0"/>
    <n v="3"/>
    <n v="0"/>
    <n v="0"/>
  </r>
  <r>
    <m/>
    <m/>
    <m/>
    <m/>
    <m/>
    <s v="-"/>
    <x v="6"/>
    <m/>
    <m/>
    <x v="4"/>
    <s v="Completed"/>
    <n v="3"/>
    <n v="2"/>
    <n v="0"/>
    <n v="3"/>
    <n v="3"/>
    <n v="0"/>
    <n v="0"/>
  </r>
  <r>
    <m/>
    <m/>
    <m/>
    <m/>
    <m/>
    <n v="5"/>
    <x v="3"/>
    <m/>
    <m/>
    <x v="7"/>
    <s v="Completed"/>
    <n v="8"/>
    <n v="2"/>
    <n v="5"/>
    <n v="3"/>
    <n v="8"/>
    <n v="0"/>
    <n v="0"/>
  </r>
  <r>
    <m/>
    <m/>
    <m/>
    <m/>
    <m/>
    <n v="13"/>
    <x v="9"/>
    <m/>
    <m/>
    <x v="9"/>
    <s v="Completed"/>
    <n v="8"/>
    <n v="2"/>
    <n v="8"/>
    <n v="0"/>
    <n v="8"/>
    <n v="0"/>
    <n v="0"/>
  </r>
  <r>
    <m/>
    <m/>
    <m/>
    <m/>
    <m/>
    <s v="-"/>
    <x v="7"/>
    <m/>
    <m/>
    <x v="7"/>
    <s v="Completed"/>
    <n v="8"/>
    <n v="2"/>
    <n v="0"/>
    <n v="8"/>
    <n v="8"/>
    <n v="0"/>
    <n v="0"/>
  </r>
  <r>
    <m/>
    <m/>
    <m/>
    <m/>
    <m/>
    <n v="5"/>
    <x v="5"/>
    <m/>
    <m/>
    <x v="6"/>
    <s v="Completed"/>
    <n v="21"/>
    <n v="2"/>
    <n v="5"/>
    <n v="16"/>
    <n v="21"/>
    <n v="0"/>
    <n v="0"/>
  </r>
  <r>
    <m/>
    <m/>
    <m/>
    <m/>
    <m/>
    <n v="13"/>
    <x v="6"/>
    <m/>
    <m/>
    <x v="2"/>
    <s v="Completed"/>
    <n v="21"/>
    <n v="2"/>
    <n v="13"/>
    <n v="8"/>
    <n v="21"/>
    <n v="0"/>
    <n v="0"/>
  </r>
  <r>
    <m/>
    <m/>
    <m/>
    <m/>
    <m/>
    <s v="-"/>
    <x v="4"/>
    <m/>
    <m/>
    <x v="8"/>
    <s v="Completed"/>
    <n v="21"/>
    <n v="2"/>
    <n v="0"/>
    <n v="21"/>
    <n v="21"/>
    <n v="0"/>
    <n v="0"/>
  </r>
  <r>
    <m/>
    <m/>
    <m/>
    <m/>
    <m/>
    <n v="5"/>
    <x v="8"/>
    <m/>
    <m/>
    <x v="0"/>
    <s v="Completed"/>
    <m/>
    <n v="2"/>
    <n v="5"/>
    <n v="0"/>
    <n v="5"/>
    <n v="0"/>
    <n v="0"/>
  </r>
  <r>
    <m/>
    <m/>
    <m/>
    <m/>
    <m/>
    <n v="13"/>
    <x v="7"/>
    <m/>
    <m/>
    <x v="1"/>
    <s v="Completed"/>
    <m/>
    <n v="2"/>
    <n v="13"/>
    <n v="0"/>
    <n v="13"/>
    <n v="0"/>
    <n v="0"/>
  </r>
  <r>
    <m/>
    <m/>
    <m/>
    <m/>
    <m/>
    <s v="-"/>
    <x v="6"/>
    <m/>
    <m/>
    <x v="0"/>
    <s v="Completed"/>
    <m/>
    <n v="2"/>
    <n v="0"/>
    <n v="0"/>
    <n v="0"/>
    <n v="0"/>
    <n v="0"/>
  </r>
  <r>
    <m/>
    <m/>
    <m/>
    <m/>
    <m/>
    <n v="5"/>
    <x v="5"/>
    <m/>
    <m/>
    <x v="3"/>
    <s v="Completed"/>
    <n v="0"/>
    <m/>
    <n v="0"/>
    <n v="0"/>
    <n v="0"/>
    <n v="0"/>
    <n v="0"/>
  </r>
  <r>
    <m/>
    <m/>
    <m/>
    <m/>
    <m/>
    <n v="13"/>
    <x v="5"/>
    <m/>
    <m/>
    <x v="6"/>
    <s v="Completed"/>
    <n v="0"/>
    <m/>
    <n v="0"/>
    <n v="0"/>
    <n v="0"/>
    <n v="0"/>
    <n v="0"/>
  </r>
  <r>
    <m/>
    <m/>
    <m/>
    <m/>
    <m/>
    <s v="-"/>
    <x v="0"/>
    <m/>
    <m/>
    <x v="1"/>
    <s v="Completed"/>
    <n v="0"/>
    <m/>
    <n v="0"/>
    <n v="0"/>
    <n v="0"/>
    <n v="0"/>
    <n v="0"/>
  </r>
  <r>
    <m/>
    <m/>
    <m/>
    <m/>
    <m/>
    <n v="5"/>
    <x v="0"/>
    <m/>
    <m/>
    <x v="4"/>
    <s v="Completed"/>
    <n v="3"/>
    <m/>
    <n v="3"/>
    <n v="0"/>
    <n v="3"/>
    <n v="0"/>
    <n v="0"/>
  </r>
  <r>
    <m/>
    <m/>
    <m/>
    <m/>
    <m/>
    <n v="13"/>
    <x v="9"/>
    <m/>
    <m/>
    <x v="5"/>
    <s v="Completed"/>
    <n v="3"/>
    <m/>
    <n v="3"/>
    <n v="0"/>
    <n v="3"/>
    <n v="0"/>
    <n v="0"/>
  </r>
  <r>
    <m/>
    <m/>
    <m/>
    <m/>
    <m/>
    <s v="-"/>
    <x v="7"/>
    <m/>
    <m/>
    <x v="1"/>
    <s v="Completed"/>
    <n v="3"/>
    <m/>
    <n v="0"/>
    <n v="3"/>
    <n v="3"/>
    <n v="0"/>
    <n v="0"/>
  </r>
  <r>
    <m/>
    <m/>
    <m/>
    <m/>
    <m/>
    <n v="5"/>
    <x v="1"/>
    <m/>
    <m/>
    <x v="1"/>
    <s v="Completed"/>
    <n v="8"/>
    <m/>
    <n v="5"/>
    <n v="3"/>
    <n v="8"/>
    <n v="0"/>
    <n v="0"/>
  </r>
  <r>
    <m/>
    <m/>
    <m/>
    <m/>
    <m/>
    <n v="13"/>
    <x v="6"/>
    <m/>
    <m/>
    <x v="0"/>
    <s v="Completed"/>
    <n v="8"/>
    <m/>
    <n v="8"/>
    <n v="0"/>
    <n v="8"/>
    <n v="0"/>
    <n v="0"/>
  </r>
  <r>
    <m/>
    <m/>
    <m/>
    <m/>
    <m/>
    <s v="-"/>
    <x v="8"/>
    <m/>
    <m/>
    <x v="6"/>
    <s v="Completed"/>
    <n v="8"/>
    <m/>
    <n v="0"/>
    <n v="8"/>
    <n v="8"/>
    <n v="0"/>
    <n v="0"/>
  </r>
  <r>
    <m/>
    <m/>
    <m/>
    <m/>
    <m/>
    <n v="5"/>
    <x v="2"/>
    <m/>
    <m/>
    <x v="1"/>
    <s v="Completed"/>
    <n v="21"/>
    <m/>
    <n v="5"/>
    <n v="16"/>
    <n v="21"/>
    <n v="0"/>
    <n v="0"/>
  </r>
  <r>
    <m/>
    <m/>
    <m/>
    <m/>
    <m/>
    <n v="13"/>
    <x v="4"/>
    <m/>
    <m/>
    <x v="6"/>
    <s v="Completed"/>
    <n v="21"/>
    <m/>
    <n v="13"/>
    <n v="8"/>
    <n v="21"/>
    <n v="0"/>
    <n v="0"/>
  </r>
  <r>
    <m/>
    <m/>
    <m/>
    <m/>
    <m/>
    <s v="-"/>
    <x v="7"/>
    <m/>
    <m/>
    <x v="1"/>
    <s v="Completed"/>
    <n v="21"/>
    <m/>
    <n v="0"/>
    <n v="21"/>
    <n v="21"/>
    <n v="0"/>
    <n v="0"/>
  </r>
  <r>
    <m/>
    <m/>
    <m/>
    <m/>
    <m/>
    <n v="5"/>
    <x v="7"/>
    <m/>
    <m/>
    <x v="4"/>
    <s v="Completed"/>
    <m/>
    <m/>
    <n v="5"/>
    <n v="0"/>
    <n v="5"/>
    <n v="0"/>
    <n v="0"/>
  </r>
  <r>
    <m/>
    <m/>
    <m/>
    <m/>
    <m/>
    <n v="13"/>
    <x v="9"/>
    <m/>
    <m/>
    <x v="8"/>
    <s v="Completed"/>
    <m/>
    <m/>
    <n v="13"/>
    <n v="0"/>
    <n v="13"/>
    <n v="0"/>
    <n v="0"/>
  </r>
  <r>
    <m/>
    <m/>
    <m/>
    <m/>
    <m/>
    <s v="-"/>
    <x v="1"/>
    <m/>
    <m/>
    <x v="9"/>
    <s v="Completed"/>
    <m/>
    <m/>
    <n v="0"/>
    <n v="0"/>
    <n v="0"/>
    <n v="0"/>
    <n v="0"/>
  </r>
  <r>
    <m/>
    <m/>
    <m/>
    <m/>
    <m/>
    <n v="5"/>
    <x v="8"/>
    <s v="yes"/>
    <m/>
    <x v="5"/>
    <s v="Not Completed"/>
    <n v="0"/>
    <n v="0"/>
    <n v="0"/>
    <n v="0"/>
    <n v="0"/>
    <n v="0"/>
    <n v="0"/>
  </r>
  <r>
    <m/>
    <m/>
    <m/>
    <m/>
    <m/>
    <n v="13"/>
    <x v="5"/>
    <s v="yes"/>
    <m/>
    <x v="1"/>
    <s v="Not Completed"/>
    <n v="0"/>
    <n v="0"/>
    <n v="0"/>
    <n v="0"/>
    <n v="0"/>
    <n v="0"/>
    <n v="0"/>
  </r>
  <r>
    <m/>
    <m/>
    <m/>
    <m/>
    <m/>
    <s v="-"/>
    <x v="6"/>
    <s v="yes"/>
    <m/>
    <x v="7"/>
    <s v="Not Completed"/>
    <n v="0"/>
    <n v="0"/>
    <n v="0"/>
    <n v="0"/>
    <n v="0"/>
    <n v="0"/>
    <n v="0"/>
  </r>
  <r>
    <m/>
    <m/>
    <m/>
    <m/>
    <m/>
    <n v="5"/>
    <x v="6"/>
    <s v="yes"/>
    <m/>
    <x v="5"/>
    <s v="Not Completed"/>
    <n v="3"/>
    <n v="0"/>
    <n v="0"/>
    <n v="3"/>
    <n v="3"/>
    <n v="0"/>
    <n v="0"/>
  </r>
  <r>
    <m/>
    <m/>
    <m/>
    <m/>
    <m/>
    <n v="13"/>
    <x v="3"/>
    <s v="yes"/>
    <m/>
    <x v="6"/>
    <s v="Not Completed"/>
    <n v="3"/>
    <n v="0"/>
    <n v="0"/>
    <n v="3"/>
    <n v="3"/>
    <n v="0"/>
    <n v="0"/>
  </r>
  <r>
    <m/>
    <m/>
    <m/>
    <m/>
    <m/>
    <s v="-"/>
    <x v="0"/>
    <s v="yes"/>
    <m/>
    <x v="6"/>
    <s v="Not Completed"/>
    <n v="3"/>
    <n v="0"/>
    <n v="0"/>
    <n v="3"/>
    <n v="3"/>
    <n v="0"/>
    <n v="0"/>
  </r>
  <r>
    <m/>
    <m/>
    <m/>
    <m/>
    <m/>
    <n v="5"/>
    <x v="4"/>
    <s v="yes"/>
    <m/>
    <x v="1"/>
    <s v="Not Completed"/>
    <n v="8"/>
    <n v="0"/>
    <n v="0"/>
    <n v="8"/>
    <n v="8"/>
    <n v="0"/>
    <n v="0"/>
  </r>
  <r>
    <m/>
    <m/>
    <m/>
    <m/>
    <m/>
    <n v="13"/>
    <x v="3"/>
    <s v="yes"/>
    <m/>
    <x v="2"/>
    <s v="Not Completed"/>
    <n v="8"/>
    <n v="0"/>
    <n v="0"/>
    <n v="8"/>
    <n v="8"/>
    <n v="0"/>
    <n v="0"/>
  </r>
  <r>
    <m/>
    <m/>
    <m/>
    <m/>
    <m/>
    <s v="-"/>
    <x v="3"/>
    <s v="yes"/>
    <m/>
    <x v="1"/>
    <s v="Not Completed"/>
    <n v="8"/>
    <n v="0"/>
    <n v="0"/>
    <n v="8"/>
    <n v="8"/>
    <n v="0"/>
    <n v="0"/>
  </r>
  <r>
    <m/>
    <m/>
    <m/>
    <m/>
    <m/>
    <n v="5"/>
    <x v="5"/>
    <s v="yes"/>
    <m/>
    <x v="0"/>
    <s v="Not Completed"/>
    <n v="21"/>
    <n v="0"/>
    <n v="0"/>
    <n v="21"/>
    <n v="21"/>
    <n v="0"/>
    <n v="0"/>
  </r>
  <r>
    <m/>
    <m/>
    <m/>
    <m/>
    <m/>
    <n v="13"/>
    <x v="1"/>
    <s v="yes"/>
    <m/>
    <x v="5"/>
    <s v="Not Completed"/>
    <n v="21"/>
    <n v="0"/>
    <n v="0"/>
    <n v="21"/>
    <n v="21"/>
    <n v="0"/>
    <n v="0"/>
  </r>
  <r>
    <m/>
    <m/>
    <m/>
    <m/>
    <m/>
    <s v="-"/>
    <x v="8"/>
    <s v="yes"/>
    <m/>
    <x v="8"/>
    <s v="Not Completed"/>
    <n v="21"/>
    <n v="0"/>
    <n v="0"/>
    <n v="21"/>
    <n v="21"/>
    <n v="0"/>
    <n v="0"/>
  </r>
  <r>
    <m/>
    <m/>
    <m/>
    <m/>
    <m/>
    <n v="5"/>
    <x v="5"/>
    <s v="yes"/>
    <m/>
    <x v="8"/>
    <s v="Not Completed"/>
    <m/>
    <n v="0"/>
    <n v="0"/>
    <n v="5"/>
    <n v="5"/>
    <n v="0"/>
    <n v="0"/>
  </r>
  <r>
    <m/>
    <m/>
    <m/>
    <m/>
    <m/>
    <n v="13"/>
    <x v="0"/>
    <s v="yes"/>
    <m/>
    <x v="3"/>
    <s v="Not Completed"/>
    <m/>
    <n v="0"/>
    <n v="0"/>
    <n v="13"/>
    <n v="13"/>
    <n v="0"/>
    <n v="0"/>
  </r>
  <r>
    <m/>
    <m/>
    <m/>
    <m/>
    <m/>
    <s v="-"/>
    <x v="4"/>
    <s v="yes"/>
    <m/>
    <x v="9"/>
    <s v="Not Completed"/>
    <m/>
    <n v="0"/>
    <n v="0"/>
    <n v="0"/>
    <n v="0"/>
    <n v="0"/>
    <n v="0"/>
  </r>
  <r>
    <m/>
    <m/>
    <m/>
    <m/>
    <m/>
    <n v="5"/>
    <x v="8"/>
    <s v="yes"/>
    <m/>
    <x v="8"/>
    <s v="Not Completed"/>
    <n v="0"/>
    <n v="2"/>
    <n v="0"/>
    <n v="0"/>
    <n v="-2"/>
    <n v="0"/>
    <n v="2"/>
  </r>
  <r>
    <m/>
    <m/>
    <m/>
    <m/>
    <m/>
    <n v="13"/>
    <x v="6"/>
    <s v="yes"/>
    <m/>
    <x v="8"/>
    <s v="Not Completed"/>
    <n v="0"/>
    <n v="2"/>
    <n v="0"/>
    <n v="0"/>
    <n v="-2"/>
    <n v="0"/>
    <n v="2"/>
  </r>
  <r>
    <m/>
    <m/>
    <m/>
    <m/>
    <m/>
    <s v="-"/>
    <x v="2"/>
    <s v="yes"/>
    <m/>
    <x v="4"/>
    <s v="Not Completed"/>
    <n v="0"/>
    <n v="2"/>
    <n v="0"/>
    <n v="0"/>
    <n v="-2"/>
    <n v="0"/>
    <n v="2"/>
  </r>
  <r>
    <m/>
    <m/>
    <m/>
    <m/>
    <m/>
    <n v="5"/>
    <x v="7"/>
    <s v="yes"/>
    <m/>
    <x v="2"/>
    <s v="Not Completed"/>
    <n v="3"/>
    <n v="2"/>
    <n v="0"/>
    <n v="3"/>
    <n v="1"/>
    <n v="0"/>
    <n v="2"/>
  </r>
  <r>
    <m/>
    <m/>
    <m/>
    <m/>
    <m/>
    <n v="13"/>
    <x v="3"/>
    <s v="yes"/>
    <m/>
    <x v="4"/>
    <s v="Not Completed"/>
    <n v="3"/>
    <n v="2"/>
    <n v="0"/>
    <n v="3"/>
    <n v="1"/>
    <n v="0"/>
    <n v="2"/>
  </r>
  <r>
    <m/>
    <m/>
    <m/>
    <m/>
    <m/>
    <s v="-"/>
    <x v="0"/>
    <s v="yes"/>
    <m/>
    <x v="0"/>
    <s v="Not Completed"/>
    <n v="3"/>
    <n v="2"/>
    <n v="0"/>
    <n v="3"/>
    <n v="1"/>
    <n v="0"/>
    <n v="2"/>
  </r>
  <r>
    <m/>
    <m/>
    <m/>
    <m/>
    <m/>
    <n v="5"/>
    <x v="0"/>
    <s v="yes"/>
    <m/>
    <x v="7"/>
    <s v="Not Completed"/>
    <n v="8"/>
    <n v="2"/>
    <n v="0"/>
    <n v="8"/>
    <n v="6"/>
    <n v="0"/>
    <n v="2"/>
  </r>
  <r>
    <m/>
    <m/>
    <m/>
    <m/>
    <m/>
    <n v="13"/>
    <x v="8"/>
    <s v="yes"/>
    <m/>
    <x v="1"/>
    <s v="Not Completed"/>
    <n v="8"/>
    <n v="2"/>
    <n v="0"/>
    <n v="8"/>
    <n v="6"/>
    <n v="0"/>
    <n v="2"/>
  </r>
  <r>
    <m/>
    <m/>
    <m/>
    <m/>
    <m/>
    <s v="-"/>
    <x v="7"/>
    <s v="yes"/>
    <m/>
    <x v="6"/>
    <s v="Not Completed"/>
    <n v="8"/>
    <n v="2"/>
    <n v="0"/>
    <n v="8"/>
    <n v="6"/>
    <n v="0"/>
    <n v="2"/>
  </r>
  <r>
    <m/>
    <m/>
    <m/>
    <m/>
    <m/>
    <n v="5"/>
    <x v="0"/>
    <s v="yes"/>
    <m/>
    <x v="2"/>
    <s v="Not Completed"/>
    <n v="21"/>
    <n v="2"/>
    <n v="0"/>
    <n v="21"/>
    <n v="19"/>
    <n v="0"/>
    <n v="2"/>
  </r>
  <r>
    <m/>
    <m/>
    <m/>
    <m/>
    <m/>
    <n v="13"/>
    <x v="8"/>
    <s v="yes"/>
    <m/>
    <x v="3"/>
    <s v="Not Completed"/>
    <n v="21"/>
    <n v="2"/>
    <n v="0"/>
    <n v="21"/>
    <n v="19"/>
    <n v="0"/>
    <n v="2"/>
  </r>
  <r>
    <m/>
    <m/>
    <m/>
    <m/>
    <m/>
    <s v="-"/>
    <x v="1"/>
    <s v="yes"/>
    <m/>
    <x v="3"/>
    <s v="Not Completed"/>
    <n v="21"/>
    <n v="2"/>
    <n v="0"/>
    <n v="21"/>
    <n v="19"/>
    <n v="0"/>
    <n v="2"/>
  </r>
  <r>
    <m/>
    <m/>
    <m/>
    <m/>
    <m/>
    <n v="5"/>
    <x v="7"/>
    <s v="yes"/>
    <m/>
    <x v="7"/>
    <s v="Not Completed"/>
    <m/>
    <n v="2"/>
    <n v="0"/>
    <n v="5"/>
    <n v="3"/>
    <n v="0"/>
    <n v="2"/>
  </r>
  <r>
    <m/>
    <m/>
    <m/>
    <m/>
    <m/>
    <n v="13"/>
    <x v="2"/>
    <s v="yes"/>
    <m/>
    <x v="3"/>
    <s v="Not Completed"/>
    <m/>
    <n v="2"/>
    <n v="0"/>
    <n v="13"/>
    <n v="11"/>
    <n v="0"/>
    <n v="2"/>
  </r>
  <r>
    <m/>
    <m/>
    <m/>
    <m/>
    <m/>
    <s v="-"/>
    <x v="5"/>
    <s v="yes"/>
    <m/>
    <x v="3"/>
    <s v="Not Completed"/>
    <m/>
    <n v="2"/>
    <n v="0"/>
    <n v="0"/>
    <n v="-2"/>
    <n v="0"/>
    <n v="2"/>
  </r>
  <r>
    <m/>
    <m/>
    <m/>
    <m/>
    <m/>
    <n v="5"/>
    <x v="9"/>
    <s v="yes"/>
    <m/>
    <x v="3"/>
    <s v="Not Completed"/>
    <n v="0"/>
    <m/>
    <n v="0"/>
    <n v="0"/>
    <n v="0"/>
    <n v="0"/>
    <n v="0"/>
  </r>
  <r>
    <m/>
    <m/>
    <m/>
    <m/>
    <m/>
    <n v="13"/>
    <x v="9"/>
    <s v="yes"/>
    <m/>
    <x v="2"/>
    <s v="Not Completed"/>
    <n v="0"/>
    <m/>
    <n v="0"/>
    <n v="0"/>
    <n v="0"/>
    <n v="0"/>
    <n v="0"/>
  </r>
  <r>
    <m/>
    <m/>
    <m/>
    <m/>
    <m/>
    <s v="-"/>
    <x v="1"/>
    <s v="yes"/>
    <m/>
    <x v="2"/>
    <s v="Not Completed"/>
    <n v="0"/>
    <m/>
    <n v="0"/>
    <n v="0"/>
    <n v="0"/>
    <n v="0"/>
    <n v="0"/>
  </r>
  <r>
    <m/>
    <m/>
    <m/>
    <m/>
    <m/>
    <n v="5"/>
    <x v="0"/>
    <s v="yes"/>
    <m/>
    <x v="7"/>
    <s v="Not Completed"/>
    <n v="3"/>
    <m/>
    <n v="0"/>
    <n v="3"/>
    <n v="0"/>
    <n v="0"/>
    <n v="3"/>
  </r>
  <r>
    <m/>
    <m/>
    <m/>
    <m/>
    <m/>
    <n v="13"/>
    <x v="0"/>
    <s v="yes"/>
    <m/>
    <x v="1"/>
    <s v="Not Completed"/>
    <n v="3"/>
    <m/>
    <n v="0"/>
    <n v="3"/>
    <n v="0"/>
    <n v="0"/>
    <n v="3"/>
  </r>
  <r>
    <m/>
    <m/>
    <m/>
    <m/>
    <m/>
    <s v="-"/>
    <x v="9"/>
    <s v="yes"/>
    <m/>
    <x v="9"/>
    <s v="Not Completed"/>
    <n v="3"/>
    <m/>
    <n v="0"/>
    <n v="3"/>
    <n v="0"/>
    <n v="0"/>
    <n v="3"/>
  </r>
  <r>
    <m/>
    <m/>
    <m/>
    <m/>
    <m/>
    <n v="5"/>
    <x v="6"/>
    <s v="yes"/>
    <m/>
    <x v="6"/>
    <s v="Not Completed"/>
    <n v="8"/>
    <m/>
    <n v="0"/>
    <n v="8"/>
    <n v="0"/>
    <n v="0"/>
    <n v="8"/>
  </r>
  <r>
    <m/>
    <m/>
    <m/>
    <m/>
    <m/>
    <n v="13"/>
    <x v="1"/>
    <s v="yes"/>
    <m/>
    <x v="3"/>
    <s v="Not Completed"/>
    <n v="8"/>
    <m/>
    <n v="0"/>
    <n v="8"/>
    <n v="0"/>
    <n v="0"/>
    <n v="8"/>
  </r>
  <r>
    <m/>
    <m/>
    <m/>
    <m/>
    <m/>
    <s v="-"/>
    <x v="2"/>
    <s v="yes"/>
    <m/>
    <x v="5"/>
    <s v="Not Completed"/>
    <n v="8"/>
    <m/>
    <n v="0"/>
    <n v="8"/>
    <n v="0"/>
    <n v="0"/>
    <n v="8"/>
  </r>
  <r>
    <m/>
    <m/>
    <m/>
    <m/>
    <m/>
    <n v="5"/>
    <x v="7"/>
    <s v="yes"/>
    <m/>
    <x v="3"/>
    <s v="Not Completed"/>
    <n v="21"/>
    <m/>
    <n v="0"/>
    <n v="21"/>
    <n v="0"/>
    <n v="0"/>
    <n v="21"/>
  </r>
  <r>
    <m/>
    <m/>
    <m/>
    <m/>
    <m/>
    <n v="13"/>
    <x v="1"/>
    <s v="yes"/>
    <m/>
    <x v="8"/>
    <s v="Not Completed"/>
    <n v="21"/>
    <m/>
    <n v="0"/>
    <n v="21"/>
    <n v="0"/>
    <n v="0"/>
    <n v="21"/>
  </r>
  <r>
    <m/>
    <m/>
    <m/>
    <m/>
    <m/>
    <s v="-"/>
    <x v="2"/>
    <s v="yes"/>
    <m/>
    <x v="6"/>
    <s v="Not Completed"/>
    <n v="21"/>
    <m/>
    <n v="0"/>
    <n v="21"/>
    <n v="0"/>
    <n v="0"/>
    <n v="21"/>
  </r>
  <r>
    <m/>
    <m/>
    <m/>
    <m/>
    <m/>
    <n v="5"/>
    <x v="7"/>
    <s v="yes"/>
    <m/>
    <x v="6"/>
    <s v="Not Completed"/>
    <m/>
    <m/>
    <n v="0"/>
    <n v="5"/>
    <n v="0"/>
    <n v="0"/>
    <n v="5"/>
  </r>
  <r>
    <m/>
    <m/>
    <m/>
    <m/>
    <m/>
    <n v="13"/>
    <x v="1"/>
    <s v="yes"/>
    <m/>
    <x v="0"/>
    <s v="Not Completed"/>
    <m/>
    <m/>
    <n v="0"/>
    <n v="13"/>
    <n v="0"/>
    <n v="0"/>
    <n v="13"/>
  </r>
  <r>
    <m/>
    <m/>
    <m/>
    <m/>
    <m/>
    <s v="-"/>
    <x v="9"/>
    <s v="yes"/>
    <m/>
    <x v="0"/>
    <s v="Not Completed"/>
    <m/>
    <m/>
    <n v="0"/>
    <n v="0"/>
    <n v="0"/>
    <n v="0"/>
    <n v="0"/>
  </r>
  <r>
    <m/>
    <m/>
    <m/>
    <m/>
    <m/>
    <n v="5"/>
    <x v="9"/>
    <m/>
    <m/>
    <x v="1"/>
    <s v="Not Completed"/>
    <n v="0"/>
    <n v="0"/>
    <n v="0"/>
    <n v="0"/>
    <n v="0"/>
    <n v="0"/>
    <n v="0"/>
  </r>
  <r>
    <m/>
    <m/>
    <m/>
    <m/>
    <m/>
    <n v="13"/>
    <x v="6"/>
    <m/>
    <m/>
    <x v="4"/>
    <s v="Not Completed"/>
    <n v="0"/>
    <n v="0"/>
    <n v="0"/>
    <n v="0"/>
    <n v="0"/>
    <n v="0"/>
    <n v="0"/>
  </r>
  <r>
    <m/>
    <m/>
    <m/>
    <m/>
    <m/>
    <s v="-"/>
    <x v="5"/>
    <m/>
    <m/>
    <x v="6"/>
    <s v="Not Completed"/>
    <n v="0"/>
    <n v="0"/>
    <n v="0"/>
    <n v="0"/>
    <n v="0"/>
    <n v="0"/>
    <n v="0"/>
  </r>
  <r>
    <m/>
    <m/>
    <m/>
    <m/>
    <m/>
    <n v="5"/>
    <x v="7"/>
    <m/>
    <m/>
    <x v="9"/>
    <s v="Not Completed"/>
    <n v="3"/>
    <n v="0"/>
    <n v="3"/>
    <n v="0"/>
    <n v="3"/>
    <n v="0"/>
    <n v="0"/>
  </r>
  <r>
    <m/>
    <m/>
    <m/>
    <m/>
    <m/>
    <n v="13"/>
    <x v="3"/>
    <m/>
    <m/>
    <x v="9"/>
    <s v="Not Completed"/>
    <n v="3"/>
    <n v="0"/>
    <n v="3"/>
    <n v="0"/>
    <n v="3"/>
    <n v="0"/>
    <n v="0"/>
  </r>
  <r>
    <m/>
    <m/>
    <m/>
    <m/>
    <m/>
    <s v="-"/>
    <x v="9"/>
    <m/>
    <m/>
    <x v="2"/>
    <s v="Not Completed"/>
    <n v="3"/>
    <n v="0"/>
    <n v="0"/>
    <n v="3"/>
    <n v="3"/>
    <n v="0"/>
    <n v="0"/>
  </r>
  <r>
    <m/>
    <m/>
    <m/>
    <m/>
    <m/>
    <n v="5"/>
    <x v="3"/>
    <m/>
    <m/>
    <x v="1"/>
    <s v="Not Completed"/>
    <n v="8"/>
    <n v="0"/>
    <n v="5"/>
    <n v="3"/>
    <n v="8"/>
    <n v="0"/>
    <n v="0"/>
  </r>
  <r>
    <m/>
    <m/>
    <m/>
    <m/>
    <m/>
    <n v="13"/>
    <x v="6"/>
    <m/>
    <m/>
    <x v="7"/>
    <s v="Not Completed"/>
    <n v="8"/>
    <n v="0"/>
    <n v="8"/>
    <n v="0"/>
    <n v="8"/>
    <n v="0"/>
    <n v="0"/>
  </r>
  <r>
    <m/>
    <m/>
    <m/>
    <m/>
    <m/>
    <s v="-"/>
    <x v="3"/>
    <m/>
    <m/>
    <x v="9"/>
    <s v="Not Completed"/>
    <n v="8"/>
    <n v="0"/>
    <n v="0"/>
    <n v="8"/>
    <n v="8"/>
    <n v="0"/>
    <n v="0"/>
  </r>
  <r>
    <m/>
    <m/>
    <m/>
    <m/>
    <m/>
    <n v="5"/>
    <x v="8"/>
    <m/>
    <m/>
    <x v="2"/>
    <s v="Not Completed"/>
    <n v="21"/>
    <n v="0"/>
    <n v="5"/>
    <n v="16"/>
    <n v="21"/>
    <n v="0"/>
    <n v="0"/>
  </r>
  <r>
    <m/>
    <m/>
    <m/>
    <m/>
    <m/>
    <n v="13"/>
    <x v="8"/>
    <m/>
    <m/>
    <x v="6"/>
    <s v="Not Completed"/>
    <n v="21"/>
    <n v="0"/>
    <n v="13"/>
    <n v="8"/>
    <n v="21"/>
    <n v="0"/>
    <n v="0"/>
  </r>
  <r>
    <m/>
    <m/>
    <m/>
    <m/>
    <m/>
    <s v="-"/>
    <x v="2"/>
    <m/>
    <m/>
    <x v="7"/>
    <s v="Not Completed"/>
    <n v="21"/>
    <n v="0"/>
    <n v="0"/>
    <n v="21"/>
    <n v="21"/>
    <n v="0"/>
    <n v="0"/>
  </r>
  <r>
    <m/>
    <m/>
    <m/>
    <m/>
    <m/>
    <n v="5"/>
    <x v="4"/>
    <m/>
    <m/>
    <x v="2"/>
    <s v="Not Completed"/>
    <m/>
    <n v="0"/>
    <n v="5"/>
    <n v="0"/>
    <n v="5"/>
    <n v="0"/>
    <n v="0"/>
  </r>
  <r>
    <m/>
    <m/>
    <m/>
    <m/>
    <m/>
    <n v="13"/>
    <x v="2"/>
    <m/>
    <m/>
    <x v="3"/>
    <s v="Not Completed"/>
    <m/>
    <n v="0"/>
    <n v="13"/>
    <n v="0"/>
    <n v="13"/>
    <n v="0"/>
    <n v="0"/>
  </r>
  <r>
    <m/>
    <m/>
    <m/>
    <m/>
    <m/>
    <s v="-"/>
    <x v="3"/>
    <m/>
    <m/>
    <x v="2"/>
    <s v="Not Completed"/>
    <m/>
    <n v="0"/>
    <n v="0"/>
    <n v="0"/>
    <n v="0"/>
    <n v="0"/>
    <n v="0"/>
  </r>
  <r>
    <m/>
    <m/>
    <m/>
    <m/>
    <m/>
    <n v="5"/>
    <x v="4"/>
    <m/>
    <m/>
    <x v="8"/>
    <s v="Not Completed"/>
    <n v="0"/>
    <n v="2"/>
    <n v="0"/>
    <n v="0"/>
    <n v="-2"/>
    <n v="0"/>
    <n v="2"/>
  </r>
  <r>
    <m/>
    <m/>
    <m/>
    <m/>
    <m/>
    <n v="13"/>
    <x v="7"/>
    <m/>
    <m/>
    <x v="0"/>
    <s v="Not Completed"/>
    <n v="0"/>
    <n v="2"/>
    <n v="0"/>
    <n v="0"/>
    <n v="-2"/>
    <n v="0"/>
    <n v="2"/>
  </r>
  <r>
    <m/>
    <m/>
    <m/>
    <m/>
    <m/>
    <s v="-"/>
    <x v="4"/>
    <m/>
    <m/>
    <x v="7"/>
    <s v="Not Completed"/>
    <n v="0"/>
    <n v="2"/>
    <n v="0"/>
    <n v="0"/>
    <n v="-2"/>
    <n v="0"/>
    <n v="2"/>
  </r>
  <r>
    <m/>
    <m/>
    <m/>
    <m/>
    <m/>
    <n v="5"/>
    <x v="1"/>
    <m/>
    <m/>
    <x v="5"/>
    <s v="Not Completed"/>
    <n v="3"/>
    <n v="2"/>
    <n v="3"/>
    <n v="0"/>
    <n v="1"/>
    <n v="0"/>
    <n v="2"/>
  </r>
  <r>
    <m/>
    <m/>
    <m/>
    <m/>
    <m/>
    <n v="13"/>
    <x v="2"/>
    <m/>
    <m/>
    <x v="9"/>
    <s v="Not Completed"/>
    <n v="3"/>
    <n v="2"/>
    <n v="3"/>
    <n v="0"/>
    <n v="1"/>
    <n v="0"/>
    <n v="2"/>
  </r>
  <r>
    <m/>
    <m/>
    <m/>
    <m/>
    <m/>
    <s v="-"/>
    <x v="8"/>
    <m/>
    <m/>
    <x v="4"/>
    <s v="Not Completed"/>
    <n v="3"/>
    <n v="2"/>
    <n v="0"/>
    <n v="3"/>
    <n v="1"/>
    <n v="0"/>
    <n v="2"/>
  </r>
  <r>
    <m/>
    <m/>
    <m/>
    <m/>
    <m/>
    <n v="5"/>
    <x v="9"/>
    <m/>
    <m/>
    <x v="0"/>
    <s v="Not Completed"/>
    <n v="8"/>
    <n v="2"/>
    <n v="5"/>
    <n v="3"/>
    <n v="6"/>
    <n v="0"/>
    <n v="2"/>
  </r>
  <r>
    <m/>
    <m/>
    <m/>
    <m/>
    <m/>
    <n v="13"/>
    <x v="8"/>
    <m/>
    <m/>
    <x v="5"/>
    <s v="Not Completed"/>
    <n v="8"/>
    <n v="2"/>
    <n v="8"/>
    <n v="0"/>
    <n v="6"/>
    <n v="0"/>
    <n v="2"/>
  </r>
  <r>
    <m/>
    <m/>
    <m/>
    <m/>
    <m/>
    <s v="-"/>
    <x v="8"/>
    <m/>
    <m/>
    <x v="4"/>
    <s v="Not Completed"/>
    <n v="8"/>
    <n v="2"/>
    <n v="0"/>
    <n v="8"/>
    <n v="6"/>
    <n v="0"/>
    <n v="2"/>
  </r>
  <r>
    <m/>
    <m/>
    <m/>
    <m/>
    <m/>
    <n v="5"/>
    <x v="2"/>
    <m/>
    <m/>
    <x v="2"/>
    <s v="Not Completed"/>
    <n v="21"/>
    <n v="2"/>
    <n v="5"/>
    <n v="16"/>
    <n v="19"/>
    <n v="0"/>
    <n v="2"/>
  </r>
  <r>
    <m/>
    <m/>
    <m/>
    <m/>
    <m/>
    <n v="13"/>
    <x v="1"/>
    <m/>
    <m/>
    <x v="2"/>
    <s v="Not Completed"/>
    <n v="21"/>
    <n v="2"/>
    <n v="13"/>
    <n v="8"/>
    <n v="19"/>
    <n v="0"/>
    <n v="2"/>
  </r>
  <r>
    <m/>
    <m/>
    <m/>
    <m/>
    <m/>
    <s v="-"/>
    <x v="6"/>
    <m/>
    <m/>
    <x v="4"/>
    <s v="Not Completed"/>
    <n v="21"/>
    <n v="2"/>
    <n v="0"/>
    <n v="21"/>
    <n v="19"/>
    <n v="0"/>
    <n v="2"/>
  </r>
  <r>
    <m/>
    <m/>
    <m/>
    <m/>
    <m/>
    <n v="5"/>
    <x v="9"/>
    <m/>
    <m/>
    <x v="0"/>
    <s v="Not Completed"/>
    <m/>
    <n v="2"/>
    <n v="5"/>
    <n v="0"/>
    <n v="3"/>
    <n v="0"/>
    <n v="2"/>
  </r>
  <r>
    <m/>
    <m/>
    <m/>
    <m/>
    <m/>
    <n v="13"/>
    <x v="2"/>
    <m/>
    <m/>
    <x v="2"/>
    <s v="Not Completed"/>
    <m/>
    <n v="2"/>
    <n v="13"/>
    <n v="0"/>
    <n v="11"/>
    <n v="0"/>
    <n v="2"/>
  </r>
  <r>
    <m/>
    <m/>
    <m/>
    <m/>
    <m/>
    <s v="-"/>
    <x v="0"/>
    <m/>
    <m/>
    <x v="7"/>
    <s v="Not Completed"/>
    <m/>
    <n v="2"/>
    <n v="0"/>
    <n v="0"/>
    <n v="-2"/>
    <n v="0"/>
    <n v="2"/>
  </r>
  <r>
    <m/>
    <m/>
    <m/>
    <m/>
    <m/>
    <n v="5"/>
    <x v="6"/>
    <m/>
    <m/>
    <x v="2"/>
    <s v="Not Completed"/>
    <n v="0"/>
    <m/>
    <n v="0"/>
    <n v="0"/>
    <n v="0"/>
    <n v="0"/>
    <n v="0"/>
  </r>
  <r>
    <m/>
    <m/>
    <m/>
    <m/>
    <m/>
    <n v="13"/>
    <x v="9"/>
    <m/>
    <m/>
    <x v="4"/>
    <s v="Not Completed"/>
    <n v="0"/>
    <m/>
    <n v="0"/>
    <n v="0"/>
    <n v="0"/>
    <n v="0"/>
    <n v="0"/>
  </r>
  <r>
    <m/>
    <m/>
    <m/>
    <m/>
    <m/>
    <s v="-"/>
    <x v="3"/>
    <m/>
    <m/>
    <x v="6"/>
    <s v="Not Completed"/>
    <n v="0"/>
    <m/>
    <n v="0"/>
    <n v="0"/>
    <n v="0"/>
    <n v="0"/>
    <n v="0"/>
  </r>
  <r>
    <m/>
    <m/>
    <m/>
    <m/>
    <m/>
    <n v="5"/>
    <x v="7"/>
    <m/>
    <m/>
    <x v="1"/>
    <s v="Not Completed"/>
    <n v="3"/>
    <m/>
    <n v="3"/>
    <n v="0"/>
    <n v="0"/>
    <n v="0"/>
    <n v="3"/>
  </r>
  <r>
    <m/>
    <m/>
    <m/>
    <m/>
    <m/>
    <n v="13"/>
    <x v="2"/>
    <m/>
    <m/>
    <x v="0"/>
    <s v="Not Completed"/>
    <n v="3"/>
    <m/>
    <n v="3"/>
    <n v="0"/>
    <n v="0"/>
    <n v="0"/>
    <n v="3"/>
  </r>
  <r>
    <m/>
    <m/>
    <m/>
    <m/>
    <m/>
    <s v="-"/>
    <x v="8"/>
    <m/>
    <m/>
    <x v="9"/>
    <s v="Not Completed"/>
    <n v="3"/>
    <m/>
    <n v="0"/>
    <n v="3"/>
    <n v="0"/>
    <n v="0"/>
    <n v="3"/>
  </r>
  <r>
    <m/>
    <m/>
    <m/>
    <m/>
    <m/>
    <n v="5"/>
    <x v="9"/>
    <m/>
    <m/>
    <x v="9"/>
    <s v="Not Completed"/>
    <n v="8"/>
    <m/>
    <n v="5"/>
    <n v="3"/>
    <n v="0"/>
    <n v="0"/>
    <n v="8"/>
  </r>
  <r>
    <m/>
    <m/>
    <m/>
    <m/>
    <m/>
    <n v="13"/>
    <x v="4"/>
    <m/>
    <m/>
    <x v="6"/>
    <s v="Not Completed"/>
    <n v="8"/>
    <m/>
    <n v="8"/>
    <n v="0"/>
    <n v="0"/>
    <n v="0"/>
    <n v="8"/>
  </r>
  <r>
    <m/>
    <m/>
    <m/>
    <m/>
    <m/>
    <s v="-"/>
    <x v="6"/>
    <m/>
    <m/>
    <x v="8"/>
    <s v="Not Completed"/>
    <n v="8"/>
    <m/>
    <n v="0"/>
    <n v="8"/>
    <n v="0"/>
    <n v="0"/>
    <n v="8"/>
  </r>
  <r>
    <m/>
    <m/>
    <m/>
    <m/>
    <m/>
    <n v="5"/>
    <x v="5"/>
    <m/>
    <m/>
    <x v="8"/>
    <s v="Not Completed"/>
    <n v="21"/>
    <m/>
    <n v="5"/>
    <n v="16"/>
    <n v="0"/>
    <n v="0"/>
    <n v="21"/>
  </r>
  <r>
    <m/>
    <m/>
    <m/>
    <m/>
    <m/>
    <n v="13"/>
    <x v="2"/>
    <m/>
    <m/>
    <x v="1"/>
    <s v="Not Completed"/>
    <n v="21"/>
    <m/>
    <n v="13"/>
    <n v="8"/>
    <n v="0"/>
    <n v="0"/>
    <n v="21"/>
  </r>
  <r>
    <m/>
    <m/>
    <m/>
    <m/>
    <m/>
    <s v="-"/>
    <x v="1"/>
    <m/>
    <m/>
    <x v="6"/>
    <s v="Not Completed"/>
    <n v="21"/>
    <m/>
    <n v="0"/>
    <n v="21"/>
    <n v="0"/>
    <n v="0"/>
    <n v="21"/>
  </r>
  <r>
    <m/>
    <m/>
    <m/>
    <m/>
    <m/>
    <n v="5"/>
    <x v="6"/>
    <m/>
    <m/>
    <x v="3"/>
    <s v="Not Completed"/>
    <m/>
    <m/>
    <n v="5"/>
    <n v="0"/>
    <n v="0"/>
    <n v="0"/>
    <n v="5"/>
  </r>
  <r>
    <m/>
    <m/>
    <m/>
    <m/>
    <m/>
    <n v="13"/>
    <x v="8"/>
    <m/>
    <m/>
    <x v="2"/>
    <s v="Not Completed"/>
    <m/>
    <m/>
    <n v="13"/>
    <n v="0"/>
    <n v="0"/>
    <n v="0"/>
    <n v="13"/>
  </r>
  <r>
    <m/>
    <m/>
    <m/>
    <m/>
    <m/>
    <s v="-"/>
    <x v="8"/>
    <m/>
    <m/>
    <x v="8"/>
    <s v="Not Completed"/>
    <m/>
    <m/>
    <n v="0"/>
    <n v="0"/>
    <n v="0"/>
    <n v="0"/>
    <n v="0"/>
  </r>
  <r>
    <m/>
    <m/>
    <m/>
    <m/>
    <m/>
    <n v="5"/>
    <x v="2"/>
    <s v="yes"/>
    <m/>
    <x v="3"/>
    <s v="Removed"/>
    <n v="0"/>
    <n v="0"/>
    <n v="0"/>
    <n v="0"/>
    <n v="0"/>
    <n v="0"/>
    <n v="0"/>
  </r>
  <r>
    <m/>
    <m/>
    <m/>
    <m/>
    <m/>
    <n v="13"/>
    <x v="4"/>
    <s v="yes"/>
    <m/>
    <x v="2"/>
    <s v="Removed"/>
    <n v="0"/>
    <n v="0"/>
    <n v="0"/>
    <n v="0"/>
    <n v="0"/>
    <n v="0"/>
    <n v="0"/>
  </r>
  <r>
    <m/>
    <m/>
    <m/>
    <m/>
    <m/>
    <s v="-"/>
    <x v="3"/>
    <s v="yes"/>
    <m/>
    <x v="1"/>
    <s v="Removed"/>
    <n v="0"/>
    <n v="0"/>
    <n v="0"/>
    <n v="0"/>
    <n v="0"/>
    <n v="0"/>
    <n v="0"/>
  </r>
  <r>
    <m/>
    <m/>
    <m/>
    <m/>
    <m/>
    <n v="5"/>
    <x v="6"/>
    <s v="yes"/>
    <m/>
    <x v="5"/>
    <s v="Removed"/>
    <n v="3"/>
    <n v="0"/>
    <n v="0"/>
    <n v="3"/>
    <n v="3"/>
    <n v="0"/>
    <n v="0"/>
  </r>
  <r>
    <m/>
    <m/>
    <m/>
    <m/>
    <m/>
    <n v="13"/>
    <x v="1"/>
    <s v="yes"/>
    <m/>
    <x v="5"/>
    <s v="Removed"/>
    <n v="3"/>
    <n v="0"/>
    <n v="0"/>
    <n v="3"/>
    <n v="3"/>
    <n v="0"/>
    <n v="0"/>
  </r>
  <r>
    <m/>
    <m/>
    <m/>
    <m/>
    <m/>
    <s v="-"/>
    <x v="4"/>
    <s v="yes"/>
    <m/>
    <x v="2"/>
    <s v="Removed"/>
    <n v="3"/>
    <n v="0"/>
    <n v="0"/>
    <n v="3"/>
    <n v="3"/>
    <n v="0"/>
    <n v="0"/>
  </r>
  <r>
    <m/>
    <m/>
    <m/>
    <m/>
    <m/>
    <n v="5"/>
    <x v="7"/>
    <s v="yes"/>
    <m/>
    <x v="7"/>
    <s v="Removed"/>
    <n v="8"/>
    <n v="0"/>
    <n v="0"/>
    <n v="8"/>
    <n v="8"/>
    <n v="0"/>
    <n v="0"/>
  </r>
  <r>
    <m/>
    <m/>
    <m/>
    <m/>
    <m/>
    <n v="13"/>
    <x v="1"/>
    <s v="yes"/>
    <m/>
    <x v="7"/>
    <s v="Removed"/>
    <n v="8"/>
    <n v="0"/>
    <n v="0"/>
    <n v="8"/>
    <n v="8"/>
    <n v="0"/>
    <n v="0"/>
  </r>
  <r>
    <m/>
    <m/>
    <m/>
    <m/>
    <m/>
    <s v="-"/>
    <x v="3"/>
    <s v="yes"/>
    <m/>
    <x v="4"/>
    <s v="Removed"/>
    <n v="8"/>
    <n v="0"/>
    <n v="0"/>
    <n v="8"/>
    <n v="8"/>
    <n v="0"/>
    <n v="0"/>
  </r>
  <r>
    <m/>
    <m/>
    <m/>
    <m/>
    <m/>
    <n v="5"/>
    <x v="3"/>
    <s v="yes"/>
    <m/>
    <x v="0"/>
    <s v="Removed"/>
    <n v="21"/>
    <n v="0"/>
    <n v="0"/>
    <n v="21"/>
    <n v="21"/>
    <n v="0"/>
    <n v="0"/>
  </r>
  <r>
    <m/>
    <m/>
    <m/>
    <m/>
    <m/>
    <n v="13"/>
    <x v="3"/>
    <s v="yes"/>
    <m/>
    <x v="0"/>
    <s v="Removed"/>
    <n v="21"/>
    <n v="0"/>
    <n v="0"/>
    <n v="21"/>
    <n v="21"/>
    <n v="0"/>
    <n v="0"/>
  </r>
  <r>
    <m/>
    <m/>
    <m/>
    <m/>
    <m/>
    <s v="-"/>
    <x v="8"/>
    <s v="yes"/>
    <m/>
    <x v="9"/>
    <s v="Removed"/>
    <n v="21"/>
    <n v="0"/>
    <n v="0"/>
    <n v="21"/>
    <n v="21"/>
    <n v="0"/>
    <n v="0"/>
  </r>
  <r>
    <m/>
    <m/>
    <m/>
    <m/>
    <m/>
    <n v="5"/>
    <x v="3"/>
    <s v="yes"/>
    <m/>
    <x v="8"/>
    <s v="Removed"/>
    <m/>
    <n v="0"/>
    <n v="0"/>
    <n v="5"/>
    <n v="5"/>
    <n v="0"/>
    <n v="0"/>
  </r>
  <r>
    <m/>
    <m/>
    <m/>
    <m/>
    <m/>
    <n v="13"/>
    <x v="0"/>
    <s v="yes"/>
    <m/>
    <x v="9"/>
    <s v="Removed"/>
    <m/>
    <n v="0"/>
    <n v="0"/>
    <n v="13"/>
    <n v="13"/>
    <n v="0"/>
    <n v="0"/>
  </r>
  <r>
    <m/>
    <m/>
    <m/>
    <m/>
    <m/>
    <s v="-"/>
    <x v="6"/>
    <s v="yes"/>
    <m/>
    <x v="6"/>
    <s v="Removed"/>
    <m/>
    <n v="0"/>
    <n v="0"/>
    <n v="0"/>
    <n v="0"/>
    <n v="0"/>
    <n v="0"/>
  </r>
  <r>
    <m/>
    <m/>
    <m/>
    <m/>
    <m/>
    <n v="5"/>
    <x v="0"/>
    <s v="yes"/>
    <m/>
    <x v="7"/>
    <s v="Removed"/>
    <n v="0"/>
    <n v="2"/>
    <n v="0"/>
    <n v="0"/>
    <n v="-2"/>
    <n v="2"/>
    <n v="0"/>
  </r>
  <r>
    <m/>
    <m/>
    <m/>
    <m/>
    <m/>
    <n v="13"/>
    <x v="7"/>
    <s v="yes"/>
    <m/>
    <x v="1"/>
    <s v="Removed"/>
    <n v="0"/>
    <n v="2"/>
    <n v="0"/>
    <n v="0"/>
    <n v="-2"/>
    <n v="2"/>
    <n v="0"/>
  </r>
  <r>
    <m/>
    <m/>
    <m/>
    <m/>
    <m/>
    <s v="-"/>
    <x v="8"/>
    <s v="yes"/>
    <m/>
    <x v="0"/>
    <s v="Removed"/>
    <n v="0"/>
    <n v="2"/>
    <n v="0"/>
    <n v="0"/>
    <n v="-2"/>
    <n v="2"/>
    <n v="0"/>
  </r>
  <r>
    <m/>
    <m/>
    <m/>
    <m/>
    <m/>
    <n v="5"/>
    <x v="1"/>
    <s v="yes"/>
    <m/>
    <x v="0"/>
    <s v="Removed"/>
    <n v="3"/>
    <n v="2"/>
    <n v="0"/>
    <n v="3"/>
    <n v="1"/>
    <n v="2"/>
    <n v="0"/>
  </r>
  <r>
    <m/>
    <m/>
    <m/>
    <m/>
    <m/>
    <n v="13"/>
    <x v="7"/>
    <s v="yes"/>
    <m/>
    <x v="0"/>
    <s v="Removed"/>
    <n v="3"/>
    <n v="2"/>
    <n v="0"/>
    <n v="3"/>
    <n v="1"/>
    <n v="2"/>
    <n v="0"/>
  </r>
  <r>
    <m/>
    <m/>
    <m/>
    <m/>
    <m/>
    <s v="-"/>
    <x v="9"/>
    <s v="yes"/>
    <m/>
    <x v="9"/>
    <s v="Removed"/>
    <n v="3"/>
    <n v="2"/>
    <n v="0"/>
    <n v="3"/>
    <n v="1"/>
    <n v="2"/>
    <n v="0"/>
  </r>
  <r>
    <m/>
    <m/>
    <m/>
    <m/>
    <m/>
    <n v="5"/>
    <x v="3"/>
    <s v="yes"/>
    <m/>
    <x v="4"/>
    <s v="Removed"/>
    <n v="8"/>
    <n v="2"/>
    <n v="0"/>
    <n v="8"/>
    <n v="6"/>
    <n v="2"/>
    <n v="0"/>
  </r>
  <r>
    <m/>
    <m/>
    <m/>
    <m/>
    <m/>
    <n v="13"/>
    <x v="5"/>
    <s v="yes"/>
    <m/>
    <x v="5"/>
    <s v="Removed"/>
    <n v="8"/>
    <n v="2"/>
    <n v="0"/>
    <n v="8"/>
    <n v="6"/>
    <n v="2"/>
    <n v="0"/>
  </r>
  <r>
    <m/>
    <m/>
    <m/>
    <m/>
    <m/>
    <s v="-"/>
    <x v="0"/>
    <s v="yes"/>
    <m/>
    <x v="3"/>
    <s v="Removed"/>
    <n v="8"/>
    <n v="2"/>
    <n v="0"/>
    <n v="8"/>
    <n v="6"/>
    <n v="2"/>
    <n v="0"/>
  </r>
  <r>
    <m/>
    <m/>
    <m/>
    <m/>
    <m/>
    <n v="5"/>
    <x v="3"/>
    <s v="yes"/>
    <m/>
    <x v="6"/>
    <s v="Removed"/>
    <n v="21"/>
    <n v="2"/>
    <n v="0"/>
    <n v="21"/>
    <n v="19"/>
    <n v="2"/>
    <n v="0"/>
  </r>
  <r>
    <m/>
    <m/>
    <m/>
    <m/>
    <m/>
    <n v="13"/>
    <x v="6"/>
    <s v="yes"/>
    <m/>
    <x v="9"/>
    <s v="Removed"/>
    <n v="21"/>
    <n v="2"/>
    <n v="0"/>
    <n v="21"/>
    <n v="19"/>
    <n v="2"/>
    <n v="0"/>
  </r>
  <r>
    <m/>
    <m/>
    <m/>
    <m/>
    <m/>
    <s v="-"/>
    <x v="2"/>
    <s v="yes"/>
    <m/>
    <x v="1"/>
    <s v="Removed"/>
    <n v="21"/>
    <n v="2"/>
    <n v="0"/>
    <n v="21"/>
    <n v="19"/>
    <n v="2"/>
    <n v="0"/>
  </r>
  <r>
    <m/>
    <m/>
    <m/>
    <m/>
    <m/>
    <n v="5"/>
    <x v="2"/>
    <s v="yes"/>
    <m/>
    <x v="6"/>
    <s v="Removed"/>
    <m/>
    <n v="2"/>
    <n v="0"/>
    <n v="5"/>
    <n v="3"/>
    <n v="2"/>
    <n v="0"/>
  </r>
  <r>
    <m/>
    <m/>
    <m/>
    <m/>
    <m/>
    <n v="13"/>
    <x v="9"/>
    <s v="yes"/>
    <m/>
    <x v="4"/>
    <s v="Removed"/>
    <m/>
    <n v="2"/>
    <n v="0"/>
    <n v="13"/>
    <n v="11"/>
    <n v="2"/>
    <n v="0"/>
  </r>
  <r>
    <m/>
    <m/>
    <m/>
    <m/>
    <m/>
    <s v="-"/>
    <x v="7"/>
    <s v="yes"/>
    <m/>
    <x v="1"/>
    <s v="Removed"/>
    <m/>
    <n v="2"/>
    <n v="0"/>
    <n v="0"/>
    <n v="-2"/>
    <n v="2"/>
    <n v="0"/>
  </r>
  <r>
    <m/>
    <m/>
    <m/>
    <m/>
    <m/>
    <n v="5"/>
    <x v="8"/>
    <s v="yes"/>
    <m/>
    <x v="6"/>
    <s v="Removed"/>
    <n v="0"/>
    <m/>
    <n v="0"/>
    <n v="0"/>
    <n v="0"/>
    <n v="0"/>
    <n v="0"/>
  </r>
  <r>
    <m/>
    <m/>
    <m/>
    <m/>
    <m/>
    <n v="13"/>
    <x v="2"/>
    <s v="yes"/>
    <m/>
    <x v="9"/>
    <s v="Removed"/>
    <n v="0"/>
    <m/>
    <n v="0"/>
    <n v="0"/>
    <n v="0"/>
    <n v="0"/>
    <n v="0"/>
  </r>
  <r>
    <m/>
    <m/>
    <m/>
    <m/>
    <m/>
    <s v="-"/>
    <x v="2"/>
    <s v="yes"/>
    <m/>
    <x v="8"/>
    <s v="Removed"/>
    <n v="0"/>
    <m/>
    <n v="0"/>
    <n v="0"/>
    <n v="0"/>
    <n v="0"/>
    <n v="0"/>
  </r>
  <r>
    <m/>
    <m/>
    <m/>
    <m/>
    <m/>
    <n v="5"/>
    <x v="7"/>
    <s v="yes"/>
    <m/>
    <x v="2"/>
    <s v="Removed"/>
    <n v="3"/>
    <m/>
    <n v="0"/>
    <n v="3"/>
    <n v="0"/>
    <n v="3"/>
    <n v="0"/>
  </r>
  <r>
    <m/>
    <m/>
    <m/>
    <m/>
    <m/>
    <n v="13"/>
    <x v="6"/>
    <s v="yes"/>
    <m/>
    <x v="8"/>
    <s v="Removed"/>
    <n v="3"/>
    <m/>
    <n v="0"/>
    <n v="3"/>
    <n v="0"/>
    <n v="3"/>
    <n v="0"/>
  </r>
  <r>
    <m/>
    <m/>
    <m/>
    <m/>
    <m/>
    <s v="-"/>
    <x v="2"/>
    <s v="yes"/>
    <m/>
    <x v="2"/>
    <s v="Removed"/>
    <n v="3"/>
    <m/>
    <n v="0"/>
    <n v="3"/>
    <n v="0"/>
    <n v="3"/>
    <n v="0"/>
  </r>
  <r>
    <m/>
    <m/>
    <m/>
    <m/>
    <m/>
    <n v="5"/>
    <x v="7"/>
    <s v="yes"/>
    <m/>
    <x v="2"/>
    <s v="Removed"/>
    <n v="8"/>
    <m/>
    <n v="0"/>
    <n v="8"/>
    <n v="0"/>
    <n v="8"/>
    <n v="0"/>
  </r>
  <r>
    <m/>
    <m/>
    <m/>
    <m/>
    <m/>
    <n v="13"/>
    <x v="1"/>
    <s v="yes"/>
    <m/>
    <x v="6"/>
    <s v="Removed"/>
    <n v="8"/>
    <m/>
    <n v="0"/>
    <n v="8"/>
    <n v="0"/>
    <n v="8"/>
    <n v="0"/>
  </r>
  <r>
    <m/>
    <m/>
    <m/>
    <m/>
    <m/>
    <s v="-"/>
    <x v="1"/>
    <s v="yes"/>
    <m/>
    <x v="8"/>
    <s v="Removed"/>
    <n v="8"/>
    <m/>
    <n v="0"/>
    <n v="8"/>
    <n v="0"/>
    <n v="8"/>
    <n v="0"/>
  </r>
  <r>
    <m/>
    <m/>
    <m/>
    <m/>
    <m/>
    <n v="5"/>
    <x v="3"/>
    <s v="yes"/>
    <m/>
    <x v="6"/>
    <s v="Removed"/>
    <n v="21"/>
    <m/>
    <n v="0"/>
    <n v="21"/>
    <n v="0"/>
    <n v="21"/>
    <n v="0"/>
  </r>
  <r>
    <m/>
    <m/>
    <m/>
    <m/>
    <m/>
    <n v="13"/>
    <x v="1"/>
    <s v="yes"/>
    <m/>
    <x v="4"/>
    <s v="Removed"/>
    <n v="21"/>
    <m/>
    <n v="0"/>
    <n v="21"/>
    <n v="0"/>
    <n v="21"/>
    <n v="0"/>
  </r>
  <r>
    <m/>
    <m/>
    <m/>
    <m/>
    <m/>
    <s v="-"/>
    <x v="4"/>
    <s v="yes"/>
    <m/>
    <x v="1"/>
    <s v="Removed"/>
    <n v="21"/>
    <m/>
    <n v="0"/>
    <n v="21"/>
    <n v="0"/>
    <n v="21"/>
    <n v="0"/>
  </r>
  <r>
    <m/>
    <m/>
    <m/>
    <m/>
    <m/>
    <n v="5"/>
    <x v="5"/>
    <s v="yes"/>
    <m/>
    <x v="9"/>
    <s v="Removed"/>
    <m/>
    <m/>
    <n v="0"/>
    <n v="5"/>
    <n v="0"/>
    <n v="5"/>
    <n v="0"/>
  </r>
  <r>
    <m/>
    <m/>
    <m/>
    <m/>
    <m/>
    <n v="13"/>
    <x v="0"/>
    <s v="yes"/>
    <m/>
    <x v="6"/>
    <s v="Removed"/>
    <m/>
    <m/>
    <n v="0"/>
    <n v="13"/>
    <n v="0"/>
    <n v="13"/>
    <n v="0"/>
  </r>
  <r>
    <m/>
    <m/>
    <m/>
    <m/>
    <m/>
    <s v="-"/>
    <x v="3"/>
    <s v="yes"/>
    <m/>
    <x v="2"/>
    <s v="Removed"/>
    <m/>
    <m/>
    <n v="0"/>
    <n v="0"/>
    <n v="0"/>
    <n v="0"/>
    <n v="0"/>
  </r>
  <r>
    <m/>
    <m/>
    <m/>
    <m/>
    <m/>
    <n v="5"/>
    <x v="3"/>
    <m/>
    <m/>
    <x v="4"/>
    <s v="Removed"/>
    <n v="0"/>
    <n v="0"/>
    <n v="0"/>
    <n v="0"/>
    <n v="0"/>
    <n v="0"/>
    <n v="0"/>
  </r>
  <r>
    <m/>
    <m/>
    <m/>
    <m/>
    <m/>
    <n v="13"/>
    <x v="6"/>
    <m/>
    <m/>
    <x v="8"/>
    <s v="Removed"/>
    <n v="0"/>
    <n v="0"/>
    <n v="0"/>
    <n v="0"/>
    <n v="0"/>
    <n v="0"/>
    <n v="0"/>
  </r>
  <r>
    <m/>
    <m/>
    <m/>
    <m/>
    <m/>
    <s v="-"/>
    <x v="3"/>
    <m/>
    <m/>
    <x v="2"/>
    <s v="Removed"/>
    <n v="0"/>
    <n v="0"/>
    <n v="0"/>
    <n v="0"/>
    <n v="0"/>
    <n v="0"/>
    <n v="0"/>
  </r>
  <r>
    <m/>
    <m/>
    <m/>
    <m/>
    <m/>
    <n v="5"/>
    <x v="4"/>
    <m/>
    <m/>
    <x v="6"/>
    <s v="Removed"/>
    <n v="3"/>
    <n v="0"/>
    <n v="3"/>
    <n v="0"/>
    <n v="3"/>
    <n v="0"/>
    <n v="0"/>
  </r>
  <r>
    <m/>
    <m/>
    <m/>
    <m/>
    <m/>
    <n v="13"/>
    <x v="3"/>
    <m/>
    <m/>
    <x v="3"/>
    <s v="Removed"/>
    <n v="3"/>
    <n v="0"/>
    <n v="3"/>
    <n v="0"/>
    <n v="3"/>
    <n v="0"/>
    <n v="0"/>
  </r>
  <r>
    <m/>
    <m/>
    <m/>
    <m/>
    <m/>
    <s v="-"/>
    <x v="4"/>
    <m/>
    <m/>
    <x v="7"/>
    <s v="Removed"/>
    <n v="3"/>
    <n v="0"/>
    <n v="0"/>
    <n v="3"/>
    <n v="3"/>
    <n v="0"/>
    <n v="0"/>
  </r>
  <r>
    <m/>
    <m/>
    <m/>
    <m/>
    <m/>
    <n v="5"/>
    <x v="4"/>
    <m/>
    <m/>
    <x v="8"/>
    <s v="Removed"/>
    <n v="8"/>
    <n v="0"/>
    <n v="5"/>
    <n v="3"/>
    <n v="8"/>
    <n v="0"/>
    <n v="0"/>
  </r>
  <r>
    <m/>
    <m/>
    <m/>
    <m/>
    <m/>
    <n v="13"/>
    <x v="9"/>
    <m/>
    <m/>
    <x v="5"/>
    <s v="Removed"/>
    <n v="8"/>
    <n v="0"/>
    <n v="8"/>
    <n v="0"/>
    <n v="8"/>
    <n v="0"/>
    <n v="0"/>
  </r>
  <r>
    <m/>
    <m/>
    <m/>
    <m/>
    <m/>
    <s v="-"/>
    <x v="8"/>
    <m/>
    <m/>
    <x v="7"/>
    <s v="Removed"/>
    <n v="8"/>
    <n v="0"/>
    <n v="0"/>
    <n v="8"/>
    <n v="8"/>
    <n v="0"/>
    <n v="0"/>
  </r>
  <r>
    <m/>
    <m/>
    <m/>
    <m/>
    <m/>
    <n v="5"/>
    <x v="3"/>
    <m/>
    <m/>
    <x v="9"/>
    <s v="Removed"/>
    <n v="21"/>
    <n v="0"/>
    <n v="5"/>
    <n v="16"/>
    <n v="21"/>
    <n v="0"/>
    <n v="0"/>
  </r>
  <r>
    <m/>
    <m/>
    <m/>
    <m/>
    <m/>
    <n v="13"/>
    <x v="4"/>
    <m/>
    <m/>
    <x v="4"/>
    <s v="Removed"/>
    <n v="21"/>
    <n v="0"/>
    <n v="13"/>
    <n v="8"/>
    <n v="21"/>
    <n v="0"/>
    <n v="0"/>
  </r>
  <r>
    <m/>
    <m/>
    <m/>
    <m/>
    <m/>
    <s v="-"/>
    <x v="4"/>
    <m/>
    <m/>
    <x v="6"/>
    <s v="Removed"/>
    <n v="21"/>
    <n v="0"/>
    <n v="0"/>
    <n v="21"/>
    <n v="21"/>
    <n v="0"/>
    <n v="0"/>
  </r>
  <r>
    <m/>
    <m/>
    <m/>
    <m/>
    <m/>
    <n v="5"/>
    <x v="3"/>
    <m/>
    <m/>
    <x v="7"/>
    <s v="Removed"/>
    <m/>
    <n v="0"/>
    <n v="5"/>
    <n v="0"/>
    <n v="5"/>
    <n v="0"/>
    <n v="0"/>
  </r>
  <r>
    <m/>
    <m/>
    <m/>
    <m/>
    <m/>
    <n v="13"/>
    <x v="4"/>
    <m/>
    <m/>
    <x v="1"/>
    <s v="Removed"/>
    <m/>
    <n v="0"/>
    <n v="13"/>
    <n v="0"/>
    <n v="13"/>
    <n v="0"/>
    <n v="0"/>
  </r>
  <r>
    <m/>
    <m/>
    <m/>
    <m/>
    <m/>
    <s v="-"/>
    <x v="4"/>
    <m/>
    <m/>
    <x v="3"/>
    <s v="Removed"/>
    <m/>
    <n v="0"/>
    <n v="0"/>
    <n v="0"/>
    <n v="0"/>
    <n v="0"/>
    <n v="0"/>
  </r>
  <r>
    <m/>
    <m/>
    <m/>
    <m/>
    <m/>
    <n v="5"/>
    <x v="0"/>
    <m/>
    <m/>
    <x v="6"/>
    <s v="Removed"/>
    <n v="0"/>
    <n v="2"/>
    <n v="0"/>
    <n v="0"/>
    <n v="-2"/>
    <n v="2"/>
    <n v="0"/>
  </r>
  <r>
    <m/>
    <m/>
    <m/>
    <m/>
    <m/>
    <n v="13"/>
    <x v="5"/>
    <m/>
    <m/>
    <x v="3"/>
    <s v="Removed"/>
    <n v="0"/>
    <n v="2"/>
    <n v="0"/>
    <n v="0"/>
    <n v="-2"/>
    <n v="2"/>
    <n v="0"/>
  </r>
  <r>
    <m/>
    <m/>
    <m/>
    <m/>
    <m/>
    <s v="-"/>
    <x v="2"/>
    <m/>
    <m/>
    <x v="1"/>
    <s v="Removed"/>
    <n v="0"/>
    <n v="2"/>
    <n v="0"/>
    <n v="0"/>
    <n v="-2"/>
    <n v="2"/>
    <n v="0"/>
  </r>
  <r>
    <m/>
    <m/>
    <m/>
    <m/>
    <m/>
    <n v="5"/>
    <x v="6"/>
    <m/>
    <m/>
    <x v="0"/>
    <s v="Removed"/>
    <n v="3"/>
    <n v="2"/>
    <n v="3"/>
    <n v="0"/>
    <n v="1"/>
    <n v="2"/>
    <n v="0"/>
  </r>
  <r>
    <m/>
    <m/>
    <m/>
    <m/>
    <m/>
    <n v="13"/>
    <x v="9"/>
    <m/>
    <m/>
    <x v="9"/>
    <s v="Removed"/>
    <n v="3"/>
    <n v="2"/>
    <n v="3"/>
    <n v="0"/>
    <n v="1"/>
    <n v="2"/>
    <n v="0"/>
  </r>
  <r>
    <m/>
    <m/>
    <m/>
    <m/>
    <m/>
    <s v="-"/>
    <x v="2"/>
    <m/>
    <m/>
    <x v="0"/>
    <s v="Removed"/>
    <n v="3"/>
    <n v="2"/>
    <n v="0"/>
    <n v="3"/>
    <n v="1"/>
    <n v="2"/>
    <n v="0"/>
  </r>
  <r>
    <m/>
    <m/>
    <m/>
    <m/>
    <m/>
    <n v="5"/>
    <x v="2"/>
    <m/>
    <m/>
    <x v="3"/>
    <s v="Removed"/>
    <n v="8"/>
    <n v="2"/>
    <n v="5"/>
    <n v="3"/>
    <n v="6"/>
    <n v="2"/>
    <n v="0"/>
  </r>
  <r>
    <m/>
    <m/>
    <m/>
    <m/>
    <m/>
    <n v="13"/>
    <x v="5"/>
    <m/>
    <m/>
    <x v="9"/>
    <s v="Removed"/>
    <n v="8"/>
    <n v="2"/>
    <n v="8"/>
    <n v="0"/>
    <n v="6"/>
    <n v="2"/>
    <n v="0"/>
  </r>
  <r>
    <m/>
    <m/>
    <m/>
    <m/>
    <m/>
    <s v="-"/>
    <x v="1"/>
    <m/>
    <m/>
    <x v="4"/>
    <s v="Removed"/>
    <n v="8"/>
    <n v="2"/>
    <n v="0"/>
    <n v="8"/>
    <n v="6"/>
    <n v="2"/>
    <n v="0"/>
  </r>
  <r>
    <m/>
    <m/>
    <m/>
    <m/>
    <m/>
    <n v="5"/>
    <x v="2"/>
    <m/>
    <m/>
    <x v="7"/>
    <s v="Removed"/>
    <n v="21"/>
    <n v="2"/>
    <n v="5"/>
    <n v="16"/>
    <n v="19"/>
    <n v="2"/>
    <n v="0"/>
  </r>
  <r>
    <m/>
    <m/>
    <m/>
    <m/>
    <m/>
    <n v="13"/>
    <x v="3"/>
    <m/>
    <m/>
    <x v="0"/>
    <s v="Removed"/>
    <n v="21"/>
    <n v="2"/>
    <n v="13"/>
    <n v="8"/>
    <n v="19"/>
    <n v="2"/>
    <n v="0"/>
  </r>
  <r>
    <m/>
    <m/>
    <m/>
    <m/>
    <m/>
    <s v="-"/>
    <x v="0"/>
    <m/>
    <m/>
    <x v="1"/>
    <s v="Removed"/>
    <n v="21"/>
    <n v="2"/>
    <n v="0"/>
    <n v="21"/>
    <n v="19"/>
    <n v="2"/>
    <n v="0"/>
  </r>
  <r>
    <m/>
    <m/>
    <m/>
    <m/>
    <m/>
    <n v="5"/>
    <x v="1"/>
    <m/>
    <m/>
    <x v="7"/>
    <s v="Removed"/>
    <m/>
    <n v="2"/>
    <n v="5"/>
    <n v="0"/>
    <n v="3"/>
    <n v="2"/>
    <n v="0"/>
  </r>
  <r>
    <m/>
    <m/>
    <m/>
    <m/>
    <m/>
    <n v="13"/>
    <x v="0"/>
    <m/>
    <m/>
    <x v="9"/>
    <s v="Removed"/>
    <m/>
    <n v="2"/>
    <n v="13"/>
    <n v="0"/>
    <n v="11"/>
    <n v="2"/>
    <n v="0"/>
  </r>
  <r>
    <m/>
    <m/>
    <m/>
    <m/>
    <m/>
    <s v="-"/>
    <x v="4"/>
    <m/>
    <m/>
    <x v="9"/>
    <s v="Removed"/>
    <m/>
    <n v="2"/>
    <n v="0"/>
    <n v="0"/>
    <n v="-2"/>
    <n v="2"/>
    <n v="0"/>
  </r>
  <r>
    <m/>
    <m/>
    <m/>
    <m/>
    <m/>
    <n v="5"/>
    <x v="0"/>
    <m/>
    <m/>
    <x v="1"/>
    <s v="Removed"/>
    <n v="0"/>
    <m/>
    <n v="0"/>
    <n v="0"/>
    <n v="0"/>
    <n v="0"/>
    <n v="0"/>
  </r>
  <r>
    <m/>
    <m/>
    <m/>
    <m/>
    <m/>
    <n v="13"/>
    <x v="7"/>
    <m/>
    <m/>
    <x v="5"/>
    <s v="Removed"/>
    <n v="0"/>
    <m/>
    <n v="0"/>
    <n v="0"/>
    <n v="0"/>
    <n v="0"/>
    <n v="0"/>
  </r>
  <r>
    <m/>
    <m/>
    <m/>
    <m/>
    <m/>
    <s v="-"/>
    <x v="7"/>
    <m/>
    <m/>
    <x v="4"/>
    <s v="Removed"/>
    <n v="0"/>
    <m/>
    <n v="0"/>
    <n v="0"/>
    <n v="0"/>
    <n v="0"/>
    <n v="0"/>
  </r>
  <r>
    <m/>
    <m/>
    <m/>
    <m/>
    <m/>
    <n v="5"/>
    <x v="5"/>
    <m/>
    <m/>
    <x v="0"/>
    <s v="Removed"/>
    <n v="3"/>
    <m/>
    <n v="3"/>
    <n v="0"/>
    <n v="0"/>
    <n v="3"/>
    <n v="0"/>
  </r>
  <r>
    <m/>
    <m/>
    <m/>
    <m/>
    <m/>
    <n v="13"/>
    <x v="5"/>
    <m/>
    <m/>
    <x v="9"/>
    <s v="Removed"/>
    <n v="3"/>
    <m/>
    <n v="3"/>
    <n v="0"/>
    <n v="0"/>
    <n v="3"/>
    <n v="0"/>
  </r>
  <r>
    <m/>
    <m/>
    <m/>
    <m/>
    <m/>
    <s v="-"/>
    <x v="4"/>
    <m/>
    <m/>
    <x v="2"/>
    <s v="Removed"/>
    <n v="3"/>
    <m/>
    <n v="0"/>
    <n v="3"/>
    <n v="0"/>
    <n v="3"/>
    <n v="0"/>
  </r>
  <r>
    <m/>
    <m/>
    <m/>
    <m/>
    <m/>
    <n v="5"/>
    <x v="0"/>
    <m/>
    <m/>
    <x v="6"/>
    <s v="Removed"/>
    <n v="8"/>
    <m/>
    <n v="5"/>
    <n v="3"/>
    <n v="0"/>
    <n v="8"/>
    <n v="0"/>
  </r>
  <r>
    <m/>
    <m/>
    <m/>
    <m/>
    <m/>
    <n v="13"/>
    <x v="4"/>
    <m/>
    <m/>
    <x v="1"/>
    <s v="Removed"/>
    <n v="8"/>
    <m/>
    <n v="8"/>
    <n v="0"/>
    <n v="0"/>
    <n v="8"/>
    <n v="0"/>
  </r>
  <r>
    <m/>
    <m/>
    <m/>
    <m/>
    <m/>
    <s v="-"/>
    <x v="9"/>
    <m/>
    <m/>
    <x v="4"/>
    <s v="Removed"/>
    <n v="8"/>
    <m/>
    <n v="0"/>
    <n v="8"/>
    <n v="0"/>
    <n v="8"/>
    <n v="0"/>
  </r>
  <r>
    <m/>
    <m/>
    <m/>
    <m/>
    <m/>
    <n v="5"/>
    <x v="7"/>
    <m/>
    <m/>
    <x v="4"/>
    <s v="Removed"/>
    <n v="21"/>
    <m/>
    <n v="5"/>
    <n v="16"/>
    <n v="0"/>
    <n v="21"/>
    <n v="0"/>
  </r>
  <r>
    <m/>
    <m/>
    <m/>
    <m/>
    <m/>
    <n v="13"/>
    <x v="8"/>
    <m/>
    <m/>
    <x v="3"/>
    <s v="Removed"/>
    <n v="21"/>
    <m/>
    <n v="13"/>
    <n v="8"/>
    <n v="0"/>
    <n v="21"/>
    <n v="0"/>
  </r>
  <r>
    <m/>
    <m/>
    <m/>
    <m/>
    <m/>
    <s v="-"/>
    <x v="3"/>
    <m/>
    <m/>
    <x v="4"/>
    <s v="Removed"/>
    <n v="21"/>
    <m/>
    <n v="0"/>
    <n v="21"/>
    <n v="0"/>
    <n v="21"/>
    <n v="0"/>
  </r>
  <r>
    <m/>
    <m/>
    <m/>
    <m/>
    <m/>
    <n v="5"/>
    <x v="9"/>
    <m/>
    <m/>
    <x v="7"/>
    <s v="Removed"/>
    <m/>
    <m/>
    <n v="5"/>
    <n v="0"/>
    <n v="0"/>
    <n v="5"/>
    <n v="0"/>
  </r>
  <r>
    <m/>
    <m/>
    <m/>
    <m/>
    <m/>
    <n v="13"/>
    <x v="3"/>
    <m/>
    <m/>
    <x v="5"/>
    <s v="Removed"/>
    <m/>
    <m/>
    <n v="13"/>
    <n v="0"/>
    <n v="0"/>
    <n v="13"/>
    <n v="0"/>
  </r>
  <r>
    <m/>
    <m/>
    <m/>
    <m/>
    <m/>
    <s v="-"/>
    <x v="4"/>
    <m/>
    <m/>
    <x v="1"/>
    <s v="Removed"/>
    <m/>
    <m/>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7C329C-9C8F-44C3-85B5-15732D57EF00}" name="PivotTable1" cacheId="0" applyNumberFormats="0" applyBorderFormats="0" applyFontFormats="0" applyPatternFormats="0" applyAlignmentFormats="0" applyWidthHeightFormats="1" dataCaption="Werte" updatedVersion="8" minRefreshableVersion="3" useAutoFormatting="1" rowGrandTotals="0" colGrandTotals="0" itemPrintTitles="1" createdVersion="8" indent="0" compact="0" outline="1" outlineData="1" compactData="0" multipleFieldFilters="0">
  <location ref="V4:Y113" firstHeaderRow="0" firstDataRow="1" firstDataCol="2"/>
  <pivotFields count="18">
    <pivotField compact="0" showAll="0"/>
    <pivotField compact="0" showAll="0"/>
    <pivotField compact="0" showAll="0"/>
    <pivotField compact="0" showAll="0"/>
    <pivotField compact="0" showAll="0"/>
    <pivotField compact="0" showAll="0"/>
    <pivotField axis="axisRow" compact="0" multipleItemSelectionAllowed="1" showAll="0" sortType="ascending">
      <items count="12">
        <item x="3"/>
        <item x="5"/>
        <item x="8"/>
        <item x="9"/>
        <item x="7"/>
        <item x="6"/>
        <item x="1"/>
        <item x="2"/>
        <item x="4"/>
        <item x="0"/>
        <item m="1" x="10"/>
        <item t="default"/>
      </items>
    </pivotField>
    <pivotField compact="0" showAll="0"/>
    <pivotField compact="0" showAll="0"/>
    <pivotField axis="axisRow" compact="0" showAll="0" sortType="ascending">
      <items count="25">
        <item m="1" x="22"/>
        <item m="1" x="23"/>
        <item m="1" x="21"/>
        <item x="4"/>
        <item x="9"/>
        <item x="3"/>
        <item x="8"/>
        <item x="2"/>
        <item x="6"/>
        <item x="7"/>
        <item x="1"/>
        <item x="0"/>
        <item x="5"/>
        <item m="1" x="19"/>
        <item m="1" x="20"/>
        <item m="1" x="12"/>
        <item m="1" x="14"/>
        <item m="1" x="18"/>
        <item m="1" x="11"/>
        <item m="1" x="15"/>
        <item m="1" x="16"/>
        <item m="1" x="13"/>
        <item m="1" x="17"/>
        <item m="1" x="10"/>
        <item t="default"/>
      </items>
    </pivotField>
    <pivotField compact="0" showAll="0"/>
    <pivotField compact="0" showAll="0"/>
    <pivotField compact="0" showAll="0"/>
    <pivotField compact="0" numFmtId="1" showAll="0"/>
    <pivotField compact="0" numFmtId="1" showAll="0"/>
    <pivotField dataField="1" compact="0" numFmtId="1" showAll="0"/>
    <pivotField compact="0" numFmtId="1" showAll="0"/>
    <pivotField compact="0" numFmtId="1" showAll="0"/>
  </pivotFields>
  <rowFields count="2">
    <field x="6"/>
    <field x="9"/>
  </rowFields>
  <rowItems count="109">
    <i>
      <x/>
    </i>
    <i r="1">
      <x v="3"/>
    </i>
    <i r="1">
      <x v="4"/>
    </i>
    <i r="1">
      <x v="5"/>
    </i>
    <i r="1">
      <x v="6"/>
    </i>
    <i r="1">
      <x v="7"/>
    </i>
    <i r="1">
      <x v="8"/>
    </i>
    <i r="1">
      <x v="9"/>
    </i>
    <i r="1">
      <x v="10"/>
    </i>
    <i r="1">
      <x v="11"/>
    </i>
    <i r="1">
      <x v="12"/>
    </i>
    <i>
      <x v="1"/>
    </i>
    <i r="1">
      <x v="3"/>
    </i>
    <i r="1">
      <x v="4"/>
    </i>
    <i r="1">
      <x v="5"/>
    </i>
    <i r="1">
      <x v="6"/>
    </i>
    <i r="1">
      <x v="7"/>
    </i>
    <i r="1">
      <x v="8"/>
    </i>
    <i r="1">
      <x v="9"/>
    </i>
    <i r="1">
      <x v="10"/>
    </i>
    <i r="1">
      <x v="11"/>
    </i>
    <i r="1">
      <x v="12"/>
    </i>
    <i>
      <x v="2"/>
    </i>
    <i r="1">
      <x v="3"/>
    </i>
    <i r="1">
      <x v="4"/>
    </i>
    <i r="1">
      <x v="5"/>
    </i>
    <i r="1">
      <x v="6"/>
    </i>
    <i r="1">
      <x v="7"/>
    </i>
    <i r="1">
      <x v="8"/>
    </i>
    <i r="1">
      <x v="9"/>
    </i>
    <i r="1">
      <x v="10"/>
    </i>
    <i r="1">
      <x v="11"/>
    </i>
    <i r="1">
      <x v="12"/>
    </i>
    <i>
      <x v="3"/>
    </i>
    <i r="1">
      <x v="3"/>
    </i>
    <i r="1">
      <x v="4"/>
    </i>
    <i r="1">
      <x v="5"/>
    </i>
    <i r="1">
      <x v="6"/>
    </i>
    <i r="1">
      <x v="7"/>
    </i>
    <i r="1">
      <x v="8"/>
    </i>
    <i r="1">
      <x v="9"/>
    </i>
    <i r="1">
      <x v="10"/>
    </i>
    <i r="1">
      <x v="11"/>
    </i>
    <i r="1">
      <x v="12"/>
    </i>
    <i>
      <x v="4"/>
    </i>
    <i r="1">
      <x v="3"/>
    </i>
    <i r="1">
      <x v="4"/>
    </i>
    <i r="1">
      <x v="5"/>
    </i>
    <i r="1">
      <x v="6"/>
    </i>
    <i r="1">
      <x v="7"/>
    </i>
    <i r="1">
      <x v="8"/>
    </i>
    <i r="1">
      <x v="9"/>
    </i>
    <i r="1">
      <x v="10"/>
    </i>
    <i r="1">
      <x v="11"/>
    </i>
    <i r="1">
      <x v="12"/>
    </i>
    <i>
      <x v="5"/>
    </i>
    <i r="1">
      <x v="3"/>
    </i>
    <i r="1">
      <x v="4"/>
    </i>
    <i r="1">
      <x v="5"/>
    </i>
    <i r="1">
      <x v="6"/>
    </i>
    <i r="1">
      <x v="7"/>
    </i>
    <i r="1">
      <x v="8"/>
    </i>
    <i r="1">
      <x v="9"/>
    </i>
    <i r="1">
      <x v="10"/>
    </i>
    <i r="1">
      <x v="11"/>
    </i>
    <i r="1">
      <x v="12"/>
    </i>
    <i>
      <x v="6"/>
    </i>
    <i r="1">
      <x v="3"/>
    </i>
    <i r="1">
      <x v="4"/>
    </i>
    <i r="1">
      <x v="5"/>
    </i>
    <i r="1">
      <x v="6"/>
    </i>
    <i r="1">
      <x v="7"/>
    </i>
    <i r="1">
      <x v="8"/>
    </i>
    <i r="1">
      <x v="9"/>
    </i>
    <i r="1">
      <x v="10"/>
    </i>
    <i r="1">
      <x v="11"/>
    </i>
    <i r="1">
      <x v="12"/>
    </i>
    <i>
      <x v="7"/>
    </i>
    <i r="1">
      <x v="3"/>
    </i>
    <i r="1">
      <x v="4"/>
    </i>
    <i r="1">
      <x v="5"/>
    </i>
    <i r="1">
      <x v="6"/>
    </i>
    <i r="1">
      <x v="7"/>
    </i>
    <i r="1">
      <x v="8"/>
    </i>
    <i r="1">
      <x v="9"/>
    </i>
    <i r="1">
      <x v="10"/>
    </i>
    <i r="1">
      <x v="11"/>
    </i>
    <i r="1">
      <x v="12"/>
    </i>
    <i>
      <x v="8"/>
    </i>
    <i r="1">
      <x v="3"/>
    </i>
    <i r="1">
      <x v="4"/>
    </i>
    <i r="1">
      <x v="5"/>
    </i>
    <i r="1">
      <x v="6"/>
    </i>
    <i r="1">
      <x v="7"/>
    </i>
    <i r="1">
      <x v="8"/>
    </i>
    <i r="1">
      <x v="9"/>
    </i>
    <i r="1">
      <x v="10"/>
    </i>
    <i r="1">
      <x v="12"/>
    </i>
    <i>
      <x v="9"/>
    </i>
    <i r="1">
      <x v="3"/>
    </i>
    <i r="1">
      <x v="4"/>
    </i>
    <i r="1">
      <x v="5"/>
    </i>
    <i r="1">
      <x v="6"/>
    </i>
    <i r="1">
      <x v="7"/>
    </i>
    <i r="1">
      <x v="8"/>
    </i>
    <i r="1">
      <x v="9"/>
    </i>
    <i r="1">
      <x v="10"/>
    </i>
    <i r="1">
      <x v="11"/>
    </i>
    <i r="1">
      <x v="12"/>
    </i>
  </rowItems>
  <colFields count="1">
    <field x="-2"/>
  </colFields>
  <colItems count="2">
    <i>
      <x/>
    </i>
    <i i="1">
      <x v="1"/>
    </i>
  </colItems>
  <dataFields count="2">
    <dataField name="CSOsSP Completed ABS" fld="15" baseField="6" baseItem="0" numFmtId="1"/>
    <dataField name="CSOsSP Completed REL" fld="15" baseField="6" baseItem="0" numFmtId="9">
      <extLst>
        <ext xmlns:x14="http://schemas.microsoft.com/office/spreadsheetml/2009/9/main" uri="{E15A36E0-9728-4e99-A89B-3F7291B0FE68}">
          <x14:dataField pivotShowAs="percentOfParentRow"/>
        </ext>
      </extLst>
    </dataField>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76EFF8C-3C94-48A5-83A9-46DBBE78ED37}" name="Tabelle132456891011121314151617" displayName="Tabelle132456891011121314151617" ref="A31:R301" headerRowDxfId="584" dataDxfId="583" totalsRowDxfId="582">
  <autoFilter ref="A31:R301" xr:uid="{5F450223-0C27-47B1-AFBB-630938CB8ADF}"/>
  <sortState xmlns:xlrd2="http://schemas.microsoft.com/office/spreadsheetml/2017/richdata2" ref="A32:R301">
    <sortCondition ref="K31:K301"/>
  </sortState>
  <tableColumns count="18">
    <tableColumn id="1" xr3:uid="{C0E99954-9B21-4DC8-A800-20BBC339BF9D}" name="Key" totalsRowLabel="Ergebnis" dataDxfId="581" totalsRowDxfId="580" dataCellStyle="Hyperlink"/>
    <tableColumn id="2" xr3:uid="{46B2DC1F-075B-42A3-9DE5-FDB40E27663E}" name="Summary" dataDxfId="579" totalsRowDxfId="578"/>
    <tableColumn id="3" xr3:uid="{94DBF07D-DB3E-4F1F-8CC2-96ABFA29BD12}" name="Issue Type" dataDxfId="577" totalsRowDxfId="576"/>
    <tableColumn id="4" xr3:uid="{D8428F4E-7EFC-4EA1-8F3F-67F495309C1B}" name="Priority" dataDxfId="575" totalsRowDxfId="574"/>
    <tableColumn id="5" xr3:uid="{0FBBD6FB-98CC-4B5E-814E-517F189A2453}" name="Jira Status" dataDxfId="573" totalsRowDxfId="572"/>
    <tableColumn id="6" xr3:uid="{D458BF8B-D4BF-4CC2-ADB3-64F92B8E203A}" name="Jira Story Points" dataDxfId="571"/>
    <tableColumn id="14" xr3:uid="{C2D6153D-B008-4DA0-9CBC-B4B0A5AE7106}" name="Team" dataDxfId="570"/>
    <tableColumn id="12" xr3:uid="{F7C1CC8E-D483-4D70-8614-BD95106181F9}" name="Pulled after Start" dataDxfId="569" totalsRowDxfId="568"/>
    <tableColumn id="8" xr3:uid="{0440F480-0AB8-4F66-BD7D-F32057D914DD}" name="Notes" dataDxfId="567" totalsRowDxfId="566"/>
    <tableColumn id="19" xr3:uid="{E943D422-FD29-4489-9DCB-33307804D759}" name="Epic" dataDxfId="565"/>
    <tableColumn id="9" xr3:uid="{6F937ABC-AB21-40EA-A7EA-D22A894057FB}" name="Status" dataDxfId="564" totalsRowDxfId="563"/>
    <tableColumn id="7" xr3:uid="{55E53ED3-4C4A-4DF2-984E-F0C3A0D39164}" name="Carry-over" dataDxfId="562" totalsRowDxfId="561"/>
    <tableColumn id="13" xr3:uid="{13177A64-A83D-4F23-AF2C-9D28C7EC89BC}" name="Spill-over" dataDxfId="560" totalsRowDxfId="559"/>
    <tableColumn id="11" xr3:uid="{FA2A99A1-F831-48B6-AF5A-89EEC15D2490}" name="COsSP Initially Planned" dataDxfId="558" totalsRowDxfId="557">
      <calculatedColumnFormula>IF(OR(Tabelle132456891011121314151617[[#This Row],[Pulled after Start]]="yes",Tabelle132456891011121314151617[[#This Row],[Jira Story Points]]="-"),0,MIN(Tabelle132456891011121314151617[[#This Row],[Jira Story Points]],Tabelle132456891011121314151617[[#This Row],[Carry-over]]))</calculatedColumnFormula>
    </tableColumn>
    <tableColumn id="16" xr3:uid="{6F268184-0B70-45FD-87C1-60A76DB03CB2}" name="COsSP Pulled after Start" dataDxfId="556" totalsRowDxfId="555">
      <calculatedColumnFormula>SUM(IF(ISBLANK(Tabelle132456891011121314151617[[#This Row],[Carry-over]]),Tabelle132456891011121314151617[[#This Row],[Jira Story Points]],Tabelle132456891011121314151617[[#This Row],[Carry-over]]),-Tabelle132456891011121314151617[[#This Row],[COsSP Initially Planned]])</calculatedColumnFormula>
    </tableColumn>
    <tableColumn id="10" xr3:uid="{E0AB7122-AF94-4EB3-A5B7-03A5D94A6280}" name="CSOsSP Completed" totalsRowFunction="count" dataDxfId="554">
      <calculatedColumnFormula>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calculatedColumnFormula>
    </tableColumn>
    <tableColumn id="17" xr3:uid="{E5962CD4-F7C0-45B9-BBEE-89896C4F9CCE}" name="CSOsSP Removed" dataDxfId="553" totalsRowDxfId="552">
      <calculatedColumnFormula>IF(Tabelle132456891011121314151617[[#This Row],[Status]]=$J$5,Tabelle132456891011121314151617[[#This Row],[COsSP Initially Planned]]+Tabelle132456891011121314151617[[#This Row],[COsSP Pulled after Start]]-Tabelle132456891011121314151617[[#This Row],[CSOsSP Completed]],0)</calculatedColumnFormula>
    </tableColumn>
    <tableColumn id="15" xr3:uid="{BBFF1C45-C8A9-4A7E-A03E-B840AC725EC5}" name="CSOsSP Not Completed" dataDxfId="551" totalsRowDxfId="550">
      <calculatedColumnFormula>Tabelle132456891011121314151617[[#This Row],[COsSP Initially Planned]]+Tabelle132456891011121314151617[[#This Row],[COsSP Pulled after Start]]-Tabelle132456891011121314151617[[#This Row],[CSOsSP Completed]]-Tabelle132456891011121314151617[[#This Row],[CSOsSP Removed]]</calculatedColumnFormula>
    </tableColumn>
  </tableColumns>
  <tableStyleInfo name="TableStyleMedium6" showFirstColumn="1"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88A7C36-0006-4F88-A10B-72EE1A6FAF82}" name="Tabelle1324568910" displayName="Tabelle1324568910" ref="A31:Q175" headerRowDxfId="256" dataDxfId="255" totalsRowDxfId="254">
  <autoFilter ref="A31:Q175" xr:uid="{26687D7A-FCC7-4C57-A6C8-70DFCA7534E9}">
    <filterColumn colId="6">
      <filters>
        <filter val="Payment"/>
      </filters>
    </filterColumn>
  </autoFilter>
  <sortState xmlns:xlrd2="http://schemas.microsoft.com/office/spreadsheetml/2017/richdata2" ref="A45:Q59">
    <sortCondition ref="G31:G175"/>
  </sortState>
  <tableColumns count="17">
    <tableColumn id="1" xr3:uid="{118E5D8B-90C6-443A-B4E4-D68A3E9786E7}" name="Key" totalsRowLabel="Ergebnis" dataDxfId="253" totalsRowDxfId="252" dataCellStyle="Hyperlink"/>
    <tableColumn id="2" xr3:uid="{44B4A443-404C-40D7-B02B-203536342FC0}" name="Summary" dataDxfId="251" totalsRowDxfId="250"/>
    <tableColumn id="3" xr3:uid="{03519E48-5099-4104-9528-430176B76D79}" name="Issue Type" dataDxfId="249" totalsRowDxfId="248"/>
    <tableColumn id="4" xr3:uid="{8D9EB050-8400-4B7C-865F-9F4E756DCBCC}" name="Priority" dataDxfId="247" totalsRowDxfId="246"/>
    <tableColumn id="5" xr3:uid="{31F847B3-19E8-4073-990F-5B1DED58322B}" name="Jira Status" dataDxfId="245" totalsRowDxfId="244"/>
    <tableColumn id="6" xr3:uid="{683F5850-777A-435B-A2EB-D3AA59A883F6}" name="Jira Story Points" dataDxfId="243" totalsRowDxfId="242"/>
    <tableColumn id="14" xr3:uid="{C6940D8C-664F-4B68-8D6F-6D854416B82E}" name="Team" dataDxfId="241" totalsRowDxfId="240"/>
    <tableColumn id="12" xr3:uid="{A8B7A226-FE2E-4EA5-A69B-5CAB398D5DD7}" name="Pulled after Start" dataDxfId="239" totalsRowDxfId="238"/>
    <tableColumn id="8" xr3:uid="{E6FC55A9-C6C7-4BF5-9A50-F2FF08702BAD}" name="Notes" dataDxfId="237" totalsRowDxfId="236"/>
    <tableColumn id="9" xr3:uid="{B57E54F2-B4D0-4D81-AACD-6BD60BA6C1E4}" name="Status" dataDxfId="235" totalsRowDxfId="234"/>
    <tableColumn id="7" xr3:uid="{F44AE523-52E1-46E5-92D6-9B50B00F260A}" name="Carry-over" dataDxfId="233" totalsRowDxfId="232"/>
    <tableColumn id="13" xr3:uid="{51F3FA57-181F-4C46-88EA-4017E4FB3AA2}" name="Spill-over" dataDxfId="231" totalsRowDxfId="230"/>
    <tableColumn id="11" xr3:uid="{E3449DD0-EAD3-4B57-99B3-8D43135BF9E6}" name="SP Initially Planned (COS)" dataDxfId="229" totalsRowDxfId="228">
      <calculatedColumnFormula>IF(Tabelle1324568910[[#This Row],[Pulled after Start]]="",MIN(Tabelle1324568910[[#This Row],[Jira Story Points]],Tabelle1324568910[[#This Row],[Carry-over]]),0)</calculatedColumnFormula>
    </tableColumn>
    <tableColumn id="16" xr3:uid="{5DB6BA5B-CE82-48B1-B9C2-75C0B38B940C}" name="SP Pulled after Start (COS)" dataDxfId="227" totalsRowDxfId="226">
      <calculatedColumnFormula>MIN(Tabelle1324568910[[#This Row],[Jira Story Points]],Tabelle1324568910[[#This Row],[Carry-over]])-Tabelle1324568910[[#This Row],[SP Initially Planned (COS)]]</calculatedColumnFormula>
    </tableColumn>
    <tableColumn id="10" xr3:uid="{663D7969-17C2-406D-B20C-CECC0893CC44}" name="SP Completed (COS &amp; SOS)" totalsRowFunction="count" dataDxfId="225">
      <calculatedColumnFormula>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calculatedColumnFormula>
    </tableColumn>
    <tableColumn id="17" xr3:uid="{34F4216D-0CA0-43EA-877F-8E21CA17B91E}" name="SP Removed (COS &amp; SOS)" dataDxfId="224" totalsRowDxfId="223">
      <calculatedColumnFormula>IFERROR(IF(Tabelle1324568910[[#This Row],[Status]]=$J$5,MIN(Tabelle1324568910[[#This Row],[Jira Story Points]],Tabelle1324568910[[#This Row],[Carry-over]]),0),0)</calculatedColumnFormula>
    </tableColumn>
    <tableColumn id="15" xr3:uid="{B95B5193-300B-40AF-A33C-65758CAF4093}" name="SP Not Completed (COS &amp; SOS)" dataDxfId="222" totalsRowDxfId="221">
      <calculatedColumnFormula>IFERROR(IF(Tabelle1324568910[[#This Row],[Status]]=$J$5,0,MIN(Tabelle1324568910[[#This Row],[Jira Story Points]],Tabelle1324568910[[#This Row],[Carry-over]])-Tabelle1324568910[[#This Row],[SP Completed (COS &amp; SOS)]]),0)</calculatedColumnFormula>
    </tableColumn>
  </tableColumns>
  <tableStyleInfo name="TableStyleMedium6" showFirstColumn="1"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9F3244D-7AD4-4836-8069-72A4D964393A}" name="Tabelle13245689" displayName="Tabelle13245689" ref="A31:Q186" headerRowDxfId="220" dataDxfId="219" totalsRowDxfId="218">
  <autoFilter ref="A31:Q186" xr:uid="{26687D7A-FCC7-4C57-A6C8-70DFCA7534E9}">
    <filterColumn colId="6">
      <filters>
        <filter val="Payment"/>
      </filters>
    </filterColumn>
  </autoFilter>
  <sortState xmlns:xlrd2="http://schemas.microsoft.com/office/spreadsheetml/2017/richdata2" ref="A68:Q75">
    <sortCondition ref="G31:G186"/>
  </sortState>
  <tableColumns count="17">
    <tableColumn id="1" xr3:uid="{A9AF00B0-7573-49B2-9FC4-EEB1BBF3D53A}" name="Key" totalsRowLabel="Ergebnis" dataDxfId="217" totalsRowDxfId="216" dataCellStyle="Hyperlink"/>
    <tableColumn id="2" xr3:uid="{848F673B-DCE7-47E9-9F7B-8E3797768496}" name="Summary" dataDxfId="215" totalsRowDxfId="214"/>
    <tableColumn id="3" xr3:uid="{E2A45DDB-78A7-44A6-B429-5DEDD895CFE9}" name="Issue Type" dataDxfId="213" totalsRowDxfId="212"/>
    <tableColumn id="4" xr3:uid="{DB64E26D-E308-4C62-BEEB-CED0BA9480F2}" name="Priority" totalsRowFunction="custom" dataDxfId="211" totalsRowDxfId="210">
      <totalsRowFormula>SUBTOTAL(5,Tabelle13245689[Priority])</totalsRowFormula>
    </tableColumn>
    <tableColumn id="5" xr3:uid="{76E703F1-71C4-4ADA-B0DE-7692BFBC4170}" name="Jira Status" dataDxfId="209" totalsRowDxfId="208"/>
    <tableColumn id="6" xr3:uid="{5432D509-7063-4F20-97E6-FE84E66E56EF}" name="Jira Story Points" totalsRowFunction="custom" dataDxfId="207" totalsRowDxfId="206">
      <totalsRowFormula>SUBTOTAL(9,Tabelle13245689[Jira Story Points])</totalsRowFormula>
    </tableColumn>
    <tableColumn id="14" xr3:uid="{90E5F397-3EE1-450B-997E-B7A326923EC2}" name="Team" dataDxfId="205" totalsRowDxfId="204"/>
    <tableColumn id="12" xr3:uid="{F26FC2E0-4081-4E1A-84CF-157A13BC4E62}" name="Pulled after Start" dataDxfId="203" totalsRowDxfId="202"/>
    <tableColumn id="8" xr3:uid="{C5C83BD8-C988-4999-B046-205D86443A43}" name="Notes" dataDxfId="201" totalsRowDxfId="200"/>
    <tableColumn id="9" xr3:uid="{0AEA7531-6616-43E9-891C-8FA9A42D7829}" name="Status" dataDxfId="199" totalsRowDxfId="198"/>
    <tableColumn id="7" xr3:uid="{0B0F495D-E1B6-4D7A-AF7A-CDA21C38C8D1}" name="Carry-over" totalsRowFunction="custom" dataDxfId="197" totalsRowDxfId="196">
      <totalsRowFormula>SUBTOTAL(9,Tabelle13245689[Carry-over])</totalsRowFormula>
    </tableColumn>
    <tableColumn id="13" xr3:uid="{FA09CD2A-23DD-4964-A810-D5F5EA66E6D6}" name="Spill-over" totalsRowFunction="custom" dataDxfId="195" totalsRowDxfId="194">
      <totalsRowFormula>SUBTOTAL(9,Tabelle13245689[Spill-over])</totalsRowFormula>
    </tableColumn>
    <tableColumn id="11" xr3:uid="{10D90CCB-C310-4D2A-834D-06BF3BFCA083}" name="SP Initially Planned (COS)" totalsRowFunction="custom" dataDxfId="193" totalsRowDxfId="192">
      <calculatedColumnFormula>IF(Tabelle13245689[[#This Row],[Pulled after Start]]="",MIN(Tabelle13245689[[#This Row],[Jira Story Points]],Tabelle13245689[[#This Row],[Carry-over]]),0)</calculatedColumnFormula>
      <totalsRowFormula>SUBTOTAL(9,Tabelle13245689[SP Initially Planned (COS)])</totalsRowFormula>
    </tableColumn>
    <tableColumn id="16" xr3:uid="{53F2E4A5-A4CC-4C21-B888-08BC16CBFD23}" name="SP Pulled after Start (COS)" totalsRowFunction="custom" dataDxfId="191" totalsRowDxfId="190">
      <calculatedColumnFormula>MIN(Tabelle13245689[[#This Row],[Jira Story Points]],Tabelle13245689[[#This Row],[Carry-over]])-Tabelle13245689[[#This Row],[SP Initially Planned (COS)]]</calculatedColumnFormula>
      <totalsRowFormula>SUBTOTAL(9,Tabelle13245689[SP Pulled after Start (COS)])</totalsRowFormula>
    </tableColumn>
    <tableColumn id="10" xr3:uid="{E7732E16-0235-42DB-A6B5-6DB32D2A9170}" name="SP Completed (COS &amp; SOS)" totalsRowFunction="custom" dataDxfId="189" totalsRowDxfId="188">
      <calculatedColumnFormula>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calculatedColumnFormula>
      <totalsRowFormula>SUBTOTAL(9,Tabelle13245689[SP Completed (COS &amp; SOS)])</totalsRowFormula>
    </tableColumn>
    <tableColumn id="17" xr3:uid="{8687229E-BD28-47AA-8A57-343D7E471917}" name="SP Removed (COS &amp; SOS)" totalsRowFunction="custom" dataDxfId="187" totalsRowDxfId="186">
      <calculatedColumnFormula>IFERROR(IF(Tabelle13245689[[#This Row],[Status]]=$J$5,MIN(Tabelle13245689[[#This Row],[Jira Story Points]],Tabelle13245689[[#This Row],[Carry-over]]),0),0)</calculatedColumnFormula>
      <totalsRowFormula>SUBTOTAL(9,Tabelle13245689[SP Removed (COS &amp; SOS)])</totalsRowFormula>
    </tableColumn>
    <tableColumn id="15" xr3:uid="{1EA45BD7-FFFE-424B-A53D-C1A54C01C6F9}" name="SP Not Completed (COS &amp; SOS)" totalsRowFunction="custom" dataDxfId="185" totalsRowDxfId="184">
      <calculatedColumnFormula>IFERROR(IF(Tabelle13245689[[#This Row],[Status]]=$J$5,0,MIN(Tabelle13245689[[#This Row],[Jira Story Points]],Tabelle13245689[[#This Row],[Carry-over]])-Tabelle13245689[[#This Row],[SP Completed (COS &amp; SOS)]]),0)</calculatedColumnFormula>
      <totalsRowFormula>SUBTOTAL(9,Tabelle13245689[SP Not Completed (COS &amp; SOS)])</totalsRowFormula>
    </tableColumn>
  </tableColumns>
  <tableStyleInfo name="TableStyleMedium6" showFirstColumn="1"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24B9706-C184-4D57-9BBE-F4978E4861FC}" name="Tabelle1324568" displayName="Tabelle1324568" ref="A31:Q177" headerRowDxfId="183" dataDxfId="182" totalsRowDxfId="181">
  <autoFilter ref="A31:Q177" xr:uid="{26687D7A-FCC7-4C57-A6C8-70DFCA7534E9}"/>
  <sortState xmlns:xlrd2="http://schemas.microsoft.com/office/spreadsheetml/2017/richdata2" ref="A32:Q164">
    <sortCondition ref="G31:G164"/>
  </sortState>
  <tableColumns count="17">
    <tableColumn id="1" xr3:uid="{D4E52A62-E016-4EDE-8208-1219FF57E972}" name="Key" totalsRowLabel="Ergebnis" dataDxfId="180" totalsRowDxfId="179" dataCellStyle="Hyperlink"/>
    <tableColumn id="2" xr3:uid="{6AC0CB05-EF43-4EA3-A6E0-A3BF9651FC81}" name="Summary" dataDxfId="178" totalsRowDxfId="177"/>
    <tableColumn id="3" xr3:uid="{E2F996BC-2CD9-46AF-B328-5C7D72E40BD6}" name="Issue Type" dataDxfId="176" totalsRowDxfId="175"/>
    <tableColumn id="4" xr3:uid="{65AD0716-A7DF-4C0D-9DAC-391DB4AF5FC4}" name="Priority" dataDxfId="174" totalsRowDxfId="173"/>
    <tableColumn id="5" xr3:uid="{508C16AE-F6B2-4B50-8F55-8CA8F46B57B2}" name="Jira Status" dataDxfId="172" totalsRowDxfId="171"/>
    <tableColumn id="6" xr3:uid="{93FE6993-64B6-43F4-BBDE-225D777B49B3}" name="Jira Story Points" dataDxfId="170" totalsRowDxfId="169"/>
    <tableColumn id="14" xr3:uid="{6E9BCBB3-4625-4A61-B7F9-37A17B3C8BFC}" name="Team" dataDxfId="168" totalsRowDxfId="167"/>
    <tableColumn id="12" xr3:uid="{458A09FA-D1E8-4187-ADEA-899AE86066DB}" name="Pulled after Start" dataDxfId="166" totalsRowDxfId="165"/>
    <tableColumn id="8" xr3:uid="{9935B057-D8E2-4B33-BF80-03765DA7D057}" name="Notes" dataDxfId="164" totalsRowDxfId="163"/>
    <tableColumn id="9" xr3:uid="{907807CF-B275-4EA7-9622-92932317B459}" name="Status" dataDxfId="162" totalsRowDxfId="161"/>
    <tableColumn id="7" xr3:uid="{4624C386-EB14-4BBB-94BB-94FBA5BC3072}" name="Carry-over" dataDxfId="160" totalsRowDxfId="159"/>
    <tableColumn id="13" xr3:uid="{3CD73696-B44D-4FED-8AAA-75BD98CF74C6}" name="Spill-over" dataDxfId="158" totalsRowDxfId="157"/>
    <tableColumn id="11" xr3:uid="{242D8683-6C52-4339-A784-621868F5A7F4}" name="SP Initially Planned (COS)" dataDxfId="156" totalsRowDxfId="155">
      <calculatedColumnFormula>IF(Tabelle1324568[[#This Row],[Pulled after Start]]="",MIN(Tabelle1324568[[#This Row],[Jira Story Points]],Tabelle1324568[[#This Row],[Carry-over]]),0)</calculatedColumnFormula>
    </tableColumn>
    <tableColumn id="16" xr3:uid="{A2FDA3D5-8816-44F4-9863-C140B0A9DC6E}" name="SP Pulled after Start (COS)" dataDxfId="154" totalsRowDxfId="153">
      <calculatedColumnFormula>MIN(Tabelle1324568[[#This Row],[Jira Story Points]],Tabelle1324568[[#This Row],[Carry-over]])-Tabelle1324568[[#This Row],[SP Initially Planned (COS)]]</calculatedColumnFormula>
    </tableColumn>
    <tableColumn id="10" xr3:uid="{204B22CD-A236-44EF-A6BE-EC278CB77C8F}" name="SP Completed (COS &amp; SOS)" totalsRowFunction="count" dataDxfId="152">
      <calculatedColumnFormula>IFERROR(IF(Tabelle1324568[[#This Row],[Status]]=$I$5,0,IF(AND(Tabelle1324568[[#This Row],[Status]]=$H$5,Tabelle1324568[[#This Row],[Spill-over]]=0),0,IF(Tabelle1324568[[#This Row],[Carry-over]]&lt;&gt;0,Tabelle1324568[[#This Row],[Carry-over]]-Tabelle1324568[[#This Row],[Spill-over]],Tabelle1324568[[#This Row],[Jira Story Points]]-Tabelle1324568[[#This Row],[Spill-over]]))),"-")</calculatedColumnFormula>
    </tableColumn>
    <tableColumn id="17" xr3:uid="{CEE91ADB-7EF9-47BB-85A7-D978A55B812D}" name="SP Removed (COS &amp; SOS)" dataDxfId="151" totalsRowDxfId="150">
      <calculatedColumnFormula>IFERROR(IF(Tabelle1324568[[#This Row],[Status]]=$I$5,MIN(Tabelle1324568[[#This Row],[Jira Story Points]],Tabelle1324568[[#This Row],[Carry-over]]),0),0)</calculatedColumnFormula>
    </tableColumn>
    <tableColumn id="15" xr3:uid="{033E1124-944F-4871-9CC1-C56E2D193EEF}" name="SP Not Completed (COS &amp; SOS)" dataDxfId="149" totalsRowDxfId="148">
      <calculatedColumnFormula>IFERROR(IF(Tabelle1324568[[#This Row],[Status]]=$I$5,0,MIN(Tabelle1324568[[#This Row],[Jira Story Points]],Tabelle1324568[[#This Row],[Carry-over]])-Tabelle1324568[[#This Row],[SP Completed (COS &amp; SOS)]]),0)</calculatedColumnFormula>
    </tableColumn>
  </tableColumns>
  <tableStyleInfo name="TableStyleMedium6" showFirstColumn="1"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08343B8-92A8-4E7A-91AF-6CED67B1041F}" name="Tabelle132456" displayName="Tabelle132456" ref="A31:Q907" headerRowDxfId="147" dataDxfId="146" totalsRowDxfId="145">
  <autoFilter ref="A31:Q907" xr:uid="{26687D7A-FCC7-4C57-A6C8-70DFCA7534E9}"/>
  <sortState xmlns:xlrd2="http://schemas.microsoft.com/office/spreadsheetml/2017/richdata2" ref="A32:Q907">
    <sortCondition ref="G31:G907"/>
  </sortState>
  <tableColumns count="17">
    <tableColumn id="1" xr3:uid="{F239A1B5-46CC-4F80-937D-E4D993353315}" name="Key" totalsRowLabel="Ergebnis" dataDxfId="144" totalsRowDxfId="143" dataCellStyle="Hyperlink"/>
    <tableColumn id="2" xr3:uid="{593CE3BB-218B-4752-8567-545006D0DD3B}" name="Summary" dataDxfId="142" totalsRowDxfId="141"/>
    <tableColumn id="3" xr3:uid="{171CB75E-38C7-4DB4-ADF9-C8C69063966C}" name="Issue Type" dataDxfId="140" totalsRowDxfId="139"/>
    <tableColumn id="4" xr3:uid="{8C56E637-669D-459A-BC8C-79D4140DE9B5}" name="Priority" dataDxfId="138" totalsRowDxfId="137"/>
    <tableColumn id="5" xr3:uid="{E1FFE5B6-D372-4375-8536-B09439D1FF20}" name="Jira Status" dataDxfId="136" totalsRowDxfId="135"/>
    <tableColumn id="6" xr3:uid="{C9F87367-706D-4F69-ABA0-78861771CEA6}" name="Jira Story Points" dataDxfId="134" totalsRowDxfId="133"/>
    <tableColumn id="14" xr3:uid="{9504CA99-1284-40A9-8F0A-65DF1C40DB12}" name="Team" dataDxfId="132" totalsRowDxfId="131"/>
    <tableColumn id="12" xr3:uid="{AB0B8AF4-A325-4F9E-B328-4AE7683DF107}" name="Pulled after Start" dataDxfId="130" totalsRowDxfId="129"/>
    <tableColumn id="8" xr3:uid="{B7470FFD-3DD3-4F97-9A3C-8B49083C2688}" name="Notes" dataDxfId="128" totalsRowDxfId="127"/>
    <tableColumn id="9" xr3:uid="{9E40756C-6DFA-4281-9892-FAD58BE3E7EC}" name="Status" dataDxfId="126" totalsRowDxfId="125"/>
    <tableColumn id="7" xr3:uid="{97D50C66-7FEE-463D-801F-61096CC9E53F}" name="Carry-over" dataDxfId="124" totalsRowDxfId="123"/>
    <tableColumn id="13" xr3:uid="{FF41FC1E-8A08-47FD-93BA-E08041707A48}" name="Spill-over" dataDxfId="122" totalsRowDxfId="121"/>
    <tableColumn id="11" xr3:uid="{25B410DF-9542-4C9A-A7B8-5B160948A26B}" name="SP Initially Planned (COS)" dataDxfId="120" totalsRowDxfId="119">
      <calculatedColumnFormula>IF(Tabelle132456[[#This Row],[Pulled after Start]]="",MIN(Tabelle132456[[#This Row],[Jira Story Points]],Tabelle132456[[#This Row],[Carry-over]]),0)</calculatedColumnFormula>
    </tableColumn>
    <tableColumn id="16" xr3:uid="{8CD5D17E-0ADA-4249-8025-9A1B41E1387A}" name="SP Pulled after Start (COS)" dataDxfId="118" totalsRowDxfId="117">
      <calculatedColumnFormula>MIN(Tabelle132456[[#This Row],[Jira Story Points]],Tabelle132456[[#This Row],[Carry-over]])-Tabelle132456[[#This Row],[SP Initially Planned (COS)]]</calculatedColumnFormula>
    </tableColumn>
    <tableColumn id="10" xr3:uid="{7E49C544-6533-46C1-9A9D-73E18EDD21C2}" name="SP Completed (COS &amp; SOS)" totalsRowFunction="count" dataDxfId="116">
      <calculatedColumnFormula>IFERROR(IF(Tabelle132456[[#This Row],[Status]]=$I$5,0,IF(AND(Tabelle132456[[#This Row],[Status]]=$H$5,Tabelle132456[[#This Row],[Spill-over]]=0),0,IF(Tabelle132456[[#This Row],[Carry-over]]&lt;&gt;0,Tabelle132456[[#This Row],[Carry-over]]-Tabelle132456[[#This Row],[Spill-over]],Tabelle132456[[#This Row],[Jira Story Points]]-Tabelle132456[[#This Row],[Spill-over]]))),"-")</calculatedColumnFormula>
    </tableColumn>
    <tableColumn id="17" xr3:uid="{55CF9E17-2A33-4C3D-B956-F18C0C1DF358}" name="SP Removed (COS &amp; SOS)" dataDxfId="115" totalsRowDxfId="114">
      <calculatedColumnFormula>IFERROR(IF(Tabelle132456[[#This Row],[Status]]=$I$5,MIN(Tabelle132456[[#This Row],[Jira Story Points]],Tabelle132456[[#This Row],[Carry-over]]),0),0)</calculatedColumnFormula>
    </tableColumn>
    <tableColumn id="15" xr3:uid="{2DA4786A-5B27-4961-8660-91E288D1BF74}" name="SP Not Completed (COS &amp; SOS)" dataDxfId="113" totalsRowDxfId="112">
      <calculatedColumnFormula>IFERROR(IF(Tabelle132456[[#This Row],[Status]]=$I$5,0,MIN(Tabelle132456[[#This Row],[Jira Story Points]],Tabelle132456[[#This Row],[Carry-over]])-Tabelle132456[[#This Row],[SP Completed (COS &amp; SOS)]]),0)</calculatedColumnFormula>
    </tableColumn>
  </tableColumns>
  <tableStyleInfo name="TableStyleMedium6" showFirstColumn="1"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D0F150-4968-4FC4-B482-66A601E08987}" name="Tabelle13245" displayName="Tabelle13245" ref="A31:Q193" headerRowDxfId="111" dataDxfId="110" totalsRowDxfId="109">
  <autoFilter ref="A31:Q193" xr:uid="{26687D7A-FCC7-4C57-A6C8-70DFCA7534E9}"/>
  <sortState xmlns:xlrd2="http://schemas.microsoft.com/office/spreadsheetml/2017/richdata2" ref="A135:Q191">
    <sortCondition ref="J31:J191"/>
  </sortState>
  <tableColumns count="17">
    <tableColumn id="1" xr3:uid="{9BA0EBD1-144D-4C40-AD98-FE81F2AB6964}" name="Key" totalsRowLabel="Ergebnis" dataDxfId="108" totalsRowDxfId="107" dataCellStyle="Hyperlink"/>
    <tableColumn id="2" xr3:uid="{3C4DDD56-AEFA-47BB-9826-AFCAED005870}" name="Summary" dataDxfId="106" totalsRowDxfId="105"/>
    <tableColumn id="3" xr3:uid="{43A65398-14B6-4D63-AD89-9C95B6ECDEBD}" name="Issue Type" dataDxfId="104" totalsRowDxfId="103"/>
    <tableColumn id="4" xr3:uid="{8A130A1C-E585-45D1-BC76-1E5F3E2D8D10}" name="Priority" dataDxfId="102" totalsRowDxfId="101"/>
    <tableColumn id="5" xr3:uid="{0EE7ABD5-6A7B-4266-811F-0EEF9A22A2E6}" name="Jira Status" dataDxfId="100" totalsRowDxfId="99"/>
    <tableColumn id="6" xr3:uid="{A20292B9-2055-4BE6-A4A6-F9AF362AEC68}" name="Jira Story Points" dataDxfId="98" totalsRowDxfId="97"/>
    <tableColumn id="14" xr3:uid="{384B2750-B038-499A-B49D-03CC4EB88625}" name="Team" dataDxfId="96" totalsRowDxfId="95"/>
    <tableColumn id="12" xr3:uid="{553A06BA-E279-48E2-A4E9-0C13CA978B5D}" name="Pulled after Start" dataDxfId="94" totalsRowDxfId="93"/>
    <tableColumn id="8" xr3:uid="{EA2091BF-B8AB-42F6-9D41-41A3DA88A404}" name="Notes" dataDxfId="92" totalsRowDxfId="91"/>
    <tableColumn id="9" xr3:uid="{108A102B-3BE1-4A5E-A597-D95197649EAC}" name="Status" dataDxfId="90" totalsRowDxfId="89"/>
    <tableColumn id="7" xr3:uid="{A91C1D7B-A0C4-45C9-825E-9B00DD52D658}" name="Carry-over" dataDxfId="88" totalsRowDxfId="87"/>
    <tableColumn id="13" xr3:uid="{C89749C7-49C8-47A3-857F-1C442224FBF9}" name="Spill-over" dataDxfId="86" totalsRowDxfId="85"/>
    <tableColumn id="11" xr3:uid="{E4FBC0C0-ADF0-4572-AF03-2DCCFDEE102B}" name="SP Initially Planned (COS)" dataDxfId="84" totalsRowDxfId="83">
      <calculatedColumnFormula>IF(Tabelle13245[[#This Row],[Pulled after Start]]="",MIN(Tabelle13245[[#This Row],[Jira Story Points]],Tabelle13245[[#This Row],[Carry-over]]),0)</calculatedColumnFormula>
    </tableColumn>
    <tableColumn id="16" xr3:uid="{C349B1A9-464F-41DE-BC3D-48FB575188DB}" name="SP Pulled after Start (COS)" dataDxfId="82" totalsRowDxfId="81">
      <calculatedColumnFormula>MIN(Tabelle13245[[#This Row],[Jira Story Points]],Tabelle13245[[#This Row],[Carry-over]])-Tabelle13245[[#This Row],[SP Initially Planned (COS)]]</calculatedColumnFormula>
    </tableColumn>
    <tableColumn id="10" xr3:uid="{FB6992D7-A80C-4D81-B02D-22F5EBB356AC}" name="SP Completed (COS &amp; SOS)" totalsRowFunction="count" dataDxfId="80">
      <calculatedColumnFormula>IFERROR(IF(Tabelle13245[[#This Row],[Status]]=$I$5,0,IF(AND(Tabelle13245[[#This Row],[Status]]=$H$5,Tabelle13245[[#This Row],[Spill-over]]=0),0,IF(Tabelle13245[[#This Row],[Carry-over]]&lt;&gt;0,Tabelle13245[[#This Row],[Carry-over]]-Tabelle13245[[#This Row],[Spill-over]],Tabelle13245[[#This Row],[Jira Story Points]]-Tabelle13245[[#This Row],[Spill-over]]))),"-")</calculatedColumnFormula>
    </tableColumn>
    <tableColumn id="17" xr3:uid="{38FCA9EB-09A2-4C23-A7B3-408A7B65446E}" name="SP Removed (COS &amp; SOS)" dataDxfId="79" totalsRowDxfId="78">
      <calculatedColumnFormula>IFERROR(IF(Tabelle13245[[#This Row],[Status]]=$I$5,MIN(Tabelle13245[[#This Row],[Jira Story Points]],Tabelle13245[[#This Row],[Carry-over]]),0),0)</calculatedColumnFormula>
    </tableColumn>
    <tableColumn id="15" xr3:uid="{FF893253-D219-4D7B-B1BF-F65D88425F21}" name="SP Not Completed (COS &amp; SOS)" dataDxfId="77" totalsRowDxfId="76">
      <calculatedColumnFormula>IFERROR(IF(Tabelle13245[[#This Row],[Status]]=$I$5,0,MIN(Tabelle13245[[#This Row],[Jira Story Points]],Tabelle13245[[#This Row],[Carry-over]])-Tabelle13245[[#This Row],[SP Completed (COS &amp; SOS)]]),0)</calculatedColumnFormula>
    </tableColumn>
  </tableColumns>
  <tableStyleInfo name="TableStyleMedium6" showFirstColumn="1"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33F00A2-1BC6-488C-A53F-C75AA71B7200}" name="Tabelle1324" displayName="Tabelle1324" ref="A31:Q182" headerRowDxfId="75" dataDxfId="74" totalsRowDxfId="73">
  <autoFilter ref="A31:Q182" xr:uid="{26687D7A-FCC7-4C57-A6C8-70DFCA7534E9}"/>
  <sortState xmlns:xlrd2="http://schemas.microsoft.com/office/spreadsheetml/2017/richdata2" ref="A109:Q141">
    <sortCondition ref="J31:J182"/>
  </sortState>
  <tableColumns count="17">
    <tableColumn id="1" xr3:uid="{A6C29550-3A05-4360-88F2-E1C408894E2A}" name="Key" totalsRowLabel="Ergebnis" dataDxfId="72" totalsRowDxfId="71" dataCellStyle="Hyperlink"/>
    <tableColumn id="2" xr3:uid="{7A64F9B2-DA14-4D65-B3AD-32F6B3BAE542}" name="Summary" dataDxfId="70" totalsRowDxfId="69"/>
    <tableColumn id="3" xr3:uid="{153578FF-34A2-41A5-927F-23FD73040420}" name="Issue Type" dataDxfId="68" totalsRowDxfId="67"/>
    <tableColumn id="4" xr3:uid="{858EBB69-CCF5-4392-9CE9-2F1F084F7BB6}" name="Priority" dataDxfId="66" totalsRowDxfId="65"/>
    <tableColumn id="5" xr3:uid="{35DEDEC7-516A-48AC-B0F5-247E3C03435C}" name="Jira Status" dataDxfId="64" totalsRowDxfId="63"/>
    <tableColumn id="6" xr3:uid="{28078973-6856-4409-8E02-DB27000F9104}" name="Jira Story Points" dataDxfId="62" totalsRowDxfId="61"/>
    <tableColumn id="14" xr3:uid="{BCCEC2CD-2465-4F31-A464-25622632D7B8}" name="Team" dataDxfId="60" totalsRowDxfId="59"/>
    <tableColumn id="12" xr3:uid="{2FFC4C1C-B09E-4ECF-8A15-05785AAB7689}" name="Pulled after Start" dataDxfId="58" totalsRowDxfId="57"/>
    <tableColumn id="8" xr3:uid="{B2076567-5D3E-4EC6-A920-3BD5CD9BA616}" name="Notes" dataDxfId="56" totalsRowDxfId="55"/>
    <tableColumn id="9" xr3:uid="{26C15165-511B-42BC-B2A7-52882C5339F9}" name="Status" dataDxfId="54" totalsRowDxfId="53"/>
    <tableColumn id="7" xr3:uid="{9B65431C-DEEE-4A35-8FA9-ADF099265BD1}" name="Carry-over" dataDxfId="52" totalsRowDxfId="51"/>
    <tableColumn id="13" xr3:uid="{372517FC-A801-4EED-83BF-2F9FB5D02A53}" name="Spill-over" dataDxfId="50" totalsRowDxfId="49"/>
    <tableColumn id="11" xr3:uid="{BC37DCFB-E8E3-4EDB-A397-12C4307EF50F}" name="SP Initially Planned (COS)" dataDxfId="48" totalsRowDxfId="47">
      <calculatedColumnFormula>IF(Tabelle1324[[#This Row],[Pulled after Start]]="",MIN(Tabelle1324[[#This Row],[Jira Story Points]],Tabelle1324[[#This Row],[Carry-over]]),0)</calculatedColumnFormula>
    </tableColumn>
    <tableColumn id="16" xr3:uid="{393D8485-D01E-4903-88A8-A0E61DCC4CA6}" name="SP Pulled after Start (COS)" dataDxfId="46" totalsRowDxfId="45">
      <calculatedColumnFormula>MIN(Tabelle1324[[#This Row],[Jira Story Points]],Tabelle1324[[#This Row],[Carry-over]])-Tabelle1324[[#This Row],[SP Initially Planned (COS)]]</calculatedColumnFormula>
    </tableColumn>
    <tableColumn id="10" xr3:uid="{8F9C9685-78B2-4435-BE72-1FE2B0A2AB30}" name="SP Completed (COS &amp; SOS)" totalsRowFunction="count" dataDxfId="44">
      <calculatedColumnFormula>IFERROR(IF(Tabelle1324[[#This Row],[Status]]=$I$5,0,IF(AND(Tabelle1324[[#This Row],[Status]]=$H$5,Tabelle1324[[#This Row],[Spill-over]]=0),0,IF(Tabelle1324[[#This Row],[Carry-over]]&lt;&gt;0,Tabelle1324[[#This Row],[Carry-over]]-Tabelle1324[[#This Row],[Spill-over]],Tabelle1324[[#This Row],[Jira Story Points]]-Tabelle1324[[#This Row],[Spill-over]]))),"-")</calculatedColumnFormula>
    </tableColumn>
    <tableColumn id="17" xr3:uid="{414E647B-1A05-49FF-864A-E408A01F8549}" name="SP Removed (COS &amp; SOS)" dataDxfId="43" totalsRowDxfId="42">
      <calculatedColumnFormula>IFERROR(IF(Tabelle1324[[#This Row],[Status]]=$I$5,MIN(Tabelle1324[[#This Row],[Jira Story Points]],Tabelle1324[[#This Row],[Carry-over]]),0),0)</calculatedColumnFormula>
    </tableColumn>
    <tableColumn id="15" xr3:uid="{8526CAED-0369-4E05-B5F4-D2B18C8AE8D6}" name="SP Not Completed (COS &amp; SOS)" dataDxfId="41" totalsRowDxfId="40">
      <calculatedColumnFormula>IFERROR(IF(Tabelle1324[[#This Row],[Status]]=$I$5,0,MIN(Tabelle1324[[#This Row],[Jira Story Points]],Tabelle1324[[#This Row],[Carry-over]])-Tabelle1324[[#This Row],[SP Completed (COS &amp; SOS)]]),0)</calculatedColumnFormula>
    </tableColumn>
  </tableColumns>
  <tableStyleInfo name="TableStyleMedium6" showFirstColumn="1"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BF5D4D-7992-4355-BD49-AFD42BA33B19}" name="Tabelle132" displayName="Tabelle132" ref="A31:Q155" headerRowDxfId="39" dataDxfId="38" totalsRowDxfId="37">
  <autoFilter ref="A31:Q155" xr:uid="{26687D7A-FCC7-4C57-A6C8-70DFCA7534E9}"/>
  <sortState xmlns:xlrd2="http://schemas.microsoft.com/office/spreadsheetml/2017/richdata2" ref="A32:O112">
    <sortCondition ref="A31:A112"/>
  </sortState>
  <tableColumns count="17">
    <tableColumn id="1" xr3:uid="{CF9578F4-0AB9-48E2-BC53-AC8A14ED22A0}" name="Key" totalsRowLabel="Ergebnis" dataDxfId="36" totalsRowDxfId="35" dataCellStyle="Hyperlink"/>
    <tableColumn id="2" xr3:uid="{014D0F36-2642-4552-AA2E-21E6BE63F2A2}" name="Summary" dataDxfId="34" totalsRowDxfId="33"/>
    <tableColumn id="3" xr3:uid="{0BED7E92-17FF-43F3-88CF-8E2AAF1A422F}" name="Issue Type" dataDxfId="32" totalsRowDxfId="31"/>
    <tableColumn id="4" xr3:uid="{D24A72F3-BE4A-4408-A0F8-76C0CA9DB6CE}" name="Priority" dataDxfId="30" totalsRowDxfId="29"/>
    <tableColumn id="5" xr3:uid="{C2DB91C9-269A-48A1-8A6B-31964DD1C3B2}" name="Jira Status" dataDxfId="28" totalsRowDxfId="27"/>
    <tableColumn id="6" xr3:uid="{EC0A808F-0DF9-4030-B49A-C052ECA86137}" name="Jira Story Points" dataDxfId="26" totalsRowDxfId="25"/>
    <tableColumn id="14" xr3:uid="{FB31586C-01C0-4A2B-9C24-9950F26DFF3A}" name="Team" dataDxfId="24" totalsRowDxfId="23"/>
    <tableColumn id="12" xr3:uid="{6D81A5BB-C9EC-4B18-A0D0-F0B88DC55834}" name="Pulled after Start" dataDxfId="22" totalsRowDxfId="21"/>
    <tableColumn id="8" xr3:uid="{9C6A318F-0D3F-4381-B613-AB042B8F806D}" name="Notes" dataDxfId="20" totalsRowDxfId="19"/>
    <tableColumn id="9" xr3:uid="{441FE3CD-F3BD-48A3-827E-75B51B4C563C}" name="Status" dataDxfId="18" totalsRowDxfId="17"/>
    <tableColumn id="7" xr3:uid="{FAF5D378-9ABA-4DB6-8A8C-A47C8104680F}" name="Carry-over" dataDxfId="16" totalsRowDxfId="15"/>
    <tableColumn id="13" xr3:uid="{C2E36FCC-5D2A-4010-87DB-D6C31EB4E51B}" name="Spill-over" dataDxfId="14" totalsRowDxfId="13"/>
    <tableColumn id="11" xr3:uid="{26E0DD4C-019F-40CB-A45C-5110959E1440}" name="SP Initially Planned (COS)" dataDxfId="12" totalsRowDxfId="11">
      <calculatedColumnFormula>IF(Tabelle132[[#This Row],[Pulled after Start]]="",MIN(Tabelle132[[#This Row],[Jira Story Points]],Tabelle132[[#This Row],[Carry-over]]),0)</calculatedColumnFormula>
    </tableColumn>
    <tableColumn id="16" xr3:uid="{3BD652D9-52CC-4C5E-BCCB-383201175BFE}" name="SP Pulled after Start (COS)" dataDxfId="10" totalsRowDxfId="9">
      <calculatedColumnFormula>MIN(Tabelle132[[#This Row],[Jira Story Points]],Tabelle132[[#This Row],[Carry-over]])-Tabelle132[[#This Row],[SP Initially Planned (COS)]]</calculatedColumnFormula>
    </tableColumn>
    <tableColumn id="10" xr3:uid="{9D418995-B0E2-4897-9131-29B632A36271}" name="SP Completed (COS &amp; SOS)" totalsRowFunction="count" dataDxfId="8">
      <calculatedColumnFormula>IFERROR(IF(Tabelle132[[#This Row],[Status]]=$I$5,0,IF(AND(Tabelle132[[#This Row],[Status]]=$H$5,Tabelle132[[#This Row],[Spill-over]]=0),0,IF(Tabelle132[[#This Row],[Carry-over]]&lt;&gt;0,Tabelle132[[#This Row],[Carry-over]]-Tabelle132[[#This Row],[Spill-over]],Tabelle132[[#This Row],[Jira Story Points]]-Tabelle132[[#This Row],[Spill-over]]))),"-")</calculatedColumnFormula>
    </tableColumn>
    <tableColumn id="17" xr3:uid="{762D5C5D-8A04-4C06-A2F8-63D626E2DC1D}" name="SP Removed (COS &amp; SOS)" dataDxfId="7" totalsRowDxfId="6">
      <calculatedColumnFormula>IFERROR(IF(Tabelle132[[#This Row],[Status]]=$I$5,MIN(Tabelle132[[#This Row],[Jira Story Points]],Tabelle132[[#This Row],[Carry-over]]),0),0)</calculatedColumnFormula>
    </tableColumn>
    <tableColumn id="15" xr3:uid="{64D83226-D6D2-4E18-BF3D-344FEE56683F}" name="SP Not Completed (COS &amp; SOS)" dataDxfId="5" totalsRowDxfId="4">
      <calculatedColumnFormula>IFERROR(IF(Tabelle132[[#This Row],[Status]]=$I$5,0,MIN(Tabelle132[[#This Row],[Jira Story Points]],Tabelle132[[#This Row],[Carry-over]])-Tabelle132[[#This Row],[SP Completed (COS &amp; SOS)]]),0)</calculatedColumnFormula>
    </tableColumn>
  </tableColumns>
  <tableStyleInfo name="TableStyleMedium6"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03DFE06-7ED4-4716-8627-A3CB1745D8FA}" name="Tabelle1324568910111213141516171619" displayName="Tabelle1324568910111213141516171619" ref="A31:R398" headerRowDxfId="549" dataDxfId="548" totalsRowDxfId="547">
  <autoFilter ref="A31:R398" xr:uid="{5F450223-0C27-47B1-AFBB-630938CB8ADF}"/>
  <sortState xmlns:xlrd2="http://schemas.microsoft.com/office/spreadsheetml/2017/richdata2" ref="A32:R34">
    <sortCondition ref="G31:G34"/>
  </sortState>
  <tableColumns count="18">
    <tableColumn id="1" xr3:uid="{E0433A6C-2B4E-44DE-8361-5676E728737B}" name="Key" totalsRowLabel="Ergebnis" dataDxfId="546" totalsRowDxfId="545" dataCellStyle="Hyperlink"/>
    <tableColumn id="2" xr3:uid="{A1D7E3D5-A8AE-404F-BE9E-F191299E975C}" name="Summary" dataDxfId="544" totalsRowDxfId="543"/>
    <tableColumn id="3" xr3:uid="{FEB83622-3C35-471F-BEC3-B70E9FE9D69D}" name="Issue Type" dataDxfId="542" totalsRowDxfId="541"/>
    <tableColumn id="4" xr3:uid="{C20D3AE5-73B2-48CF-B7B3-142B99E01EE5}" name="Priority" dataDxfId="540" totalsRowDxfId="539"/>
    <tableColumn id="5" xr3:uid="{267E42CD-7503-43B6-BA6C-B587CB1FC037}" name="Jira Status" dataDxfId="538" totalsRowDxfId="537"/>
    <tableColumn id="6" xr3:uid="{91A8CF5E-6EAD-46DD-9CA9-218D0BF9C86D}" name="Jira Story Points" dataDxfId="536"/>
    <tableColumn id="14" xr3:uid="{C99871CB-F817-4812-9778-C34BE63489A9}" name="Team" dataDxfId="535" totalsRowDxfId="534"/>
    <tableColumn id="12" xr3:uid="{385F3276-386B-48AD-AA8C-7D398284EEEA}" name="Pulled after Start" dataDxfId="533" totalsRowDxfId="532"/>
    <tableColumn id="8" xr3:uid="{E1881FB5-9C6D-4F6A-86FC-67577DC9D803}" name="Notes" dataDxfId="531" totalsRowDxfId="530"/>
    <tableColumn id="19" xr3:uid="{CC8AEDF7-F54C-4319-BF8D-4C9C005283C2}" name="Epic" dataDxfId="529" totalsRowDxfId="528"/>
    <tableColumn id="9" xr3:uid="{12BC5C8B-3D40-4E8A-B3E5-7EA26B890457}" name="Status" dataDxfId="527" totalsRowDxfId="526"/>
    <tableColumn id="7" xr3:uid="{265DBAD5-DF06-4BDB-883A-620A0A83A6B6}" name="Carry-over" dataDxfId="525" totalsRowDxfId="524"/>
    <tableColumn id="13" xr3:uid="{60EAEE15-6F0E-43AC-B279-50D8FF72BE43}" name="Spill-over" dataDxfId="523" totalsRowDxfId="522"/>
    <tableColumn id="11" xr3:uid="{41310DE9-D125-48EF-A779-B361035982FE}" name="COsSP Initially Planned" dataDxfId="521" totalsRowDxfId="520">
      <calculatedColumnFormula>IF(OR(Tabelle1324568910111213141516171619[[#This Row],[Pulled after Start]]="yes",Tabelle1324568910111213141516171619[[#This Row],[Jira Story Points]]="-"),0,MIN(Tabelle1324568910111213141516171619[[#This Row],[Jira Story Points]],Tabelle1324568910111213141516171619[[#This Row],[Carry-over]]))</calculatedColumnFormula>
    </tableColumn>
    <tableColumn id="16" xr3:uid="{B99DA1B2-0515-4CA6-8CAF-EA28B58653F2}" name="COsSP Pulled after Start" dataDxfId="519" totalsRowDxfId="518">
      <calculatedColumnFormula>SUM(IF(ISBLANK(Tabelle1324568910111213141516171619[[#This Row],[Carry-over]]),Tabelle1324568910111213141516171619[[#This Row],[Jira Story Points]],Tabelle1324568910111213141516171619[[#This Row],[Carry-over]]),-Tabelle1324568910111213141516171619[[#This Row],[COsSP Initially Planned]])</calculatedColumnFormula>
    </tableColumn>
    <tableColumn id="10" xr3:uid="{79A2D9C7-4CE3-4936-921E-E6CACCCF6636}" name="CSOsSP Completed" totalsRowFunction="count" dataDxfId="517">
      <calculatedColumnFormula>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calculatedColumnFormula>
    </tableColumn>
    <tableColumn id="17" xr3:uid="{EBC1CC09-6E2A-443B-90F1-FB874581A408}" name="CSOsSP Removed" dataDxfId="516" totalsRowDxfId="515">
      <calculatedColumnFormula>IF(Tabelle1324568910111213141516171619[[#This Row],[Status]]=$J$5,Tabelle1324568910111213141516171619[[#This Row],[COsSP Initially Planned]]+Tabelle1324568910111213141516171619[[#This Row],[COsSP Pulled after Start]]-Tabelle1324568910111213141516171619[[#This Row],[CSOsSP Completed]],0)</calculatedColumnFormula>
    </tableColumn>
    <tableColumn id="15" xr3:uid="{33C1BF23-0BFF-4C94-8188-327E84333F04}" name="CSOsSP Not Completed" dataDxfId="514" totalsRowDxfId="513">
      <calculatedColumnFormula>Tabelle1324568910111213141516171619[[#This Row],[COsSP Initially Planned]]+Tabelle1324568910111213141516171619[[#This Row],[COsSP Pulled after Start]]-Tabelle1324568910111213141516171619[[#This Row],[CSOsSP Completed]]-Tabelle1324568910111213141516171619[[#This Row],[CSOsSP Removed]]</calculatedColumnFormula>
    </tableColumn>
  </tableColumns>
  <tableStyleInfo name="TableStyleMedium6"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C63805B-9AA1-4DC2-AA62-6C54F7536425}" name="Tabelle1324568910111213141516171618" displayName="Tabelle1324568910111213141516171618" ref="A31:R322" headerRowDxfId="512" dataDxfId="511" totalsRowDxfId="510">
  <autoFilter ref="A31:R322" xr:uid="{5F450223-0C27-47B1-AFBB-630938CB8ADF}">
    <filterColumn colId="6">
      <filters>
        <filter val="Payment"/>
      </filters>
    </filterColumn>
  </autoFilter>
  <tableColumns count="18">
    <tableColumn id="1" xr3:uid="{4E38EDF4-98B9-40AF-87EB-6194C00FDB12}" name="Key" totalsRowLabel="Ergebnis" dataDxfId="509" totalsRowDxfId="508" dataCellStyle="Hyperlink"/>
    <tableColumn id="2" xr3:uid="{1A3954D1-F58D-47F2-8CE7-56794560B659}" name="Summary" dataDxfId="507" totalsRowDxfId="506"/>
    <tableColumn id="3" xr3:uid="{935B9B42-EAF6-4E78-ACF4-81F5538CBA66}" name="Issue Type" dataDxfId="505" totalsRowDxfId="504"/>
    <tableColumn id="4" xr3:uid="{F1E27CE4-E9B6-4F99-A92F-E90F3CC185A8}" name="Priority" dataDxfId="503" totalsRowDxfId="502"/>
    <tableColumn id="5" xr3:uid="{C75319E8-4671-423F-9582-5083100BFE2E}" name="Jira Status" dataDxfId="501" totalsRowDxfId="500"/>
    <tableColumn id="6" xr3:uid="{1C056C57-FF29-4617-B386-8D282E644B15}" name="Jira Story Points" dataDxfId="499"/>
    <tableColumn id="14" xr3:uid="{24CDCBA5-78A6-4CED-9495-2F93A520633F}" name="Team" dataDxfId="498" totalsRowDxfId="497"/>
    <tableColumn id="12" xr3:uid="{33ACDC8B-5CA5-490A-A790-9419A9CC11EA}" name="Pulled after Start" dataDxfId="496" totalsRowDxfId="495"/>
    <tableColumn id="8" xr3:uid="{13741645-60B5-468E-9033-1972C6033E0D}" name="Notes" dataDxfId="494" totalsRowDxfId="493"/>
    <tableColumn id="19" xr3:uid="{2AAD5B58-3FE5-451B-9AA0-3EC0FC3EF645}" name="Epic" dataDxfId="492" totalsRowDxfId="491"/>
    <tableColumn id="9" xr3:uid="{274967E5-4541-4376-A51C-928197BAE27F}" name="Status" dataDxfId="490" totalsRowDxfId="489"/>
    <tableColumn id="7" xr3:uid="{E3EF7FE5-7049-4E77-9366-196407C0ABA1}" name="Carry-over" dataDxfId="488" totalsRowDxfId="487"/>
    <tableColumn id="13" xr3:uid="{1E8E9A7F-1102-40EA-B0ED-E5C2868E72B7}" name="Spill-over" dataDxfId="486" totalsRowDxfId="485"/>
    <tableColumn id="11" xr3:uid="{849D2268-198C-4E64-B31D-49AA9DAF9479}" name="COsSP Initially Planned" dataDxfId="484" totalsRowDxfId="483">
      <calculatedColumnFormula>IF(OR(Tabelle1324568910111213141516171618[[#This Row],[Pulled after Start]]="yes",Tabelle1324568910111213141516171618[[#This Row],[Jira Story Points]]="-"),0,MIN(Tabelle1324568910111213141516171618[[#This Row],[Jira Story Points]],Tabelle1324568910111213141516171618[[#This Row],[Carry-over]]))</calculatedColumnFormula>
    </tableColumn>
    <tableColumn id="16" xr3:uid="{6AD88E8E-A67D-4E38-8017-A8140669407F}" name="COsSP Pulled after Start" dataDxfId="482" totalsRowDxfId="481">
      <calculatedColumnFormula>SUM(IF(ISBLANK(Tabelle1324568910111213141516171618[[#This Row],[Carry-over]]),Tabelle1324568910111213141516171618[[#This Row],[Jira Story Points]],Tabelle1324568910111213141516171618[[#This Row],[Carry-over]]),-Tabelle1324568910111213141516171618[[#This Row],[COsSP Initially Planned]])</calculatedColumnFormula>
    </tableColumn>
    <tableColumn id="10" xr3:uid="{67FDC586-439B-46B7-9954-AC1B82CF2B62}" name="CSOsSP Completed" totalsRowFunction="count" dataDxfId="480">
      <calculatedColumnFormula>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calculatedColumnFormula>
    </tableColumn>
    <tableColumn id="17" xr3:uid="{1FA621B5-8E13-4046-AD1E-3A2D3CD2549A}" name="CSOsSP Removed" dataDxfId="479" totalsRowDxfId="478">
      <calculatedColumnFormula>IF(Tabelle1324568910111213141516171618[[#This Row],[Status]]=$J$5,Tabelle1324568910111213141516171618[[#This Row],[COsSP Initially Planned]]+Tabelle1324568910111213141516171618[[#This Row],[COsSP Pulled after Start]]-Tabelle1324568910111213141516171618[[#This Row],[CSOsSP Completed]],0)</calculatedColumnFormula>
    </tableColumn>
    <tableColumn id="15" xr3:uid="{0700ED2E-4231-42D0-A5C1-8648FB4B6AAA}" name="CSOsSP Not Completed" dataDxfId="477" totalsRowDxfId="476">
      <calculatedColumnFormula>Tabelle1324568910111213141516171618[[#This Row],[COsSP Initially Planned]]+Tabelle1324568910111213141516171618[[#This Row],[COsSP Pulled after Start]]-Tabelle1324568910111213141516171618[[#This Row],[CSOsSP Completed]]-Tabelle1324568910111213141516171618[[#This Row],[CSOsSP Removed]]</calculatedColumnFormula>
    </tableColumn>
  </tableColumns>
  <tableStyleInfo name="TableStyleMedium6"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9B814C7-805B-4AE7-B318-FA64B8E91551}" name="Tabelle13245689101112131415161715" displayName="Tabelle13245689101112131415161715" ref="A31:R245" totalsRowCount="1" headerRowDxfId="475" dataDxfId="474" totalsRowDxfId="473">
  <autoFilter ref="A31:R244" xr:uid="{5F450223-0C27-47B1-AFBB-630938CB8ADF}">
    <filterColumn colId="6">
      <filters>
        <filter val="Payment"/>
      </filters>
    </filterColumn>
  </autoFilter>
  <sortState xmlns:xlrd2="http://schemas.microsoft.com/office/spreadsheetml/2017/richdata2" ref="A32:R62">
    <sortCondition ref="G31:G244"/>
  </sortState>
  <tableColumns count="18">
    <tableColumn id="1" xr3:uid="{B2534059-A8F5-4A61-B334-33834FEE063D}" name="Key" totalsRowLabel="Ergebnis" dataDxfId="472" totalsRowDxfId="471" dataCellStyle="Hyperlink" totalsRowCellStyle="Hyperlink"/>
    <tableColumn id="2" xr3:uid="{056BDD5B-B96C-40D6-8C81-DA4A23F4B11F}" name="Summary" dataDxfId="470" totalsRowDxfId="469"/>
    <tableColumn id="3" xr3:uid="{83D1E7AE-47B4-4D19-BD9B-CAA06FC34458}" name="Issue Type" dataDxfId="468" totalsRowDxfId="467"/>
    <tableColumn id="4" xr3:uid="{17613D4E-5F2A-4115-BEA6-3C057EA62626}" name="Priority" dataDxfId="466" totalsRowDxfId="465"/>
    <tableColumn id="5" xr3:uid="{1343CB8F-E1EF-4101-8819-A1497E61C657}" name="Jira Status" dataDxfId="464" totalsRowDxfId="463"/>
    <tableColumn id="6" xr3:uid="{F4D2034D-3F1C-4167-B24D-E69047FB7BBF}" name="Jira Story Points" dataDxfId="462" totalsRowDxfId="461"/>
    <tableColumn id="14" xr3:uid="{2EE0F0C7-489D-4EA1-8B52-A957143698BB}" name="Team" dataDxfId="460" totalsRowDxfId="459"/>
    <tableColumn id="12" xr3:uid="{1CF91CBA-9C59-488B-A7BC-7D4FA80D3D7F}" name="Pulled after Start" dataDxfId="458" totalsRowDxfId="457"/>
    <tableColumn id="8" xr3:uid="{B96BC32D-05F5-4BAB-B9F5-B50B3560BB73}" name="Notes" dataDxfId="456" totalsRowDxfId="455"/>
    <tableColumn id="19" xr3:uid="{06A0915E-B811-4FD7-8CE9-8F86DEB9B2E7}" name="Epic" dataDxfId="454" totalsRowDxfId="453"/>
    <tableColumn id="9" xr3:uid="{1E29E75C-84E1-43DB-BD64-C29BAD890AFC}" name="Status" dataDxfId="452" totalsRowDxfId="451"/>
    <tableColumn id="7" xr3:uid="{AE6CCAE7-54F6-4800-86DF-83188C995A4E}" name="Carry-over" dataDxfId="450" totalsRowDxfId="449"/>
    <tableColumn id="13" xr3:uid="{8BE2A879-D56A-401F-9FD3-E7418BB43219}" name="Spill-over" dataDxfId="448" totalsRowDxfId="447"/>
    <tableColumn id="11" xr3:uid="{41AFA2BE-29A5-4DC4-AFC3-1CF5D61AA4A4}" name="COsSP Initially Planned" dataDxfId="446" totalsRowDxfId="445">
      <calculatedColumnFormula>IF(OR(Tabelle13245689101112131415161715[[#This Row],[Pulled after Start]]="yes",Tabelle13245689101112131415161715[[#This Row],[Jira Story Points]]="-"),0,MIN(Tabelle13245689101112131415161715[[#This Row],[Jira Story Points]],Tabelle13245689101112131415161715[[#This Row],[Carry-over]]))</calculatedColumnFormula>
    </tableColumn>
    <tableColumn id="16" xr3:uid="{395DF9CD-60B4-4115-AB65-5B11A3755096}" name="COsSP Pulled after Start" dataDxfId="444" totalsRowDxfId="443">
      <calculatedColumnFormula>SUM(IF(ISBLANK(Tabelle13245689101112131415161715[[#This Row],[Carry-over]]),Tabelle13245689101112131415161715[[#This Row],[Jira Story Points]],Tabelle13245689101112131415161715[[#This Row],[Carry-over]]),-Tabelle13245689101112131415161715[[#This Row],[COsSP Initially Planned]])</calculatedColumnFormula>
    </tableColumn>
    <tableColumn id="10" xr3:uid="{27BBCDE4-6FFD-4C7F-A4B0-F2411A460AFB}" name="CSOsSP Completed" totalsRowFunction="count" dataDxfId="442" totalsRowDxfId="441">
      <calculatedColumnFormula>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calculatedColumnFormula>
    </tableColumn>
    <tableColumn id="17" xr3:uid="{30E7A738-FB15-46BE-B194-1614753150BB}" name="CSOsSP Removed" dataDxfId="440" totalsRowDxfId="439">
      <calculatedColumnFormula>IF(Tabelle13245689101112131415161715[[#This Row],[Status]]=$J$5,Tabelle13245689101112131415161715[[#This Row],[COsSP Initially Planned]]+Tabelle13245689101112131415161715[[#This Row],[COsSP Pulled after Start]]-Tabelle13245689101112131415161715[[#This Row],[CSOsSP Completed]],0)</calculatedColumnFormula>
    </tableColumn>
    <tableColumn id="15" xr3:uid="{15D255F8-1EAF-412A-A352-B005F56D2B38}" name="CSOsSP Not Completed" dataDxfId="438" totalsRowDxfId="437">
      <calculatedColumnFormula>Tabelle13245689101112131415161715[[#This Row],[COsSP Initially Planned]]+Tabelle13245689101112131415161715[[#This Row],[COsSP Pulled after Start]]-Tabelle13245689101112131415161715[[#This Row],[CSOsSP Completed]]-Tabelle13245689101112131415161715[[#This Row],[CSOsSP Removed]]</calculatedColumnFormula>
    </tableColumn>
  </tableColumns>
  <tableStyleInfo name="TableStyleMedium6"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47F71DC-FE06-4E2A-8069-1EB2599FE97D}" name="Tabelle13245689101112131415" displayName="Tabelle13245689101112131415" ref="A31:Q203" headerRowDxfId="436" dataDxfId="435" totalsRowDxfId="434">
  <autoFilter ref="A31:Q203" xr:uid="{5F450223-0C27-47B1-AFBB-630938CB8ADF}">
    <filterColumn colId="6">
      <filters>
        <filter val="Payment"/>
      </filters>
    </filterColumn>
  </autoFilter>
  <sortState xmlns:xlrd2="http://schemas.microsoft.com/office/spreadsheetml/2017/richdata2" ref="A32:Q203">
    <sortCondition ref="G31:G203"/>
  </sortState>
  <tableColumns count="17">
    <tableColumn id="1" xr3:uid="{74CFC6A9-5478-4CCD-B018-ED6CBD7411FD}" name="Key" totalsRowLabel="Ergebnis" dataDxfId="433" totalsRowDxfId="432" dataCellStyle="Hyperlink"/>
    <tableColumn id="2" xr3:uid="{4C9B5F28-958D-4620-B5A4-30FC982BB01B}" name="Summary" dataDxfId="431" totalsRowDxfId="430"/>
    <tableColumn id="3" xr3:uid="{5431E955-67EA-4945-BECE-BCA2EBEA60EC}" name="Issue Type" dataDxfId="429" totalsRowDxfId="428"/>
    <tableColumn id="4" xr3:uid="{A5665FE3-3197-4540-9CB7-F458ED6079B0}" name="Priority" dataDxfId="427" totalsRowDxfId="426"/>
    <tableColumn id="5" xr3:uid="{96791392-83AA-40BE-B216-59FEE1DDE7BE}" name="Jira Status" dataDxfId="425" totalsRowDxfId="424"/>
    <tableColumn id="6" xr3:uid="{DECA94BC-AC43-4D00-955A-AEC7C981432D}" name="Jira Story Points" dataDxfId="423" totalsRowDxfId="422"/>
    <tableColumn id="14" xr3:uid="{53292072-2C7F-4F87-8DC1-48F928313C04}" name="Team" dataDxfId="421" totalsRowDxfId="420"/>
    <tableColumn id="12" xr3:uid="{BE9E41CB-DA96-4024-BAE8-8258ACE685EF}" name="Pulled after Start" dataDxfId="419" totalsRowDxfId="418"/>
    <tableColumn id="8" xr3:uid="{DF46993C-EE62-4C24-9AB2-35DF83047995}" name="Notes" dataDxfId="417" totalsRowDxfId="416"/>
    <tableColumn id="9" xr3:uid="{98E9431B-D93A-4F49-B39C-D868780E775E}" name="Status" dataDxfId="415" totalsRowDxfId="414"/>
    <tableColumn id="7" xr3:uid="{D3AD7BC5-C856-44BD-8ACD-E9F34B06AF44}" name="Carry-over" dataDxfId="413" totalsRowDxfId="412"/>
    <tableColumn id="13" xr3:uid="{4AA81683-9DD8-4B09-B641-CF7BCB156850}" name="Spill-over" dataDxfId="411" totalsRowDxfId="410"/>
    <tableColumn id="11" xr3:uid="{1895F568-32F1-4289-8356-FAC73BFF5D43}" name="SP Initially Planned (COS)" dataDxfId="409" totalsRowDxfId="408">
      <calculatedColumnFormula>IF(Tabelle13245689101112131415[[#This Row],[Pulled after Start]]="",MIN(Tabelle13245689101112131415[[#This Row],[Jira Story Points]],Tabelle13245689101112131415[[#This Row],[Carry-over]]),0)</calculatedColumnFormula>
    </tableColumn>
    <tableColumn id="16" xr3:uid="{9799A8FD-37B0-4A25-8FCC-479B9A55A909}" name="SP Pulled after Start (COS)" dataDxfId="407" totalsRowDxfId="406">
      <calculatedColumnFormula>MIN(Tabelle13245689101112131415[[#This Row],[Jira Story Points]],Tabelle13245689101112131415[[#This Row],[Carry-over]])-Tabelle13245689101112131415[[#This Row],[SP Initially Planned (COS)]]</calculatedColumnFormula>
    </tableColumn>
    <tableColumn id="10" xr3:uid="{35C7DD73-717F-463F-96F5-A2475B0AB87B}" name="SP Completed (COS &amp; SOS)" totalsRowFunction="count" dataDxfId="405">
      <calculatedColumnFormula>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calculatedColumnFormula>
    </tableColumn>
    <tableColumn id="17" xr3:uid="{DED7452C-0FF3-4FCF-AF75-891C413474F0}" name="SP Removed (COS &amp; SOS)" dataDxfId="404" totalsRowDxfId="403">
      <calculatedColumnFormula>IFERROR(IF(Tabelle13245689101112131415[[#This Row],[Status]]=$J$5,MIN(Tabelle13245689101112131415[[#This Row],[Jira Story Points]],Tabelle13245689101112131415[[#This Row],[Carry-over]]),0),0)</calculatedColumnFormula>
    </tableColumn>
    <tableColumn id="15" xr3:uid="{227CFAA6-0DD0-4F0B-BD0B-7F3A5DE84018}" name="SP Not Completed (COS &amp; SOS)" dataDxfId="402" totalsRowDxfId="401">
      <calculatedColumnFormula>IFERROR(IF(Tabelle13245689101112131415[[#This Row],[Status]]=$J$5,0,MIN(Tabelle13245689101112131415[[#This Row],[Jira Story Points]],Tabelle13245689101112131415[[#This Row],[Carry-over]])-Tabelle13245689101112131415[[#This Row],[SP Completed (COS &amp; SOS)]]),0)</calculatedColumnFormula>
    </tableColumn>
  </tableColumns>
  <tableStyleInfo name="TableStyleMedium6"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22FFF1A-CEB5-439F-B508-FA070FFE1F9E}" name="Tabelle132456891011121314" displayName="Tabelle132456891011121314" ref="A31:Q201" headerRowDxfId="400" dataDxfId="399" totalsRowDxfId="398">
  <autoFilter ref="A31:Q201" xr:uid="{5F450223-0C27-47B1-AFBB-630938CB8ADF}">
    <filterColumn colId="6">
      <filters>
        <filter val="Payment"/>
      </filters>
    </filterColumn>
  </autoFilter>
  <sortState xmlns:xlrd2="http://schemas.microsoft.com/office/spreadsheetml/2017/richdata2" ref="A32:Q201">
    <sortCondition ref="G31:G201"/>
  </sortState>
  <tableColumns count="17">
    <tableColumn id="1" xr3:uid="{B5045CAF-0241-46C6-9025-8AD365B55923}" name="Key" totalsRowLabel="Ergebnis" dataDxfId="397" totalsRowDxfId="396" dataCellStyle="Hyperlink"/>
    <tableColumn id="2" xr3:uid="{399727EB-8C3F-4BB6-B42A-A9FE94DEB1F5}" name="Summary" dataDxfId="395" totalsRowDxfId="394"/>
    <tableColumn id="3" xr3:uid="{53007C67-AD46-4ABB-B38B-FFBA421B997C}" name="Issue Type" dataDxfId="393" totalsRowDxfId="392"/>
    <tableColumn id="4" xr3:uid="{E0B6D1FA-D40A-41F3-B5AD-D2B37FB01B04}" name="Priority" dataDxfId="391" totalsRowDxfId="390"/>
    <tableColumn id="5" xr3:uid="{D8F9C532-9709-4AC8-A3A6-9D28AECE2417}" name="Jira Status" dataDxfId="389" totalsRowDxfId="388"/>
    <tableColumn id="6" xr3:uid="{D1EA49CA-D202-4D4C-ACF3-E943FA3963C4}" name="Jira Story Points" dataDxfId="387" totalsRowDxfId="386"/>
    <tableColumn id="14" xr3:uid="{511D7ED9-49F8-40F6-9600-C4FCBBA00B50}" name="Team" dataDxfId="385" totalsRowDxfId="384"/>
    <tableColumn id="12" xr3:uid="{7DBEB117-FE79-46D2-939F-AFDB15B0D754}" name="Pulled after Start" dataDxfId="383" totalsRowDxfId="382"/>
    <tableColumn id="8" xr3:uid="{4B0B82E4-B9AB-47D9-8982-6184845214A9}" name="Notes" dataDxfId="381" totalsRowDxfId="380"/>
    <tableColumn id="9" xr3:uid="{28E25ED2-9355-44B9-B7DD-77DD33381127}" name="Status" dataDxfId="379" totalsRowDxfId="378"/>
    <tableColumn id="7" xr3:uid="{B6BBD799-4DCA-4EC8-B813-4A172B3595DB}" name="Carry-over" dataDxfId="377" totalsRowDxfId="376"/>
    <tableColumn id="13" xr3:uid="{B6BC7B5F-A1BF-4777-80E1-74D2B739A938}" name="Spill-over" dataDxfId="375" totalsRowDxfId="374"/>
    <tableColumn id="11" xr3:uid="{B7E71279-C8E7-4DAB-B151-210DCDC1CF99}" name="SP Initially Planned (COS)" dataDxfId="373" totalsRowDxfId="372">
      <calculatedColumnFormula>IF(Tabelle132456891011121314[[#This Row],[Pulled after Start]]="",MIN(Tabelle132456891011121314[[#This Row],[Jira Story Points]],Tabelle132456891011121314[[#This Row],[Carry-over]]),0)</calculatedColumnFormula>
    </tableColumn>
    <tableColumn id="16" xr3:uid="{EDEDF51D-17C4-43B7-8187-5F6E93FD3819}" name="SP Pulled after Start (COS)" dataDxfId="371" totalsRowDxfId="370">
      <calculatedColumnFormula>MIN(Tabelle132456891011121314[[#This Row],[Jira Story Points]],Tabelle132456891011121314[[#This Row],[Carry-over]])-Tabelle132456891011121314[[#This Row],[SP Initially Planned (COS)]]</calculatedColumnFormula>
    </tableColumn>
    <tableColumn id="10" xr3:uid="{D1CCC7CD-DA0A-4BA7-B300-873157CD20FB}" name="SP Completed (COS &amp; SOS)" totalsRowFunction="count" dataDxfId="369">
      <calculatedColumnFormula>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calculatedColumnFormula>
    </tableColumn>
    <tableColumn id="17" xr3:uid="{CEDEC042-4233-4FF5-9D9E-3697E677F325}" name="SP Removed (COS &amp; SOS)" dataDxfId="368" totalsRowDxfId="367">
      <calculatedColumnFormula>IFERROR(IF(Tabelle132456891011121314[[#This Row],[Status]]=$J$5,MIN(Tabelle132456891011121314[[#This Row],[Jira Story Points]],Tabelle132456891011121314[[#This Row],[Carry-over]]),0),0)</calculatedColumnFormula>
    </tableColumn>
    <tableColumn id="15" xr3:uid="{0F7D29A7-2E91-4B88-AD5A-EDA02DECC61F}" name="SP Not Completed (COS &amp; SOS)" dataDxfId="366" totalsRowDxfId="365">
      <calculatedColumnFormula>IFERROR(IF(Tabelle132456891011121314[[#This Row],[Status]]=$J$5,0,MIN(Tabelle132456891011121314[[#This Row],[Jira Story Points]],Tabelle132456891011121314[[#This Row],[Carry-over]])-Tabelle132456891011121314[[#This Row],[SP Completed (COS &amp; SOS)]]),0)</calculatedColumnFormula>
    </tableColumn>
  </tableColumns>
  <tableStyleInfo name="TableStyleMedium6" showFirstColumn="1"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728CA19-317E-4742-B9A1-47D0C29EF548}" name="Tabelle1324568910111213" displayName="Tabelle1324568910111213" ref="A31:Q171" headerRowDxfId="364" dataDxfId="363" totalsRowDxfId="362">
  <autoFilter ref="A31:Q171" xr:uid="{5F450223-0C27-47B1-AFBB-630938CB8ADF}">
    <filterColumn colId="6">
      <filters>
        <filter val="Payment"/>
      </filters>
    </filterColumn>
  </autoFilter>
  <sortState xmlns:xlrd2="http://schemas.microsoft.com/office/spreadsheetml/2017/richdata2" ref="A32:Q47">
    <sortCondition ref="G31:G147"/>
  </sortState>
  <tableColumns count="17">
    <tableColumn id="1" xr3:uid="{7F59F683-3277-4FF6-82B4-C6434ADFB15B}" name="Key" totalsRowLabel="Ergebnis" dataDxfId="361" totalsRowDxfId="360" dataCellStyle="Hyperlink"/>
    <tableColumn id="2" xr3:uid="{FE191D75-E9C5-44D8-A3E0-21EEA616CF5F}" name="Summary" dataDxfId="359" totalsRowDxfId="358"/>
    <tableColumn id="3" xr3:uid="{815C91DB-C185-43A9-9D96-F3F408B7F471}" name="Issue Type" dataDxfId="357" totalsRowDxfId="356"/>
    <tableColumn id="4" xr3:uid="{C5A05437-FB76-49BF-A40A-72DE34B87DA1}" name="Priority" dataDxfId="355" totalsRowDxfId="354"/>
    <tableColumn id="5" xr3:uid="{952839B1-E4FA-40FE-ACD7-BAA67FB7A87D}" name="Jira Status" dataDxfId="353" totalsRowDxfId="352"/>
    <tableColumn id="6" xr3:uid="{227E2510-A39A-4B16-A86B-EBE6D4F76169}" name="Jira Story Points" dataDxfId="351" totalsRowDxfId="350"/>
    <tableColumn id="14" xr3:uid="{2B48E728-2480-4FE8-A66F-8A72CB206FD4}" name="Team" dataDxfId="349" totalsRowDxfId="348"/>
    <tableColumn id="12" xr3:uid="{70B7499E-DE86-4634-A0CB-837E9D13ECBA}" name="Pulled after Start" dataDxfId="347" totalsRowDxfId="346"/>
    <tableColumn id="8" xr3:uid="{784195F9-B467-4F56-BC77-6E68A7C9FCB2}" name="Notes" dataDxfId="345" totalsRowDxfId="344"/>
    <tableColumn id="9" xr3:uid="{5F82FAFE-7045-424F-9A7D-DB1FB454E07B}" name="Status" dataDxfId="343" totalsRowDxfId="342"/>
    <tableColumn id="7" xr3:uid="{12DA0216-C81A-4983-8019-6A27154DA8A2}" name="Carry-over" dataDxfId="341" totalsRowDxfId="340"/>
    <tableColumn id="13" xr3:uid="{E066BDBA-5F1E-4901-B71F-824E8D18A485}" name="Spill-over" dataDxfId="339" totalsRowDxfId="338"/>
    <tableColumn id="11" xr3:uid="{BC26DD8E-A9EA-491C-A560-D05A2347C545}" name="SP Initially Planned (COS)" dataDxfId="337" totalsRowDxfId="336">
      <calculatedColumnFormula>IF(Tabelle1324568910111213[[#This Row],[Pulled after Start]]="",MIN(Tabelle1324568910111213[[#This Row],[Jira Story Points]],Tabelle1324568910111213[[#This Row],[Carry-over]]),0)</calculatedColumnFormula>
    </tableColumn>
    <tableColumn id="16" xr3:uid="{4612A058-9C9B-4B87-BE00-EE3D319C57B9}" name="SP Pulled after Start (COS)" dataDxfId="335" totalsRowDxfId="334">
      <calculatedColumnFormula>MIN(Tabelle1324568910111213[[#This Row],[Jira Story Points]],Tabelle1324568910111213[[#This Row],[Carry-over]])-Tabelle1324568910111213[[#This Row],[SP Initially Planned (COS)]]</calculatedColumnFormula>
    </tableColumn>
    <tableColumn id="10" xr3:uid="{7395687E-499F-4486-8B50-38DB2AD60E9E}" name="SP Completed (COS &amp; SOS)" totalsRowFunction="count" dataDxfId="333">
      <calculatedColumnFormula>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calculatedColumnFormula>
    </tableColumn>
    <tableColumn id="17" xr3:uid="{EF2FFEB4-2289-4073-AEFB-ECECF107293A}" name="SP Removed (COS &amp; SOS)" dataDxfId="332" totalsRowDxfId="331">
      <calculatedColumnFormula>IFERROR(IF(Tabelle1324568910111213[[#This Row],[Status]]=$J$5,MIN(Tabelle1324568910111213[[#This Row],[Jira Story Points]],Tabelle1324568910111213[[#This Row],[Carry-over]]),0),0)</calculatedColumnFormula>
    </tableColumn>
    <tableColumn id="15" xr3:uid="{2F024B22-A8B3-4F24-ADD6-9BE495519950}" name="SP Not Completed (COS &amp; SOS)" dataDxfId="330" totalsRowDxfId="329">
      <calculatedColumnFormula>IFERROR(IF(Tabelle1324568910111213[[#This Row],[Status]]=$J$5,0,MIN(Tabelle1324568910111213[[#This Row],[Jira Story Points]],Tabelle1324568910111213[[#This Row],[Carry-over]])-Tabelle1324568910111213[[#This Row],[SP Completed (COS &amp; SOS)]]),0)</calculatedColumnFormula>
    </tableColumn>
  </tableColumns>
  <tableStyleInfo name="TableStyleMedium6"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FAC75D-D242-4459-89A4-3FBD14E7D202}" name="Tabelle13245689101112" displayName="Tabelle13245689101112" ref="A31:Q159" headerRowDxfId="328" dataDxfId="327" totalsRowDxfId="326">
  <autoFilter ref="A31:Q159" xr:uid="{26687D7A-FCC7-4C57-A6C8-70DFCA7534E9}">
    <filterColumn colId="6">
      <filters>
        <filter val="Payment"/>
      </filters>
    </filterColumn>
  </autoFilter>
  <sortState xmlns:xlrd2="http://schemas.microsoft.com/office/spreadsheetml/2017/richdata2" ref="A32:Q83">
    <sortCondition ref="G31:G134"/>
  </sortState>
  <tableColumns count="17">
    <tableColumn id="1" xr3:uid="{C0C36F0B-85B6-473E-9E54-0603255EAE17}" name="Key" totalsRowLabel="Ergebnis" dataDxfId="325" totalsRowDxfId="324" dataCellStyle="Hyperlink"/>
    <tableColumn id="2" xr3:uid="{4375F2D5-0EEC-43C9-91EC-0867F121BEE0}" name="Summary" dataDxfId="323" totalsRowDxfId="322"/>
    <tableColumn id="3" xr3:uid="{EF8D6522-27D5-46CB-AC7A-84384E81799B}" name="Issue Type" dataDxfId="321" totalsRowDxfId="320"/>
    <tableColumn id="4" xr3:uid="{E1D032B6-B70C-46D7-883E-6CA2D47C1EE4}" name="Priority" dataDxfId="319" totalsRowDxfId="318"/>
    <tableColumn id="5" xr3:uid="{B111A463-AA78-43BD-BE4B-E2B71D41E0CA}" name="Jira Status" dataDxfId="317" totalsRowDxfId="316"/>
    <tableColumn id="6" xr3:uid="{247351ED-AB3A-4456-B537-434D1CBDBECC}" name="Jira Story Points" dataDxfId="315" totalsRowDxfId="314"/>
    <tableColumn id="14" xr3:uid="{21244C8A-D020-4A37-B1D9-0920CA1FC579}" name="Team" dataDxfId="313" totalsRowDxfId="312"/>
    <tableColumn id="12" xr3:uid="{4BE0405C-9DE8-4647-B9C5-154608194787}" name="Pulled after Start" dataDxfId="311" totalsRowDxfId="310"/>
    <tableColumn id="8" xr3:uid="{3CDCDF65-10B6-4ACC-9B87-7EB2A666E61A}" name="Notes" dataDxfId="309" totalsRowDxfId="308"/>
    <tableColumn id="9" xr3:uid="{3C917F9B-05E6-4204-8864-975EECF6B025}" name="Status" dataDxfId="307" totalsRowDxfId="306"/>
    <tableColumn id="7" xr3:uid="{13AF496A-A3CB-479A-A768-7F9941CCCCFC}" name="Carry-over" dataDxfId="305" totalsRowDxfId="304"/>
    <tableColumn id="13" xr3:uid="{32814D0A-08F0-4EE2-A1EA-34093BEE5257}" name="Spill-over" dataDxfId="303" totalsRowDxfId="302"/>
    <tableColumn id="11" xr3:uid="{71A8641A-E060-4561-AE1F-80274759D124}" name="SP Initially Planned (COS)" dataDxfId="301" totalsRowDxfId="300">
      <calculatedColumnFormula>IF(Tabelle13245689101112[[#This Row],[Pulled after Start]]="",MIN(Tabelle13245689101112[[#This Row],[Jira Story Points]],Tabelle13245689101112[[#This Row],[Carry-over]]),0)</calculatedColumnFormula>
    </tableColumn>
    <tableColumn id="16" xr3:uid="{7FAF77B4-849D-49F4-874D-7D387B8FFBF0}" name="SP Pulled after Start (COS)" dataDxfId="299" totalsRowDxfId="298">
      <calculatedColumnFormula>MIN(Tabelle13245689101112[[#This Row],[Jira Story Points]],Tabelle13245689101112[[#This Row],[Carry-over]])-Tabelle13245689101112[[#This Row],[SP Initially Planned (COS)]]</calculatedColumnFormula>
    </tableColumn>
    <tableColumn id="10" xr3:uid="{7286F5EB-7944-4B08-84FD-6E5FA34CA98D}" name="SP Completed (COS &amp; SOS)" totalsRowFunction="count" dataDxfId="297">
      <calculatedColumnFormula>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calculatedColumnFormula>
    </tableColumn>
    <tableColumn id="17" xr3:uid="{88504A45-D58A-460A-8178-3B81DC308F0C}" name="SP Removed (COS &amp; SOS)" dataDxfId="296" totalsRowDxfId="295">
      <calculatedColumnFormula>IFERROR(IF(Tabelle13245689101112[[#This Row],[Status]]=$J$5,MIN(Tabelle13245689101112[[#This Row],[Jira Story Points]],Tabelle13245689101112[[#This Row],[Carry-over]]),0),0)</calculatedColumnFormula>
    </tableColumn>
    <tableColumn id="15" xr3:uid="{36AF1F69-C095-421A-9ADF-CB57C90937D0}" name="SP Not Completed (COS &amp; SOS)" dataDxfId="294" totalsRowDxfId="293">
      <calculatedColumnFormula>IFERROR(IF(Tabelle13245689101112[[#This Row],[Status]]=$J$5,0,MIN(Tabelle13245689101112[[#This Row],[Jira Story Points]],Tabelle13245689101112[[#This Row],[Carry-over]])-Tabelle13245689101112[[#This Row],[SP Completed (COS &amp; SOS)]]),0)</calculatedColumnFormula>
    </tableColumn>
  </tableColumns>
  <tableStyleInfo name="TableStyleMedium6" showFirstColumn="1"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257BB7A-FE80-4537-A36C-14804E898DC8}" name="Tabelle132456891011" displayName="Tabelle132456891011" ref="A31:Q179" headerRowDxfId="292" dataDxfId="291" totalsRowDxfId="290">
  <autoFilter ref="A31:Q179" xr:uid="{26687D7A-FCC7-4C57-A6C8-70DFCA7534E9}">
    <filterColumn colId="6">
      <filters>
        <filter val="Payment"/>
      </filters>
    </filterColumn>
  </autoFilter>
  <sortState xmlns:xlrd2="http://schemas.microsoft.com/office/spreadsheetml/2017/richdata2" ref="A32:Q179">
    <sortCondition ref="G31:G179"/>
  </sortState>
  <tableColumns count="17">
    <tableColumn id="1" xr3:uid="{3B768086-815D-454E-84F8-DD2D58B33E63}" name="Key" totalsRowLabel="Ergebnis" dataDxfId="289" totalsRowDxfId="288" dataCellStyle="Hyperlink"/>
    <tableColumn id="2" xr3:uid="{EB3C2C94-6C43-489E-952C-9E3747E37A83}" name="Summary" dataDxfId="287" totalsRowDxfId="286"/>
    <tableColumn id="3" xr3:uid="{B2EB333E-3A89-4C1D-A0F4-949160FDB093}" name="Issue Type" dataDxfId="285" totalsRowDxfId="284"/>
    <tableColumn id="4" xr3:uid="{10B68C93-753B-4625-BE68-F167BE404A12}" name="Priority" dataDxfId="283" totalsRowDxfId="282"/>
    <tableColumn id="5" xr3:uid="{61EE19FF-4397-47F5-BD5E-100F39FDA54A}" name="Jira Status" dataDxfId="281" totalsRowDxfId="280"/>
    <tableColumn id="6" xr3:uid="{52F747E6-3EF4-40A2-95FC-3299F30F1C96}" name="Jira Story Points" dataDxfId="279" totalsRowDxfId="278"/>
    <tableColumn id="14" xr3:uid="{915FE9A6-0707-4160-A98E-FDF8E288CADF}" name="Team" dataDxfId="277" totalsRowDxfId="276"/>
    <tableColumn id="12" xr3:uid="{6BA13A04-2FE8-4969-9745-1EB8EB8A8BEC}" name="Pulled after Start" dataDxfId="275" totalsRowDxfId="274"/>
    <tableColumn id="8" xr3:uid="{17424862-3C06-4E6F-8FFF-86A052001FD9}" name="Notes" dataDxfId="273" totalsRowDxfId="272"/>
    <tableColumn id="9" xr3:uid="{48AA83CF-56A7-4795-A098-C6B393B7BFBC}" name="Status" dataDxfId="271" totalsRowDxfId="270"/>
    <tableColumn id="7" xr3:uid="{D6A48984-211B-4A70-BCC9-A43D8716F25E}" name="Carry-over" dataDxfId="269" totalsRowDxfId="268"/>
    <tableColumn id="13" xr3:uid="{2EA79577-091B-4DAC-BF2B-7428976E9CE1}" name="Spill-over" dataDxfId="267" totalsRowDxfId="266"/>
    <tableColumn id="11" xr3:uid="{31C3B3AA-3446-4340-89EA-A2ED5D9033FD}" name="SP Initially Planned (COS)" dataDxfId="265" totalsRowDxfId="264">
      <calculatedColumnFormula>IF(Tabelle132456891011[[#This Row],[Pulled after Start]]="",MIN(Tabelle132456891011[[#This Row],[Jira Story Points]],Tabelle132456891011[[#This Row],[Carry-over]]),0)</calculatedColumnFormula>
    </tableColumn>
    <tableColumn id="16" xr3:uid="{D71A13ED-7401-48FC-8E18-D205D33BC5F4}" name="SP Pulled after Start (COS)" dataDxfId="263" totalsRowDxfId="262">
      <calculatedColumnFormula>MIN(Tabelle132456891011[[#This Row],[Jira Story Points]],Tabelle132456891011[[#This Row],[Carry-over]])-Tabelle132456891011[[#This Row],[SP Initially Planned (COS)]]</calculatedColumnFormula>
    </tableColumn>
    <tableColumn id="10" xr3:uid="{0FEC0B3D-7F02-47E1-B6A6-6F30496812DE}" name="SP Completed (COS &amp; SOS)" totalsRowFunction="count" dataDxfId="261">
      <calculatedColumnFormula>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calculatedColumnFormula>
    </tableColumn>
    <tableColumn id="17" xr3:uid="{A9B1DD70-DA64-456B-8ECA-0CF80001679A}" name="SP Removed (COS &amp; SOS)" dataDxfId="260" totalsRowDxfId="259">
      <calculatedColumnFormula>IFERROR(IF(Tabelle132456891011[[#This Row],[Status]]=$J$5,MIN(Tabelle132456891011[[#This Row],[Jira Story Points]],Tabelle132456891011[[#This Row],[Carry-over]]),0),0)</calculatedColumnFormula>
    </tableColumn>
    <tableColumn id="15" xr3:uid="{1AAC7BA3-2C2E-4B93-BDAC-C5D8B5D0A600}" name="SP Not Completed (COS &amp; SOS)" dataDxfId="258" totalsRowDxfId="257">
      <calculatedColumnFormula>IFERROR(IF(Tabelle132456891011[[#This Row],[Status]]=$J$5,0,MIN(Tabelle132456891011[[#This Row],[Jira Story Points]],Tabelle132456891011[[#This Row],[Carry-over]])-Tabelle132456891011[[#This Row],[SP Completed (COS &amp; SOS)]]),0)</calculatedColumnFormula>
    </tableColumn>
  </tableColumns>
  <tableStyleInfo name="TableStyleMedium6" showFirstColumn="1"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6" Type="http://schemas.openxmlformats.org/officeDocument/2006/relationships/hyperlink" Target="https://aldi-sued.atlassian.net/browse/NPSCO-20144" TargetMode="External"/><Relationship Id="rId21" Type="http://schemas.openxmlformats.org/officeDocument/2006/relationships/hyperlink" Target="https://aldi-sued.atlassian.net/browse/NPSCO-20022" TargetMode="External"/><Relationship Id="rId42" Type="http://schemas.openxmlformats.org/officeDocument/2006/relationships/hyperlink" Target="https://aldi-sued.atlassian.net/browse/ANP-26012" TargetMode="External"/><Relationship Id="rId47" Type="http://schemas.openxmlformats.org/officeDocument/2006/relationships/hyperlink" Target="https://aldi-sued.atlassian.net/browse/NPSCO-19400" TargetMode="External"/><Relationship Id="rId63" Type="http://schemas.openxmlformats.org/officeDocument/2006/relationships/hyperlink" Target="https://aldi-sued.atlassian.net/browse/NPSCO-20078" TargetMode="External"/><Relationship Id="rId68" Type="http://schemas.openxmlformats.org/officeDocument/2006/relationships/hyperlink" Target="https://aldi-sued.atlassian.net/browse/ANP-26612" TargetMode="External"/><Relationship Id="rId84" Type="http://schemas.openxmlformats.org/officeDocument/2006/relationships/hyperlink" Target="https://aldi-sued.atlassian.net/browse/ANP-26870" TargetMode="External"/><Relationship Id="rId89" Type="http://schemas.openxmlformats.org/officeDocument/2006/relationships/hyperlink" Target="https://aldi-sued.atlassian.net/browse/BF-1409" TargetMode="External"/><Relationship Id="rId16" Type="http://schemas.openxmlformats.org/officeDocument/2006/relationships/hyperlink" Target="https://aldi-sued.atlassian.net/browse/NPSCO-18025" TargetMode="External"/><Relationship Id="rId11" Type="http://schemas.openxmlformats.org/officeDocument/2006/relationships/hyperlink" Target="https://aldi-sued.atlassian.net/browse/NPSCO-19773" TargetMode="External"/><Relationship Id="rId32" Type="http://schemas.openxmlformats.org/officeDocument/2006/relationships/hyperlink" Target="https://aldi-sued.atlassian.net/browse/ANP-25628" TargetMode="External"/><Relationship Id="rId37" Type="http://schemas.openxmlformats.org/officeDocument/2006/relationships/hyperlink" Target="https://aldi-sued.atlassian.net/browse/ANP-25826" TargetMode="External"/><Relationship Id="rId53" Type="http://schemas.openxmlformats.org/officeDocument/2006/relationships/hyperlink" Target="https://aldi-sued.atlassian.net/browse/NPSCO-17533" TargetMode="External"/><Relationship Id="rId58" Type="http://schemas.openxmlformats.org/officeDocument/2006/relationships/hyperlink" Target="https://aldi-sued.atlassian.net/browse/NPSCO-19913" TargetMode="External"/><Relationship Id="rId74" Type="http://schemas.openxmlformats.org/officeDocument/2006/relationships/hyperlink" Target="https://aldi-sued.atlassian.net/browse/ANP-26458" TargetMode="External"/><Relationship Id="rId79" Type="http://schemas.openxmlformats.org/officeDocument/2006/relationships/hyperlink" Target="https://aldi-sued.atlassian.net/browse/ANP-26056" TargetMode="External"/><Relationship Id="rId102" Type="http://schemas.openxmlformats.org/officeDocument/2006/relationships/hyperlink" Target="https://aldi-sued.atlassian.net/browse/NPSCO-18816" TargetMode="External"/><Relationship Id="rId5" Type="http://schemas.openxmlformats.org/officeDocument/2006/relationships/hyperlink" Target="https://aldi-sued.atlassian.net/browse/ANP-26500" TargetMode="External"/><Relationship Id="rId90" Type="http://schemas.openxmlformats.org/officeDocument/2006/relationships/hyperlink" Target="https://aldi-sued.atlassian.net/browse/BF-1412" TargetMode="External"/><Relationship Id="rId95" Type="http://schemas.openxmlformats.org/officeDocument/2006/relationships/hyperlink" Target="https://aldi-sued.atlassian.net/browse/BF-1159" TargetMode="External"/><Relationship Id="rId22" Type="http://schemas.openxmlformats.org/officeDocument/2006/relationships/hyperlink" Target="https://aldi-sued.atlassian.net/browse/NPSCO-20023" TargetMode="External"/><Relationship Id="rId27" Type="http://schemas.openxmlformats.org/officeDocument/2006/relationships/hyperlink" Target="https://aldi-sued.atlassian.net/browse/NPSCO-20144" TargetMode="External"/><Relationship Id="rId43" Type="http://schemas.openxmlformats.org/officeDocument/2006/relationships/hyperlink" Target="https://aldi-sued.atlassian.net/browse/NPSCO-19181" TargetMode="External"/><Relationship Id="rId48" Type="http://schemas.openxmlformats.org/officeDocument/2006/relationships/hyperlink" Target="https://aldi-sued.atlassian.net/browse/NPSCO-19730" TargetMode="External"/><Relationship Id="rId64" Type="http://schemas.openxmlformats.org/officeDocument/2006/relationships/hyperlink" Target="https://aldi-sued.atlassian.net/browse/NPSCO-17559" TargetMode="External"/><Relationship Id="rId69" Type="http://schemas.openxmlformats.org/officeDocument/2006/relationships/hyperlink" Target="https://aldi-sued.atlassian.net/browse/ANP-26612" TargetMode="External"/><Relationship Id="rId80" Type="http://schemas.openxmlformats.org/officeDocument/2006/relationships/hyperlink" Target="https://aldi-sued.atlassian.net/browse/ANP-26448" TargetMode="External"/><Relationship Id="rId85" Type="http://schemas.openxmlformats.org/officeDocument/2006/relationships/hyperlink" Target="https://aldi-sued.atlassian.net/browse/ANP-26870" TargetMode="External"/><Relationship Id="rId12" Type="http://schemas.openxmlformats.org/officeDocument/2006/relationships/hyperlink" Target="https://aldi-sued.atlassian.net/browse/NPSCO-19773" TargetMode="External"/><Relationship Id="rId17" Type="http://schemas.openxmlformats.org/officeDocument/2006/relationships/hyperlink" Target="https://aldi-sued.atlassian.net/browse/NPSCO-20087" TargetMode="External"/><Relationship Id="rId33" Type="http://schemas.openxmlformats.org/officeDocument/2006/relationships/hyperlink" Target="https://aldi-sued.atlassian.net/browse/ANP-25630" TargetMode="External"/><Relationship Id="rId38" Type="http://schemas.openxmlformats.org/officeDocument/2006/relationships/hyperlink" Target="https://aldi-sued.atlassian.net/browse/ANP-25827" TargetMode="External"/><Relationship Id="rId59" Type="http://schemas.openxmlformats.org/officeDocument/2006/relationships/hyperlink" Target="https://aldi-sued.atlassian.net/browse/NPSCO-19913" TargetMode="External"/><Relationship Id="rId103" Type="http://schemas.openxmlformats.org/officeDocument/2006/relationships/hyperlink" Target="https://aldi-sued.atlassian.net/browse/NPSCO-20174" TargetMode="External"/><Relationship Id="rId20" Type="http://schemas.openxmlformats.org/officeDocument/2006/relationships/hyperlink" Target="https://aldi-sued.atlassian.net/browse/NPSCO-20022" TargetMode="External"/><Relationship Id="rId41" Type="http://schemas.openxmlformats.org/officeDocument/2006/relationships/hyperlink" Target="https://aldi-sued.atlassian.net/browse/ANP-25837" TargetMode="External"/><Relationship Id="rId54" Type="http://schemas.openxmlformats.org/officeDocument/2006/relationships/hyperlink" Target="https://aldi-sued.atlassian.net/browse/NPSCO-19714" TargetMode="External"/><Relationship Id="rId62" Type="http://schemas.openxmlformats.org/officeDocument/2006/relationships/hyperlink" Target="https://aldi-sued.atlassian.net/browse/NPSCO-20078" TargetMode="External"/><Relationship Id="rId70" Type="http://schemas.openxmlformats.org/officeDocument/2006/relationships/hyperlink" Target="https://aldi-sued.atlassian.net/browse/ANP-26717" TargetMode="External"/><Relationship Id="rId75" Type="http://schemas.openxmlformats.org/officeDocument/2006/relationships/hyperlink" Target="https://aldi-sued.atlassian.net/browse/ANP-26458" TargetMode="External"/><Relationship Id="rId83" Type="http://schemas.openxmlformats.org/officeDocument/2006/relationships/hyperlink" Target="https://aldi-sued.atlassian.net/browse/ANP-12281" TargetMode="External"/><Relationship Id="rId88" Type="http://schemas.openxmlformats.org/officeDocument/2006/relationships/hyperlink" Target="https://aldi-sued.atlassian.net/browse/BF-507" TargetMode="External"/><Relationship Id="rId91" Type="http://schemas.openxmlformats.org/officeDocument/2006/relationships/hyperlink" Target="https://aldi-sued.atlassian.net/browse/BF-1419" TargetMode="External"/><Relationship Id="rId96" Type="http://schemas.openxmlformats.org/officeDocument/2006/relationships/hyperlink" Target="https://aldi-sued.atlassian.net/browse/BF-1316" TargetMode="External"/><Relationship Id="rId1" Type="http://schemas.openxmlformats.org/officeDocument/2006/relationships/hyperlink" Target="https://aldi-sued.atlassian.net/browse/ANP-26411" TargetMode="External"/><Relationship Id="rId6" Type="http://schemas.openxmlformats.org/officeDocument/2006/relationships/hyperlink" Target="https://aldi-sued.atlassian.net/browse/ANP-25479" TargetMode="External"/><Relationship Id="rId15" Type="http://schemas.openxmlformats.org/officeDocument/2006/relationships/hyperlink" Target="https://aldi-sued.atlassian.net/browse/NPSCO-18025" TargetMode="External"/><Relationship Id="rId23" Type="http://schemas.openxmlformats.org/officeDocument/2006/relationships/hyperlink" Target="https://aldi-sued.atlassian.net/browse/NPSCO-20023" TargetMode="External"/><Relationship Id="rId28" Type="http://schemas.openxmlformats.org/officeDocument/2006/relationships/hyperlink" Target="https://aldi-sued.atlassian.net/browse/ANP-25572" TargetMode="External"/><Relationship Id="rId36" Type="http://schemas.openxmlformats.org/officeDocument/2006/relationships/hyperlink" Target="https://aldi-sued.atlassian.net/browse/ANP-25825" TargetMode="External"/><Relationship Id="rId49" Type="http://schemas.openxmlformats.org/officeDocument/2006/relationships/hyperlink" Target="https://aldi-sued.atlassian.net/browse/NPSCO-19730" TargetMode="External"/><Relationship Id="rId57" Type="http://schemas.openxmlformats.org/officeDocument/2006/relationships/hyperlink" Target="https://aldi-sued.atlassian.net/browse/NPSCO-19873" TargetMode="External"/><Relationship Id="rId10" Type="http://schemas.openxmlformats.org/officeDocument/2006/relationships/hyperlink" Target="https://aldi-sued.atlassian.net/browse/NPSCO-19102" TargetMode="External"/><Relationship Id="rId31" Type="http://schemas.openxmlformats.org/officeDocument/2006/relationships/hyperlink" Target="https://aldi-sued.atlassian.net/browse/ANP-25623" TargetMode="External"/><Relationship Id="rId44" Type="http://schemas.openxmlformats.org/officeDocument/2006/relationships/hyperlink" Target="https://aldi-sued.atlassian.net/browse/NPSCO-19497" TargetMode="External"/><Relationship Id="rId52" Type="http://schemas.openxmlformats.org/officeDocument/2006/relationships/hyperlink" Target="https://aldi-sued.atlassian.net/browse/NPSCO-17533" TargetMode="External"/><Relationship Id="rId60" Type="http://schemas.openxmlformats.org/officeDocument/2006/relationships/hyperlink" Target="https://aldi-sued.atlassian.net/browse/NPSCO-20042" TargetMode="External"/><Relationship Id="rId65" Type="http://schemas.openxmlformats.org/officeDocument/2006/relationships/hyperlink" Target="https://aldi-sued.atlassian.net/browse/NPSCO-17559" TargetMode="External"/><Relationship Id="rId73" Type="http://schemas.openxmlformats.org/officeDocument/2006/relationships/hyperlink" Target="https://aldi-sued.atlassian.net/browse/ANP-26456" TargetMode="External"/><Relationship Id="rId78" Type="http://schemas.openxmlformats.org/officeDocument/2006/relationships/hyperlink" Target="https://aldi-sued.atlassian.net/browse/ANP-26056" TargetMode="External"/><Relationship Id="rId81" Type="http://schemas.openxmlformats.org/officeDocument/2006/relationships/hyperlink" Target="https://aldi-sued.atlassian.net/browse/ANP-26448" TargetMode="External"/><Relationship Id="rId86" Type="http://schemas.openxmlformats.org/officeDocument/2006/relationships/hyperlink" Target="https://aldi-sued.atlassian.net/browse/NPSCO-20089" TargetMode="External"/><Relationship Id="rId94" Type="http://schemas.openxmlformats.org/officeDocument/2006/relationships/hyperlink" Target="https://aldi-sued.atlassian.net/browse/BF-511" TargetMode="External"/><Relationship Id="rId99" Type="http://schemas.openxmlformats.org/officeDocument/2006/relationships/hyperlink" Target="https://aldi-sued.atlassian.net/browse/BF-1378" TargetMode="External"/><Relationship Id="rId101" Type="http://schemas.openxmlformats.org/officeDocument/2006/relationships/hyperlink" Target="https://aldi-sued.atlassian.net/browse/BF-1380" TargetMode="External"/><Relationship Id="rId4" Type="http://schemas.openxmlformats.org/officeDocument/2006/relationships/hyperlink" Target="https://aldi-sued.atlassian.net/browse/ANP-25421" TargetMode="External"/><Relationship Id="rId9" Type="http://schemas.openxmlformats.org/officeDocument/2006/relationships/hyperlink" Target="https://aldi-sued.atlassian.net/browse/NPSCO-19102" TargetMode="External"/><Relationship Id="rId13" Type="http://schemas.openxmlformats.org/officeDocument/2006/relationships/hyperlink" Target="https://aldi-sued.atlassian.net/browse/NPSCO-18834" TargetMode="External"/><Relationship Id="rId18" Type="http://schemas.openxmlformats.org/officeDocument/2006/relationships/hyperlink" Target="https://aldi-sued.atlassian.net/browse/NPSCO-20087" TargetMode="External"/><Relationship Id="rId39" Type="http://schemas.openxmlformats.org/officeDocument/2006/relationships/hyperlink" Target="https://aldi-sued.atlassian.net/browse/ANP-25829" TargetMode="External"/><Relationship Id="rId34" Type="http://schemas.openxmlformats.org/officeDocument/2006/relationships/hyperlink" Target="https://aldi-sued.atlassian.net/browse/ANP-25640" TargetMode="External"/><Relationship Id="rId50" Type="http://schemas.openxmlformats.org/officeDocument/2006/relationships/hyperlink" Target="https://aldi-sued.atlassian.net/browse/NPSCO-19395" TargetMode="External"/><Relationship Id="rId55" Type="http://schemas.openxmlformats.org/officeDocument/2006/relationships/hyperlink" Target="https://aldi-sued.atlassian.net/browse/NPSCO-19714" TargetMode="External"/><Relationship Id="rId76" Type="http://schemas.openxmlformats.org/officeDocument/2006/relationships/hyperlink" Target="https://aldi-sued.atlassian.net/browse/ANP-26340" TargetMode="External"/><Relationship Id="rId97" Type="http://schemas.openxmlformats.org/officeDocument/2006/relationships/hyperlink" Target="https://aldi-sued.atlassian.net/browse/BF-1317" TargetMode="External"/><Relationship Id="rId104" Type="http://schemas.openxmlformats.org/officeDocument/2006/relationships/printerSettings" Target="../printerSettings/printerSettings6.bin"/><Relationship Id="rId7" Type="http://schemas.openxmlformats.org/officeDocument/2006/relationships/hyperlink" Target="https://aldi-sued.atlassian.net/browse/ANP-26506" TargetMode="External"/><Relationship Id="rId71" Type="http://schemas.openxmlformats.org/officeDocument/2006/relationships/hyperlink" Target="https://aldi-sued.atlassian.net/browse/ANP-26717" TargetMode="External"/><Relationship Id="rId92" Type="http://schemas.openxmlformats.org/officeDocument/2006/relationships/hyperlink" Target="https://aldi-sued.atlassian.net/browse/NPSCO-19363" TargetMode="External"/><Relationship Id="rId2" Type="http://schemas.openxmlformats.org/officeDocument/2006/relationships/hyperlink" Target="https://aldi-sued.atlassian.net/browse/ANP-26447" TargetMode="External"/><Relationship Id="rId29" Type="http://schemas.openxmlformats.org/officeDocument/2006/relationships/hyperlink" Target="https://aldi-sued.atlassian.net/browse/ANP-26613" TargetMode="External"/><Relationship Id="rId24" Type="http://schemas.openxmlformats.org/officeDocument/2006/relationships/hyperlink" Target="https://aldi-sued.atlassian.net/browse/NPSCO-20148" TargetMode="External"/><Relationship Id="rId40" Type="http://schemas.openxmlformats.org/officeDocument/2006/relationships/hyperlink" Target="https://aldi-sued.atlassian.net/browse/ANP-25836" TargetMode="External"/><Relationship Id="rId45" Type="http://schemas.openxmlformats.org/officeDocument/2006/relationships/hyperlink" Target="https://aldi-sued.atlassian.net/browse/NPSCO-19497" TargetMode="External"/><Relationship Id="rId66" Type="http://schemas.openxmlformats.org/officeDocument/2006/relationships/hyperlink" Target="https://aldi-sued.atlassian.net/browse/ANP-26379" TargetMode="External"/><Relationship Id="rId87" Type="http://schemas.openxmlformats.org/officeDocument/2006/relationships/hyperlink" Target="https://aldi-sued.atlassian.net/browse/ANP-26869" TargetMode="External"/><Relationship Id="rId61" Type="http://schemas.openxmlformats.org/officeDocument/2006/relationships/hyperlink" Target="https://aldi-sued.atlassian.net/browse/NPSCO-20042" TargetMode="External"/><Relationship Id="rId82" Type="http://schemas.openxmlformats.org/officeDocument/2006/relationships/hyperlink" Target="https://aldi-sued.atlassian.net/browse/ANP-12281" TargetMode="External"/><Relationship Id="rId19" Type="http://schemas.openxmlformats.org/officeDocument/2006/relationships/hyperlink" Target="https://aldi-sued.atlassian.net/browse/NPSCO-20089" TargetMode="External"/><Relationship Id="rId14" Type="http://schemas.openxmlformats.org/officeDocument/2006/relationships/hyperlink" Target="https://aldi-sued.atlassian.net/browse/NPSCO-18834" TargetMode="External"/><Relationship Id="rId30" Type="http://schemas.openxmlformats.org/officeDocument/2006/relationships/hyperlink" Target="https://aldi-sued.atlassian.net/browse/ANP-25386" TargetMode="External"/><Relationship Id="rId35" Type="http://schemas.openxmlformats.org/officeDocument/2006/relationships/hyperlink" Target="https://aldi-sued.atlassian.net/browse/ANP-25822" TargetMode="External"/><Relationship Id="rId56" Type="http://schemas.openxmlformats.org/officeDocument/2006/relationships/hyperlink" Target="https://aldi-sued.atlassian.net/browse/NPSCO-19873" TargetMode="External"/><Relationship Id="rId77" Type="http://schemas.openxmlformats.org/officeDocument/2006/relationships/hyperlink" Target="https://aldi-sued.atlassian.net/browse/ANP-26340" TargetMode="External"/><Relationship Id="rId100" Type="http://schemas.openxmlformats.org/officeDocument/2006/relationships/hyperlink" Target="https://aldi-sued.atlassian.net/browse/BF-1379" TargetMode="External"/><Relationship Id="rId105" Type="http://schemas.openxmlformats.org/officeDocument/2006/relationships/table" Target="../tables/table6.xml"/><Relationship Id="rId8" Type="http://schemas.openxmlformats.org/officeDocument/2006/relationships/hyperlink" Target="https://aldi-sued.atlassian.net/browse/ANP-26507" TargetMode="External"/><Relationship Id="rId51" Type="http://schemas.openxmlformats.org/officeDocument/2006/relationships/hyperlink" Target="https://aldi-sued.atlassian.net/browse/NPSCO-19395" TargetMode="External"/><Relationship Id="rId72" Type="http://schemas.openxmlformats.org/officeDocument/2006/relationships/hyperlink" Target="https://aldi-sued.atlassian.net/browse/ANP-26456" TargetMode="External"/><Relationship Id="rId93" Type="http://schemas.openxmlformats.org/officeDocument/2006/relationships/hyperlink" Target="https://aldi-sued.atlassian.net/browse/NPSCO-20021" TargetMode="External"/><Relationship Id="rId98" Type="http://schemas.openxmlformats.org/officeDocument/2006/relationships/hyperlink" Target="https://aldi-sued.atlassian.net/browse/BF-1318" TargetMode="External"/><Relationship Id="rId3" Type="http://schemas.openxmlformats.org/officeDocument/2006/relationships/hyperlink" Target="https://aldi-sued.atlassian.net/browse/ANP-26109" TargetMode="External"/><Relationship Id="rId25" Type="http://schemas.openxmlformats.org/officeDocument/2006/relationships/hyperlink" Target="https://aldi-sued.atlassian.net/browse/NPSCO-20148" TargetMode="External"/><Relationship Id="rId46" Type="http://schemas.openxmlformats.org/officeDocument/2006/relationships/hyperlink" Target="https://aldi-sued.atlassian.net/browse/NPSCO-19400" TargetMode="External"/><Relationship Id="rId67" Type="http://schemas.openxmlformats.org/officeDocument/2006/relationships/hyperlink" Target="https://aldi-sued.atlassian.net/browse/ANP-26379"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aldi-sued.atlassian.net/browse/ANP-12281" TargetMode="External"/><Relationship Id="rId21" Type="http://schemas.openxmlformats.org/officeDocument/2006/relationships/hyperlink" Target="https://aldi-sued.atlassian.net/browse/ANP-26080" TargetMode="External"/><Relationship Id="rId42" Type="http://schemas.openxmlformats.org/officeDocument/2006/relationships/hyperlink" Target="https://aldi-sued.atlassian.net/browse/NPSCO-18843" TargetMode="External"/><Relationship Id="rId63" Type="http://schemas.openxmlformats.org/officeDocument/2006/relationships/hyperlink" Target="https://aldi-sued.atlassian.net/browse/NPSCO-19773" TargetMode="External"/><Relationship Id="rId84" Type="http://schemas.openxmlformats.org/officeDocument/2006/relationships/hyperlink" Target="https://aldi-sued.atlassian.net/jira/software/c/projects/NPSCO/boards/4132/backlog?jql=%22cf%5B12600%5D%22%20%3D%20Checkout_Base" TargetMode="External"/><Relationship Id="rId138" Type="http://schemas.openxmlformats.org/officeDocument/2006/relationships/hyperlink" Target="https://aldi-sued.atlassian.net/browse/BF-1238" TargetMode="External"/><Relationship Id="rId107" Type="http://schemas.openxmlformats.org/officeDocument/2006/relationships/hyperlink" Target="https://aldi-sued.atlassian.net/browse/ANP-23825" TargetMode="External"/><Relationship Id="rId11" Type="http://schemas.openxmlformats.org/officeDocument/2006/relationships/hyperlink" Target="https://aldi-sued.atlassian.net/browse/ANP-26446" TargetMode="External"/><Relationship Id="rId32" Type="http://schemas.openxmlformats.org/officeDocument/2006/relationships/hyperlink" Target="https://aldi-sued.atlassian.net/browse/NPSCO-19790" TargetMode="External"/><Relationship Id="rId53" Type="http://schemas.openxmlformats.org/officeDocument/2006/relationships/hyperlink" Target="https://aldi-sued.atlassian.net/browse/NPSCO-19952" TargetMode="External"/><Relationship Id="rId74" Type="http://schemas.openxmlformats.org/officeDocument/2006/relationships/hyperlink" Target="https://aldi-sued.atlassian.net/browse/NPSCO-19797" TargetMode="External"/><Relationship Id="rId128" Type="http://schemas.openxmlformats.org/officeDocument/2006/relationships/hyperlink" Target="https://aldi-sued.atlassian.net/browse/BF-802" TargetMode="External"/><Relationship Id="rId5" Type="http://schemas.openxmlformats.org/officeDocument/2006/relationships/hyperlink" Target="https://aldi-sued.atlassian.net/browse/ANP-25992" TargetMode="External"/><Relationship Id="rId90" Type="http://schemas.openxmlformats.org/officeDocument/2006/relationships/hyperlink" Target="https://aldi-sued.atlassian.net/issues/?jql=%22cf%5B12600%5D%22%20%3D%20Checkout_Base" TargetMode="External"/><Relationship Id="rId95" Type="http://schemas.openxmlformats.org/officeDocument/2006/relationships/hyperlink" Target="https://aldi-sued.atlassian.net/browse/ANP-26111" TargetMode="External"/><Relationship Id="rId22" Type="http://schemas.openxmlformats.org/officeDocument/2006/relationships/hyperlink" Target="https://aldi-sued.atlassian.net/browse/ANP-26108" TargetMode="External"/><Relationship Id="rId27" Type="http://schemas.openxmlformats.org/officeDocument/2006/relationships/hyperlink" Target="https://aldi-sued.atlassian.net/browse/NPSCO-18312" TargetMode="External"/><Relationship Id="rId43" Type="http://schemas.openxmlformats.org/officeDocument/2006/relationships/hyperlink" Target="https://aldi-sued.atlassian.net/browse/NPSCO-18843" TargetMode="External"/><Relationship Id="rId48" Type="http://schemas.openxmlformats.org/officeDocument/2006/relationships/hyperlink" Target="https://aldi-sued.atlassian.net/browse/NPSCO-19873" TargetMode="External"/><Relationship Id="rId64" Type="http://schemas.openxmlformats.org/officeDocument/2006/relationships/hyperlink" Target="https://aldi-sued.atlassian.net/browse/NPSCO-19717" TargetMode="External"/><Relationship Id="rId69" Type="http://schemas.openxmlformats.org/officeDocument/2006/relationships/hyperlink" Target="https://aldi-sued.atlassian.net/browse/NPSCO-19630" TargetMode="External"/><Relationship Id="rId113" Type="http://schemas.openxmlformats.org/officeDocument/2006/relationships/hyperlink" Target="https://aldi-sued.atlassian.net/browse/ANP-26294" TargetMode="External"/><Relationship Id="rId118" Type="http://schemas.openxmlformats.org/officeDocument/2006/relationships/hyperlink" Target="https://aldi-sued.atlassian.net/browse/ANP-12281" TargetMode="External"/><Relationship Id="rId134" Type="http://schemas.openxmlformats.org/officeDocument/2006/relationships/hyperlink" Target="https://aldi-sued.atlassian.net/browse/BF-1257" TargetMode="External"/><Relationship Id="rId139" Type="http://schemas.openxmlformats.org/officeDocument/2006/relationships/hyperlink" Target="https://aldi-sued.atlassian.net/browse/BF-1241" TargetMode="External"/><Relationship Id="rId80" Type="http://schemas.openxmlformats.org/officeDocument/2006/relationships/hyperlink" Target="https://aldi-sued.atlassian.net/jira/software/c/projects/NPSCO/boards/4132/backlog?jql=%22cf%5B12600%5D%22%20%3D%20Checkout_Base" TargetMode="External"/><Relationship Id="rId85" Type="http://schemas.openxmlformats.org/officeDocument/2006/relationships/hyperlink" Target="https://aldi-sued.atlassian.net/jira/software/c/projects/NPSCO/boards/4132/backlog?jql=%22cf%5B12600%5D%22%20%3D%20Checkout_Base" TargetMode="External"/><Relationship Id="rId12" Type="http://schemas.openxmlformats.org/officeDocument/2006/relationships/hyperlink" Target="https://aldi-sued.atlassian.net/browse/ANP-25039" TargetMode="External"/><Relationship Id="rId17" Type="http://schemas.openxmlformats.org/officeDocument/2006/relationships/hyperlink" Target="https://aldi-sued.atlassian.net/browse/ANP-25632" TargetMode="External"/><Relationship Id="rId33" Type="http://schemas.openxmlformats.org/officeDocument/2006/relationships/hyperlink" Target="https://aldi-sued.atlassian.net/browse/NPSCO-19790" TargetMode="External"/><Relationship Id="rId38" Type="http://schemas.openxmlformats.org/officeDocument/2006/relationships/hyperlink" Target="https://aldi-sued.atlassian.net/browse/NPSCO-19151" TargetMode="External"/><Relationship Id="rId59" Type="http://schemas.openxmlformats.org/officeDocument/2006/relationships/hyperlink" Target="https://aldi-sued.atlassian.net/jira/software/c/projects/NPSCO/boards/4132/backlog?jql=%22cf%5B12600%5D%22%20%3D%20Checkout_Base" TargetMode="External"/><Relationship Id="rId103" Type="http://schemas.openxmlformats.org/officeDocument/2006/relationships/hyperlink" Target="https://aldi-sued.atlassian.net/browse/ANP-25169" TargetMode="External"/><Relationship Id="rId108" Type="http://schemas.openxmlformats.org/officeDocument/2006/relationships/hyperlink" Target="https://aldi-sued.atlassian.net/browse/ANP-23825" TargetMode="External"/><Relationship Id="rId124" Type="http://schemas.openxmlformats.org/officeDocument/2006/relationships/hyperlink" Target="https://aldi-sued.atlassian.net/browse/NPSCO-19392" TargetMode="External"/><Relationship Id="rId129" Type="http://schemas.openxmlformats.org/officeDocument/2006/relationships/hyperlink" Target="https://aldi-sued.atlassian.net/browse/BF-1224" TargetMode="External"/><Relationship Id="rId54" Type="http://schemas.openxmlformats.org/officeDocument/2006/relationships/hyperlink" Target="https://aldi-sued.atlassian.net/browse/NPSCO-19913" TargetMode="External"/><Relationship Id="rId70" Type="http://schemas.openxmlformats.org/officeDocument/2006/relationships/hyperlink" Target="https://aldi-sued.atlassian.net/browse/NPSCO-15156" TargetMode="External"/><Relationship Id="rId75" Type="http://schemas.openxmlformats.org/officeDocument/2006/relationships/hyperlink" Target="https://aldi-sued.atlassian.net/browse/NPSCO-19797" TargetMode="External"/><Relationship Id="rId91" Type="http://schemas.openxmlformats.org/officeDocument/2006/relationships/hyperlink" Target="https://aldi-sued.atlassian.net/browse/ANP-24755" TargetMode="External"/><Relationship Id="rId96" Type="http://schemas.openxmlformats.org/officeDocument/2006/relationships/hyperlink" Target="https://aldi-sued.atlassian.net/browse/ANP-26111" TargetMode="External"/><Relationship Id="rId140" Type="http://schemas.openxmlformats.org/officeDocument/2006/relationships/hyperlink" Target="https://aldi-sued.atlassian.net/browse/BF-511" TargetMode="External"/><Relationship Id="rId145" Type="http://schemas.openxmlformats.org/officeDocument/2006/relationships/hyperlink" Target="https://aldi-sued.atlassian.net/browse/ANP-26012" TargetMode="External"/><Relationship Id="rId1" Type="http://schemas.openxmlformats.org/officeDocument/2006/relationships/hyperlink" Target="https://aldi-sued.atlassian.net/browse/ANP-21583" TargetMode="External"/><Relationship Id="rId6" Type="http://schemas.openxmlformats.org/officeDocument/2006/relationships/hyperlink" Target="https://aldi-sued.atlassian.net/browse/ANP-26109" TargetMode="External"/><Relationship Id="rId23" Type="http://schemas.openxmlformats.org/officeDocument/2006/relationships/hyperlink" Target="https://aldi-sued.atlassian.net/browse/ANP-26380" TargetMode="External"/><Relationship Id="rId28" Type="http://schemas.openxmlformats.org/officeDocument/2006/relationships/hyperlink" Target="https://aldi-sued.atlassian.net/browse/NPSCO-18803" TargetMode="External"/><Relationship Id="rId49" Type="http://schemas.openxmlformats.org/officeDocument/2006/relationships/hyperlink" Target="https://aldi-sued.atlassian.net/browse/NPSCO-19873" TargetMode="External"/><Relationship Id="rId114" Type="http://schemas.openxmlformats.org/officeDocument/2006/relationships/hyperlink" Target="https://aldi-sued.atlassian.net/browse/ANP-26294" TargetMode="External"/><Relationship Id="rId119" Type="http://schemas.openxmlformats.org/officeDocument/2006/relationships/hyperlink" Target="https://aldi-sued.atlassian.net/browse/ANP-26397" TargetMode="External"/><Relationship Id="rId44" Type="http://schemas.openxmlformats.org/officeDocument/2006/relationships/hyperlink" Target="https://aldi-sued.atlassian.net/browse/NPSCO-19730" TargetMode="External"/><Relationship Id="rId60" Type="http://schemas.openxmlformats.org/officeDocument/2006/relationships/hyperlink" Target="https://aldi-sued.atlassian.net/browse/NPSCO-19715" TargetMode="External"/><Relationship Id="rId65" Type="http://schemas.openxmlformats.org/officeDocument/2006/relationships/hyperlink" Target="https://aldi-sued.atlassian.net/browse/NPSCO-19717" TargetMode="External"/><Relationship Id="rId81" Type="http://schemas.openxmlformats.org/officeDocument/2006/relationships/hyperlink" Target="https://aldi-sued.atlassian.net/jira/software/c/projects/NPSCO/boards/4132/backlog?jql=%22cf%5B12600%5D%22%20%3D%20Checkout_Base" TargetMode="External"/><Relationship Id="rId86" Type="http://schemas.openxmlformats.org/officeDocument/2006/relationships/hyperlink" Target="https://aldi-sued.atlassian.net/jira/software/c/projects/NPSCO/boards/4132/backlog?jql=%22cf%5B12600%5D%22%20%3D%20Checkout_Base" TargetMode="External"/><Relationship Id="rId130" Type="http://schemas.openxmlformats.org/officeDocument/2006/relationships/hyperlink" Target="https://aldi-sued.atlassian.net/browse/BF-1293" TargetMode="External"/><Relationship Id="rId135" Type="http://schemas.openxmlformats.org/officeDocument/2006/relationships/hyperlink" Target="https://aldi-sued.atlassian.net/browse/BF-1318" TargetMode="External"/><Relationship Id="rId13" Type="http://schemas.openxmlformats.org/officeDocument/2006/relationships/hyperlink" Target="https://aldi-sued.atlassian.net/browse/ANP-25631" TargetMode="External"/><Relationship Id="rId18" Type="http://schemas.openxmlformats.org/officeDocument/2006/relationships/hyperlink" Target="https://aldi-sued.atlassian.net/browse/ANP-25644" TargetMode="External"/><Relationship Id="rId39" Type="http://schemas.openxmlformats.org/officeDocument/2006/relationships/hyperlink" Target="https://aldi-sued.atlassian.net/browse/NPSCO-19151" TargetMode="External"/><Relationship Id="rId109" Type="http://schemas.openxmlformats.org/officeDocument/2006/relationships/hyperlink" Target="https://aldi-sued.atlassian.net/browse/ANP-25613" TargetMode="External"/><Relationship Id="rId34" Type="http://schemas.openxmlformats.org/officeDocument/2006/relationships/hyperlink" Target="https://aldi-sued.atlassian.net/browse/NPSCO-19145" TargetMode="External"/><Relationship Id="rId50" Type="http://schemas.openxmlformats.org/officeDocument/2006/relationships/hyperlink" Target="https://aldi-sued.atlassian.net/browse/NPSCO-18665" TargetMode="External"/><Relationship Id="rId55" Type="http://schemas.openxmlformats.org/officeDocument/2006/relationships/hyperlink" Target="https://aldi-sued.atlassian.net/browse/NPSCO-19913" TargetMode="External"/><Relationship Id="rId76" Type="http://schemas.openxmlformats.org/officeDocument/2006/relationships/hyperlink" Target="https://aldi-sued.atlassian.net/browse/NPSCO-19944" TargetMode="External"/><Relationship Id="rId97" Type="http://schemas.openxmlformats.org/officeDocument/2006/relationships/hyperlink" Target="https://aldi-sued.atlassian.net/browse/ANP-25739" TargetMode="External"/><Relationship Id="rId104" Type="http://schemas.openxmlformats.org/officeDocument/2006/relationships/hyperlink" Target="https://aldi-sued.atlassian.net/browse/ANP-25169" TargetMode="External"/><Relationship Id="rId120" Type="http://schemas.openxmlformats.org/officeDocument/2006/relationships/hyperlink" Target="https://aldi-sued.atlassian.net/browse/ANP-26397" TargetMode="External"/><Relationship Id="rId125" Type="http://schemas.openxmlformats.org/officeDocument/2006/relationships/hyperlink" Target="https://aldi-sued.atlassian.net/browse/BF-1252" TargetMode="External"/><Relationship Id="rId141" Type="http://schemas.openxmlformats.org/officeDocument/2006/relationships/hyperlink" Target="https://aldi-sued.atlassian.net/browse/BF-507" TargetMode="External"/><Relationship Id="rId146" Type="http://schemas.openxmlformats.org/officeDocument/2006/relationships/table" Target="../tables/table7.xml"/><Relationship Id="rId7" Type="http://schemas.openxmlformats.org/officeDocument/2006/relationships/hyperlink" Target="https://aldi-sued.atlassian.net/browse/ANP-26124" TargetMode="External"/><Relationship Id="rId71" Type="http://schemas.openxmlformats.org/officeDocument/2006/relationships/hyperlink" Target="https://aldi-sued.atlassian.net/browse/NPSCO-15156" TargetMode="External"/><Relationship Id="rId92" Type="http://schemas.openxmlformats.org/officeDocument/2006/relationships/hyperlink" Target="https://aldi-sued.atlassian.net/browse/ANP-24755" TargetMode="External"/><Relationship Id="rId2" Type="http://schemas.openxmlformats.org/officeDocument/2006/relationships/hyperlink" Target="https://aldi-sued.atlassian.net/browse/ANP-25381" TargetMode="External"/><Relationship Id="rId29" Type="http://schemas.openxmlformats.org/officeDocument/2006/relationships/hyperlink" Target="https://aldi-sued.atlassian.net/browse/NPSCO-18803" TargetMode="External"/><Relationship Id="rId24" Type="http://schemas.openxmlformats.org/officeDocument/2006/relationships/hyperlink" Target="https://aldi-sued.atlassian.net/browse/NPSCO-19497" TargetMode="External"/><Relationship Id="rId40" Type="http://schemas.openxmlformats.org/officeDocument/2006/relationships/hyperlink" Target="https://aldi-sued.atlassian.net/browse/NPSCO-19400" TargetMode="External"/><Relationship Id="rId45" Type="http://schemas.openxmlformats.org/officeDocument/2006/relationships/hyperlink" Target="https://aldi-sued.atlassian.net/browse/NPSCO-19730" TargetMode="External"/><Relationship Id="rId66" Type="http://schemas.openxmlformats.org/officeDocument/2006/relationships/hyperlink" Target="https://aldi-sued.atlassian.net/browse/NPSCO-19695" TargetMode="External"/><Relationship Id="rId87" Type="http://schemas.openxmlformats.org/officeDocument/2006/relationships/hyperlink" Target="https://aldi-sued.atlassian.net/jira/software/c/projects/NPSCO/boards/4132/backlog?jql=%22cf%5B12600%5D%22%20%3D%20Checkout_Base" TargetMode="External"/><Relationship Id="rId110" Type="http://schemas.openxmlformats.org/officeDocument/2006/relationships/hyperlink" Target="https://aldi-sued.atlassian.net/browse/ANP-25613" TargetMode="External"/><Relationship Id="rId115" Type="http://schemas.openxmlformats.org/officeDocument/2006/relationships/hyperlink" Target="https://aldi-sued.atlassian.net/browse/ANP-24855" TargetMode="External"/><Relationship Id="rId131" Type="http://schemas.openxmlformats.org/officeDocument/2006/relationships/hyperlink" Target="https://aldi-sued.atlassian.net/browse/BF-1359" TargetMode="External"/><Relationship Id="rId136" Type="http://schemas.openxmlformats.org/officeDocument/2006/relationships/hyperlink" Target="https://aldi-sued.atlassian.net/browse/BF-1314" TargetMode="External"/><Relationship Id="rId61" Type="http://schemas.openxmlformats.org/officeDocument/2006/relationships/hyperlink" Target="https://aldi-sued.atlassian.net/browse/NPSCO-19715" TargetMode="External"/><Relationship Id="rId82" Type="http://schemas.openxmlformats.org/officeDocument/2006/relationships/hyperlink" Target="https://aldi-sued.atlassian.net/jira/software/c/projects/NPSCO/boards/4132/backlog?jql=%22cf%5B12600%5D%22%20%3D%20Checkout_Base" TargetMode="External"/><Relationship Id="rId19" Type="http://schemas.openxmlformats.org/officeDocument/2006/relationships/hyperlink" Target="https://aldi-sued.atlassian.net/browse/ANP-25828" TargetMode="External"/><Relationship Id="rId14" Type="http://schemas.openxmlformats.org/officeDocument/2006/relationships/hyperlink" Target="https://aldi-sued.atlassian.net/browse/ANP-25751" TargetMode="External"/><Relationship Id="rId30" Type="http://schemas.openxmlformats.org/officeDocument/2006/relationships/hyperlink" Target="https://aldi-sued.atlassian.net/browse/NPSCO-19189" TargetMode="External"/><Relationship Id="rId35" Type="http://schemas.openxmlformats.org/officeDocument/2006/relationships/hyperlink" Target="https://aldi-sued.atlassian.net/browse/NPSCO-19145" TargetMode="External"/><Relationship Id="rId56" Type="http://schemas.openxmlformats.org/officeDocument/2006/relationships/hyperlink" Target="https://aldi-sued.atlassian.net/browse/ANP-26451" TargetMode="External"/><Relationship Id="rId77" Type="http://schemas.openxmlformats.org/officeDocument/2006/relationships/hyperlink" Target="https://aldi-sued.atlassian.net/browse/NPSCO-19944" TargetMode="External"/><Relationship Id="rId100" Type="http://schemas.openxmlformats.org/officeDocument/2006/relationships/hyperlink" Target="https://aldi-sued.atlassian.net/browse/ANP-25949" TargetMode="External"/><Relationship Id="rId105" Type="http://schemas.openxmlformats.org/officeDocument/2006/relationships/hyperlink" Target="https://aldi-sued.atlassian.net/browse/ANP-25699" TargetMode="External"/><Relationship Id="rId126" Type="http://schemas.openxmlformats.org/officeDocument/2006/relationships/hyperlink" Target="https://aldi-sued.atlassian.net/browse/BF-1239" TargetMode="External"/><Relationship Id="rId8" Type="http://schemas.openxmlformats.org/officeDocument/2006/relationships/hyperlink" Target="https://aldi-sued.atlassian.net/browse/ANP-26125" TargetMode="External"/><Relationship Id="rId51" Type="http://schemas.openxmlformats.org/officeDocument/2006/relationships/hyperlink" Target="https://aldi-sued.atlassian.net/browse/NPSCO-18665" TargetMode="External"/><Relationship Id="rId72" Type="http://schemas.openxmlformats.org/officeDocument/2006/relationships/hyperlink" Target="https://aldi-sued.atlassian.net/browse/NPSCO-19795" TargetMode="External"/><Relationship Id="rId93" Type="http://schemas.openxmlformats.org/officeDocument/2006/relationships/hyperlink" Target="https://aldi-sued.atlassian.net/browse/ANP-26110" TargetMode="External"/><Relationship Id="rId98" Type="http://schemas.openxmlformats.org/officeDocument/2006/relationships/hyperlink" Target="https://aldi-sued.atlassian.net/browse/ANP-25739" TargetMode="External"/><Relationship Id="rId121" Type="http://schemas.openxmlformats.org/officeDocument/2006/relationships/hyperlink" Target="https://aldi-sued.atlassian.net/issues/?jql=%22cf%5B12600%5D%22%20%3D%20Checkout_Base" TargetMode="External"/><Relationship Id="rId142" Type="http://schemas.openxmlformats.org/officeDocument/2006/relationships/hyperlink" Target="https://aldi-sued.atlassian.net/browse/BF-971" TargetMode="External"/><Relationship Id="rId3" Type="http://schemas.openxmlformats.org/officeDocument/2006/relationships/hyperlink" Target="https://aldi-sued.atlassian.net/browse/ANP-25543" TargetMode="External"/><Relationship Id="rId25" Type="http://schemas.openxmlformats.org/officeDocument/2006/relationships/hyperlink" Target="https://aldi-sued.atlassian.net/browse/NPSCO-19497" TargetMode="External"/><Relationship Id="rId46" Type="http://schemas.openxmlformats.org/officeDocument/2006/relationships/hyperlink" Target="https://aldi-sued.atlassian.net/browse/NPSCO-19922" TargetMode="External"/><Relationship Id="rId67" Type="http://schemas.openxmlformats.org/officeDocument/2006/relationships/hyperlink" Target="https://aldi-sued.atlassian.net/browse/NPSCO-19695" TargetMode="External"/><Relationship Id="rId116" Type="http://schemas.openxmlformats.org/officeDocument/2006/relationships/hyperlink" Target="https://aldi-sued.atlassian.net/browse/ANP-24855" TargetMode="External"/><Relationship Id="rId137" Type="http://schemas.openxmlformats.org/officeDocument/2006/relationships/hyperlink" Target="https://aldi-sued.atlassian.net/browse/BF-1316" TargetMode="External"/><Relationship Id="rId20" Type="http://schemas.openxmlformats.org/officeDocument/2006/relationships/hyperlink" Target="https://aldi-sued.atlassian.net/browse/ANP-25836" TargetMode="External"/><Relationship Id="rId41" Type="http://schemas.openxmlformats.org/officeDocument/2006/relationships/hyperlink" Target="https://aldi-sued.atlassian.net/browse/NPSCO-19400" TargetMode="External"/><Relationship Id="rId62" Type="http://schemas.openxmlformats.org/officeDocument/2006/relationships/hyperlink" Target="https://aldi-sued.atlassian.net/browse/NPSCO-19773" TargetMode="External"/><Relationship Id="rId83" Type="http://schemas.openxmlformats.org/officeDocument/2006/relationships/hyperlink" Target="https://aldi-sued.atlassian.net/jira/software/c/projects/NPSCO/boards/4132/backlog?jql=%22cf%5B12600%5D%22%20%3D%20Checkout_Base" TargetMode="External"/><Relationship Id="rId88" Type="http://schemas.openxmlformats.org/officeDocument/2006/relationships/hyperlink" Target="https://aldi-sued.atlassian.net/browse/ANP-26015" TargetMode="External"/><Relationship Id="rId111" Type="http://schemas.openxmlformats.org/officeDocument/2006/relationships/hyperlink" Target="https://aldi-sued.atlassian.net/browse/ANP-25738" TargetMode="External"/><Relationship Id="rId132" Type="http://schemas.openxmlformats.org/officeDocument/2006/relationships/hyperlink" Target="https://aldi-sued.atlassian.net/browse/BF-1264" TargetMode="External"/><Relationship Id="rId15" Type="http://schemas.openxmlformats.org/officeDocument/2006/relationships/hyperlink" Target="https://aldi-sued.atlassian.net/browse/ANP-25838" TargetMode="External"/><Relationship Id="rId36" Type="http://schemas.openxmlformats.org/officeDocument/2006/relationships/hyperlink" Target="https://aldi-sued.atlassian.net/browse/NPSCO-19123" TargetMode="External"/><Relationship Id="rId57" Type="http://schemas.openxmlformats.org/officeDocument/2006/relationships/hyperlink" Target="https://aldi-sued.atlassian.net/browse/NPSCO-19102" TargetMode="External"/><Relationship Id="rId106" Type="http://schemas.openxmlformats.org/officeDocument/2006/relationships/hyperlink" Target="https://aldi-sued.atlassian.net/browse/ANP-25699" TargetMode="External"/><Relationship Id="rId127" Type="http://schemas.openxmlformats.org/officeDocument/2006/relationships/hyperlink" Target="https://aldi-sued.atlassian.net/browse/BF-1101" TargetMode="External"/><Relationship Id="rId10" Type="http://schemas.openxmlformats.org/officeDocument/2006/relationships/hyperlink" Target="https://aldi-sued.atlassian.net/browse/ANP-26402" TargetMode="External"/><Relationship Id="rId31" Type="http://schemas.openxmlformats.org/officeDocument/2006/relationships/hyperlink" Target="https://aldi-sued.atlassian.net/browse/NPSCO-19189" TargetMode="External"/><Relationship Id="rId52" Type="http://schemas.openxmlformats.org/officeDocument/2006/relationships/hyperlink" Target="https://aldi-sued.atlassian.net/browse/NPSCO-19952" TargetMode="External"/><Relationship Id="rId73" Type="http://schemas.openxmlformats.org/officeDocument/2006/relationships/hyperlink" Target="https://aldi-sued.atlassian.net/browse/NPSCO-19795" TargetMode="External"/><Relationship Id="rId78" Type="http://schemas.openxmlformats.org/officeDocument/2006/relationships/hyperlink" Target="https://aldi-sued.atlassian.net/jira/software/c/projects/NPSCO/boards/4132/backlog?jql=%22cf%5B12600%5D%22%20%3D%20Checkout_Base" TargetMode="External"/><Relationship Id="rId94" Type="http://schemas.openxmlformats.org/officeDocument/2006/relationships/hyperlink" Target="https://aldi-sued.atlassian.net/browse/ANP-26110" TargetMode="External"/><Relationship Id="rId99" Type="http://schemas.openxmlformats.org/officeDocument/2006/relationships/hyperlink" Target="https://aldi-sued.atlassian.net/browse/ANP-25949" TargetMode="External"/><Relationship Id="rId101" Type="http://schemas.openxmlformats.org/officeDocument/2006/relationships/hyperlink" Target="https://aldi-sued.atlassian.net/browse/ANP-25704" TargetMode="External"/><Relationship Id="rId122" Type="http://schemas.openxmlformats.org/officeDocument/2006/relationships/hyperlink" Target="https://aldi-sued.atlassian.net/browse/ANP-25479" TargetMode="External"/><Relationship Id="rId143" Type="http://schemas.openxmlformats.org/officeDocument/2006/relationships/hyperlink" Target="https://aldi-sued.atlassian.net/browse/BF-1317" TargetMode="External"/><Relationship Id="rId4" Type="http://schemas.openxmlformats.org/officeDocument/2006/relationships/hyperlink" Target="https://aldi-sued.atlassian.net/browse/ANP-26166" TargetMode="External"/><Relationship Id="rId9" Type="http://schemas.openxmlformats.org/officeDocument/2006/relationships/hyperlink" Target="https://aldi-sued.atlassian.net/browse/ANP-25478" TargetMode="External"/><Relationship Id="rId26" Type="http://schemas.openxmlformats.org/officeDocument/2006/relationships/hyperlink" Target="https://aldi-sued.atlassian.net/browse/NPSCO-18312" TargetMode="External"/><Relationship Id="rId47" Type="http://schemas.openxmlformats.org/officeDocument/2006/relationships/hyperlink" Target="https://aldi-sued.atlassian.net/browse/NPSCO-19922" TargetMode="External"/><Relationship Id="rId68" Type="http://schemas.openxmlformats.org/officeDocument/2006/relationships/hyperlink" Target="https://aldi-sued.atlassian.net/browse/NPSCO-19630" TargetMode="External"/><Relationship Id="rId89" Type="http://schemas.openxmlformats.org/officeDocument/2006/relationships/hyperlink" Target="https://aldi-sued.atlassian.net/browse/ANP-26015" TargetMode="External"/><Relationship Id="rId112" Type="http://schemas.openxmlformats.org/officeDocument/2006/relationships/hyperlink" Target="https://aldi-sued.atlassian.net/browse/ANP-25738" TargetMode="External"/><Relationship Id="rId133" Type="http://schemas.openxmlformats.org/officeDocument/2006/relationships/hyperlink" Target="https://aldi-sued.atlassian.net/browse/BF-625" TargetMode="External"/><Relationship Id="rId16" Type="http://schemas.openxmlformats.org/officeDocument/2006/relationships/hyperlink" Target="https://aldi-sued.atlassian.net/browse/ANP-25629" TargetMode="External"/><Relationship Id="rId37" Type="http://schemas.openxmlformats.org/officeDocument/2006/relationships/hyperlink" Target="https://aldi-sued.atlassian.net/browse/NPSCO-19123" TargetMode="External"/><Relationship Id="rId58" Type="http://schemas.openxmlformats.org/officeDocument/2006/relationships/hyperlink" Target="https://aldi-sued.atlassian.net/browse/NPSCO-19102" TargetMode="External"/><Relationship Id="rId79" Type="http://schemas.openxmlformats.org/officeDocument/2006/relationships/hyperlink" Target="https://aldi-sued.atlassian.net/jira/software/c/projects/NPSCO/boards/4132/backlog?jql=%22cf%5B12600%5D%22%20%3D%20Checkout_Base" TargetMode="External"/><Relationship Id="rId102" Type="http://schemas.openxmlformats.org/officeDocument/2006/relationships/hyperlink" Target="https://aldi-sued.atlassian.net/browse/ANP-25704" TargetMode="External"/><Relationship Id="rId123" Type="http://schemas.openxmlformats.org/officeDocument/2006/relationships/hyperlink" Target="https://aldi-sued.atlassian.net/browse/BF-1235" TargetMode="External"/><Relationship Id="rId144" Type="http://schemas.openxmlformats.org/officeDocument/2006/relationships/hyperlink" Target="https://aldi-sued.atlassian.net/browse/NPSCO-19994"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aldi-sued.atlassian.net/browse/NPSCO-19483" TargetMode="External"/><Relationship Id="rId117" Type="http://schemas.openxmlformats.org/officeDocument/2006/relationships/hyperlink" Target="https://aldi-sued.atlassian.net/browse/BF-971" TargetMode="External"/><Relationship Id="rId21" Type="http://schemas.openxmlformats.org/officeDocument/2006/relationships/hyperlink" Target="https://aldi-sued.atlassian.net/browse/NPSCO-18310" TargetMode="External"/><Relationship Id="rId42" Type="http://schemas.openxmlformats.org/officeDocument/2006/relationships/hyperlink" Target="https://aldi-sued.atlassian.net/browse/NPSCO-19449" TargetMode="External"/><Relationship Id="rId47" Type="http://schemas.openxmlformats.org/officeDocument/2006/relationships/hyperlink" Target="https://aldi-sued.atlassian.net/browse/NPSCO-19485" TargetMode="External"/><Relationship Id="rId63" Type="http://schemas.openxmlformats.org/officeDocument/2006/relationships/hyperlink" Target="https://aldi-sued.atlassian.net/browse/ANP-25603" TargetMode="External"/><Relationship Id="rId68" Type="http://schemas.openxmlformats.org/officeDocument/2006/relationships/hyperlink" Target="https://aldi-sued.atlassian.net/browse/ANP-25159" TargetMode="External"/><Relationship Id="rId84" Type="http://schemas.openxmlformats.org/officeDocument/2006/relationships/hyperlink" Target="https://aldi-sued.atlassian.net/browse/ANP-25685" TargetMode="External"/><Relationship Id="rId89" Type="http://schemas.openxmlformats.org/officeDocument/2006/relationships/hyperlink" Target="https://aldi-sued.atlassian.net/browse/ANP-24906" TargetMode="External"/><Relationship Id="rId112" Type="http://schemas.openxmlformats.org/officeDocument/2006/relationships/hyperlink" Target="https://aldi-sued.atlassian.net/browse/BF-1112" TargetMode="External"/><Relationship Id="rId16" Type="http://schemas.openxmlformats.org/officeDocument/2006/relationships/hyperlink" Target="https://aldi-sued.atlassian.net/browse/NPSCO-17562" TargetMode="External"/><Relationship Id="rId107" Type="http://schemas.openxmlformats.org/officeDocument/2006/relationships/hyperlink" Target="https://aldi-sued.atlassian.net/browse/BF-509" TargetMode="External"/><Relationship Id="rId11" Type="http://schemas.openxmlformats.org/officeDocument/2006/relationships/hyperlink" Target="https://aldi-sued.atlassian.net/browse/NPSCO-19448" TargetMode="External"/><Relationship Id="rId32" Type="http://schemas.openxmlformats.org/officeDocument/2006/relationships/hyperlink" Target="https://aldi-sued.atlassian.net/browse/NPSCO-19379" TargetMode="External"/><Relationship Id="rId37" Type="http://schemas.openxmlformats.org/officeDocument/2006/relationships/hyperlink" Target="https://aldi-sued.atlassian.net/browse/NPSCO-15480" TargetMode="External"/><Relationship Id="rId53" Type="http://schemas.openxmlformats.org/officeDocument/2006/relationships/hyperlink" Target="https://aldi-sued.atlassian.net/browse/ANP-24781" TargetMode="External"/><Relationship Id="rId58" Type="http://schemas.openxmlformats.org/officeDocument/2006/relationships/hyperlink" Target="https://aldi-sued.atlassian.net/browse/ANP-25634" TargetMode="External"/><Relationship Id="rId74" Type="http://schemas.openxmlformats.org/officeDocument/2006/relationships/hyperlink" Target="https://aldi-sued.atlassian.net/browse/NPSCO-19319" TargetMode="External"/><Relationship Id="rId79" Type="http://schemas.openxmlformats.org/officeDocument/2006/relationships/hyperlink" Target="https://aldi-sued.atlassian.net/browse/NPSCO-19140" TargetMode="External"/><Relationship Id="rId102" Type="http://schemas.openxmlformats.org/officeDocument/2006/relationships/hyperlink" Target="https://aldi-sued.atlassian.net/browse/BF-1094" TargetMode="External"/><Relationship Id="rId123" Type="http://schemas.openxmlformats.org/officeDocument/2006/relationships/printerSettings" Target="../printerSettings/printerSettings7.bin"/><Relationship Id="rId5" Type="http://schemas.openxmlformats.org/officeDocument/2006/relationships/hyperlink" Target="https://aldi-sued.atlassian.net/browse/ANP-24918" TargetMode="External"/><Relationship Id="rId90" Type="http://schemas.openxmlformats.org/officeDocument/2006/relationships/hyperlink" Target="https://aldi-sued.atlassian.net/browse/ANP-24907" TargetMode="External"/><Relationship Id="rId95" Type="http://schemas.openxmlformats.org/officeDocument/2006/relationships/hyperlink" Target="https://aldi-sued.atlassian.net/browse/ANP-25747" TargetMode="External"/><Relationship Id="rId22" Type="http://schemas.openxmlformats.org/officeDocument/2006/relationships/hyperlink" Target="https://aldi-sued.atlassian.net/browse/NPSCO-18310" TargetMode="External"/><Relationship Id="rId27" Type="http://schemas.openxmlformats.org/officeDocument/2006/relationships/hyperlink" Target="https://aldi-sued.atlassian.net/browse/NPSCO-19484" TargetMode="External"/><Relationship Id="rId43" Type="http://schemas.openxmlformats.org/officeDocument/2006/relationships/hyperlink" Target="https://aldi-sued.atlassian.net/browse/NPSCO-19139" TargetMode="External"/><Relationship Id="rId48" Type="http://schemas.openxmlformats.org/officeDocument/2006/relationships/hyperlink" Target="https://aldi-sued.atlassian.net/browse/NPSCO-19496" TargetMode="External"/><Relationship Id="rId64" Type="http://schemas.openxmlformats.org/officeDocument/2006/relationships/hyperlink" Target="https://aldi-sued.atlassian.net/browse/ANP-25997" TargetMode="External"/><Relationship Id="rId69" Type="http://schemas.openxmlformats.org/officeDocument/2006/relationships/hyperlink" Target="https://aldi-sued.atlassian.net/browse/ANP-25038" TargetMode="External"/><Relationship Id="rId113" Type="http://schemas.openxmlformats.org/officeDocument/2006/relationships/hyperlink" Target="https://aldi-sued.atlassian.net/browse/BF-1240" TargetMode="External"/><Relationship Id="rId118" Type="http://schemas.openxmlformats.org/officeDocument/2006/relationships/hyperlink" Target="https://aldi-sued.atlassian.net/browse/BF-1164" TargetMode="External"/><Relationship Id="rId80" Type="http://schemas.openxmlformats.org/officeDocument/2006/relationships/hyperlink" Target="https://aldi-sued.atlassian.net/browse/NPSCO-19102" TargetMode="External"/><Relationship Id="rId85" Type="http://schemas.openxmlformats.org/officeDocument/2006/relationships/hyperlink" Target="https://aldi-sued.atlassian.net/browse/ANP-25722" TargetMode="External"/><Relationship Id="rId12" Type="http://schemas.openxmlformats.org/officeDocument/2006/relationships/hyperlink" Target="https://aldi-sued.atlassian.net/browse/NPSCO-19448" TargetMode="External"/><Relationship Id="rId17" Type="http://schemas.openxmlformats.org/officeDocument/2006/relationships/hyperlink" Target="https://aldi-sued.atlassian.net/browse/NPSCO-19495" TargetMode="External"/><Relationship Id="rId33" Type="http://schemas.openxmlformats.org/officeDocument/2006/relationships/hyperlink" Target="https://aldi-sued.atlassian.net/browse/NPSCO-18311" TargetMode="External"/><Relationship Id="rId38" Type="http://schemas.openxmlformats.org/officeDocument/2006/relationships/hyperlink" Target="https://aldi-sued.atlassian.net/browse/NPSCO-19095" TargetMode="External"/><Relationship Id="rId59" Type="http://schemas.openxmlformats.org/officeDocument/2006/relationships/hyperlink" Target="https://aldi-sued.atlassian.net/browse/ANP-25751" TargetMode="External"/><Relationship Id="rId103" Type="http://schemas.openxmlformats.org/officeDocument/2006/relationships/hyperlink" Target="https://aldi-sued.atlassian.net/browse/BF-1182" TargetMode="External"/><Relationship Id="rId108" Type="http://schemas.openxmlformats.org/officeDocument/2006/relationships/hyperlink" Target="https://aldi-sued.atlassian.net/browse/BF-1160" TargetMode="External"/><Relationship Id="rId124" Type="http://schemas.openxmlformats.org/officeDocument/2006/relationships/table" Target="../tables/table8.xml"/><Relationship Id="rId54" Type="http://schemas.openxmlformats.org/officeDocument/2006/relationships/hyperlink" Target="https://aldi-sued.atlassian.net/browse/ANP-25387" TargetMode="External"/><Relationship Id="rId70" Type="http://schemas.openxmlformats.org/officeDocument/2006/relationships/hyperlink" Target="https://aldi-sued.atlassian.net/browse/ANP-25782" TargetMode="External"/><Relationship Id="rId75" Type="http://schemas.openxmlformats.org/officeDocument/2006/relationships/hyperlink" Target="https://aldi-sued.atlassian.net/browse/NPSCO-19180" TargetMode="External"/><Relationship Id="rId91" Type="http://schemas.openxmlformats.org/officeDocument/2006/relationships/hyperlink" Target="https://aldi-sued.atlassian.net/browse/ANP-25193" TargetMode="External"/><Relationship Id="rId96" Type="http://schemas.openxmlformats.org/officeDocument/2006/relationships/hyperlink" Target="https://aldi-sued.atlassian.net/browse/ANP-25777" TargetMode="External"/><Relationship Id="rId1" Type="http://schemas.openxmlformats.org/officeDocument/2006/relationships/hyperlink" Target="https://aldi-sued.atlassian.net/browse/ANP-25918" TargetMode="External"/><Relationship Id="rId6" Type="http://schemas.openxmlformats.org/officeDocument/2006/relationships/hyperlink" Target="https://aldi-sued.atlassian.net/browse/ANP-23495" TargetMode="External"/><Relationship Id="rId23" Type="http://schemas.openxmlformats.org/officeDocument/2006/relationships/hyperlink" Target="https://aldi-sued.atlassian.net/browse/NPSCO-18803" TargetMode="External"/><Relationship Id="rId28" Type="http://schemas.openxmlformats.org/officeDocument/2006/relationships/hyperlink" Target="https://aldi-sued.atlassian.net/browse/NPSCO-19484" TargetMode="External"/><Relationship Id="rId49" Type="http://schemas.openxmlformats.org/officeDocument/2006/relationships/hyperlink" Target="https://aldi-sued.atlassian.net/browse/ANP-24609" TargetMode="External"/><Relationship Id="rId114" Type="http://schemas.openxmlformats.org/officeDocument/2006/relationships/hyperlink" Target="https://aldi-sued.atlassian.net/browse/BF-1103" TargetMode="External"/><Relationship Id="rId119" Type="http://schemas.openxmlformats.org/officeDocument/2006/relationships/hyperlink" Target="https://aldi-sued.atlassian.net/browse/BF-1158" TargetMode="External"/><Relationship Id="rId44" Type="http://schemas.openxmlformats.org/officeDocument/2006/relationships/hyperlink" Target="https://aldi-sued.atlassian.net/browse/NPSCO-19140" TargetMode="External"/><Relationship Id="rId60" Type="http://schemas.openxmlformats.org/officeDocument/2006/relationships/hyperlink" Target="https://aldi-sued.atlassian.net/browse/ANP-25780" TargetMode="External"/><Relationship Id="rId65" Type="http://schemas.openxmlformats.org/officeDocument/2006/relationships/hyperlink" Target="https://aldi-sued.atlassian.net/browse/ANP-22554" TargetMode="External"/><Relationship Id="rId81" Type="http://schemas.openxmlformats.org/officeDocument/2006/relationships/hyperlink" Target="https://aldi-sued.atlassian.net/browse/NPSCO-19453" TargetMode="External"/><Relationship Id="rId86" Type="http://schemas.openxmlformats.org/officeDocument/2006/relationships/hyperlink" Target="https://aldi-sued.atlassian.net/browse/ANP-25724" TargetMode="External"/><Relationship Id="rId4" Type="http://schemas.openxmlformats.org/officeDocument/2006/relationships/hyperlink" Target="https://aldi-sued.atlassian.net/browse/ANP-25381" TargetMode="External"/><Relationship Id="rId9" Type="http://schemas.openxmlformats.org/officeDocument/2006/relationships/hyperlink" Target="https://aldi-sued.atlassian.net/browse/ANP-23958" TargetMode="External"/><Relationship Id="rId13" Type="http://schemas.openxmlformats.org/officeDocument/2006/relationships/hyperlink" Target="https://aldi-sued.atlassian.net/browse/NPSCO-17577" TargetMode="External"/><Relationship Id="rId18" Type="http://schemas.openxmlformats.org/officeDocument/2006/relationships/hyperlink" Target="https://aldi-sued.atlassian.net/browse/NPSCO-19495" TargetMode="External"/><Relationship Id="rId39" Type="http://schemas.openxmlformats.org/officeDocument/2006/relationships/hyperlink" Target="https://aldi-sued.atlassian.net/browse/NPSCO-19319" TargetMode="External"/><Relationship Id="rId109" Type="http://schemas.openxmlformats.org/officeDocument/2006/relationships/hyperlink" Target="https://aldi-sued.atlassian.net/browse/BF-1101" TargetMode="External"/><Relationship Id="rId34" Type="http://schemas.openxmlformats.org/officeDocument/2006/relationships/hyperlink" Target="https://aldi-sued.atlassian.net/browse/NPSCO-18311" TargetMode="External"/><Relationship Id="rId50" Type="http://schemas.openxmlformats.org/officeDocument/2006/relationships/hyperlink" Target="https://aldi-sued.atlassian.net/browse/ANP-25389" TargetMode="External"/><Relationship Id="rId55" Type="http://schemas.openxmlformats.org/officeDocument/2006/relationships/hyperlink" Target="https://aldi-sued.atlassian.net/browse/ANP-25624" TargetMode="External"/><Relationship Id="rId76" Type="http://schemas.openxmlformats.org/officeDocument/2006/relationships/hyperlink" Target="https://aldi-sued.atlassian.net/browse/NPSCO-19176" TargetMode="External"/><Relationship Id="rId97" Type="http://schemas.openxmlformats.org/officeDocument/2006/relationships/hyperlink" Target="https://aldi-sued.atlassian.net/browse/ANP-25376" TargetMode="External"/><Relationship Id="rId104" Type="http://schemas.openxmlformats.org/officeDocument/2006/relationships/hyperlink" Target="https://aldi-sued.atlassian.net/browse/BF-1156" TargetMode="External"/><Relationship Id="rId120" Type="http://schemas.openxmlformats.org/officeDocument/2006/relationships/hyperlink" Target="https://aldi-sued.atlassian.net/browse/BF-625" TargetMode="External"/><Relationship Id="rId7" Type="http://schemas.openxmlformats.org/officeDocument/2006/relationships/hyperlink" Target="https://aldi-sued.atlassian.net/browse/ANP-25464" TargetMode="External"/><Relationship Id="rId71" Type="http://schemas.openxmlformats.org/officeDocument/2006/relationships/hyperlink" Target="https://aldi-sued.atlassian.net/browse/ANP-25592" TargetMode="External"/><Relationship Id="rId92" Type="http://schemas.openxmlformats.org/officeDocument/2006/relationships/hyperlink" Target="https://aldi-sued.atlassian.net/browse/ANP-25474" TargetMode="External"/><Relationship Id="rId2" Type="http://schemas.openxmlformats.org/officeDocument/2006/relationships/hyperlink" Target="https://aldi-sued.atlassian.net/browse/ANP-23202" TargetMode="External"/><Relationship Id="rId29" Type="http://schemas.openxmlformats.org/officeDocument/2006/relationships/hyperlink" Target="https://aldi-sued.atlassian.net/browse/NPSCO-19324" TargetMode="External"/><Relationship Id="rId24" Type="http://schemas.openxmlformats.org/officeDocument/2006/relationships/hyperlink" Target="https://aldi-sued.atlassian.net/browse/NPSCO-18803" TargetMode="External"/><Relationship Id="rId40" Type="http://schemas.openxmlformats.org/officeDocument/2006/relationships/hyperlink" Target="https://aldi-sued.atlassian.net/browse/NPSCO-19180" TargetMode="External"/><Relationship Id="rId45" Type="http://schemas.openxmlformats.org/officeDocument/2006/relationships/hyperlink" Target="https://aldi-sued.atlassian.net/browse/NPSCO-19102" TargetMode="External"/><Relationship Id="rId66" Type="http://schemas.openxmlformats.org/officeDocument/2006/relationships/hyperlink" Target="https://aldi-sued.atlassian.net/browse/ANP-25736" TargetMode="External"/><Relationship Id="rId87" Type="http://schemas.openxmlformats.org/officeDocument/2006/relationships/hyperlink" Target="https://aldi-sued.atlassian.net/browse/ANP-25842" TargetMode="External"/><Relationship Id="rId110" Type="http://schemas.openxmlformats.org/officeDocument/2006/relationships/hyperlink" Target="https://aldi-sued.atlassian.net/browse/BF-1236" TargetMode="External"/><Relationship Id="rId115" Type="http://schemas.openxmlformats.org/officeDocument/2006/relationships/hyperlink" Target="https://aldi-sued.atlassian.net/browse/BF-1235" TargetMode="External"/><Relationship Id="rId61" Type="http://schemas.openxmlformats.org/officeDocument/2006/relationships/hyperlink" Target="https://aldi-sued.atlassian.net/browse/ANP-25781" TargetMode="External"/><Relationship Id="rId82" Type="http://schemas.openxmlformats.org/officeDocument/2006/relationships/hyperlink" Target="https://aldi-sued.atlassian.net/browse/NPSCO-19485" TargetMode="External"/><Relationship Id="rId19" Type="http://schemas.openxmlformats.org/officeDocument/2006/relationships/hyperlink" Target="https://aldi-sued.atlassian.net/browse/NPSCO-18299" TargetMode="External"/><Relationship Id="rId14" Type="http://schemas.openxmlformats.org/officeDocument/2006/relationships/hyperlink" Target="https://aldi-sued.atlassian.net/browse/NPSCO-17577" TargetMode="External"/><Relationship Id="rId30" Type="http://schemas.openxmlformats.org/officeDocument/2006/relationships/hyperlink" Target="https://aldi-sued.atlassian.net/browse/NPSCO-19324" TargetMode="External"/><Relationship Id="rId35" Type="http://schemas.openxmlformats.org/officeDocument/2006/relationships/hyperlink" Target="https://aldi-sued.atlassian.net/browse/NPSCO-19628" TargetMode="External"/><Relationship Id="rId56" Type="http://schemas.openxmlformats.org/officeDocument/2006/relationships/hyperlink" Target="https://aldi-sued.atlassian.net/browse/ANP-25625" TargetMode="External"/><Relationship Id="rId77" Type="http://schemas.openxmlformats.org/officeDocument/2006/relationships/hyperlink" Target="https://aldi-sued.atlassian.net/browse/NPSCO-19449" TargetMode="External"/><Relationship Id="rId100" Type="http://schemas.openxmlformats.org/officeDocument/2006/relationships/hyperlink" Target="https://aldi-sued.atlassian.net/browse/BF-506" TargetMode="External"/><Relationship Id="rId105" Type="http://schemas.openxmlformats.org/officeDocument/2006/relationships/hyperlink" Target="https://aldi-sued.atlassian.net/browse/BF-1216" TargetMode="External"/><Relationship Id="rId8" Type="http://schemas.openxmlformats.org/officeDocument/2006/relationships/hyperlink" Target="https://aldi-sued.atlassian.net/browse/ANP-25731" TargetMode="External"/><Relationship Id="rId51" Type="http://schemas.openxmlformats.org/officeDocument/2006/relationships/hyperlink" Target="https://aldi-sued.atlassian.net/browse/ANP-25584" TargetMode="External"/><Relationship Id="rId72" Type="http://schemas.openxmlformats.org/officeDocument/2006/relationships/hyperlink" Target="https://aldi-sued.atlassian.net/browse/NPSCO-15480" TargetMode="External"/><Relationship Id="rId93" Type="http://schemas.openxmlformats.org/officeDocument/2006/relationships/hyperlink" Target="https://aldi-sued.atlassian.net/browse/ANP-25605" TargetMode="External"/><Relationship Id="rId98" Type="http://schemas.openxmlformats.org/officeDocument/2006/relationships/hyperlink" Target="https://aldi-sued.atlassian.net/browse/BF-868" TargetMode="External"/><Relationship Id="rId121" Type="http://schemas.openxmlformats.org/officeDocument/2006/relationships/hyperlink" Target="https://aldi-sued.atlassian.net/browse/BF-1094" TargetMode="External"/><Relationship Id="rId3" Type="http://schemas.openxmlformats.org/officeDocument/2006/relationships/hyperlink" Target="https://aldi-sued.atlassian.net/browse/ANP-21583" TargetMode="External"/><Relationship Id="rId25" Type="http://schemas.openxmlformats.org/officeDocument/2006/relationships/hyperlink" Target="https://aldi-sued.atlassian.net/browse/NPSCO-19483" TargetMode="External"/><Relationship Id="rId46" Type="http://schemas.openxmlformats.org/officeDocument/2006/relationships/hyperlink" Target="https://aldi-sued.atlassian.net/browse/NPSCO-19453" TargetMode="External"/><Relationship Id="rId67" Type="http://schemas.openxmlformats.org/officeDocument/2006/relationships/hyperlink" Target="https://aldi-sued.atlassian.net/browse/ANP-24755" TargetMode="External"/><Relationship Id="rId116" Type="http://schemas.openxmlformats.org/officeDocument/2006/relationships/hyperlink" Target="https://aldi-sued.atlassian.net/browse/BF-507" TargetMode="External"/><Relationship Id="rId20" Type="http://schemas.openxmlformats.org/officeDocument/2006/relationships/hyperlink" Target="https://aldi-sued.atlassian.net/browse/NPSCO-18299" TargetMode="External"/><Relationship Id="rId41" Type="http://schemas.openxmlformats.org/officeDocument/2006/relationships/hyperlink" Target="https://aldi-sued.atlassian.net/browse/NPSCO-19176" TargetMode="External"/><Relationship Id="rId62" Type="http://schemas.openxmlformats.org/officeDocument/2006/relationships/hyperlink" Target="https://aldi-sued.atlassian.net/browse/ANP-25951" TargetMode="External"/><Relationship Id="rId83" Type="http://schemas.openxmlformats.org/officeDocument/2006/relationships/hyperlink" Target="https://aldi-sued.atlassian.net/browse/NPSCO-19496" TargetMode="External"/><Relationship Id="rId88" Type="http://schemas.openxmlformats.org/officeDocument/2006/relationships/hyperlink" Target="https://aldi-sued.atlassian.net/browse/ANP-25989" TargetMode="External"/><Relationship Id="rId111" Type="http://schemas.openxmlformats.org/officeDocument/2006/relationships/hyperlink" Target="https://aldi-sued.atlassian.net/browse/BF-1236" TargetMode="External"/><Relationship Id="rId15" Type="http://schemas.openxmlformats.org/officeDocument/2006/relationships/hyperlink" Target="https://aldi-sued.atlassian.net/browse/NPSCO-17562" TargetMode="External"/><Relationship Id="rId36" Type="http://schemas.openxmlformats.org/officeDocument/2006/relationships/hyperlink" Target="https://aldi-sued.atlassian.net/browse/NPSCO-19628" TargetMode="External"/><Relationship Id="rId57" Type="http://schemas.openxmlformats.org/officeDocument/2006/relationships/hyperlink" Target="https://aldi-sued.atlassian.net/browse/ANP-25631" TargetMode="External"/><Relationship Id="rId106" Type="http://schemas.openxmlformats.org/officeDocument/2006/relationships/hyperlink" Target="https://aldi-sued.atlassian.net/browse/BF-1218" TargetMode="External"/><Relationship Id="rId10" Type="http://schemas.openxmlformats.org/officeDocument/2006/relationships/hyperlink" Target="https://aldi-sued.atlassian.net/browse/ANP-25543" TargetMode="External"/><Relationship Id="rId31" Type="http://schemas.openxmlformats.org/officeDocument/2006/relationships/hyperlink" Target="https://aldi-sued.atlassian.net/browse/NPSCO-19379" TargetMode="External"/><Relationship Id="rId52" Type="http://schemas.openxmlformats.org/officeDocument/2006/relationships/hyperlink" Target="https://aldi-sued.atlassian.net/browse/ANP-25707" TargetMode="External"/><Relationship Id="rId73" Type="http://schemas.openxmlformats.org/officeDocument/2006/relationships/hyperlink" Target="https://aldi-sued.atlassian.net/browse/NPSCO-19095" TargetMode="External"/><Relationship Id="rId78" Type="http://schemas.openxmlformats.org/officeDocument/2006/relationships/hyperlink" Target="https://aldi-sued.atlassian.net/browse/NPSCO-19139" TargetMode="External"/><Relationship Id="rId94" Type="http://schemas.openxmlformats.org/officeDocument/2006/relationships/hyperlink" Target="https://aldi-sued.atlassian.net/browse/ANP-25670" TargetMode="External"/><Relationship Id="rId99" Type="http://schemas.openxmlformats.org/officeDocument/2006/relationships/hyperlink" Target="https://aldi-sued.atlassian.net/browse/NPSCO-19352" TargetMode="External"/><Relationship Id="rId101" Type="http://schemas.openxmlformats.org/officeDocument/2006/relationships/hyperlink" Target="https://aldi-sued.atlassian.net/browse/BF-1021" TargetMode="External"/><Relationship Id="rId122" Type="http://schemas.openxmlformats.org/officeDocument/2006/relationships/hyperlink" Target="https://aldi-sued.atlassian.net/browse/BF-1261"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aldi-sued.atlassian.net/browse/NPSCO-19157" TargetMode="External"/><Relationship Id="rId21" Type="http://schemas.openxmlformats.org/officeDocument/2006/relationships/hyperlink" Target="https://aldi-sued.atlassian.net/browse/NPSCO-19177" TargetMode="External"/><Relationship Id="rId42" Type="http://schemas.openxmlformats.org/officeDocument/2006/relationships/hyperlink" Target="https://aldi-sued.atlassian.net/browse/NPSCO-19171" TargetMode="External"/><Relationship Id="rId47" Type="http://schemas.openxmlformats.org/officeDocument/2006/relationships/hyperlink" Target="https://aldi-sued.atlassian.net/browse/ANP-24060" TargetMode="External"/><Relationship Id="rId63" Type="http://schemas.openxmlformats.org/officeDocument/2006/relationships/hyperlink" Target="https://aldi-sued.atlassian.net/browse/ANP-25476" TargetMode="External"/><Relationship Id="rId68" Type="http://schemas.openxmlformats.org/officeDocument/2006/relationships/hyperlink" Target="https://aldi-sued.atlassian.net/browse/ANP-25713" TargetMode="External"/><Relationship Id="rId84" Type="http://schemas.openxmlformats.org/officeDocument/2006/relationships/hyperlink" Target="https://aldi-sued.atlassian.net/browse/BF-1009" TargetMode="External"/><Relationship Id="rId89" Type="http://schemas.openxmlformats.org/officeDocument/2006/relationships/hyperlink" Target="https://aldi-sued.atlassian.net/browse/BF-1062" TargetMode="External"/><Relationship Id="rId16" Type="http://schemas.openxmlformats.org/officeDocument/2006/relationships/hyperlink" Target="https://aldi-sued.atlassian.net/browse/ANP-25604" TargetMode="External"/><Relationship Id="rId11" Type="http://schemas.openxmlformats.org/officeDocument/2006/relationships/hyperlink" Target="https://aldi-sued.atlassian.net/browse/NPSCO-18702" TargetMode="External"/><Relationship Id="rId32" Type="http://schemas.openxmlformats.org/officeDocument/2006/relationships/hyperlink" Target="https://aldi-sued.atlassian.net/browse/NPSCO-19103" TargetMode="External"/><Relationship Id="rId37" Type="http://schemas.openxmlformats.org/officeDocument/2006/relationships/hyperlink" Target="https://aldi-sued.atlassian.net/browse/NPSCO-18693" TargetMode="External"/><Relationship Id="rId53" Type="http://schemas.openxmlformats.org/officeDocument/2006/relationships/hyperlink" Target="https://aldi-sued.atlassian.net/browse/ANP-25578" TargetMode="External"/><Relationship Id="rId58" Type="http://schemas.openxmlformats.org/officeDocument/2006/relationships/hyperlink" Target="https://aldi-sued.atlassian.net/browse/ANP-24906" TargetMode="External"/><Relationship Id="rId74" Type="http://schemas.openxmlformats.org/officeDocument/2006/relationships/hyperlink" Target="https://aldi-sued.atlassian.net/browse/ANP-24909" TargetMode="External"/><Relationship Id="rId79" Type="http://schemas.openxmlformats.org/officeDocument/2006/relationships/hyperlink" Target="https://aldi-sued.atlassian.net/browse/BF-336" TargetMode="External"/><Relationship Id="rId5" Type="http://schemas.openxmlformats.org/officeDocument/2006/relationships/hyperlink" Target="https://aldi-sued.atlassian.net/browse/ANP-25381" TargetMode="External"/><Relationship Id="rId90" Type="http://schemas.openxmlformats.org/officeDocument/2006/relationships/hyperlink" Target="https://aldi-sued.atlassian.net/browse/BF-1072" TargetMode="External"/><Relationship Id="rId95" Type="http://schemas.openxmlformats.org/officeDocument/2006/relationships/hyperlink" Target="https://aldi-sued.atlassian.net/browse/BF-1120" TargetMode="External"/><Relationship Id="rId22" Type="http://schemas.openxmlformats.org/officeDocument/2006/relationships/hyperlink" Target="https://aldi-sued.atlassian.net/browse/NPSCO-19177" TargetMode="External"/><Relationship Id="rId27" Type="http://schemas.openxmlformats.org/officeDocument/2006/relationships/hyperlink" Target="https://aldi-sued.atlassian.net/browse/NPSCO-17387" TargetMode="External"/><Relationship Id="rId43" Type="http://schemas.openxmlformats.org/officeDocument/2006/relationships/hyperlink" Target="https://aldi-sued.atlassian.net/issues/?jql=%22cf%5B12600%5D%22%20%3D%20Checkout_Base" TargetMode="External"/><Relationship Id="rId48" Type="http://schemas.openxmlformats.org/officeDocument/2006/relationships/hyperlink" Target="https://aldi-sued.atlassian.net/browse/ANP-24770" TargetMode="External"/><Relationship Id="rId64" Type="http://schemas.openxmlformats.org/officeDocument/2006/relationships/hyperlink" Target="https://aldi-sued.atlassian.net/browse/ANP-25594" TargetMode="External"/><Relationship Id="rId69" Type="http://schemas.openxmlformats.org/officeDocument/2006/relationships/hyperlink" Target="https://aldi-sued.atlassian.net/browse/ANP-25451" TargetMode="External"/><Relationship Id="rId80" Type="http://schemas.openxmlformats.org/officeDocument/2006/relationships/hyperlink" Target="https://aldi-sued.atlassian.net/browse/BF-577" TargetMode="External"/><Relationship Id="rId85" Type="http://schemas.openxmlformats.org/officeDocument/2006/relationships/hyperlink" Target="https://aldi-sued.atlassian.net/browse/BF-1010" TargetMode="External"/><Relationship Id="rId12" Type="http://schemas.openxmlformats.org/officeDocument/2006/relationships/hyperlink" Target="https://aldi-sued.atlassian.net/browse/NPSCO-15480" TargetMode="External"/><Relationship Id="rId17" Type="http://schemas.openxmlformats.org/officeDocument/2006/relationships/hyperlink" Target="https://aldi-sued.atlassian.net/browse/NPSCO-19413" TargetMode="External"/><Relationship Id="rId25" Type="http://schemas.openxmlformats.org/officeDocument/2006/relationships/hyperlink" Target="https://aldi-sued.atlassian.net/browse/NPSCO-19157" TargetMode="External"/><Relationship Id="rId33" Type="http://schemas.openxmlformats.org/officeDocument/2006/relationships/hyperlink" Target="https://aldi-sued.atlassian.net/browse/NPSCO-18884" TargetMode="External"/><Relationship Id="rId38" Type="http://schemas.openxmlformats.org/officeDocument/2006/relationships/hyperlink" Target="https://aldi-sued.atlassian.net/browse/NPSCO-18693" TargetMode="External"/><Relationship Id="rId46" Type="http://schemas.openxmlformats.org/officeDocument/2006/relationships/hyperlink" Target="https://aldi-sued.atlassian.net/browse/ANP-25714" TargetMode="External"/><Relationship Id="rId59" Type="http://schemas.openxmlformats.org/officeDocument/2006/relationships/hyperlink" Target="https://aldi-sued.atlassian.net/browse/ANP-24907" TargetMode="External"/><Relationship Id="rId67" Type="http://schemas.openxmlformats.org/officeDocument/2006/relationships/hyperlink" Target="https://aldi-sued.atlassian.net/browse/ANP-25724" TargetMode="External"/><Relationship Id="rId20" Type="http://schemas.openxmlformats.org/officeDocument/2006/relationships/hyperlink" Target="https://aldi-sued.atlassian.net/issues/?jql=%22cf%5B12600%5D%22%20%3D%20Checkout_Base" TargetMode="External"/><Relationship Id="rId41" Type="http://schemas.openxmlformats.org/officeDocument/2006/relationships/hyperlink" Target="https://aldi-sued.atlassian.net/browse/NPSCO-19171" TargetMode="External"/><Relationship Id="rId54" Type="http://schemas.openxmlformats.org/officeDocument/2006/relationships/hyperlink" Target="https://aldi-sued.atlassian.net/browse/ANP-25719" TargetMode="External"/><Relationship Id="rId62" Type="http://schemas.openxmlformats.org/officeDocument/2006/relationships/hyperlink" Target="https://aldi-sued.atlassian.net/browse/ANP-25474" TargetMode="External"/><Relationship Id="rId70" Type="http://schemas.openxmlformats.org/officeDocument/2006/relationships/hyperlink" Target="https://aldi-sued.atlassian.net/browse/ANP-25434" TargetMode="External"/><Relationship Id="rId75" Type="http://schemas.openxmlformats.org/officeDocument/2006/relationships/hyperlink" Target="https://aldi-sued.atlassian.net/browse/ANP-24508" TargetMode="External"/><Relationship Id="rId83" Type="http://schemas.openxmlformats.org/officeDocument/2006/relationships/hyperlink" Target="https://aldi-sued.atlassian.net/browse/BF-995" TargetMode="External"/><Relationship Id="rId88" Type="http://schemas.openxmlformats.org/officeDocument/2006/relationships/hyperlink" Target="https://aldi-sued.atlassian.net/browse/BF-1047" TargetMode="External"/><Relationship Id="rId91" Type="http://schemas.openxmlformats.org/officeDocument/2006/relationships/hyperlink" Target="https://aldi-sued.atlassian.net/browse/BF-1073" TargetMode="External"/><Relationship Id="rId96" Type="http://schemas.openxmlformats.org/officeDocument/2006/relationships/hyperlink" Target="https://aldi-sued.atlassian.net/browse/BF-506" TargetMode="External"/><Relationship Id="rId1" Type="http://schemas.openxmlformats.org/officeDocument/2006/relationships/hyperlink" Target="https://aldi-sued.atlassian.net/browse/ANP-23202" TargetMode="External"/><Relationship Id="rId6" Type="http://schemas.openxmlformats.org/officeDocument/2006/relationships/hyperlink" Target="https://aldi-sued.atlassian.net/browse/ANP-24918" TargetMode="External"/><Relationship Id="rId15" Type="http://schemas.openxmlformats.org/officeDocument/2006/relationships/hyperlink" Target="https://aldi-sued.atlassian.net/browse/NPSCO-19210" TargetMode="External"/><Relationship Id="rId23" Type="http://schemas.openxmlformats.org/officeDocument/2006/relationships/hyperlink" Target="https://aldi-sued.atlassian.net/browse/NPSCO-19083" TargetMode="External"/><Relationship Id="rId28" Type="http://schemas.openxmlformats.org/officeDocument/2006/relationships/hyperlink" Target="https://aldi-sued.atlassian.net/browse/NPSCO-17387" TargetMode="External"/><Relationship Id="rId36" Type="http://schemas.openxmlformats.org/officeDocument/2006/relationships/hyperlink" Target="https://aldi-sued.atlassian.net/browse/NPSCO-18885" TargetMode="External"/><Relationship Id="rId49" Type="http://schemas.openxmlformats.org/officeDocument/2006/relationships/hyperlink" Target="https://aldi-sued.atlassian.net/browse/ANP-24781" TargetMode="External"/><Relationship Id="rId57" Type="http://schemas.openxmlformats.org/officeDocument/2006/relationships/hyperlink" Target="https://aldi-sued.atlassian.net/browse/ANP-25671" TargetMode="External"/><Relationship Id="rId10" Type="http://schemas.openxmlformats.org/officeDocument/2006/relationships/hyperlink" Target="https://aldi-sued.atlassian.net/browse/ANP-25590" TargetMode="External"/><Relationship Id="rId31" Type="http://schemas.openxmlformats.org/officeDocument/2006/relationships/hyperlink" Target="https://aldi-sued.atlassian.net/browse/NPSCO-19103" TargetMode="External"/><Relationship Id="rId44" Type="http://schemas.openxmlformats.org/officeDocument/2006/relationships/hyperlink" Target="https://aldi-sued.atlassian.net/browse/ANP-24687" TargetMode="External"/><Relationship Id="rId52" Type="http://schemas.openxmlformats.org/officeDocument/2006/relationships/hyperlink" Target="https://aldi-sued.atlassian.net/browse/ANP-25403" TargetMode="External"/><Relationship Id="rId60" Type="http://schemas.openxmlformats.org/officeDocument/2006/relationships/hyperlink" Target="https://aldi-sued.atlassian.net/browse/ANP-25191" TargetMode="External"/><Relationship Id="rId65" Type="http://schemas.openxmlformats.org/officeDocument/2006/relationships/hyperlink" Target="https://aldi-sued.atlassian.net/browse/ANP-25605" TargetMode="External"/><Relationship Id="rId73" Type="http://schemas.openxmlformats.org/officeDocument/2006/relationships/hyperlink" Target="https://aldi-sued.atlassian.net/browse/ANP-25154" TargetMode="External"/><Relationship Id="rId78" Type="http://schemas.openxmlformats.org/officeDocument/2006/relationships/hyperlink" Target="https://aldi-sued.atlassian.net/browse/BF-331" TargetMode="External"/><Relationship Id="rId81" Type="http://schemas.openxmlformats.org/officeDocument/2006/relationships/hyperlink" Target="https://aldi-sued.atlassian.net/browse/BF-624" TargetMode="External"/><Relationship Id="rId86" Type="http://schemas.openxmlformats.org/officeDocument/2006/relationships/hyperlink" Target="https://aldi-sued.atlassian.net/browse/BF-1032" TargetMode="External"/><Relationship Id="rId94" Type="http://schemas.openxmlformats.org/officeDocument/2006/relationships/hyperlink" Target="https://aldi-sued.atlassian.net/browse/BF-1078" TargetMode="External"/><Relationship Id="rId99" Type="http://schemas.openxmlformats.org/officeDocument/2006/relationships/hyperlink" Target="https://aldi-sued.atlassian.net/browse/NPSCO-19352" TargetMode="External"/><Relationship Id="rId101" Type="http://schemas.openxmlformats.org/officeDocument/2006/relationships/table" Target="../tables/table9.xml"/><Relationship Id="rId4" Type="http://schemas.openxmlformats.org/officeDocument/2006/relationships/hyperlink" Target="https://aldi-sued.atlassian.net/browse/ANP-23610" TargetMode="External"/><Relationship Id="rId9" Type="http://schemas.openxmlformats.org/officeDocument/2006/relationships/hyperlink" Target="https://aldi-sued.atlassian.net/browse/ANP-25485" TargetMode="External"/><Relationship Id="rId13" Type="http://schemas.openxmlformats.org/officeDocument/2006/relationships/hyperlink" Target="https://aldi-sued.atlassian.net/browse/NPSCO-19179" TargetMode="External"/><Relationship Id="rId18" Type="http://schemas.openxmlformats.org/officeDocument/2006/relationships/hyperlink" Target="https://aldi-sued.atlassian.net/browse/NPSCO-19388" TargetMode="External"/><Relationship Id="rId39" Type="http://schemas.openxmlformats.org/officeDocument/2006/relationships/hyperlink" Target="https://aldi-sued.atlassian.net/browse/NPSCO-19076" TargetMode="External"/><Relationship Id="rId34" Type="http://schemas.openxmlformats.org/officeDocument/2006/relationships/hyperlink" Target="https://aldi-sued.atlassian.net/browse/NPSCO-18884" TargetMode="External"/><Relationship Id="rId50" Type="http://schemas.openxmlformats.org/officeDocument/2006/relationships/hyperlink" Target="https://aldi-sued.atlassian.net/browse/ANP-25137" TargetMode="External"/><Relationship Id="rId55" Type="http://schemas.openxmlformats.org/officeDocument/2006/relationships/hyperlink" Target="https://aldi-sued.atlassian.net/browse/ANP-24951" TargetMode="External"/><Relationship Id="rId76" Type="http://schemas.openxmlformats.org/officeDocument/2006/relationships/hyperlink" Target="https://aldi-sued.atlassian.net/browse/ANP-24507" TargetMode="External"/><Relationship Id="rId97" Type="http://schemas.openxmlformats.org/officeDocument/2006/relationships/hyperlink" Target="https://aldi-sued.atlassian.net/browse/BF-868" TargetMode="External"/><Relationship Id="rId7" Type="http://schemas.openxmlformats.org/officeDocument/2006/relationships/hyperlink" Target="https://aldi-sued.atlassian.net/browse/ANP-25410" TargetMode="External"/><Relationship Id="rId71" Type="http://schemas.openxmlformats.org/officeDocument/2006/relationships/hyperlink" Target="https://aldi-sued.atlassian.net/browse/ANP-25399" TargetMode="External"/><Relationship Id="rId92" Type="http://schemas.openxmlformats.org/officeDocument/2006/relationships/hyperlink" Target="https://aldi-sued.atlassian.net/browse/BF-1074" TargetMode="External"/><Relationship Id="rId2" Type="http://schemas.openxmlformats.org/officeDocument/2006/relationships/hyperlink" Target="https://aldi-sued.atlassian.net/browse/ANP-24330" TargetMode="External"/><Relationship Id="rId29" Type="http://schemas.openxmlformats.org/officeDocument/2006/relationships/hyperlink" Target="https://aldi-sued.atlassian.net/browse/NPSCO-19170" TargetMode="External"/><Relationship Id="rId24" Type="http://schemas.openxmlformats.org/officeDocument/2006/relationships/hyperlink" Target="https://aldi-sued.atlassian.net/browse/NPSCO-19083" TargetMode="External"/><Relationship Id="rId40" Type="http://schemas.openxmlformats.org/officeDocument/2006/relationships/hyperlink" Target="https://aldi-sued.atlassian.net/browse/NPSCO-19076" TargetMode="External"/><Relationship Id="rId45" Type="http://schemas.openxmlformats.org/officeDocument/2006/relationships/hyperlink" Target="https://aldi-sued.atlassian.net/browse/ANP-25633" TargetMode="External"/><Relationship Id="rId66" Type="http://schemas.openxmlformats.org/officeDocument/2006/relationships/hyperlink" Target="https://aldi-sued.atlassian.net/browse/ANP-25702" TargetMode="External"/><Relationship Id="rId87" Type="http://schemas.openxmlformats.org/officeDocument/2006/relationships/hyperlink" Target="https://aldi-sued.atlassian.net/browse/BF-1033" TargetMode="External"/><Relationship Id="rId61" Type="http://schemas.openxmlformats.org/officeDocument/2006/relationships/hyperlink" Target="https://aldi-sued.atlassian.net/browse/ANP-25225" TargetMode="External"/><Relationship Id="rId82" Type="http://schemas.openxmlformats.org/officeDocument/2006/relationships/hyperlink" Target="https://aldi-sued.atlassian.net/browse/BF-969" TargetMode="External"/><Relationship Id="rId19" Type="http://schemas.openxmlformats.org/officeDocument/2006/relationships/hyperlink" Target="https://aldi-sued.atlassian.net/browse/NPSCO-19388" TargetMode="External"/><Relationship Id="rId14" Type="http://schemas.openxmlformats.org/officeDocument/2006/relationships/hyperlink" Target="https://aldi-sued.atlassian.net/browse/NPSCO-19093" TargetMode="External"/><Relationship Id="rId30" Type="http://schemas.openxmlformats.org/officeDocument/2006/relationships/hyperlink" Target="https://aldi-sued.atlassian.net/browse/NPSCO-19170" TargetMode="External"/><Relationship Id="rId35" Type="http://schemas.openxmlformats.org/officeDocument/2006/relationships/hyperlink" Target="https://aldi-sued.atlassian.net/browse/NPSCO-18885" TargetMode="External"/><Relationship Id="rId56" Type="http://schemas.openxmlformats.org/officeDocument/2006/relationships/hyperlink" Target="https://aldi-sued.atlassian.net/browse/ANP-25582" TargetMode="External"/><Relationship Id="rId77" Type="http://schemas.openxmlformats.org/officeDocument/2006/relationships/hyperlink" Target="https://aldi-sued.atlassian.net/browse/ANP-20481" TargetMode="External"/><Relationship Id="rId100" Type="http://schemas.openxmlformats.org/officeDocument/2006/relationships/hyperlink" Target="https://aldi-sued.atlassian.net/browse/BF-1094" TargetMode="External"/><Relationship Id="rId8" Type="http://schemas.openxmlformats.org/officeDocument/2006/relationships/hyperlink" Target="https://aldi-sued.atlassian.net/browse/ANP-25588" TargetMode="External"/><Relationship Id="rId51" Type="http://schemas.openxmlformats.org/officeDocument/2006/relationships/hyperlink" Target="https://aldi-sued.atlassian.net/browse/ANP-25375" TargetMode="External"/><Relationship Id="rId72" Type="http://schemas.openxmlformats.org/officeDocument/2006/relationships/hyperlink" Target="https://aldi-sued.atlassian.net/browse/ANP-25360" TargetMode="External"/><Relationship Id="rId93" Type="http://schemas.openxmlformats.org/officeDocument/2006/relationships/hyperlink" Target="https://aldi-sued.atlassian.net/browse/BF-1075" TargetMode="External"/><Relationship Id="rId98" Type="http://schemas.openxmlformats.org/officeDocument/2006/relationships/hyperlink" Target="https://aldi-sued.atlassian.net/browse/BF-1021" TargetMode="External"/><Relationship Id="rId3" Type="http://schemas.openxmlformats.org/officeDocument/2006/relationships/hyperlink" Target="https://aldi-sued.atlassian.net/browse/ANP-21583"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s://aldi-sued.atlassian.net/browse/NPSCO-18926" TargetMode="External"/><Relationship Id="rId117" Type="http://schemas.openxmlformats.org/officeDocument/2006/relationships/hyperlink" Target="https://aldi-sued.atlassian.net/browse/BF-868" TargetMode="External"/><Relationship Id="rId21" Type="http://schemas.openxmlformats.org/officeDocument/2006/relationships/hyperlink" Target="https://aldi-sued.atlassian.net/browse/NPSCO-18379" TargetMode="External"/><Relationship Id="rId42" Type="http://schemas.openxmlformats.org/officeDocument/2006/relationships/hyperlink" Target="https://aldi-sued.atlassian.net/browse/ANP-25358" TargetMode="External"/><Relationship Id="rId47" Type="http://schemas.openxmlformats.org/officeDocument/2006/relationships/hyperlink" Target="https://aldi-sued.atlassian.net/browse/ANP-25184" TargetMode="External"/><Relationship Id="rId63" Type="http://schemas.openxmlformats.org/officeDocument/2006/relationships/hyperlink" Target="https://aldi-sued.atlassian.net/browse/ANP-24892" TargetMode="External"/><Relationship Id="rId68" Type="http://schemas.openxmlformats.org/officeDocument/2006/relationships/hyperlink" Target="https://aldi-sued.atlassian.net/browse/ANP-20481" TargetMode="External"/><Relationship Id="rId84" Type="http://schemas.openxmlformats.org/officeDocument/2006/relationships/hyperlink" Target="https://aldi-sued.atlassian.net/browse/ANP-24687" TargetMode="External"/><Relationship Id="rId89" Type="http://schemas.openxmlformats.org/officeDocument/2006/relationships/hyperlink" Target="https://aldi-sued.atlassian.net/browse/NPSCO-19200" TargetMode="External"/><Relationship Id="rId112" Type="http://schemas.openxmlformats.org/officeDocument/2006/relationships/hyperlink" Target="https://aldi-sued.atlassian.net/browse/BF-926" TargetMode="External"/><Relationship Id="rId16" Type="http://schemas.openxmlformats.org/officeDocument/2006/relationships/hyperlink" Target="https://aldi-sued.atlassian.net/browse/NPSCO-18641" TargetMode="External"/><Relationship Id="rId107" Type="http://schemas.openxmlformats.org/officeDocument/2006/relationships/hyperlink" Target="https://aldi-sued.atlassian.net/browse/BF-895" TargetMode="External"/><Relationship Id="rId11" Type="http://schemas.openxmlformats.org/officeDocument/2006/relationships/hyperlink" Target="https://aldi-sued.atlassian.net/browse/ANP-25364" TargetMode="External"/><Relationship Id="rId32" Type="http://schemas.openxmlformats.org/officeDocument/2006/relationships/hyperlink" Target="https://aldi-sued.atlassian.net/browse/NPSCO-15480" TargetMode="External"/><Relationship Id="rId37" Type="http://schemas.openxmlformats.org/officeDocument/2006/relationships/hyperlink" Target="https://aldi-sued.atlassian.net/browse/NPSCO-19146" TargetMode="External"/><Relationship Id="rId53" Type="http://schemas.openxmlformats.org/officeDocument/2006/relationships/hyperlink" Target="https://aldi-sued.atlassian.net/browse/ANP-25130" TargetMode="External"/><Relationship Id="rId58" Type="http://schemas.openxmlformats.org/officeDocument/2006/relationships/hyperlink" Target="https://aldi-sued.atlassian.net/browse/ANP-24940" TargetMode="External"/><Relationship Id="rId74" Type="http://schemas.openxmlformats.org/officeDocument/2006/relationships/hyperlink" Target="https://aldi-sued.atlassian.net/browse/ANP-25185" TargetMode="External"/><Relationship Id="rId79" Type="http://schemas.openxmlformats.org/officeDocument/2006/relationships/hyperlink" Target="https://aldi-sued.atlassian.net/browse/ANP-15539" TargetMode="External"/><Relationship Id="rId102" Type="http://schemas.openxmlformats.org/officeDocument/2006/relationships/hyperlink" Target="https://aldi-sued.atlassian.net/browse/BF-881" TargetMode="External"/><Relationship Id="rId5" Type="http://schemas.openxmlformats.org/officeDocument/2006/relationships/hyperlink" Target="https://aldi-sued.atlassian.net/browse/ANP-23610" TargetMode="External"/><Relationship Id="rId90" Type="http://schemas.openxmlformats.org/officeDocument/2006/relationships/hyperlink" Target="https://aldi-sued.atlassian.net/browse/NPSCO-19200" TargetMode="External"/><Relationship Id="rId95" Type="http://schemas.openxmlformats.org/officeDocument/2006/relationships/hyperlink" Target="https://aldi-sued.atlassian.net/browse/BF-773" TargetMode="External"/><Relationship Id="rId22" Type="http://schemas.openxmlformats.org/officeDocument/2006/relationships/hyperlink" Target="https://aldi-sued.atlassian.net/browse/NPSCO-17387" TargetMode="External"/><Relationship Id="rId27" Type="http://schemas.openxmlformats.org/officeDocument/2006/relationships/hyperlink" Target="https://aldi-sued.atlassian.net/browse/NPSCO-15739" TargetMode="External"/><Relationship Id="rId43" Type="http://schemas.openxmlformats.org/officeDocument/2006/relationships/hyperlink" Target="https://aldi-sued.atlassian.net/browse/ANP-25358" TargetMode="External"/><Relationship Id="rId48" Type="http://schemas.openxmlformats.org/officeDocument/2006/relationships/hyperlink" Target="https://aldi-sued.atlassian.net/browse/ANP-25145" TargetMode="External"/><Relationship Id="rId64" Type="http://schemas.openxmlformats.org/officeDocument/2006/relationships/hyperlink" Target="https://aldi-sued.atlassian.net/browse/ANP-24507" TargetMode="External"/><Relationship Id="rId69" Type="http://schemas.openxmlformats.org/officeDocument/2006/relationships/hyperlink" Target="https://aldi-sued.atlassian.net/browse/ANP-20481" TargetMode="External"/><Relationship Id="rId113" Type="http://schemas.openxmlformats.org/officeDocument/2006/relationships/hyperlink" Target="https://aldi-sued.atlassian.net/browse/BF-931" TargetMode="External"/><Relationship Id="rId118" Type="http://schemas.openxmlformats.org/officeDocument/2006/relationships/hyperlink" Target="https://aldi-sued.atlassian.net/browse/BF-969" TargetMode="External"/><Relationship Id="rId80" Type="http://schemas.openxmlformats.org/officeDocument/2006/relationships/hyperlink" Target="https://aldi-sued.atlassian.net/browse/ANP-24360" TargetMode="External"/><Relationship Id="rId85" Type="http://schemas.openxmlformats.org/officeDocument/2006/relationships/hyperlink" Target="https://aldi-sued.atlassian.net/browse/NPSCO-18573" TargetMode="External"/><Relationship Id="rId12" Type="http://schemas.openxmlformats.org/officeDocument/2006/relationships/hyperlink" Target="https://aldi-sued.atlassian.net/browse/NPSCO-15442" TargetMode="External"/><Relationship Id="rId17" Type="http://schemas.openxmlformats.org/officeDocument/2006/relationships/hyperlink" Target="https://aldi-sued.atlassian.net/browse/NPSCO-18642" TargetMode="External"/><Relationship Id="rId33" Type="http://schemas.openxmlformats.org/officeDocument/2006/relationships/hyperlink" Target="https://aldi-sued.atlassian.net/browse/NPSCO-16261" TargetMode="External"/><Relationship Id="rId38" Type="http://schemas.openxmlformats.org/officeDocument/2006/relationships/hyperlink" Target="https://aldi-sued.atlassian.net/browse/ANP-25465" TargetMode="External"/><Relationship Id="rId59" Type="http://schemas.openxmlformats.org/officeDocument/2006/relationships/hyperlink" Target="https://aldi-sued.atlassian.net/browse/ANP-24940" TargetMode="External"/><Relationship Id="rId103" Type="http://schemas.openxmlformats.org/officeDocument/2006/relationships/hyperlink" Target="https://aldi-sued.atlassian.net/browse/BF-882" TargetMode="External"/><Relationship Id="rId108" Type="http://schemas.openxmlformats.org/officeDocument/2006/relationships/hyperlink" Target="https://aldi-sued.atlassian.net/browse/BF-896" TargetMode="External"/><Relationship Id="rId54" Type="http://schemas.openxmlformats.org/officeDocument/2006/relationships/hyperlink" Target="https://aldi-sued.atlassian.net/browse/ANP-25049" TargetMode="External"/><Relationship Id="rId70" Type="http://schemas.openxmlformats.org/officeDocument/2006/relationships/hyperlink" Target="https://aldi-sued.atlassian.net/browse/ANP-23977" TargetMode="External"/><Relationship Id="rId75" Type="http://schemas.openxmlformats.org/officeDocument/2006/relationships/hyperlink" Target="https://aldi-sued.atlassian.net/browse/ANP-24476" TargetMode="External"/><Relationship Id="rId91" Type="http://schemas.openxmlformats.org/officeDocument/2006/relationships/hyperlink" Target="https://aldi-sued.atlassian.net/browse/NPSCO-19205" TargetMode="External"/><Relationship Id="rId96" Type="http://schemas.openxmlformats.org/officeDocument/2006/relationships/hyperlink" Target="https://aldi-sued.atlassian.net/browse/BF-809" TargetMode="External"/><Relationship Id="rId1" Type="http://schemas.openxmlformats.org/officeDocument/2006/relationships/hyperlink" Target="https://aldi-sued.atlassian.net/browse/ANP-23202" TargetMode="External"/><Relationship Id="rId6" Type="http://schemas.openxmlformats.org/officeDocument/2006/relationships/hyperlink" Target="https://aldi-sued.atlassian.net/browse/ANP-25171" TargetMode="External"/><Relationship Id="rId23" Type="http://schemas.openxmlformats.org/officeDocument/2006/relationships/hyperlink" Target="https://aldi-sued.atlassian.net/browse/NPSCO-17537" TargetMode="External"/><Relationship Id="rId28" Type="http://schemas.openxmlformats.org/officeDocument/2006/relationships/hyperlink" Target="https://aldi-sued.atlassian.net/browse/NPSCO-16457" TargetMode="External"/><Relationship Id="rId49" Type="http://schemas.openxmlformats.org/officeDocument/2006/relationships/hyperlink" Target="https://aldi-sued.atlassian.net/browse/ANP-25145" TargetMode="External"/><Relationship Id="rId114" Type="http://schemas.openxmlformats.org/officeDocument/2006/relationships/hyperlink" Target="https://aldi-sued.atlassian.net/browse/BF-953" TargetMode="External"/><Relationship Id="rId119" Type="http://schemas.openxmlformats.org/officeDocument/2006/relationships/hyperlink" Target="https://aldi-sued.atlassian.net/browse/BF-995" TargetMode="External"/><Relationship Id="rId44" Type="http://schemas.openxmlformats.org/officeDocument/2006/relationships/hyperlink" Target="https://aldi-sued.atlassian.net/browse/ANP-25341" TargetMode="External"/><Relationship Id="rId60" Type="http://schemas.openxmlformats.org/officeDocument/2006/relationships/hyperlink" Target="https://aldi-sued.atlassian.net/browse/ANP-24909" TargetMode="External"/><Relationship Id="rId65" Type="http://schemas.openxmlformats.org/officeDocument/2006/relationships/hyperlink" Target="https://aldi-sued.atlassian.net/browse/ANP-24507" TargetMode="External"/><Relationship Id="rId81" Type="http://schemas.openxmlformats.org/officeDocument/2006/relationships/hyperlink" Target="https://aldi-sued.atlassian.net/browse/ANP-25048" TargetMode="External"/><Relationship Id="rId86" Type="http://schemas.openxmlformats.org/officeDocument/2006/relationships/hyperlink" Target="https://aldi-sued.atlassian.net/browse/NPSCO-18573" TargetMode="External"/><Relationship Id="rId4" Type="http://schemas.openxmlformats.org/officeDocument/2006/relationships/hyperlink" Target="https://aldi-sued.atlassian.net/browse/ANP-23037" TargetMode="External"/><Relationship Id="rId9" Type="http://schemas.openxmlformats.org/officeDocument/2006/relationships/hyperlink" Target="https://aldi-sued.atlassian.net/browse/ANP-24850" TargetMode="External"/><Relationship Id="rId13" Type="http://schemas.openxmlformats.org/officeDocument/2006/relationships/hyperlink" Target="https://aldi-sued.atlassian.net/browse/NPSCO-18454" TargetMode="External"/><Relationship Id="rId18" Type="http://schemas.openxmlformats.org/officeDocument/2006/relationships/hyperlink" Target="https://aldi-sued.atlassian.net/browse/NPSCO-18884" TargetMode="External"/><Relationship Id="rId39" Type="http://schemas.openxmlformats.org/officeDocument/2006/relationships/hyperlink" Target="https://aldi-sued.atlassian.net/browse/ANP-25410" TargetMode="External"/><Relationship Id="rId109" Type="http://schemas.openxmlformats.org/officeDocument/2006/relationships/hyperlink" Target="https://aldi-sued.atlassian.net/browse/BF-898" TargetMode="External"/><Relationship Id="rId34" Type="http://schemas.openxmlformats.org/officeDocument/2006/relationships/hyperlink" Target="https://aldi-sued.atlassian.net/browse/NPSCO-16390" TargetMode="External"/><Relationship Id="rId50" Type="http://schemas.openxmlformats.org/officeDocument/2006/relationships/hyperlink" Target="https://aldi-sued.atlassian.net/browse/ANP-25139" TargetMode="External"/><Relationship Id="rId55" Type="http://schemas.openxmlformats.org/officeDocument/2006/relationships/hyperlink" Target="https://aldi-sued.atlassian.net/browse/ANP-25049" TargetMode="External"/><Relationship Id="rId76" Type="http://schemas.openxmlformats.org/officeDocument/2006/relationships/hyperlink" Target="https://aldi-sued.atlassian.net/browse/ANP-24906" TargetMode="External"/><Relationship Id="rId97" Type="http://schemas.openxmlformats.org/officeDocument/2006/relationships/hyperlink" Target="https://aldi-sued.atlassian.net/browse/BF-838" TargetMode="External"/><Relationship Id="rId104" Type="http://schemas.openxmlformats.org/officeDocument/2006/relationships/hyperlink" Target="https://aldi-sued.atlassian.net/browse/BF-883" TargetMode="External"/><Relationship Id="rId120" Type="http://schemas.openxmlformats.org/officeDocument/2006/relationships/hyperlink" Target="https://aldi-sued.atlassian.net/browse/BF-935" TargetMode="External"/><Relationship Id="rId7" Type="http://schemas.openxmlformats.org/officeDocument/2006/relationships/hyperlink" Target="https://aldi-sued.atlassian.net/browse/ANP-25142" TargetMode="External"/><Relationship Id="rId71" Type="http://schemas.openxmlformats.org/officeDocument/2006/relationships/hyperlink" Target="https://aldi-sued.atlassian.net/browse/ANP-24564" TargetMode="External"/><Relationship Id="rId92" Type="http://schemas.openxmlformats.org/officeDocument/2006/relationships/hyperlink" Target="https://aldi-sued.atlassian.net/browse/NPSCO-19205" TargetMode="External"/><Relationship Id="rId2" Type="http://schemas.openxmlformats.org/officeDocument/2006/relationships/hyperlink" Target="https://aldi-sued.atlassian.net/browse/ANP-25036" TargetMode="External"/><Relationship Id="rId29" Type="http://schemas.openxmlformats.org/officeDocument/2006/relationships/hyperlink" Target="https://aldi-sued.atlassian.net/browse/NPSCO-16584" TargetMode="External"/><Relationship Id="rId24" Type="http://schemas.openxmlformats.org/officeDocument/2006/relationships/hyperlink" Target="https://aldi-sued.atlassian.net/browse/NPSCO-18890" TargetMode="External"/><Relationship Id="rId40" Type="http://schemas.openxmlformats.org/officeDocument/2006/relationships/hyperlink" Target="https://aldi-sued.atlassian.net/browse/ANP-25372" TargetMode="External"/><Relationship Id="rId45" Type="http://schemas.openxmlformats.org/officeDocument/2006/relationships/hyperlink" Target="https://aldi-sued.atlassian.net/browse/ANP-25341" TargetMode="External"/><Relationship Id="rId66" Type="http://schemas.openxmlformats.org/officeDocument/2006/relationships/hyperlink" Target="https://aldi-sued.atlassian.net/browse/ANP-22964" TargetMode="External"/><Relationship Id="rId87" Type="http://schemas.openxmlformats.org/officeDocument/2006/relationships/hyperlink" Target="https://aldi-sued.atlassian.net/browse/NPSCO-18220" TargetMode="External"/><Relationship Id="rId110" Type="http://schemas.openxmlformats.org/officeDocument/2006/relationships/hyperlink" Target="https://aldi-sued.atlassian.net/browse/BF-899" TargetMode="External"/><Relationship Id="rId115" Type="http://schemas.openxmlformats.org/officeDocument/2006/relationships/hyperlink" Target="https://aldi-sued.atlassian.net/browse/BF-331" TargetMode="External"/><Relationship Id="rId61" Type="http://schemas.openxmlformats.org/officeDocument/2006/relationships/hyperlink" Target="https://aldi-sued.atlassian.net/browse/ANP-24909" TargetMode="External"/><Relationship Id="rId82" Type="http://schemas.openxmlformats.org/officeDocument/2006/relationships/hyperlink" Target="https://aldi-sued.atlassian.net/browse/ANP-25071" TargetMode="External"/><Relationship Id="rId19" Type="http://schemas.openxmlformats.org/officeDocument/2006/relationships/hyperlink" Target="https://aldi-sued.atlassian.net/browse/NPSCO-18887" TargetMode="External"/><Relationship Id="rId14" Type="http://schemas.openxmlformats.org/officeDocument/2006/relationships/hyperlink" Target="https://aldi-sued.atlassian.net/browse/NPSCO-18888" TargetMode="External"/><Relationship Id="rId30" Type="http://schemas.openxmlformats.org/officeDocument/2006/relationships/hyperlink" Target="https://aldi-sued.atlassian.net/browse/NPSCO-17588" TargetMode="External"/><Relationship Id="rId35" Type="http://schemas.openxmlformats.org/officeDocument/2006/relationships/hyperlink" Target="https://aldi-sued.atlassian.net/browse/NPSCO-18235" TargetMode="External"/><Relationship Id="rId56" Type="http://schemas.openxmlformats.org/officeDocument/2006/relationships/hyperlink" Target="https://aldi-sued.atlassian.net/browse/ANP-25037" TargetMode="External"/><Relationship Id="rId77" Type="http://schemas.openxmlformats.org/officeDocument/2006/relationships/hyperlink" Target="https://aldi-sued.atlassian.net/browse/ANP-24951" TargetMode="External"/><Relationship Id="rId100" Type="http://schemas.openxmlformats.org/officeDocument/2006/relationships/hyperlink" Target="https://aldi-sued.atlassian.net/browse/BF-867" TargetMode="External"/><Relationship Id="rId105" Type="http://schemas.openxmlformats.org/officeDocument/2006/relationships/hyperlink" Target="https://aldi-sued.atlassian.net/browse/BF-884" TargetMode="External"/><Relationship Id="rId8" Type="http://schemas.openxmlformats.org/officeDocument/2006/relationships/hyperlink" Target="https://aldi-sued.atlassian.net/browse/ANP-21583" TargetMode="External"/><Relationship Id="rId51" Type="http://schemas.openxmlformats.org/officeDocument/2006/relationships/hyperlink" Target="https://aldi-sued.atlassian.net/browse/ANP-25139" TargetMode="External"/><Relationship Id="rId72" Type="http://schemas.openxmlformats.org/officeDocument/2006/relationships/hyperlink" Target="https://aldi-sued.atlassian.net/browse/ANP-24905" TargetMode="External"/><Relationship Id="rId93" Type="http://schemas.openxmlformats.org/officeDocument/2006/relationships/hyperlink" Target="https://aldi-sued.atlassian.net/browse/BF-549" TargetMode="External"/><Relationship Id="rId98" Type="http://schemas.openxmlformats.org/officeDocument/2006/relationships/hyperlink" Target="https://aldi-sued.atlassian.net/browse/BF-853" TargetMode="External"/><Relationship Id="rId121" Type="http://schemas.openxmlformats.org/officeDocument/2006/relationships/table" Target="../tables/table10.xml"/><Relationship Id="rId3" Type="http://schemas.openxmlformats.org/officeDocument/2006/relationships/hyperlink" Target="https://aldi-sued.atlassian.net/browse/ANP-24330" TargetMode="External"/><Relationship Id="rId25" Type="http://schemas.openxmlformats.org/officeDocument/2006/relationships/hyperlink" Target="https://aldi-sued.atlassian.net/browse/NPSCO-18925" TargetMode="External"/><Relationship Id="rId46" Type="http://schemas.openxmlformats.org/officeDocument/2006/relationships/hyperlink" Target="https://aldi-sued.atlassian.net/browse/ANP-25184" TargetMode="External"/><Relationship Id="rId67" Type="http://schemas.openxmlformats.org/officeDocument/2006/relationships/hyperlink" Target="https://aldi-sued.atlassian.net/browse/ANP-22964" TargetMode="External"/><Relationship Id="rId116" Type="http://schemas.openxmlformats.org/officeDocument/2006/relationships/hyperlink" Target="https://aldi-sued.atlassian.net/browse/BF-577" TargetMode="External"/><Relationship Id="rId20" Type="http://schemas.openxmlformats.org/officeDocument/2006/relationships/hyperlink" Target="https://aldi-sued.atlassian.net/browse/NPSCO-18693" TargetMode="External"/><Relationship Id="rId41" Type="http://schemas.openxmlformats.org/officeDocument/2006/relationships/hyperlink" Target="https://aldi-sued.atlassian.net/browse/ANP-25372" TargetMode="External"/><Relationship Id="rId62" Type="http://schemas.openxmlformats.org/officeDocument/2006/relationships/hyperlink" Target="https://aldi-sued.atlassian.net/browse/ANP-24892" TargetMode="External"/><Relationship Id="rId83" Type="http://schemas.openxmlformats.org/officeDocument/2006/relationships/hyperlink" Target="https://aldi-sued.atlassian.net/browse/ANP-24060" TargetMode="External"/><Relationship Id="rId88" Type="http://schemas.openxmlformats.org/officeDocument/2006/relationships/hyperlink" Target="https://aldi-sued.atlassian.net/browse/NPSCO-18220" TargetMode="External"/><Relationship Id="rId111" Type="http://schemas.openxmlformats.org/officeDocument/2006/relationships/hyperlink" Target="https://aldi-sued.atlassian.net/browse/BF-921" TargetMode="External"/><Relationship Id="rId15" Type="http://schemas.openxmlformats.org/officeDocument/2006/relationships/hyperlink" Target="https://aldi-sued.atlassian.net/browse/NPSCO-18690" TargetMode="External"/><Relationship Id="rId36" Type="http://schemas.openxmlformats.org/officeDocument/2006/relationships/hyperlink" Target="https://aldi-sued.atlassian.net/browse/NPSCO-18702" TargetMode="External"/><Relationship Id="rId57" Type="http://schemas.openxmlformats.org/officeDocument/2006/relationships/hyperlink" Target="https://aldi-sued.atlassian.net/browse/ANP-25037" TargetMode="External"/><Relationship Id="rId106" Type="http://schemas.openxmlformats.org/officeDocument/2006/relationships/hyperlink" Target="https://aldi-sued.atlassian.net/browse/BF-889" TargetMode="External"/><Relationship Id="rId10" Type="http://schemas.openxmlformats.org/officeDocument/2006/relationships/hyperlink" Target="https://aldi-sued.atlassian.net/browse/ANP-25209" TargetMode="External"/><Relationship Id="rId31" Type="http://schemas.openxmlformats.org/officeDocument/2006/relationships/hyperlink" Target="https://aldi-sued.atlassian.net/browse/NPSCO-18911" TargetMode="External"/><Relationship Id="rId52" Type="http://schemas.openxmlformats.org/officeDocument/2006/relationships/hyperlink" Target="https://aldi-sued.atlassian.net/browse/ANP-25130" TargetMode="External"/><Relationship Id="rId73" Type="http://schemas.openxmlformats.org/officeDocument/2006/relationships/hyperlink" Target="https://aldi-sued.atlassian.net/browse/ANP-24952" TargetMode="External"/><Relationship Id="rId78" Type="http://schemas.openxmlformats.org/officeDocument/2006/relationships/hyperlink" Target="https://aldi-sued.atlassian.net/browse/ANP-25225" TargetMode="External"/><Relationship Id="rId94" Type="http://schemas.openxmlformats.org/officeDocument/2006/relationships/hyperlink" Target="https://aldi-sued.atlassian.net/browse/BF-770" TargetMode="External"/><Relationship Id="rId99" Type="http://schemas.openxmlformats.org/officeDocument/2006/relationships/hyperlink" Target="https://aldi-sued.atlassian.net/browse/BF-866" TargetMode="External"/><Relationship Id="rId101" Type="http://schemas.openxmlformats.org/officeDocument/2006/relationships/hyperlink" Target="https://aldi-sued.atlassian.net/browse/BF-878"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aldi-sued.atlassian.net/browse/BF-866" TargetMode="External"/><Relationship Id="rId21" Type="http://schemas.openxmlformats.org/officeDocument/2006/relationships/hyperlink" Target="https://aldi-sued.atlassian.net/browse/ANP-25108" TargetMode="External"/><Relationship Id="rId42" Type="http://schemas.openxmlformats.org/officeDocument/2006/relationships/hyperlink" Target="https://aldi-sued.atlassian.net/browse/NPSCO-18627" TargetMode="External"/><Relationship Id="rId63" Type="http://schemas.openxmlformats.org/officeDocument/2006/relationships/hyperlink" Target="https://aldi-sued.atlassian.net/browse/ANP-23847" TargetMode="External"/><Relationship Id="rId84" Type="http://schemas.openxmlformats.org/officeDocument/2006/relationships/hyperlink" Target="https://aldi-sued.atlassian.net/browse/ANP-24909" TargetMode="External"/><Relationship Id="rId16" Type="http://schemas.openxmlformats.org/officeDocument/2006/relationships/hyperlink" Target="https://aldi-sued.atlassian.net/browse/ANP-25075" TargetMode="External"/><Relationship Id="rId107" Type="http://schemas.openxmlformats.org/officeDocument/2006/relationships/hyperlink" Target="https://aldi-sued.atlassian.net/browse/BF-789" TargetMode="External"/><Relationship Id="rId11" Type="http://schemas.openxmlformats.org/officeDocument/2006/relationships/hyperlink" Target="https://aldi-sued.atlassian.net/browse/ANP-24977" TargetMode="External"/><Relationship Id="rId32" Type="http://schemas.openxmlformats.org/officeDocument/2006/relationships/hyperlink" Target="https://aldi-sued.atlassian.net/browse/NPSCO-18712" TargetMode="External"/><Relationship Id="rId37" Type="http://schemas.openxmlformats.org/officeDocument/2006/relationships/hyperlink" Target="https://aldi-sued.atlassian.net/browse/NPSCO-18706" TargetMode="External"/><Relationship Id="rId53" Type="http://schemas.openxmlformats.org/officeDocument/2006/relationships/hyperlink" Target="https://aldi-sued.atlassian.net/issues/?jql=%22cf%5B12600%5D%22%20%3D%20Checkout_Base" TargetMode="External"/><Relationship Id="rId58" Type="http://schemas.openxmlformats.org/officeDocument/2006/relationships/hyperlink" Target="https://aldi-sued.atlassian.net/browse/NPSCO-15737" TargetMode="External"/><Relationship Id="rId74" Type="http://schemas.openxmlformats.org/officeDocument/2006/relationships/hyperlink" Target="https://aldi-sued.atlassian.net/browse/ANP-25103" TargetMode="External"/><Relationship Id="rId79" Type="http://schemas.openxmlformats.org/officeDocument/2006/relationships/hyperlink" Target="https://aldi-sued.atlassian.net/browse/ANP-24997" TargetMode="External"/><Relationship Id="rId102" Type="http://schemas.openxmlformats.org/officeDocument/2006/relationships/hyperlink" Target="https://aldi-sued.atlassian.net/browse/BF-740" TargetMode="External"/><Relationship Id="rId123" Type="http://schemas.openxmlformats.org/officeDocument/2006/relationships/hyperlink" Target="https://aldi-sued.atlassian.net/browse/ANP-24475" TargetMode="External"/><Relationship Id="rId128" Type="http://schemas.openxmlformats.org/officeDocument/2006/relationships/hyperlink" Target="https://aldi-sued.atlassian.net/browse/ANP-24820" TargetMode="External"/><Relationship Id="rId5" Type="http://schemas.openxmlformats.org/officeDocument/2006/relationships/hyperlink" Target="https://aldi-sued.atlassian.net/browse/ANP-18160" TargetMode="External"/><Relationship Id="rId90" Type="http://schemas.openxmlformats.org/officeDocument/2006/relationships/hyperlink" Target="https://aldi-sued.atlassian.net/browse/ANP-24589" TargetMode="External"/><Relationship Id="rId95" Type="http://schemas.openxmlformats.org/officeDocument/2006/relationships/hyperlink" Target="https://aldi-sued.atlassian.net/browse/ANP-11615" TargetMode="External"/><Relationship Id="rId22" Type="http://schemas.openxmlformats.org/officeDocument/2006/relationships/hyperlink" Target="https://aldi-sued.atlassian.net/browse/ANP-25105" TargetMode="External"/><Relationship Id="rId27" Type="http://schemas.openxmlformats.org/officeDocument/2006/relationships/hyperlink" Target="https://aldi-sued.atlassian.net/browse/NPSCO-18640" TargetMode="External"/><Relationship Id="rId43" Type="http://schemas.openxmlformats.org/officeDocument/2006/relationships/hyperlink" Target="https://aldi-sued.atlassian.net/browse/NPSCO-18627" TargetMode="External"/><Relationship Id="rId48" Type="http://schemas.openxmlformats.org/officeDocument/2006/relationships/hyperlink" Target="https://aldi-sued.atlassian.net/browse/NPSCO-16393" TargetMode="External"/><Relationship Id="rId64" Type="http://schemas.openxmlformats.org/officeDocument/2006/relationships/hyperlink" Target="https://aldi-sued.atlassian.net/browse/ANP-23979" TargetMode="External"/><Relationship Id="rId69" Type="http://schemas.openxmlformats.org/officeDocument/2006/relationships/hyperlink" Target="https://aldi-sued.atlassian.net/browse/ANP-24574" TargetMode="External"/><Relationship Id="rId113" Type="http://schemas.openxmlformats.org/officeDocument/2006/relationships/hyperlink" Target="https://aldi-sued.atlassian.net/browse/BF-549" TargetMode="External"/><Relationship Id="rId118" Type="http://schemas.openxmlformats.org/officeDocument/2006/relationships/hyperlink" Target="https://aldi-sued.atlassian.net/browse/BF-881" TargetMode="External"/><Relationship Id="rId134" Type="http://schemas.openxmlformats.org/officeDocument/2006/relationships/table" Target="../tables/table11.xml"/><Relationship Id="rId80" Type="http://schemas.openxmlformats.org/officeDocument/2006/relationships/hyperlink" Target="https://aldi-sued.atlassian.net/browse/ANP-24997" TargetMode="External"/><Relationship Id="rId85" Type="http://schemas.openxmlformats.org/officeDocument/2006/relationships/hyperlink" Target="https://aldi-sued.atlassian.net/browse/ANP-24865" TargetMode="External"/><Relationship Id="rId12" Type="http://schemas.openxmlformats.org/officeDocument/2006/relationships/hyperlink" Target="https://aldi-sued.atlassian.net/browse/ANP-25003" TargetMode="External"/><Relationship Id="rId17" Type="http://schemas.openxmlformats.org/officeDocument/2006/relationships/hyperlink" Target="https://aldi-sued.atlassian.net/browse/ANP-25035" TargetMode="External"/><Relationship Id="rId33" Type="http://schemas.openxmlformats.org/officeDocument/2006/relationships/hyperlink" Target="https://aldi-sued.atlassian.net/browse/NPSCO-18698" TargetMode="External"/><Relationship Id="rId38" Type="http://schemas.openxmlformats.org/officeDocument/2006/relationships/hyperlink" Target="https://aldi-sued.atlassian.net/issues/?jql=%22cf%5B12600%5D%22%20%3D%20Checkout_Base" TargetMode="External"/><Relationship Id="rId59" Type="http://schemas.openxmlformats.org/officeDocument/2006/relationships/hyperlink" Target="https://aldi-sued.atlassian.net/issues/?jql=%22cf%5B12600%5D%22%20%3D%20Checkout_Base" TargetMode="External"/><Relationship Id="rId103" Type="http://schemas.openxmlformats.org/officeDocument/2006/relationships/hyperlink" Target="https://aldi-sued.atlassian.net/browse/BF-741" TargetMode="External"/><Relationship Id="rId108" Type="http://schemas.openxmlformats.org/officeDocument/2006/relationships/hyperlink" Target="https://aldi-sued.atlassian.net/browse/BF-798" TargetMode="External"/><Relationship Id="rId124" Type="http://schemas.openxmlformats.org/officeDocument/2006/relationships/hyperlink" Target="https://aldi-sued.atlassian.net/browse/ANP-24565" TargetMode="External"/><Relationship Id="rId129" Type="http://schemas.openxmlformats.org/officeDocument/2006/relationships/hyperlink" Target="https://aldi-sued.atlassian.net/browse/ANP-24910" TargetMode="External"/><Relationship Id="rId54" Type="http://schemas.openxmlformats.org/officeDocument/2006/relationships/hyperlink" Target="https://aldi-sued.atlassian.net/browse/NPSCO-18039" TargetMode="External"/><Relationship Id="rId70" Type="http://schemas.openxmlformats.org/officeDocument/2006/relationships/hyperlink" Target="https://aldi-sued.atlassian.net/browse/ANP-24687" TargetMode="External"/><Relationship Id="rId75" Type="http://schemas.openxmlformats.org/officeDocument/2006/relationships/hyperlink" Target="https://aldi-sued.atlassian.net/browse/ANP-25084" TargetMode="External"/><Relationship Id="rId91" Type="http://schemas.openxmlformats.org/officeDocument/2006/relationships/hyperlink" Target="https://aldi-sued.atlassian.net/browse/ANP-24529" TargetMode="External"/><Relationship Id="rId96" Type="http://schemas.openxmlformats.org/officeDocument/2006/relationships/hyperlink" Target="https://aldi-sued.atlassian.net/browse/ANP-11615" TargetMode="External"/><Relationship Id="rId1" Type="http://schemas.openxmlformats.org/officeDocument/2006/relationships/hyperlink" Target="https://aldi-sued.atlassian.net/browse/ANP-23202" TargetMode="External"/><Relationship Id="rId6" Type="http://schemas.openxmlformats.org/officeDocument/2006/relationships/hyperlink" Target="https://aldi-sued.atlassian.net/browse/ANP-19414" TargetMode="External"/><Relationship Id="rId23" Type="http://schemas.openxmlformats.org/officeDocument/2006/relationships/hyperlink" Target="https://aldi-sued.atlassian.net/browse/NPSCO-15442" TargetMode="External"/><Relationship Id="rId28" Type="http://schemas.openxmlformats.org/officeDocument/2006/relationships/hyperlink" Target="https://aldi-sued.atlassian.net/browse/NPSCO-18641" TargetMode="External"/><Relationship Id="rId49" Type="http://schemas.openxmlformats.org/officeDocument/2006/relationships/hyperlink" Target="https://aldi-sued.atlassian.net/browse/NPSCO-16393" TargetMode="External"/><Relationship Id="rId114" Type="http://schemas.openxmlformats.org/officeDocument/2006/relationships/hyperlink" Target="https://aldi-sued.atlassian.net/browse/BF-770" TargetMode="External"/><Relationship Id="rId119" Type="http://schemas.openxmlformats.org/officeDocument/2006/relationships/hyperlink" Target="https://aldi-sued.atlassian.net/browse/ANP-21303" TargetMode="External"/><Relationship Id="rId44" Type="http://schemas.openxmlformats.org/officeDocument/2006/relationships/hyperlink" Target="https://aldi-sued.atlassian.net/issues/?jql=%22cf%5B12600%5D%22%20%3D%20Product_Payment" TargetMode="External"/><Relationship Id="rId60" Type="http://schemas.openxmlformats.org/officeDocument/2006/relationships/hyperlink" Target="https://aldi-sued.atlassian.net/browse/NPSCO-16584" TargetMode="External"/><Relationship Id="rId65" Type="http://schemas.openxmlformats.org/officeDocument/2006/relationships/hyperlink" Target="https://aldi-sued.atlassian.net/browse/ANP-24769" TargetMode="External"/><Relationship Id="rId81" Type="http://schemas.openxmlformats.org/officeDocument/2006/relationships/hyperlink" Target="https://aldi-sued.atlassian.net/browse/ANP-24934" TargetMode="External"/><Relationship Id="rId86" Type="http://schemas.openxmlformats.org/officeDocument/2006/relationships/hyperlink" Target="https://aldi-sued.atlassian.net/browse/ANP-24865" TargetMode="External"/><Relationship Id="rId130" Type="http://schemas.openxmlformats.org/officeDocument/2006/relationships/hyperlink" Target="https://aldi-sued.atlassian.net/browse/ANP-23977" TargetMode="External"/><Relationship Id="rId13" Type="http://schemas.openxmlformats.org/officeDocument/2006/relationships/hyperlink" Target="https://aldi-sued.atlassian.net/browse/ANP-25067" TargetMode="External"/><Relationship Id="rId18" Type="http://schemas.openxmlformats.org/officeDocument/2006/relationships/hyperlink" Target="https://aldi-sued.atlassian.net/browse/ANP-25091" TargetMode="External"/><Relationship Id="rId39" Type="http://schemas.openxmlformats.org/officeDocument/2006/relationships/hyperlink" Target="https://aldi-sued.atlassian.net/browse/NPSCO-18705" TargetMode="External"/><Relationship Id="rId109" Type="http://schemas.openxmlformats.org/officeDocument/2006/relationships/hyperlink" Target="https://aldi-sued.atlassian.net/browse/BF-839" TargetMode="External"/><Relationship Id="rId34" Type="http://schemas.openxmlformats.org/officeDocument/2006/relationships/hyperlink" Target="https://aldi-sued.atlassian.net/browse/NPSCO-18703" TargetMode="External"/><Relationship Id="rId50" Type="http://schemas.openxmlformats.org/officeDocument/2006/relationships/hyperlink" Target="https://aldi-sued.atlassian.net/issues/?jql=%22cf%5B12600%5D%22%20%3D%20Checkout_Base" TargetMode="External"/><Relationship Id="rId55" Type="http://schemas.openxmlformats.org/officeDocument/2006/relationships/hyperlink" Target="https://aldi-sued.atlassian.net/browse/NPSCO-18039" TargetMode="External"/><Relationship Id="rId76" Type="http://schemas.openxmlformats.org/officeDocument/2006/relationships/hyperlink" Target="https://aldi-sued.atlassian.net/browse/ANP-25084" TargetMode="External"/><Relationship Id="rId97" Type="http://schemas.openxmlformats.org/officeDocument/2006/relationships/hyperlink" Target="https://aldi-sued.atlassian.net/browse/ANP-24854" TargetMode="External"/><Relationship Id="rId104" Type="http://schemas.openxmlformats.org/officeDocument/2006/relationships/hyperlink" Target="https://aldi-sued.atlassian.net/browse/BF-772" TargetMode="External"/><Relationship Id="rId120" Type="http://schemas.openxmlformats.org/officeDocument/2006/relationships/hyperlink" Target="https://aldi-sued.atlassian.net/browse/ANP-23587" TargetMode="External"/><Relationship Id="rId125" Type="http://schemas.openxmlformats.org/officeDocument/2006/relationships/hyperlink" Target="https://aldi-sued.atlassian.net/browse/ANP-24566" TargetMode="External"/><Relationship Id="rId7" Type="http://schemas.openxmlformats.org/officeDocument/2006/relationships/hyperlink" Target="https://aldi-sued.atlassian.net/browse/ANP-19941" TargetMode="External"/><Relationship Id="rId71" Type="http://schemas.openxmlformats.org/officeDocument/2006/relationships/hyperlink" Target="https://aldi-sued.atlassian.net/browse/ANP-25047" TargetMode="External"/><Relationship Id="rId92" Type="http://schemas.openxmlformats.org/officeDocument/2006/relationships/hyperlink" Target="https://aldi-sued.atlassian.net/browse/ANP-24529" TargetMode="External"/><Relationship Id="rId2" Type="http://schemas.openxmlformats.org/officeDocument/2006/relationships/hyperlink" Target="https://aldi-sued.atlassian.net/browse/ANP-24943" TargetMode="External"/><Relationship Id="rId29" Type="http://schemas.openxmlformats.org/officeDocument/2006/relationships/hyperlink" Target="https://aldi-sued.atlassian.net/browse/NPSCO-16515" TargetMode="External"/><Relationship Id="rId24" Type="http://schemas.openxmlformats.org/officeDocument/2006/relationships/hyperlink" Target="https://aldi-sued.atlassian.net/issues/?jql=%22cf%5B12600%5D%22%20%3D%20Checkout_Base" TargetMode="External"/><Relationship Id="rId40" Type="http://schemas.openxmlformats.org/officeDocument/2006/relationships/hyperlink" Target="https://aldi-sued.atlassian.net/browse/NPSCO-18705" TargetMode="External"/><Relationship Id="rId45" Type="http://schemas.openxmlformats.org/officeDocument/2006/relationships/hyperlink" Target="https://aldi-sued.atlassian.net/browse/NPSCO-18707" TargetMode="External"/><Relationship Id="rId66" Type="http://schemas.openxmlformats.org/officeDocument/2006/relationships/hyperlink" Target="https://aldi-sued.atlassian.net/browse/ANP-24938" TargetMode="External"/><Relationship Id="rId87" Type="http://schemas.openxmlformats.org/officeDocument/2006/relationships/hyperlink" Target="https://aldi-sued.atlassian.net/browse/ANP-24828" TargetMode="External"/><Relationship Id="rId110" Type="http://schemas.openxmlformats.org/officeDocument/2006/relationships/hyperlink" Target="https://aldi-sued.atlassian.net/browse/BF-841" TargetMode="External"/><Relationship Id="rId115" Type="http://schemas.openxmlformats.org/officeDocument/2006/relationships/hyperlink" Target="https://aldi-sued.atlassian.net/browse/BF-773" TargetMode="External"/><Relationship Id="rId131" Type="http://schemas.openxmlformats.org/officeDocument/2006/relationships/hyperlink" Target="https://aldi-sued.atlassian.net/browse/ANP-24111" TargetMode="External"/><Relationship Id="rId61" Type="http://schemas.openxmlformats.org/officeDocument/2006/relationships/hyperlink" Target="https://aldi-sued.atlassian.net/browse/NPSCO-16584" TargetMode="External"/><Relationship Id="rId82" Type="http://schemas.openxmlformats.org/officeDocument/2006/relationships/hyperlink" Target="https://aldi-sued.atlassian.net/browse/ANP-24934" TargetMode="External"/><Relationship Id="rId19" Type="http://schemas.openxmlformats.org/officeDocument/2006/relationships/hyperlink" Target="https://aldi-sued.atlassian.net/browse/ANP-24330" TargetMode="External"/><Relationship Id="rId14" Type="http://schemas.openxmlformats.org/officeDocument/2006/relationships/hyperlink" Target="https://aldi-sued.atlassian.net/browse/ANP-25043" TargetMode="External"/><Relationship Id="rId30" Type="http://schemas.openxmlformats.org/officeDocument/2006/relationships/hyperlink" Target="https://aldi-sued.atlassian.net/browse/NPSCO-18642" TargetMode="External"/><Relationship Id="rId35" Type="http://schemas.openxmlformats.org/officeDocument/2006/relationships/hyperlink" Target="https://aldi-sued.atlassian.net/browse/NPSCO-18454" TargetMode="External"/><Relationship Id="rId56" Type="http://schemas.openxmlformats.org/officeDocument/2006/relationships/hyperlink" Target="https://aldi-sued.atlassian.net/issues/?jql=%22cf%5B12600%5D%22%20%3D%20Checkout_Base" TargetMode="External"/><Relationship Id="rId77" Type="http://schemas.openxmlformats.org/officeDocument/2006/relationships/hyperlink" Target="https://aldi-sued.atlassian.net/browse/ANP-25070" TargetMode="External"/><Relationship Id="rId100" Type="http://schemas.openxmlformats.org/officeDocument/2006/relationships/hyperlink" Target="https://aldi-sued.atlassian.net/browse/BF-719" TargetMode="External"/><Relationship Id="rId105" Type="http://schemas.openxmlformats.org/officeDocument/2006/relationships/hyperlink" Target="https://aldi-sued.atlassian.net/browse/BF-780" TargetMode="External"/><Relationship Id="rId126" Type="http://schemas.openxmlformats.org/officeDocument/2006/relationships/hyperlink" Target="https://aldi-sued.atlassian.net/browse/ANP-24612" TargetMode="External"/><Relationship Id="rId8" Type="http://schemas.openxmlformats.org/officeDocument/2006/relationships/hyperlink" Target="https://aldi-sued.atlassian.net/browse/ANP-23694" TargetMode="External"/><Relationship Id="rId51" Type="http://schemas.openxmlformats.org/officeDocument/2006/relationships/hyperlink" Target="https://aldi-sued.atlassian.net/browse/NPSCO-18702" TargetMode="External"/><Relationship Id="rId72" Type="http://schemas.openxmlformats.org/officeDocument/2006/relationships/hyperlink" Target="https://aldi-sued.atlassian.net/browse/ANP-25127" TargetMode="External"/><Relationship Id="rId93" Type="http://schemas.openxmlformats.org/officeDocument/2006/relationships/hyperlink" Target="https://aldi-sued.atlassian.net/browse/ANP-24176" TargetMode="External"/><Relationship Id="rId98" Type="http://schemas.openxmlformats.org/officeDocument/2006/relationships/hyperlink" Target="https://aldi-sued.atlassian.net/browse/BF-699" TargetMode="External"/><Relationship Id="rId121" Type="http://schemas.openxmlformats.org/officeDocument/2006/relationships/hyperlink" Target="https://aldi-sued.atlassian.net/browse/ANP-24045" TargetMode="External"/><Relationship Id="rId3" Type="http://schemas.openxmlformats.org/officeDocument/2006/relationships/hyperlink" Target="https://aldi-sued.atlassian.net/browse/ANP-24949" TargetMode="External"/><Relationship Id="rId25" Type="http://schemas.openxmlformats.org/officeDocument/2006/relationships/hyperlink" Target="https://aldi-sued.atlassian.net/browse/NPSCO-18699" TargetMode="External"/><Relationship Id="rId46" Type="http://schemas.openxmlformats.org/officeDocument/2006/relationships/hyperlink" Target="https://aldi-sued.atlassian.net/browse/NPSCO-18707" TargetMode="External"/><Relationship Id="rId67" Type="http://schemas.openxmlformats.org/officeDocument/2006/relationships/hyperlink" Target="https://aldi-sued.atlassian.net/browse/ANP-15539" TargetMode="External"/><Relationship Id="rId116" Type="http://schemas.openxmlformats.org/officeDocument/2006/relationships/hyperlink" Target="https://aldi-sued.atlassian.net/browse/BF-809" TargetMode="External"/><Relationship Id="rId20" Type="http://schemas.openxmlformats.org/officeDocument/2006/relationships/hyperlink" Target="https://aldi-sued.atlassian.net/browse/ANP-25036" TargetMode="External"/><Relationship Id="rId41" Type="http://schemas.openxmlformats.org/officeDocument/2006/relationships/hyperlink" Target="https://aldi-sued.atlassian.net/issues/?jql=%22cf%5B12600%5D%22%20%3D%20Checkout_Base" TargetMode="External"/><Relationship Id="rId62" Type="http://schemas.openxmlformats.org/officeDocument/2006/relationships/hyperlink" Target="https://aldi-sued.atlassian.net/issues/?jql=%22cf%5B12600%5D%22%20%3D%20Checkout_Base" TargetMode="External"/><Relationship Id="rId83" Type="http://schemas.openxmlformats.org/officeDocument/2006/relationships/hyperlink" Target="https://aldi-sued.atlassian.net/browse/ANP-24909" TargetMode="External"/><Relationship Id="rId88" Type="http://schemas.openxmlformats.org/officeDocument/2006/relationships/hyperlink" Target="https://aldi-sued.atlassian.net/browse/ANP-24828" TargetMode="External"/><Relationship Id="rId111" Type="http://schemas.openxmlformats.org/officeDocument/2006/relationships/hyperlink" Target="https://aldi-sued.atlassian.net/browse/BF-842" TargetMode="External"/><Relationship Id="rId132" Type="http://schemas.openxmlformats.org/officeDocument/2006/relationships/hyperlink" Target="https://aldi-sued.atlassian.net/browse/ANP-24952" TargetMode="External"/><Relationship Id="rId15" Type="http://schemas.openxmlformats.org/officeDocument/2006/relationships/hyperlink" Target="https://aldi-sued.atlassian.net/browse/ANP-25060" TargetMode="External"/><Relationship Id="rId36" Type="http://schemas.openxmlformats.org/officeDocument/2006/relationships/hyperlink" Target="https://aldi-sued.atlassian.net/browse/NPSCO-18704" TargetMode="External"/><Relationship Id="rId57" Type="http://schemas.openxmlformats.org/officeDocument/2006/relationships/hyperlink" Target="https://aldi-sued.atlassian.net/browse/NPSCO-15737" TargetMode="External"/><Relationship Id="rId106" Type="http://schemas.openxmlformats.org/officeDocument/2006/relationships/hyperlink" Target="https://aldi-sued.atlassian.net/browse/BF-788" TargetMode="External"/><Relationship Id="rId127" Type="http://schemas.openxmlformats.org/officeDocument/2006/relationships/hyperlink" Target="https://aldi-sued.atlassian.net/browse/ANP-24700" TargetMode="External"/><Relationship Id="rId10" Type="http://schemas.openxmlformats.org/officeDocument/2006/relationships/hyperlink" Target="https://aldi-sued.atlassian.net/browse/ANP-24485" TargetMode="External"/><Relationship Id="rId31" Type="http://schemas.openxmlformats.org/officeDocument/2006/relationships/hyperlink" Target="https://aldi-sued.atlassian.net/browse/NPSCO-18692" TargetMode="External"/><Relationship Id="rId52" Type="http://schemas.openxmlformats.org/officeDocument/2006/relationships/hyperlink" Target="https://aldi-sued.atlassian.net/browse/NPSCO-18702" TargetMode="External"/><Relationship Id="rId73" Type="http://schemas.openxmlformats.org/officeDocument/2006/relationships/hyperlink" Target="https://aldi-sued.atlassian.net/browse/ANP-25103" TargetMode="External"/><Relationship Id="rId78" Type="http://schemas.openxmlformats.org/officeDocument/2006/relationships/hyperlink" Target="https://aldi-sued.atlassian.net/browse/ANP-25070" TargetMode="External"/><Relationship Id="rId94" Type="http://schemas.openxmlformats.org/officeDocument/2006/relationships/hyperlink" Target="https://aldi-sued.atlassian.net/browse/ANP-24176" TargetMode="External"/><Relationship Id="rId99" Type="http://schemas.openxmlformats.org/officeDocument/2006/relationships/hyperlink" Target="https://aldi-sued.atlassian.net/browse/BF-718" TargetMode="External"/><Relationship Id="rId101" Type="http://schemas.openxmlformats.org/officeDocument/2006/relationships/hyperlink" Target="https://aldi-sued.atlassian.net/browse/BF-734" TargetMode="External"/><Relationship Id="rId122" Type="http://schemas.openxmlformats.org/officeDocument/2006/relationships/hyperlink" Target="https://aldi-sued.atlassian.net/browse/ANP-24191" TargetMode="External"/><Relationship Id="rId4" Type="http://schemas.openxmlformats.org/officeDocument/2006/relationships/hyperlink" Target="https://aldi-sued.atlassian.net/browse/ANP-24950" TargetMode="External"/><Relationship Id="rId9" Type="http://schemas.openxmlformats.org/officeDocument/2006/relationships/hyperlink" Target="https://aldi-sued.atlassian.net/browse/ANP-23037" TargetMode="External"/><Relationship Id="rId26" Type="http://schemas.openxmlformats.org/officeDocument/2006/relationships/hyperlink" Target="https://aldi-sued.atlassian.net/browse/NPSCO-18690" TargetMode="External"/><Relationship Id="rId47" Type="http://schemas.openxmlformats.org/officeDocument/2006/relationships/hyperlink" Target="https://aldi-sued.atlassian.net/issues/?jql=%22cf%5B12600%5D%22%20%3D%20SCO_Two_Fingered_Sloth" TargetMode="External"/><Relationship Id="rId68" Type="http://schemas.openxmlformats.org/officeDocument/2006/relationships/hyperlink" Target="https://aldi-sued.atlassian.net/browse/ANP-24360" TargetMode="External"/><Relationship Id="rId89" Type="http://schemas.openxmlformats.org/officeDocument/2006/relationships/hyperlink" Target="https://aldi-sued.atlassian.net/browse/ANP-24589" TargetMode="External"/><Relationship Id="rId112" Type="http://schemas.openxmlformats.org/officeDocument/2006/relationships/hyperlink" Target="https://aldi-sued.atlassian.net/browse/BF-870" TargetMode="External"/><Relationship Id="rId133"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6" Type="http://schemas.openxmlformats.org/officeDocument/2006/relationships/hyperlink" Target="https://aldi-sued.atlassian.net/browse/NPSCO-10135" TargetMode="External"/><Relationship Id="rId21" Type="http://schemas.openxmlformats.org/officeDocument/2006/relationships/hyperlink" Target="https://aldi-sued.atlassian.net/browse/NPSCO-15192" TargetMode="External"/><Relationship Id="rId42" Type="http://schemas.openxmlformats.org/officeDocument/2006/relationships/hyperlink" Target="https://aldi-sued.atlassian.net/browse/ANP-24608" TargetMode="External"/><Relationship Id="rId47" Type="http://schemas.openxmlformats.org/officeDocument/2006/relationships/hyperlink" Target="https://aldi-sued.atlassian.net/browse/NPSCO-18474" TargetMode="External"/><Relationship Id="rId63" Type="http://schemas.openxmlformats.org/officeDocument/2006/relationships/hyperlink" Target="https://aldi-sued.atlassian.net/browse/ANP-24045" TargetMode="External"/><Relationship Id="rId68" Type="http://schemas.openxmlformats.org/officeDocument/2006/relationships/hyperlink" Target="https://aldi-sued.atlassian.net/browse/ANP-24612" TargetMode="External"/><Relationship Id="rId84" Type="http://schemas.openxmlformats.org/officeDocument/2006/relationships/hyperlink" Target="https://aldi-sued.atlassian.net/browse/BF-787" TargetMode="External"/><Relationship Id="rId89" Type="http://schemas.openxmlformats.org/officeDocument/2006/relationships/hyperlink" Target="https://aldi-sued.atlassian.net/browse/BF-741" TargetMode="External"/><Relationship Id="rId16" Type="http://schemas.openxmlformats.org/officeDocument/2006/relationships/hyperlink" Target="https://aldi-sued.atlassian.net/browse/NPSCO-15193" TargetMode="External"/><Relationship Id="rId11" Type="http://schemas.openxmlformats.org/officeDocument/2006/relationships/hyperlink" Target="https://aldi-sued.atlassian.net/browse/NPSCO-18486" TargetMode="External"/><Relationship Id="rId32" Type="http://schemas.openxmlformats.org/officeDocument/2006/relationships/hyperlink" Target="https://aldi-sued.atlassian.net/browse/NPSCO-17566" TargetMode="External"/><Relationship Id="rId37" Type="http://schemas.openxmlformats.org/officeDocument/2006/relationships/hyperlink" Target="https://aldi-sued.atlassian.net/browse/ANP-24759" TargetMode="External"/><Relationship Id="rId53" Type="http://schemas.openxmlformats.org/officeDocument/2006/relationships/hyperlink" Target="https://aldi-sued.atlassian.net/browse/NPSCO-18138" TargetMode="External"/><Relationship Id="rId58" Type="http://schemas.openxmlformats.org/officeDocument/2006/relationships/hyperlink" Target="https://aldi-sued.atlassian.net/browse/ANP-24042" TargetMode="External"/><Relationship Id="rId74" Type="http://schemas.openxmlformats.org/officeDocument/2006/relationships/hyperlink" Target="https://aldi-sued.atlassian.net/browse/ANP-18160" TargetMode="External"/><Relationship Id="rId79" Type="http://schemas.openxmlformats.org/officeDocument/2006/relationships/hyperlink" Target="https://aldi-sued.atlassian.net/browse/BF-571" TargetMode="External"/><Relationship Id="rId5" Type="http://schemas.openxmlformats.org/officeDocument/2006/relationships/hyperlink" Target="https://aldi-sued.atlassian.net/browse/ANP-24655" TargetMode="External"/><Relationship Id="rId90" Type="http://schemas.openxmlformats.org/officeDocument/2006/relationships/hyperlink" Target="https://aldi-sued.atlassian.net/browse/BF-743" TargetMode="External"/><Relationship Id="rId22" Type="http://schemas.openxmlformats.org/officeDocument/2006/relationships/hyperlink" Target="https://aldi-sued.atlassian.net/browse/NPSCO-16393" TargetMode="External"/><Relationship Id="rId27" Type="http://schemas.openxmlformats.org/officeDocument/2006/relationships/hyperlink" Target="https://aldi-sued.atlassian.net/browse/NPSCO-10135" TargetMode="External"/><Relationship Id="rId43" Type="http://schemas.openxmlformats.org/officeDocument/2006/relationships/hyperlink" Target="https://aldi-sued.atlassian.net/browse/NPSCO-16261" TargetMode="External"/><Relationship Id="rId48" Type="http://schemas.openxmlformats.org/officeDocument/2006/relationships/hyperlink" Target="https://aldi-sued.atlassian.net/browse/NPSCO-18210" TargetMode="External"/><Relationship Id="rId64" Type="http://schemas.openxmlformats.org/officeDocument/2006/relationships/hyperlink" Target="https://aldi-sued.atlassian.net/browse/ANP-24111" TargetMode="External"/><Relationship Id="rId69" Type="http://schemas.openxmlformats.org/officeDocument/2006/relationships/hyperlink" Target="https://aldi-sued.atlassian.net/browse/ANP-24699" TargetMode="External"/><Relationship Id="rId8" Type="http://schemas.openxmlformats.org/officeDocument/2006/relationships/hyperlink" Target="https://aldi-sued.atlassian.net/browse/NPSCO-18480" TargetMode="External"/><Relationship Id="rId51" Type="http://schemas.openxmlformats.org/officeDocument/2006/relationships/hyperlink" Target="https://aldi-sued.atlassian.net/browse/NPSCO-18563" TargetMode="External"/><Relationship Id="rId72" Type="http://schemas.openxmlformats.org/officeDocument/2006/relationships/hyperlink" Target="https://aldi-sued.atlassian.net/browse/ANP-19941" TargetMode="External"/><Relationship Id="rId80" Type="http://schemas.openxmlformats.org/officeDocument/2006/relationships/hyperlink" Target="https://aldi-sued.atlassian.net/browse/BF-623" TargetMode="External"/><Relationship Id="rId85" Type="http://schemas.openxmlformats.org/officeDocument/2006/relationships/hyperlink" Target="https://aldi-sued.atlassian.net/browse/BF-718" TargetMode="External"/><Relationship Id="rId93" Type="http://schemas.openxmlformats.org/officeDocument/2006/relationships/printerSettings" Target="../printerSettings/printerSettings9.bin"/><Relationship Id="rId3" Type="http://schemas.openxmlformats.org/officeDocument/2006/relationships/hyperlink" Target="https://aldi-sued.atlassian.net/browse/ANP-23695" TargetMode="External"/><Relationship Id="rId12" Type="http://schemas.openxmlformats.org/officeDocument/2006/relationships/hyperlink" Target="https://aldi-sued.atlassian.net/browse/NPSCO-18486" TargetMode="External"/><Relationship Id="rId17" Type="http://schemas.openxmlformats.org/officeDocument/2006/relationships/hyperlink" Target="https://aldi-sued.atlassian.net/browse/NPSCO-15193" TargetMode="External"/><Relationship Id="rId25" Type="http://schemas.openxmlformats.org/officeDocument/2006/relationships/hyperlink" Target="https://aldi-sued.atlassian.net/browse/NPSCO-15737" TargetMode="External"/><Relationship Id="rId33" Type="http://schemas.openxmlformats.org/officeDocument/2006/relationships/hyperlink" Target="https://aldi-sued.atlassian.net/browse/NPSCO-17566" TargetMode="External"/><Relationship Id="rId38" Type="http://schemas.openxmlformats.org/officeDocument/2006/relationships/hyperlink" Target="https://aldi-sued.atlassian.net/browse/ANP-23847" TargetMode="External"/><Relationship Id="rId46" Type="http://schemas.openxmlformats.org/officeDocument/2006/relationships/hyperlink" Target="https://aldi-sued.atlassian.net/browse/NPSCO-18428" TargetMode="External"/><Relationship Id="rId59" Type="http://schemas.openxmlformats.org/officeDocument/2006/relationships/hyperlink" Target="https://aldi-sued.atlassian.net/browse/ANP-24563" TargetMode="External"/><Relationship Id="rId67" Type="http://schemas.openxmlformats.org/officeDocument/2006/relationships/hyperlink" Target="https://aldi-sued.atlassian.net/browse/ANP-24566" TargetMode="External"/><Relationship Id="rId20" Type="http://schemas.openxmlformats.org/officeDocument/2006/relationships/hyperlink" Target="https://aldi-sued.atlassian.net/browse/NPSCO-15192" TargetMode="External"/><Relationship Id="rId41" Type="http://schemas.openxmlformats.org/officeDocument/2006/relationships/hyperlink" Target="https://aldi-sued.atlassian.net/browse/ANP-24360" TargetMode="External"/><Relationship Id="rId54" Type="http://schemas.openxmlformats.org/officeDocument/2006/relationships/hyperlink" Target="https://aldi-sued.atlassian.net/browse/NPSCO-18532" TargetMode="External"/><Relationship Id="rId62" Type="http://schemas.openxmlformats.org/officeDocument/2006/relationships/hyperlink" Target="https://aldi-sued.atlassian.net/browse/ANP-23978" TargetMode="External"/><Relationship Id="rId70" Type="http://schemas.openxmlformats.org/officeDocument/2006/relationships/hyperlink" Target="https://aldi-sued.atlassian.net/browse/ANP-24700" TargetMode="External"/><Relationship Id="rId75" Type="http://schemas.openxmlformats.org/officeDocument/2006/relationships/hyperlink" Target="https://aldi-sued.atlassian.net/browse/ANP-24318" TargetMode="External"/><Relationship Id="rId83" Type="http://schemas.openxmlformats.org/officeDocument/2006/relationships/hyperlink" Target="https://aldi-sued.atlassian.net/browse/BF-732" TargetMode="External"/><Relationship Id="rId88" Type="http://schemas.openxmlformats.org/officeDocument/2006/relationships/hyperlink" Target="https://aldi-sued.atlassian.net/browse/BF-740" TargetMode="External"/><Relationship Id="rId91" Type="http://schemas.openxmlformats.org/officeDocument/2006/relationships/hyperlink" Target="https://aldi-sued.atlassian.net/browse/BF-788" TargetMode="External"/><Relationship Id="rId1" Type="http://schemas.openxmlformats.org/officeDocument/2006/relationships/hyperlink" Target="https://aldi-sued.atlassian.net/browse/ANP-23694" TargetMode="External"/><Relationship Id="rId6" Type="http://schemas.openxmlformats.org/officeDocument/2006/relationships/hyperlink" Target="https://aldi-sued.atlassian.net/browse/ANP-24686" TargetMode="External"/><Relationship Id="rId15" Type="http://schemas.openxmlformats.org/officeDocument/2006/relationships/hyperlink" Target="https://aldi-sued.atlassian.net/browse/NPSCO-18492" TargetMode="External"/><Relationship Id="rId23" Type="http://schemas.openxmlformats.org/officeDocument/2006/relationships/hyperlink" Target="https://aldi-sued.atlassian.net/browse/NPSCO-16393" TargetMode="External"/><Relationship Id="rId28" Type="http://schemas.openxmlformats.org/officeDocument/2006/relationships/hyperlink" Target="https://aldi-sued.atlassian.net/browse/NPSCO-15738" TargetMode="External"/><Relationship Id="rId36" Type="http://schemas.openxmlformats.org/officeDocument/2006/relationships/hyperlink" Target="https://aldi-sued.atlassian.net/browse/ANP-24325" TargetMode="External"/><Relationship Id="rId49" Type="http://schemas.openxmlformats.org/officeDocument/2006/relationships/hyperlink" Target="https://aldi-sued.atlassian.net/browse/NPSCO-18493" TargetMode="External"/><Relationship Id="rId57" Type="http://schemas.openxmlformats.org/officeDocument/2006/relationships/hyperlink" Target="https://aldi-sued.atlassian.net/browse/ANP-23976" TargetMode="External"/><Relationship Id="rId10" Type="http://schemas.openxmlformats.org/officeDocument/2006/relationships/hyperlink" Target="https://aldi-sued.atlassian.net/issues/?jql=%22cf%5B12600%5D%22%20%3D%20Checkout_Base" TargetMode="External"/><Relationship Id="rId31" Type="http://schemas.openxmlformats.org/officeDocument/2006/relationships/hyperlink" Target="https://aldi-sued.atlassian.net/browse/NPSCO-15736" TargetMode="External"/><Relationship Id="rId44" Type="http://schemas.openxmlformats.org/officeDocument/2006/relationships/hyperlink" Target="https://aldi-sued.atlassian.net/browse/NPSCO-17316" TargetMode="External"/><Relationship Id="rId52" Type="http://schemas.openxmlformats.org/officeDocument/2006/relationships/hyperlink" Target="https://aldi-sued.atlassian.net/browse/NPSCO-17881" TargetMode="External"/><Relationship Id="rId60" Type="http://schemas.openxmlformats.org/officeDocument/2006/relationships/hyperlink" Target="https://aldi-sued.atlassian.net/browse/ANP-23587" TargetMode="External"/><Relationship Id="rId65" Type="http://schemas.openxmlformats.org/officeDocument/2006/relationships/hyperlink" Target="https://aldi-sued.atlassian.net/browse/ANP-24191" TargetMode="External"/><Relationship Id="rId73" Type="http://schemas.openxmlformats.org/officeDocument/2006/relationships/hyperlink" Target="https://aldi-sued.atlassian.net/browse/ANP-19414" TargetMode="External"/><Relationship Id="rId78" Type="http://schemas.openxmlformats.org/officeDocument/2006/relationships/hyperlink" Target="https://aldi-sued.atlassian.net/browse/BF-338" TargetMode="External"/><Relationship Id="rId81" Type="http://schemas.openxmlformats.org/officeDocument/2006/relationships/hyperlink" Target="https://aldi-sued.atlassian.net/browse/BF-674" TargetMode="External"/><Relationship Id="rId86" Type="http://schemas.openxmlformats.org/officeDocument/2006/relationships/hyperlink" Target="https://aldi-sued.atlassian.net/browse/BF-719" TargetMode="External"/><Relationship Id="rId94" Type="http://schemas.openxmlformats.org/officeDocument/2006/relationships/table" Target="../tables/table12.xml"/><Relationship Id="rId4" Type="http://schemas.openxmlformats.org/officeDocument/2006/relationships/hyperlink" Target="https://aldi-sued.atlassian.net/browse/ANP-23037" TargetMode="External"/><Relationship Id="rId9" Type="http://schemas.openxmlformats.org/officeDocument/2006/relationships/hyperlink" Target="https://aldi-sued.atlassian.net/browse/NPSCO-18480" TargetMode="External"/><Relationship Id="rId13" Type="http://schemas.openxmlformats.org/officeDocument/2006/relationships/hyperlink" Target="https://aldi-sued.atlassian.net/issues/?jql=%22cf%5B12600%5D%22%20%3D%20Checkout_Base" TargetMode="External"/><Relationship Id="rId18" Type="http://schemas.openxmlformats.org/officeDocument/2006/relationships/hyperlink" Target="https://aldi-sued.atlassian.net/browse/NPSCO-15500" TargetMode="External"/><Relationship Id="rId39" Type="http://schemas.openxmlformats.org/officeDocument/2006/relationships/hyperlink" Target="https://aldi-sued.atlassian.net/browse/ANP-23958" TargetMode="External"/><Relationship Id="rId34" Type="http://schemas.openxmlformats.org/officeDocument/2006/relationships/hyperlink" Target="https://aldi-sued.atlassian.net/issues/?jql=%22cf%5B12600%5D%22%20%3D%20Checkout_Base" TargetMode="External"/><Relationship Id="rId50" Type="http://schemas.openxmlformats.org/officeDocument/2006/relationships/hyperlink" Target="https://aldi-sued.atlassian.net/browse/NPSCO-18259" TargetMode="External"/><Relationship Id="rId55" Type="http://schemas.openxmlformats.org/officeDocument/2006/relationships/hyperlink" Target="https://aldi-sued.atlassian.net/browse/NPSCO-18533" TargetMode="External"/><Relationship Id="rId76" Type="http://schemas.openxmlformats.org/officeDocument/2006/relationships/hyperlink" Target="https://aldi-sued.atlassian.net/browse/ANP-22753" TargetMode="External"/><Relationship Id="rId7" Type="http://schemas.openxmlformats.org/officeDocument/2006/relationships/hyperlink" Target="https://aldi-sued.atlassian.net/browse/ANP-24485" TargetMode="External"/><Relationship Id="rId71" Type="http://schemas.openxmlformats.org/officeDocument/2006/relationships/hyperlink" Target="https://aldi-sued.atlassian.net/browse/ANP-24820" TargetMode="External"/><Relationship Id="rId92" Type="http://schemas.openxmlformats.org/officeDocument/2006/relationships/hyperlink" Target="https://aldi-sued.atlassian.net/browse/BF-770" TargetMode="External"/><Relationship Id="rId2" Type="http://schemas.openxmlformats.org/officeDocument/2006/relationships/hyperlink" Target="https://aldi-sued.atlassian.net/browse/ANP-24846" TargetMode="External"/><Relationship Id="rId29" Type="http://schemas.openxmlformats.org/officeDocument/2006/relationships/hyperlink" Target="https://aldi-sued.atlassian.net/browse/NPSCO-15738" TargetMode="External"/><Relationship Id="rId24" Type="http://schemas.openxmlformats.org/officeDocument/2006/relationships/hyperlink" Target="https://aldi-sued.atlassian.net/browse/NPSCO-15737" TargetMode="External"/><Relationship Id="rId40" Type="http://schemas.openxmlformats.org/officeDocument/2006/relationships/hyperlink" Target="https://aldi-sued.atlassian.net/browse/ANP-23979" TargetMode="External"/><Relationship Id="rId45" Type="http://schemas.openxmlformats.org/officeDocument/2006/relationships/hyperlink" Target="https://aldi-sued.atlassian.net/browse/NPSCO-18448" TargetMode="External"/><Relationship Id="rId66" Type="http://schemas.openxmlformats.org/officeDocument/2006/relationships/hyperlink" Target="https://aldi-sued.atlassian.net/browse/ANP-24565" TargetMode="External"/><Relationship Id="rId87" Type="http://schemas.openxmlformats.org/officeDocument/2006/relationships/hyperlink" Target="https://aldi-sued.atlassian.net/browse/BF-734" TargetMode="External"/><Relationship Id="rId61" Type="http://schemas.openxmlformats.org/officeDocument/2006/relationships/hyperlink" Target="https://aldi-sued.atlassian.net/browse/ANP-23977" TargetMode="External"/><Relationship Id="rId82" Type="http://schemas.openxmlformats.org/officeDocument/2006/relationships/hyperlink" Target="https://aldi-sued.atlassian.net/browse/BF-724" TargetMode="External"/><Relationship Id="rId19" Type="http://schemas.openxmlformats.org/officeDocument/2006/relationships/hyperlink" Target="https://aldi-sued.atlassian.net/browse/NPSCO-15500" TargetMode="External"/><Relationship Id="rId14" Type="http://schemas.openxmlformats.org/officeDocument/2006/relationships/hyperlink" Target="https://aldi-sued.atlassian.net/browse/NPSCO-18492" TargetMode="External"/><Relationship Id="rId30" Type="http://schemas.openxmlformats.org/officeDocument/2006/relationships/hyperlink" Target="https://aldi-sued.atlassian.net/browse/NPSCO-15736" TargetMode="External"/><Relationship Id="rId35" Type="http://schemas.openxmlformats.org/officeDocument/2006/relationships/hyperlink" Target="https://aldi-sued.atlassian.net/browse/ANP-24201" TargetMode="External"/><Relationship Id="rId56" Type="http://schemas.openxmlformats.org/officeDocument/2006/relationships/hyperlink" Target="https://aldi-sued.atlassian.net/browse/ANP-24168" TargetMode="External"/><Relationship Id="rId77" Type="http://schemas.openxmlformats.org/officeDocument/2006/relationships/hyperlink" Target="https://aldi-sued.atlassian.net/browse/ANP-24583" TargetMode="External"/></Relationships>
</file>

<file path=xl/worksheets/_rels/sheet17.xml.rels><?xml version="1.0" encoding="UTF-8" standalone="yes"?>
<Relationships xmlns="http://schemas.openxmlformats.org/package/2006/relationships"><Relationship Id="rId26" Type="http://schemas.openxmlformats.org/officeDocument/2006/relationships/hyperlink" Target="https://aldi-sued.atlassian.net/browse/NPSCO-18175" TargetMode="External"/><Relationship Id="rId21" Type="http://schemas.openxmlformats.org/officeDocument/2006/relationships/hyperlink" Target="https://aldi-sued.atlassian.net/browse/ANP-24495" TargetMode="External"/><Relationship Id="rId42" Type="http://schemas.openxmlformats.org/officeDocument/2006/relationships/hyperlink" Target="https://aldi-sued.atlassian.net/browse/ANP-24088" TargetMode="External"/><Relationship Id="rId47" Type="http://schemas.openxmlformats.org/officeDocument/2006/relationships/hyperlink" Target="https://aldi-sued.atlassian.net/browse/ANP-24511" TargetMode="External"/><Relationship Id="rId63" Type="http://schemas.openxmlformats.org/officeDocument/2006/relationships/hyperlink" Target="https://aldi-sued.atlassian.net/browse/BF-309" TargetMode="External"/><Relationship Id="rId68" Type="http://schemas.openxmlformats.org/officeDocument/2006/relationships/hyperlink" Target="https://aldi-sued.atlassian.net/browse/BF-704" TargetMode="External"/><Relationship Id="rId7" Type="http://schemas.openxmlformats.org/officeDocument/2006/relationships/hyperlink" Target="https://aldi-sued.atlassian.net/browse/ANP-23992" TargetMode="External"/><Relationship Id="rId71" Type="http://schemas.openxmlformats.org/officeDocument/2006/relationships/printerSettings" Target="../printerSettings/printerSettings10.bin"/><Relationship Id="rId2" Type="http://schemas.openxmlformats.org/officeDocument/2006/relationships/hyperlink" Target="https://aldi-sued.atlassian.net/browse/ANP-23018" TargetMode="External"/><Relationship Id="rId16" Type="http://schemas.openxmlformats.org/officeDocument/2006/relationships/hyperlink" Target="https://aldi-sued.atlassian.net/browse/ANP-24325" TargetMode="External"/><Relationship Id="rId29" Type="http://schemas.openxmlformats.org/officeDocument/2006/relationships/hyperlink" Target="https://aldi-sued.atlassian.net/browse/NPSCO-18259" TargetMode="External"/><Relationship Id="rId11" Type="http://schemas.openxmlformats.org/officeDocument/2006/relationships/hyperlink" Target="https://aldi-sued.atlassian.net/browse/ANP-15539" TargetMode="External"/><Relationship Id="rId24" Type="http://schemas.openxmlformats.org/officeDocument/2006/relationships/hyperlink" Target="https://aldi-sued.atlassian.net/browse/NPSCO-18290" TargetMode="External"/><Relationship Id="rId32" Type="http://schemas.openxmlformats.org/officeDocument/2006/relationships/hyperlink" Target="https://aldi-sued.atlassian.net/browse/NPSCO-18334" TargetMode="External"/><Relationship Id="rId37" Type="http://schemas.openxmlformats.org/officeDocument/2006/relationships/hyperlink" Target="https://aldi-sued.atlassian.net/browse/ANP-23242" TargetMode="External"/><Relationship Id="rId40" Type="http://schemas.openxmlformats.org/officeDocument/2006/relationships/hyperlink" Target="https://aldi-sued.atlassian.net/browse/ANP-24042" TargetMode="External"/><Relationship Id="rId45" Type="http://schemas.openxmlformats.org/officeDocument/2006/relationships/hyperlink" Target="https://aldi-sued.atlassian.net/browse/ANP-24445" TargetMode="External"/><Relationship Id="rId53" Type="http://schemas.openxmlformats.org/officeDocument/2006/relationships/hyperlink" Target="https://aldi-sued.atlassian.net/browse/ANP-19967" TargetMode="External"/><Relationship Id="rId58" Type="http://schemas.openxmlformats.org/officeDocument/2006/relationships/hyperlink" Target="https://aldi-sued.atlassian.net/browse/BF-306" TargetMode="External"/><Relationship Id="rId66" Type="http://schemas.openxmlformats.org/officeDocument/2006/relationships/hyperlink" Target="https://aldi-sued.atlassian.net/browse/BF-675" TargetMode="External"/><Relationship Id="rId5" Type="http://schemas.openxmlformats.org/officeDocument/2006/relationships/hyperlink" Target="https://aldi-sued.atlassian.net/browse/ANP-24398" TargetMode="External"/><Relationship Id="rId61" Type="http://schemas.openxmlformats.org/officeDocument/2006/relationships/hyperlink" Target="https://aldi-sued.atlassian.net/browse/BF-571" TargetMode="External"/><Relationship Id="rId19" Type="http://schemas.openxmlformats.org/officeDocument/2006/relationships/hyperlink" Target="https://aldi-sued.atlassian.net/browse/ANP-24410" TargetMode="External"/><Relationship Id="rId14" Type="http://schemas.openxmlformats.org/officeDocument/2006/relationships/hyperlink" Target="https://aldi-sued.atlassian.net/browse/ANP-23979" TargetMode="External"/><Relationship Id="rId22" Type="http://schemas.openxmlformats.org/officeDocument/2006/relationships/hyperlink" Target="https://aldi-sued.atlassian.net/browse/NPSCO-17729" TargetMode="External"/><Relationship Id="rId27" Type="http://schemas.openxmlformats.org/officeDocument/2006/relationships/hyperlink" Target="https://aldi-sued.atlassian.net/browse/NPSCO-16518" TargetMode="External"/><Relationship Id="rId30" Type="http://schemas.openxmlformats.org/officeDocument/2006/relationships/hyperlink" Target="https://aldi-sued.atlassian.net/browse/NPSCO-17881" TargetMode="External"/><Relationship Id="rId35" Type="http://schemas.openxmlformats.org/officeDocument/2006/relationships/hyperlink" Target="https://aldi-sued.atlassian.net/issues/?jql=%22cf%5B12600%5D%22%20%3D%20SCO_TheTillTitans" TargetMode="External"/><Relationship Id="rId43" Type="http://schemas.openxmlformats.org/officeDocument/2006/relationships/hyperlink" Target="https://aldi-sued.atlassian.net/browse/ANP-24111" TargetMode="External"/><Relationship Id="rId48" Type="http://schemas.openxmlformats.org/officeDocument/2006/relationships/hyperlink" Target="https://aldi-sued.atlassian.net/browse/ANP-24563" TargetMode="External"/><Relationship Id="rId56" Type="http://schemas.openxmlformats.org/officeDocument/2006/relationships/hyperlink" Target="https://aldi-sued.atlassian.net/browse/NPSCO-16190" TargetMode="External"/><Relationship Id="rId64" Type="http://schemas.openxmlformats.org/officeDocument/2006/relationships/hyperlink" Target="https://aldi-sued.atlassian.net/browse/BF-620" TargetMode="External"/><Relationship Id="rId69" Type="http://schemas.openxmlformats.org/officeDocument/2006/relationships/hyperlink" Target="https://aldi-sued.atlassian.net/browse/BF-705" TargetMode="External"/><Relationship Id="rId8" Type="http://schemas.openxmlformats.org/officeDocument/2006/relationships/hyperlink" Target="https://aldi-sued.atlassian.net/browse/ANP-24506" TargetMode="External"/><Relationship Id="rId51" Type="http://schemas.openxmlformats.org/officeDocument/2006/relationships/hyperlink" Target="https://aldi-sued.atlassian.net/browse/ANP-23454" TargetMode="External"/><Relationship Id="rId72" Type="http://schemas.openxmlformats.org/officeDocument/2006/relationships/table" Target="../tables/table13.xml"/><Relationship Id="rId3" Type="http://schemas.openxmlformats.org/officeDocument/2006/relationships/hyperlink" Target="https://aldi-sued.atlassian.net/browse/ANP-23694" TargetMode="External"/><Relationship Id="rId12" Type="http://schemas.openxmlformats.org/officeDocument/2006/relationships/hyperlink" Target="https://aldi-sued.atlassian.net/browse/ANP-22307" TargetMode="External"/><Relationship Id="rId17" Type="http://schemas.openxmlformats.org/officeDocument/2006/relationships/hyperlink" Target="https://aldi-sued.atlassian.net/browse/ANP-24357" TargetMode="External"/><Relationship Id="rId25" Type="http://schemas.openxmlformats.org/officeDocument/2006/relationships/hyperlink" Target="https://aldi-sued.atlassian.net/browse/NPSCO-16261" TargetMode="External"/><Relationship Id="rId33" Type="http://schemas.openxmlformats.org/officeDocument/2006/relationships/hyperlink" Target="https://aldi-sued.atlassian.net/browse/NPSCO-18335" TargetMode="External"/><Relationship Id="rId38" Type="http://schemas.openxmlformats.org/officeDocument/2006/relationships/hyperlink" Target="https://aldi-sued.atlassian.net/browse/ANP-23975" TargetMode="External"/><Relationship Id="rId46" Type="http://schemas.openxmlformats.org/officeDocument/2006/relationships/hyperlink" Target="https://aldi-sued.atlassian.net/browse/ANP-24486" TargetMode="External"/><Relationship Id="rId59" Type="http://schemas.openxmlformats.org/officeDocument/2006/relationships/hyperlink" Target="https://aldi-sued.atlassian.net/browse/BF-654" TargetMode="External"/><Relationship Id="rId67" Type="http://schemas.openxmlformats.org/officeDocument/2006/relationships/hyperlink" Target="https://aldi-sued.atlassian.net/browse/BF-703" TargetMode="External"/><Relationship Id="rId20" Type="http://schemas.openxmlformats.org/officeDocument/2006/relationships/hyperlink" Target="https://aldi-sued.atlassian.net/browse/ANP-24439" TargetMode="External"/><Relationship Id="rId41" Type="http://schemas.openxmlformats.org/officeDocument/2006/relationships/hyperlink" Target="https://aldi-sued.atlassian.net/browse/ANP-24045" TargetMode="External"/><Relationship Id="rId54" Type="http://schemas.openxmlformats.org/officeDocument/2006/relationships/hyperlink" Target="https://aldi-sued.atlassian.net/browse/ANP-18979" TargetMode="External"/><Relationship Id="rId62" Type="http://schemas.openxmlformats.org/officeDocument/2006/relationships/hyperlink" Target="https://aldi-sued.atlassian.net/browse/BF-619" TargetMode="External"/><Relationship Id="rId70" Type="http://schemas.openxmlformats.org/officeDocument/2006/relationships/hyperlink" Target="https://aldi-sued.atlassian.net/browse/ANP-24318" TargetMode="External"/><Relationship Id="rId1" Type="http://schemas.openxmlformats.org/officeDocument/2006/relationships/hyperlink" Target="https://aldi-sued.atlassian.net/browse/ANP-18160" TargetMode="External"/><Relationship Id="rId6" Type="http://schemas.openxmlformats.org/officeDocument/2006/relationships/hyperlink" Target="https://aldi-sued.atlassian.net/browse/ANP-23684" TargetMode="External"/><Relationship Id="rId15" Type="http://schemas.openxmlformats.org/officeDocument/2006/relationships/hyperlink" Target="https://aldi-sued.atlassian.net/browse/ANP-24320" TargetMode="External"/><Relationship Id="rId23" Type="http://schemas.openxmlformats.org/officeDocument/2006/relationships/hyperlink" Target="https://aldi-sued.atlassian.net/browse/NPSCO-17011" TargetMode="External"/><Relationship Id="rId28" Type="http://schemas.openxmlformats.org/officeDocument/2006/relationships/hyperlink" Target="https://aldi-sued.atlassian.net/browse/NPSCO-17316" TargetMode="External"/><Relationship Id="rId36" Type="http://schemas.openxmlformats.org/officeDocument/2006/relationships/hyperlink" Target="https://aldi-sued.atlassian.net/browse/ANP-24484" TargetMode="External"/><Relationship Id="rId49" Type="http://schemas.openxmlformats.org/officeDocument/2006/relationships/hyperlink" Target="https://aldi-sued.atlassian.net/browse/ANP-24542" TargetMode="External"/><Relationship Id="rId57" Type="http://schemas.openxmlformats.org/officeDocument/2006/relationships/hyperlink" Target="https://aldi-sued.atlassian.net/browse/NPSCO-18127" TargetMode="External"/><Relationship Id="rId10" Type="http://schemas.openxmlformats.org/officeDocument/2006/relationships/hyperlink" Target="https://aldi-sued.atlassian.net/browse/ANP-14099" TargetMode="External"/><Relationship Id="rId31" Type="http://schemas.openxmlformats.org/officeDocument/2006/relationships/hyperlink" Target="https://aldi-sued.atlassian.net/browse/NPSCO-18138" TargetMode="External"/><Relationship Id="rId44" Type="http://schemas.openxmlformats.org/officeDocument/2006/relationships/hyperlink" Target="https://aldi-sued.atlassian.net/browse/ANP-24191" TargetMode="External"/><Relationship Id="rId52" Type="http://schemas.openxmlformats.org/officeDocument/2006/relationships/hyperlink" Target="https://aldi-sued.atlassian.net/browse/ANP-22866" TargetMode="External"/><Relationship Id="rId60" Type="http://schemas.openxmlformats.org/officeDocument/2006/relationships/hyperlink" Target="https://aldi-sued.atlassian.net/browse/BF-626" TargetMode="External"/><Relationship Id="rId65" Type="http://schemas.openxmlformats.org/officeDocument/2006/relationships/hyperlink" Target="https://aldi-sued.atlassian.net/browse/BF-674" TargetMode="External"/><Relationship Id="rId4" Type="http://schemas.openxmlformats.org/officeDocument/2006/relationships/hyperlink" Target="https://aldi-sued.atlassian.net/browse/ANP-23695" TargetMode="External"/><Relationship Id="rId9" Type="http://schemas.openxmlformats.org/officeDocument/2006/relationships/hyperlink" Target="https://aldi-sued.atlassian.net/browse/ANP-12711" TargetMode="External"/><Relationship Id="rId13" Type="http://schemas.openxmlformats.org/officeDocument/2006/relationships/hyperlink" Target="https://aldi-sued.atlassian.net/browse/ANP-23847" TargetMode="External"/><Relationship Id="rId18" Type="http://schemas.openxmlformats.org/officeDocument/2006/relationships/hyperlink" Target="https://aldi-sued.atlassian.net/browse/ANP-24360" TargetMode="External"/><Relationship Id="rId39" Type="http://schemas.openxmlformats.org/officeDocument/2006/relationships/hyperlink" Target="https://aldi-sued.atlassian.net/browse/ANP-23976" TargetMode="External"/><Relationship Id="rId34" Type="http://schemas.openxmlformats.org/officeDocument/2006/relationships/hyperlink" Target="https://aldi-sued.atlassian.net/browse/NPSCO-18366" TargetMode="External"/><Relationship Id="rId50" Type="http://schemas.openxmlformats.org/officeDocument/2006/relationships/hyperlink" Target="https://aldi-sued.atlassian.net/browse/ANP-24541" TargetMode="External"/><Relationship Id="rId55" Type="http://schemas.openxmlformats.org/officeDocument/2006/relationships/hyperlink" Target="https://aldi-sued.atlassian.net/browse/ANP-13550" TargetMode="External"/></Relationships>
</file>

<file path=xl/worksheets/_rels/sheet18.xml.rels><?xml version="1.0" encoding="UTF-8" standalone="yes"?>
<Relationships xmlns="http://schemas.openxmlformats.org/package/2006/relationships"><Relationship Id="rId26" Type="http://schemas.openxmlformats.org/officeDocument/2006/relationships/hyperlink" Target="https://aldi-sued.atlassian.net/browse/ANP-21725" TargetMode="External"/><Relationship Id="rId21" Type="http://schemas.openxmlformats.org/officeDocument/2006/relationships/hyperlink" Target="https://aldi-sued.atlassian.net/browse/NPSCO-17743" TargetMode="External"/><Relationship Id="rId42" Type="http://schemas.openxmlformats.org/officeDocument/2006/relationships/hyperlink" Target="https://aldi-sued.atlassian.net/browse/ANP-23721" TargetMode="External"/><Relationship Id="rId47" Type="http://schemas.openxmlformats.org/officeDocument/2006/relationships/hyperlink" Target="https://aldi-sued.atlassian.net/browse/ANP-23847" TargetMode="External"/><Relationship Id="rId63" Type="http://schemas.openxmlformats.org/officeDocument/2006/relationships/hyperlink" Target="https://aldi-sued.atlassian.net/browse/BF-558" TargetMode="External"/><Relationship Id="rId68" Type="http://schemas.openxmlformats.org/officeDocument/2006/relationships/hyperlink" Target="https://aldi-sued.atlassian.net/browse/ANP-15539" TargetMode="External"/><Relationship Id="rId84" Type="http://schemas.openxmlformats.org/officeDocument/2006/relationships/table" Target="../tables/table14.xml"/><Relationship Id="rId16" Type="http://schemas.openxmlformats.org/officeDocument/2006/relationships/hyperlink" Target="https://aldi-sued.atlassian.net/browse/NPSCO-16261" TargetMode="External"/><Relationship Id="rId11" Type="http://schemas.openxmlformats.org/officeDocument/2006/relationships/hyperlink" Target="https://aldi-sued.atlassian.net/browse/NPSCO-17739" TargetMode="External"/><Relationship Id="rId32" Type="http://schemas.openxmlformats.org/officeDocument/2006/relationships/hyperlink" Target="https://aldi-sued.atlassian.net/browse/ANP-24307" TargetMode="External"/><Relationship Id="rId37" Type="http://schemas.openxmlformats.org/officeDocument/2006/relationships/hyperlink" Target="https://aldi-sued.atlassian.net/browse/ANP-24209" TargetMode="External"/><Relationship Id="rId53" Type="http://schemas.openxmlformats.org/officeDocument/2006/relationships/hyperlink" Target="https://aldi-sued.atlassian.net/browse/BF-444" TargetMode="External"/><Relationship Id="rId58" Type="http://schemas.openxmlformats.org/officeDocument/2006/relationships/hyperlink" Target="https://aldi-sued.atlassian.net/browse/BF-581" TargetMode="External"/><Relationship Id="rId74" Type="http://schemas.openxmlformats.org/officeDocument/2006/relationships/hyperlink" Target="https://aldi-sued.atlassian.net/browse/NPSCO-18250" TargetMode="External"/><Relationship Id="rId79" Type="http://schemas.openxmlformats.org/officeDocument/2006/relationships/hyperlink" Target="https://aldi-sued.atlassian.net/browse/NPSCO-18127" TargetMode="External"/><Relationship Id="rId5" Type="http://schemas.openxmlformats.org/officeDocument/2006/relationships/hyperlink" Target="https://aldi-sued.atlassian.net/browse/ANP-23197" TargetMode="External"/><Relationship Id="rId61" Type="http://schemas.openxmlformats.org/officeDocument/2006/relationships/hyperlink" Target="https://aldi-sued.atlassian.net/browse/BF-614" TargetMode="External"/><Relationship Id="rId82" Type="http://schemas.openxmlformats.org/officeDocument/2006/relationships/hyperlink" Target="https://aldi-sued.atlassian.net/browse/BF-654" TargetMode="External"/><Relationship Id="rId19" Type="http://schemas.openxmlformats.org/officeDocument/2006/relationships/hyperlink" Target="https://aldi-sued.atlassian.net/browse/NPSCO-17011" TargetMode="External"/><Relationship Id="rId14" Type="http://schemas.openxmlformats.org/officeDocument/2006/relationships/hyperlink" Target="https://aldi-sued.atlassian.net/browse/NPSCO-17240" TargetMode="External"/><Relationship Id="rId22" Type="http://schemas.openxmlformats.org/officeDocument/2006/relationships/hyperlink" Target="https://aldi-sued.atlassian.net/browse/NPSCO-17740" TargetMode="External"/><Relationship Id="rId27" Type="http://schemas.openxmlformats.org/officeDocument/2006/relationships/hyperlink" Target="https://aldi-sued.atlassian.net/browse/ANP-22884" TargetMode="External"/><Relationship Id="rId30" Type="http://schemas.openxmlformats.org/officeDocument/2006/relationships/hyperlink" Target="https://aldi-sued.atlassian.net/browse/ANP-24125" TargetMode="External"/><Relationship Id="rId35" Type="http://schemas.openxmlformats.org/officeDocument/2006/relationships/hyperlink" Target="https://aldi-sued.atlassian.net/browse/ANP-23454" TargetMode="External"/><Relationship Id="rId43" Type="http://schemas.openxmlformats.org/officeDocument/2006/relationships/hyperlink" Target="https://aldi-sued.atlassian.net/browse/ANP-24032" TargetMode="External"/><Relationship Id="rId48" Type="http://schemas.openxmlformats.org/officeDocument/2006/relationships/hyperlink" Target="https://aldi-sued.atlassian.net/browse/ANP-23979" TargetMode="External"/><Relationship Id="rId56" Type="http://schemas.openxmlformats.org/officeDocument/2006/relationships/hyperlink" Target="https://aldi-sued.atlassian.net/browse/BF-577" TargetMode="External"/><Relationship Id="rId64" Type="http://schemas.openxmlformats.org/officeDocument/2006/relationships/hyperlink" Target="https://aldi-sued.atlassian.net/browse/BF-552" TargetMode="External"/><Relationship Id="rId69" Type="http://schemas.openxmlformats.org/officeDocument/2006/relationships/hyperlink" Target="https://aldi-sued.atlassian.net/browse/ANP-14099" TargetMode="External"/><Relationship Id="rId77" Type="http://schemas.openxmlformats.org/officeDocument/2006/relationships/hyperlink" Target="https://aldi-sued.atlassian.net/browse/NPSCO-18128" TargetMode="External"/><Relationship Id="rId8" Type="http://schemas.openxmlformats.org/officeDocument/2006/relationships/hyperlink" Target="https://aldi-sued.atlassian.net/browse/NPSCO-17729" TargetMode="External"/><Relationship Id="rId51" Type="http://schemas.openxmlformats.org/officeDocument/2006/relationships/hyperlink" Target="https://aldi-sued.atlassian.net/browse/BF-414" TargetMode="External"/><Relationship Id="rId72" Type="http://schemas.openxmlformats.org/officeDocument/2006/relationships/hyperlink" Target="https://aldi-sued.atlassian.net/browse/ANP-23897" TargetMode="External"/><Relationship Id="rId80" Type="http://schemas.openxmlformats.org/officeDocument/2006/relationships/hyperlink" Target="https://aldi-sued.atlassian.net/browse/BF-571" TargetMode="External"/><Relationship Id="rId3" Type="http://schemas.openxmlformats.org/officeDocument/2006/relationships/hyperlink" Target="https://aldi-sued.atlassian.net/browse/ANP-19512" TargetMode="External"/><Relationship Id="rId12" Type="http://schemas.openxmlformats.org/officeDocument/2006/relationships/hyperlink" Target="https://aldi-sued.atlassian.net/browse/NPSCO-17738" TargetMode="External"/><Relationship Id="rId17" Type="http://schemas.openxmlformats.org/officeDocument/2006/relationships/hyperlink" Target="https://aldi-sued.atlassian.net/browse/NPSCO-17005" TargetMode="External"/><Relationship Id="rId25" Type="http://schemas.openxmlformats.org/officeDocument/2006/relationships/hyperlink" Target="https://aldi-sued.atlassian.net/browse/NPSCO-17746" TargetMode="External"/><Relationship Id="rId33" Type="http://schemas.openxmlformats.org/officeDocument/2006/relationships/hyperlink" Target="https://aldi-sued.atlassian.net/browse/ANP-24309" TargetMode="External"/><Relationship Id="rId38" Type="http://schemas.openxmlformats.org/officeDocument/2006/relationships/hyperlink" Target="https://aldi-sued.atlassian.net/browse/ANP-24249" TargetMode="External"/><Relationship Id="rId46" Type="http://schemas.openxmlformats.org/officeDocument/2006/relationships/hyperlink" Target="https://aldi-sued.atlassian.net/browse/ANP-23684" TargetMode="External"/><Relationship Id="rId59" Type="http://schemas.openxmlformats.org/officeDocument/2006/relationships/hyperlink" Target="https://aldi-sued.atlassian.net/browse/BF-582" TargetMode="External"/><Relationship Id="rId67" Type="http://schemas.openxmlformats.org/officeDocument/2006/relationships/hyperlink" Target="https://aldi-sued.atlassian.net/browse/BF-394" TargetMode="External"/><Relationship Id="rId20" Type="http://schemas.openxmlformats.org/officeDocument/2006/relationships/hyperlink" Target="https://aldi-sued.atlassian.net/browse/NPSCO-17742" TargetMode="External"/><Relationship Id="rId41" Type="http://schemas.openxmlformats.org/officeDocument/2006/relationships/hyperlink" Target="https://aldi-sued.atlassian.net/browse/ANP-23450" TargetMode="External"/><Relationship Id="rId54" Type="http://schemas.openxmlformats.org/officeDocument/2006/relationships/hyperlink" Target="https://aldi-sued.atlassian.net/browse/BF-548" TargetMode="External"/><Relationship Id="rId62" Type="http://schemas.openxmlformats.org/officeDocument/2006/relationships/hyperlink" Target="https://aldi-sued.atlassian.net/browse/BF-617" TargetMode="External"/><Relationship Id="rId70" Type="http://schemas.openxmlformats.org/officeDocument/2006/relationships/hyperlink" Target="https://aldi-sued.atlassian.net/browse/ANP-23903" TargetMode="External"/><Relationship Id="rId75" Type="http://schemas.openxmlformats.org/officeDocument/2006/relationships/hyperlink" Target="https://aldi-sued.atlassian.net/browse/NPSCO-18251" TargetMode="External"/><Relationship Id="rId83" Type="http://schemas.openxmlformats.org/officeDocument/2006/relationships/printerSettings" Target="../printerSettings/printerSettings11.bin"/><Relationship Id="rId1" Type="http://schemas.openxmlformats.org/officeDocument/2006/relationships/hyperlink" Target="https://aldi-sued.atlassian.net/browse/ANP-23181" TargetMode="External"/><Relationship Id="rId6" Type="http://schemas.openxmlformats.org/officeDocument/2006/relationships/hyperlink" Target="https://aldi-sued.atlassian.net/browse/ANP-23973" TargetMode="External"/><Relationship Id="rId15" Type="http://schemas.openxmlformats.org/officeDocument/2006/relationships/hyperlink" Target="https://aldi-sued.atlassian.net/browse/NPSCO-17881" TargetMode="External"/><Relationship Id="rId23" Type="http://schemas.openxmlformats.org/officeDocument/2006/relationships/hyperlink" Target="https://aldi-sued.atlassian.net/browse/NPSCO-17741" TargetMode="External"/><Relationship Id="rId28" Type="http://schemas.openxmlformats.org/officeDocument/2006/relationships/hyperlink" Target="https://aldi-sued.atlassian.net/browse/ANP-23002" TargetMode="External"/><Relationship Id="rId36" Type="http://schemas.openxmlformats.org/officeDocument/2006/relationships/hyperlink" Target="https://aldi-sued.atlassian.net/browse/ANP-24205" TargetMode="External"/><Relationship Id="rId49" Type="http://schemas.openxmlformats.org/officeDocument/2006/relationships/hyperlink" Target="https://aldi-sued.atlassian.net/browse/ANP-23992" TargetMode="External"/><Relationship Id="rId57" Type="http://schemas.openxmlformats.org/officeDocument/2006/relationships/hyperlink" Target="https://aldi-sued.atlassian.net/browse/BF-579" TargetMode="External"/><Relationship Id="rId10" Type="http://schemas.openxmlformats.org/officeDocument/2006/relationships/hyperlink" Target="https://aldi-sued.atlassian.net/browse/NPSCO-17700" TargetMode="External"/><Relationship Id="rId31" Type="http://schemas.openxmlformats.org/officeDocument/2006/relationships/hyperlink" Target="https://aldi-sued.atlassian.net/browse/ANP-24255" TargetMode="External"/><Relationship Id="rId44" Type="http://schemas.openxmlformats.org/officeDocument/2006/relationships/hyperlink" Target="https://aldi-sued.atlassian.net/browse/ANP-24033" TargetMode="External"/><Relationship Id="rId52" Type="http://schemas.openxmlformats.org/officeDocument/2006/relationships/hyperlink" Target="https://aldi-sued.atlassian.net/browse/BF-442" TargetMode="External"/><Relationship Id="rId60" Type="http://schemas.openxmlformats.org/officeDocument/2006/relationships/hyperlink" Target="https://aldi-sued.atlassian.net/browse/BF-588" TargetMode="External"/><Relationship Id="rId65" Type="http://schemas.openxmlformats.org/officeDocument/2006/relationships/hyperlink" Target="https://aldi-sued.atlassian.net/browse/BF-330" TargetMode="External"/><Relationship Id="rId73" Type="http://schemas.openxmlformats.org/officeDocument/2006/relationships/hyperlink" Target="https://aldi-sued.atlassian.net/browse/NPSCO-18290" TargetMode="External"/><Relationship Id="rId78" Type="http://schemas.openxmlformats.org/officeDocument/2006/relationships/hyperlink" Target="https://aldi-sued.atlassian.net/browse/NPSCO-18056" TargetMode="External"/><Relationship Id="rId81" Type="http://schemas.openxmlformats.org/officeDocument/2006/relationships/hyperlink" Target="https://aldi-sued.atlassian.net/browse/BF-626" TargetMode="External"/><Relationship Id="rId4" Type="http://schemas.openxmlformats.org/officeDocument/2006/relationships/hyperlink" Target="https://aldi-sued.atlassian.net/browse/ANP-23344" TargetMode="External"/><Relationship Id="rId9" Type="http://schemas.openxmlformats.org/officeDocument/2006/relationships/hyperlink" Target="https://aldi-sued.atlassian.net/browse/NPSCO-17728" TargetMode="External"/><Relationship Id="rId13" Type="http://schemas.openxmlformats.org/officeDocument/2006/relationships/hyperlink" Target="https://aldi-sued.atlassian.net/browse/NPSCO-17699" TargetMode="External"/><Relationship Id="rId18" Type="http://schemas.openxmlformats.org/officeDocument/2006/relationships/hyperlink" Target="https://aldi-sued.atlassian.net/browse/NPSCO-16190" TargetMode="External"/><Relationship Id="rId39" Type="http://schemas.openxmlformats.org/officeDocument/2006/relationships/hyperlink" Target="https://aldi-sued.atlassian.net/browse/ANP-17528" TargetMode="External"/><Relationship Id="rId34" Type="http://schemas.openxmlformats.org/officeDocument/2006/relationships/hyperlink" Target="https://aldi-sued.atlassian.net/browse/ANP-20258" TargetMode="External"/><Relationship Id="rId50" Type="http://schemas.openxmlformats.org/officeDocument/2006/relationships/hyperlink" Target="https://aldi-sued.atlassian.net/browse/ANP-24186" TargetMode="External"/><Relationship Id="rId55" Type="http://schemas.openxmlformats.org/officeDocument/2006/relationships/hyperlink" Target="https://aldi-sued.atlassian.net/browse/BF-553" TargetMode="External"/><Relationship Id="rId76" Type="http://schemas.openxmlformats.org/officeDocument/2006/relationships/hyperlink" Target="https://aldi-sued.atlassian.net/browse/NPSCO-18016" TargetMode="External"/><Relationship Id="rId7" Type="http://schemas.openxmlformats.org/officeDocument/2006/relationships/hyperlink" Target="https://aldi-sued.atlassian.net/browse/ANP-24068" TargetMode="External"/><Relationship Id="rId71" Type="http://schemas.openxmlformats.org/officeDocument/2006/relationships/hyperlink" Target="https://aldi-sued.atlassian.net/browse/ANP-23896" TargetMode="External"/><Relationship Id="rId2" Type="http://schemas.openxmlformats.org/officeDocument/2006/relationships/hyperlink" Target="https://aldi-sued.atlassian.net/browse/ANP-23670" TargetMode="External"/><Relationship Id="rId29" Type="http://schemas.openxmlformats.org/officeDocument/2006/relationships/hyperlink" Target="https://aldi-sued.atlassian.net/browse/ANP-23910" TargetMode="External"/><Relationship Id="rId24" Type="http://schemas.openxmlformats.org/officeDocument/2006/relationships/hyperlink" Target="https://aldi-sued.atlassian.net/browse/NPSCO-18015" TargetMode="External"/><Relationship Id="rId40" Type="http://schemas.openxmlformats.org/officeDocument/2006/relationships/hyperlink" Target="https://aldi-sued.atlassian.net/browse/ANP-22666" TargetMode="External"/><Relationship Id="rId45" Type="http://schemas.openxmlformats.org/officeDocument/2006/relationships/hyperlink" Target="https://aldi-sued.atlassian.net/browse/ANP-22307" TargetMode="External"/><Relationship Id="rId66" Type="http://schemas.openxmlformats.org/officeDocument/2006/relationships/hyperlink" Target="https://aldi-sued.atlassian.net/browse/BF-306" TargetMode="External"/></Relationships>
</file>

<file path=xl/worksheets/_rels/sheet19.xml.rels><?xml version="1.0" encoding="UTF-8" standalone="yes"?>
<Relationships xmlns="http://schemas.openxmlformats.org/package/2006/relationships"><Relationship Id="rId117" Type="http://schemas.openxmlformats.org/officeDocument/2006/relationships/hyperlink" Target="https://aldi-sued.atlassian.net/browse/CHO-4915" TargetMode="External"/><Relationship Id="rId21" Type="http://schemas.openxmlformats.org/officeDocument/2006/relationships/hyperlink" Target="https://aldi-sued.atlassian.net/browse/NPSCO-17713" TargetMode="External"/><Relationship Id="rId42" Type="http://schemas.openxmlformats.org/officeDocument/2006/relationships/hyperlink" Target="https://aldi-sued.atlassian.net/browse/ANP-20250" TargetMode="External"/><Relationship Id="rId63" Type="http://schemas.openxmlformats.org/officeDocument/2006/relationships/hyperlink" Target="https://aldi-sued.atlassian.net/browse/NPSCO-17722" TargetMode="External"/><Relationship Id="rId84" Type="http://schemas.openxmlformats.org/officeDocument/2006/relationships/hyperlink" Target="https://aldi-sued.atlassian.net/browse/NPSCO-17738" TargetMode="External"/><Relationship Id="rId138" Type="http://schemas.openxmlformats.org/officeDocument/2006/relationships/hyperlink" Target="https://aldi-sued.atlassian.net/browse/ANP-23572" TargetMode="External"/><Relationship Id="rId159" Type="http://schemas.openxmlformats.org/officeDocument/2006/relationships/hyperlink" Target="https://aldi-sued.atlassian.net/browse/NPSCO-18050" TargetMode="External"/><Relationship Id="rId107" Type="http://schemas.openxmlformats.org/officeDocument/2006/relationships/hyperlink" Target="https://aldi-sued.atlassian.net/browse/CHO-5011" TargetMode="External"/><Relationship Id="rId11" Type="http://schemas.openxmlformats.org/officeDocument/2006/relationships/hyperlink" Target="https://aldi-sued.atlassian.net/browse/NPSCO-17717" TargetMode="External"/><Relationship Id="rId32" Type="http://schemas.openxmlformats.org/officeDocument/2006/relationships/hyperlink" Target="https://aldi-sued.atlassian.net/browse/NPSCO-17749" TargetMode="External"/><Relationship Id="rId53" Type="http://schemas.openxmlformats.org/officeDocument/2006/relationships/hyperlink" Target="https://aldi-sued.atlassian.net/browse/NPSCO-17725" TargetMode="External"/><Relationship Id="rId74" Type="http://schemas.openxmlformats.org/officeDocument/2006/relationships/hyperlink" Target="https://aldi-sued.atlassian.net/browse/NPSCO-17700" TargetMode="External"/><Relationship Id="rId128" Type="http://schemas.openxmlformats.org/officeDocument/2006/relationships/hyperlink" Target="https://aldi-sued.atlassian.net/browse/ANP-21712" TargetMode="External"/><Relationship Id="rId149" Type="http://schemas.openxmlformats.org/officeDocument/2006/relationships/hyperlink" Target="https://aldi-sued.atlassian.net/browse/BF-307" TargetMode="External"/><Relationship Id="rId5" Type="http://schemas.openxmlformats.org/officeDocument/2006/relationships/hyperlink" Target="https://aldi-sued.atlassian.net/browse/ANP-18159" TargetMode="External"/><Relationship Id="rId95" Type="http://schemas.openxmlformats.org/officeDocument/2006/relationships/hyperlink" Target="https://aldi-sued.atlassian.net/browse/NPSCO-18015" TargetMode="External"/><Relationship Id="rId160" Type="http://schemas.openxmlformats.org/officeDocument/2006/relationships/printerSettings" Target="../printerSettings/printerSettings12.bin"/><Relationship Id="rId22" Type="http://schemas.openxmlformats.org/officeDocument/2006/relationships/hyperlink" Target="https://aldi-sued.atlassian.net/browse/NPSCO-17712" TargetMode="External"/><Relationship Id="rId43" Type="http://schemas.openxmlformats.org/officeDocument/2006/relationships/hyperlink" Target="https://aldi-sued.atlassian.net/browse/ANP-23187" TargetMode="External"/><Relationship Id="rId64" Type="http://schemas.openxmlformats.org/officeDocument/2006/relationships/hyperlink" Target="https://aldi-sued.atlassian.net/browse/NPSCO-11856" TargetMode="External"/><Relationship Id="rId118" Type="http://schemas.openxmlformats.org/officeDocument/2006/relationships/hyperlink" Target="https://aldi-sued.atlassian.net/browse/CHO-4955" TargetMode="External"/><Relationship Id="rId139" Type="http://schemas.openxmlformats.org/officeDocument/2006/relationships/hyperlink" Target="https://aldi-sued.atlassian.net/browse/ANP-23628" TargetMode="External"/><Relationship Id="rId85" Type="http://schemas.openxmlformats.org/officeDocument/2006/relationships/hyperlink" Target="https://aldi-sued.atlassian.net/browse/NPSCO-17740" TargetMode="External"/><Relationship Id="rId150" Type="http://schemas.openxmlformats.org/officeDocument/2006/relationships/hyperlink" Target="https://aldi-sued.atlassian.net/browse/BF-410" TargetMode="External"/><Relationship Id="rId12" Type="http://schemas.openxmlformats.org/officeDocument/2006/relationships/hyperlink" Target="https://aldi-sued.atlassian.net/issues/?jql=%22cf%5B12600%5D%22%20%3D%20SCO_Two_Fingered_Sloth" TargetMode="External"/><Relationship Id="rId17" Type="http://schemas.openxmlformats.org/officeDocument/2006/relationships/hyperlink" Target="https://aldi-sued.atlassian.net/issues/?jql=%22cf%5B12600%5D%22%20%3D%20Product_Value" TargetMode="External"/><Relationship Id="rId33" Type="http://schemas.openxmlformats.org/officeDocument/2006/relationships/hyperlink" Target="https://aldi-sued.atlassian.net/browse/NPSCO-17749" TargetMode="External"/><Relationship Id="rId38" Type="http://schemas.openxmlformats.org/officeDocument/2006/relationships/hyperlink" Target="https://aldi-sued.atlassian.net/browse/NPSCO-17745" TargetMode="External"/><Relationship Id="rId59" Type="http://schemas.openxmlformats.org/officeDocument/2006/relationships/hyperlink" Target="https://aldi-sued.atlassian.net/browse/NPSCO-17455" TargetMode="External"/><Relationship Id="rId103" Type="http://schemas.openxmlformats.org/officeDocument/2006/relationships/hyperlink" Target="https://aldi-sued.atlassian.net/browse/CHO-4737" TargetMode="External"/><Relationship Id="rId108" Type="http://schemas.openxmlformats.org/officeDocument/2006/relationships/hyperlink" Target="https://aldi-sued.atlassian.net/browse/CHO-5019" TargetMode="External"/><Relationship Id="rId124" Type="http://schemas.openxmlformats.org/officeDocument/2006/relationships/hyperlink" Target="https://aldi-sued.atlassian.net/browse/ANP-23584" TargetMode="External"/><Relationship Id="rId129" Type="http://schemas.openxmlformats.org/officeDocument/2006/relationships/hyperlink" Target="https://aldi-sued.atlassian.net/browse/ANP-22494" TargetMode="External"/><Relationship Id="rId54" Type="http://schemas.openxmlformats.org/officeDocument/2006/relationships/hyperlink" Target="https://aldi-sued.atlassian.net/browse/NPSCO-16949" TargetMode="External"/><Relationship Id="rId70" Type="http://schemas.openxmlformats.org/officeDocument/2006/relationships/hyperlink" Target="https://aldi-sued.atlassian.net/browse/NPSCO-17515" TargetMode="External"/><Relationship Id="rId75" Type="http://schemas.openxmlformats.org/officeDocument/2006/relationships/hyperlink" Target="https://aldi-sued.atlassian.net/browse/NPSCO-17714" TargetMode="External"/><Relationship Id="rId91" Type="http://schemas.openxmlformats.org/officeDocument/2006/relationships/hyperlink" Target="https://aldi-sued.atlassian.net/browse/NPSCO-18013" TargetMode="External"/><Relationship Id="rId96" Type="http://schemas.openxmlformats.org/officeDocument/2006/relationships/hyperlink" Target="https://aldi-sued.atlassian.net/browse/NPSCO-18016" TargetMode="External"/><Relationship Id="rId140" Type="http://schemas.openxmlformats.org/officeDocument/2006/relationships/hyperlink" Target="https://aldi-sued.atlassian.net/browse/ANP-23720" TargetMode="External"/><Relationship Id="rId145" Type="http://schemas.openxmlformats.org/officeDocument/2006/relationships/hyperlink" Target="https://aldi-sued.atlassian.net/browse/ANP-23533" TargetMode="External"/><Relationship Id="rId161" Type="http://schemas.openxmlformats.org/officeDocument/2006/relationships/table" Target="../tables/table15.xml"/><Relationship Id="rId1" Type="http://schemas.openxmlformats.org/officeDocument/2006/relationships/hyperlink" Target="https://aldi-sued.atlassian.net/browse/ANP-23181" TargetMode="External"/><Relationship Id="rId6" Type="http://schemas.openxmlformats.org/officeDocument/2006/relationships/hyperlink" Target="https://aldi-sued.atlassian.net/browse/ANP-23350" TargetMode="External"/><Relationship Id="rId23" Type="http://schemas.openxmlformats.org/officeDocument/2006/relationships/hyperlink" Target="https://aldi-sued.atlassian.net/browse/NPSCO-17712" TargetMode="External"/><Relationship Id="rId28" Type="http://schemas.openxmlformats.org/officeDocument/2006/relationships/hyperlink" Target="https://aldi-sued.atlassian.net/browse/NPSCO-17748" TargetMode="External"/><Relationship Id="rId49" Type="http://schemas.openxmlformats.org/officeDocument/2006/relationships/hyperlink" Target="https://aldi-sued.atlassian.net/browse/ANP-23436" TargetMode="External"/><Relationship Id="rId114" Type="http://schemas.openxmlformats.org/officeDocument/2006/relationships/hyperlink" Target="https://aldi-sued.atlassian.net/browse/CHO-4293" TargetMode="External"/><Relationship Id="rId119" Type="http://schemas.openxmlformats.org/officeDocument/2006/relationships/hyperlink" Target="https://aldi-sued.atlassian.net/browse/CHO-5007" TargetMode="External"/><Relationship Id="rId44" Type="http://schemas.openxmlformats.org/officeDocument/2006/relationships/hyperlink" Target="https://aldi-sued.atlassian.net/browse/ANP-23497" TargetMode="External"/><Relationship Id="rId60" Type="http://schemas.openxmlformats.org/officeDocument/2006/relationships/hyperlink" Target="https://aldi-sued.atlassian.net/browse/NPSCO-17726" TargetMode="External"/><Relationship Id="rId65" Type="http://schemas.openxmlformats.org/officeDocument/2006/relationships/hyperlink" Target="https://aldi-sued.atlassian.net/browse/NPSCO-16620" TargetMode="External"/><Relationship Id="rId81" Type="http://schemas.openxmlformats.org/officeDocument/2006/relationships/hyperlink" Target="https://aldi-sued.atlassian.net/browse/NPSCO-16261" TargetMode="External"/><Relationship Id="rId86" Type="http://schemas.openxmlformats.org/officeDocument/2006/relationships/hyperlink" Target="https://aldi-sued.atlassian.net/browse/NPSCO-17741" TargetMode="External"/><Relationship Id="rId130" Type="http://schemas.openxmlformats.org/officeDocument/2006/relationships/hyperlink" Target="https://aldi-sued.atlassian.net/browse/ANP-23192" TargetMode="External"/><Relationship Id="rId135" Type="http://schemas.openxmlformats.org/officeDocument/2006/relationships/hyperlink" Target="https://aldi-sued.atlassian.net/browse/ANP-23967" TargetMode="External"/><Relationship Id="rId151" Type="http://schemas.openxmlformats.org/officeDocument/2006/relationships/hyperlink" Target="https://aldi-sued.atlassian.net/browse/BF-414" TargetMode="External"/><Relationship Id="rId156" Type="http://schemas.openxmlformats.org/officeDocument/2006/relationships/hyperlink" Target="https://aldi-sued.atlassian.net/browse/BF-559" TargetMode="External"/><Relationship Id="rId13" Type="http://schemas.openxmlformats.org/officeDocument/2006/relationships/hyperlink" Target="https://aldi-sued.atlassian.net/browse/NPSCO-16393" TargetMode="External"/><Relationship Id="rId18" Type="http://schemas.openxmlformats.org/officeDocument/2006/relationships/hyperlink" Target="https://aldi-sued.atlassian.net/browse/NPSCO-16711" TargetMode="External"/><Relationship Id="rId39" Type="http://schemas.openxmlformats.org/officeDocument/2006/relationships/hyperlink" Target="https://aldi-sued.atlassian.net/browse/NPSCO-17745" TargetMode="External"/><Relationship Id="rId109" Type="http://schemas.openxmlformats.org/officeDocument/2006/relationships/hyperlink" Target="https://aldi-sued.atlassian.net/browse/CHO-5020" TargetMode="External"/><Relationship Id="rId34" Type="http://schemas.openxmlformats.org/officeDocument/2006/relationships/hyperlink" Target="https://aldi-sued.atlassian.net/browse/NPSCO-17750" TargetMode="External"/><Relationship Id="rId50" Type="http://schemas.openxmlformats.org/officeDocument/2006/relationships/hyperlink" Target="https://aldi-sued.atlassian.net/browse/ANP-23454" TargetMode="External"/><Relationship Id="rId55" Type="http://schemas.openxmlformats.org/officeDocument/2006/relationships/hyperlink" Target="https://aldi-sued.atlassian.net/browse/NPSCO-17235" TargetMode="External"/><Relationship Id="rId76" Type="http://schemas.openxmlformats.org/officeDocument/2006/relationships/hyperlink" Target="https://aldi-sued.atlassian.net/browse/NPSCO-17739" TargetMode="External"/><Relationship Id="rId97" Type="http://schemas.openxmlformats.org/officeDocument/2006/relationships/hyperlink" Target="https://aldi-sued.atlassian.net/browse/NPSCO-17316" TargetMode="External"/><Relationship Id="rId104" Type="http://schemas.openxmlformats.org/officeDocument/2006/relationships/hyperlink" Target="https://aldi-sued.atlassian.net/browse/CHO-4957" TargetMode="External"/><Relationship Id="rId120" Type="http://schemas.openxmlformats.org/officeDocument/2006/relationships/hyperlink" Target="https://aldi-sued.atlassian.net/browse/CHO-5056" TargetMode="External"/><Relationship Id="rId125" Type="http://schemas.openxmlformats.org/officeDocument/2006/relationships/hyperlink" Target="https://aldi-sued.atlassian.net/browse/ANP-23586" TargetMode="External"/><Relationship Id="rId141" Type="http://schemas.openxmlformats.org/officeDocument/2006/relationships/hyperlink" Target="https://aldi-sued.atlassian.net/browse/ANP-23957" TargetMode="External"/><Relationship Id="rId146" Type="http://schemas.openxmlformats.org/officeDocument/2006/relationships/hyperlink" Target="https://aldi-sued.atlassian.net/browse/ANP-23684" TargetMode="External"/><Relationship Id="rId7" Type="http://schemas.openxmlformats.org/officeDocument/2006/relationships/hyperlink" Target="https://aldi-sued.atlassian.net/browse/ANP-23889" TargetMode="External"/><Relationship Id="rId71" Type="http://schemas.openxmlformats.org/officeDocument/2006/relationships/hyperlink" Target="https://aldi-sued.atlassian.net/browse/NPSCO-17736" TargetMode="External"/><Relationship Id="rId92" Type="http://schemas.openxmlformats.org/officeDocument/2006/relationships/hyperlink" Target="https://aldi-sued.atlassian.net/browse/NPSCO-17240" TargetMode="External"/><Relationship Id="rId2" Type="http://schemas.openxmlformats.org/officeDocument/2006/relationships/hyperlink" Target="https://aldi-sued.atlassian.net/browse/ANP-23670" TargetMode="External"/><Relationship Id="rId29" Type="http://schemas.openxmlformats.org/officeDocument/2006/relationships/hyperlink" Target="https://aldi-sued.atlassian.net/browse/NPSCO-17748" TargetMode="External"/><Relationship Id="rId24" Type="http://schemas.openxmlformats.org/officeDocument/2006/relationships/hyperlink" Target="https://aldi-sued.atlassian.net/browse/NPSCO-17300" TargetMode="External"/><Relationship Id="rId40" Type="http://schemas.openxmlformats.org/officeDocument/2006/relationships/hyperlink" Target="https://aldi-sued.atlassian.net/issues/?jql=%22cf%5B12600%5D%22%20%3D%20SCO_Two_Fingered_Sloth" TargetMode="External"/><Relationship Id="rId45" Type="http://schemas.openxmlformats.org/officeDocument/2006/relationships/hyperlink" Target="https://aldi-sued.atlassian.net/browse/ANP-23769" TargetMode="External"/><Relationship Id="rId66" Type="http://schemas.openxmlformats.org/officeDocument/2006/relationships/hyperlink" Target="https://aldi-sued.atlassian.net/browse/NPSCO-17297" TargetMode="External"/><Relationship Id="rId87" Type="http://schemas.openxmlformats.org/officeDocument/2006/relationships/hyperlink" Target="https://aldi-sued.atlassian.net/browse/NPSCO-16516" TargetMode="External"/><Relationship Id="rId110" Type="http://schemas.openxmlformats.org/officeDocument/2006/relationships/hyperlink" Target="https://aldi-sued.atlassian.net/browse/CHO-5028" TargetMode="External"/><Relationship Id="rId115" Type="http://schemas.openxmlformats.org/officeDocument/2006/relationships/hyperlink" Target="https://aldi-sued.atlassian.net/browse/CHO-4519" TargetMode="External"/><Relationship Id="rId131" Type="http://schemas.openxmlformats.org/officeDocument/2006/relationships/hyperlink" Target="https://aldi-sued.atlassian.net/browse/ANP-23242" TargetMode="External"/><Relationship Id="rId136" Type="http://schemas.openxmlformats.org/officeDocument/2006/relationships/hyperlink" Target="https://aldi-sued.atlassian.net/browse/ANP-15469" TargetMode="External"/><Relationship Id="rId157" Type="http://schemas.openxmlformats.org/officeDocument/2006/relationships/hyperlink" Target="https://aldi-sued.atlassian.net/browse/BF-440" TargetMode="External"/><Relationship Id="rId61" Type="http://schemas.openxmlformats.org/officeDocument/2006/relationships/hyperlink" Target="https://aldi-sued.atlassian.net/browse/NPSCO-17376" TargetMode="External"/><Relationship Id="rId82" Type="http://schemas.openxmlformats.org/officeDocument/2006/relationships/hyperlink" Target="https://aldi-sued.atlassian.net/browse/NPSCO-16390" TargetMode="External"/><Relationship Id="rId152" Type="http://schemas.openxmlformats.org/officeDocument/2006/relationships/hyperlink" Target="https://aldi-sued.atlassian.net/browse/BF-446" TargetMode="External"/><Relationship Id="rId19" Type="http://schemas.openxmlformats.org/officeDocument/2006/relationships/hyperlink" Target="https://aldi-sued.atlassian.net/browse/NPSCO-16711" TargetMode="External"/><Relationship Id="rId14" Type="http://schemas.openxmlformats.org/officeDocument/2006/relationships/hyperlink" Target="https://aldi-sued.atlassian.net/browse/NPSCO-16393" TargetMode="External"/><Relationship Id="rId30" Type="http://schemas.openxmlformats.org/officeDocument/2006/relationships/hyperlink" Target="https://aldi-sued.atlassian.net/browse/NPSCO-17785" TargetMode="External"/><Relationship Id="rId35" Type="http://schemas.openxmlformats.org/officeDocument/2006/relationships/hyperlink" Target="https://aldi-sued.atlassian.net/browse/NPSCO-17750" TargetMode="External"/><Relationship Id="rId56" Type="http://schemas.openxmlformats.org/officeDocument/2006/relationships/hyperlink" Target="https://aldi-sued.atlassian.net/browse/NPSCO-17241" TargetMode="External"/><Relationship Id="rId77" Type="http://schemas.openxmlformats.org/officeDocument/2006/relationships/hyperlink" Target="https://aldi-sued.atlassian.net/browse/NPSCO-17742" TargetMode="External"/><Relationship Id="rId100" Type="http://schemas.openxmlformats.org/officeDocument/2006/relationships/hyperlink" Target="https://aldi-sued.atlassian.net/browse/ANP-23917" TargetMode="External"/><Relationship Id="rId105" Type="http://schemas.openxmlformats.org/officeDocument/2006/relationships/hyperlink" Target="https://aldi-sued.atlassian.net/browse/CHO-4965" TargetMode="External"/><Relationship Id="rId126" Type="http://schemas.openxmlformats.org/officeDocument/2006/relationships/hyperlink" Target="https://aldi-sued.atlassian.net/browse/ANP-23590" TargetMode="External"/><Relationship Id="rId147" Type="http://schemas.openxmlformats.org/officeDocument/2006/relationships/hyperlink" Target="https://aldi-sued.atlassian.net/browse/BF-396" TargetMode="External"/><Relationship Id="rId8" Type="http://schemas.openxmlformats.org/officeDocument/2006/relationships/hyperlink" Target="https://aldi-sued.atlassian.net/browse/ANP-23197" TargetMode="External"/><Relationship Id="rId51" Type="http://schemas.openxmlformats.org/officeDocument/2006/relationships/hyperlink" Target="https://aldi-sued.atlassian.net/browse/ANP-23904" TargetMode="External"/><Relationship Id="rId72" Type="http://schemas.openxmlformats.org/officeDocument/2006/relationships/hyperlink" Target="https://aldi-sued.atlassian.net/browse/NPSCO-17737" TargetMode="External"/><Relationship Id="rId93" Type="http://schemas.openxmlformats.org/officeDocument/2006/relationships/hyperlink" Target="https://aldi-sued.atlassian.net/browse/NPSCO-17294" TargetMode="External"/><Relationship Id="rId98" Type="http://schemas.openxmlformats.org/officeDocument/2006/relationships/hyperlink" Target="https://aldi-sued.atlassian.net/browse/ANP-23895" TargetMode="External"/><Relationship Id="rId121" Type="http://schemas.openxmlformats.org/officeDocument/2006/relationships/hyperlink" Target="https://aldi-sued.atlassian.net/browse/CHO-5077" TargetMode="External"/><Relationship Id="rId142" Type="http://schemas.openxmlformats.org/officeDocument/2006/relationships/hyperlink" Target="https://aldi-sued.atlassian.net/browse/ANP-14529" TargetMode="External"/><Relationship Id="rId3" Type="http://schemas.openxmlformats.org/officeDocument/2006/relationships/hyperlink" Target="https://aldi-sued.atlassian.net/browse/ANP-19512" TargetMode="External"/><Relationship Id="rId25" Type="http://schemas.openxmlformats.org/officeDocument/2006/relationships/hyperlink" Target="https://aldi-sued.atlassian.net/browse/NPSCO-17300" TargetMode="External"/><Relationship Id="rId46" Type="http://schemas.openxmlformats.org/officeDocument/2006/relationships/hyperlink" Target="https://aldi-sued.atlassian.net/browse/ANP-22995" TargetMode="External"/><Relationship Id="rId67" Type="http://schemas.openxmlformats.org/officeDocument/2006/relationships/hyperlink" Target="https://aldi-sued.atlassian.net/browse/NPSCO-16616" TargetMode="External"/><Relationship Id="rId116" Type="http://schemas.openxmlformats.org/officeDocument/2006/relationships/hyperlink" Target="https://aldi-sued.atlassian.net/browse/CHO-4852" TargetMode="External"/><Relationship Id="rId137" Type="http://schemas.openxmlformats.org/officeDocument/2006/relationships/hyperlink" Target="https://aldi-sued.atlassian.net/browse/ANP-17917" TargetMode="External"/><Relationship Id="rId158" Type="http://schemas.openxmlformats.org/officeDocument/2006/relationships/hyperlink" Target="https://aldi-sued.atlassian.net/browse/ANP-23721" TargetMode="External"/><Relationship Id="rId20" Type="http://schemas.openxmlformats.org/officeDocument/2006/relationships/hyperlink" Target="https://aldi-sued.atlassian.net/browse/NPSCO-17713" TargetMode="External"/><Relationship Id="rId41" Type="http://schemas.openxmlformats.org/officeDocument/2006/relationships/hyperlink" Target="https://aldi-sued.atlassian.net/issues/?jql=%22cf%5B12600%5D%22%20%3D%20Product_Value" TargetMode="External"/><Relationship Id="rId62" Type="http://schemas.openxmlformats.org/officeDocument/2006/relationships/hyperlink" Target="https://aldi-sued.atlassian.net/browse/NPSCO-17380" TargetMode="External"/><Relationship Id="rId83" Type="http://schemas.openxmlformats.org/officeDocument/2006/relationships/hyperlink" Target="https://aldi-sued.atlassian.net/browse/NPSCO-16369" TargetMode="External"/><Relationship Id="rId88" Type="http://schemas.openxmlformats.org/officeDocument/2006/relationships/hyperlink" Target="https://aldi-sued.atlassian.net/browse/NPSCO-16483" TargetMode="External"/><Relationship Id="rId111" Type="http://schemas.openxmlformats.org/officeDocument/2006/relationships/hyperlink" Target="https://aldi-sued.atlassian.net/browse/CHO-5076" TargetMode="External"/><Relationship Id="rId132" Type="http://schemas.openxmlformats.org/officeDocument/2006/relationships/hyperlink" Target="https://aldi-sued.atlassian.net/browse/ANP-23245" TargetMode="External"/><Relationship Id="rId153" Type="http://schemas.openxmlformats.org/officeDocument/2006/relationships/hyperlink" Target="https://aldi-sued.atlassian.net/browse/BF-442" TargetMode="External"/><Relationship Id="rId15" Type="http://schemas.openxmlformats.org/officeDocument/2006/relationships/hyperlink" Target="https://aldi-sued.atlassian.net/browse/NPSCO-17361" TargetMode="External"/><Relationship Id="rId36" Type="http://schemas.openxmlformats.org/officeDocument/2006/relationships/hyperlink" Target="https://aldi-sued.atlassian.net/browse/NPSCO-17751" TargetMode="External"/><Relationship Id="rId57" Type="http://schemas.openxmlformats.org/officeDocument/2006/relationships/hyperlink" Target="https://aldi-sued.atlassian.net/browse/NPSCO-17711" TargetMode="External"/><Relationship Id="rId106" Type="http://schemas.openxmlformats.org/officeDocument/2006/relationships/hyperlink" Target="https://aldi-sued.atlassian.net/browse/CHO-4966" TargetMode="External"/><Relationship Id="rId127" Type="http://schemas.openxmlformats.org/officeDocument/2006/relationships/hyperlink" Target="https://aldi-sued.atlassian.net/browse/ANP-23629" TargetMode="External"/><Relationship Id="rId10" Type="http://schemas.openxmlformats.org/officeDocument/2006/relationships/hyperlink" Target="https://aldi-sued.atlassian.net/browse/NPSCO-17717" TargetMode="External"/><Relationship Id="rId31" Type="http://schemas.openxmlformats.org/officeDocument/2006/relationships/hyperlink" Target="https://aldi-sued.atlassian.net/browse/NPSCO-17785" TargetMode="External"/><Relationship Id="rId52" Type="http://schemas.openxmlformats.org/officeDocument/2006/relationships/hyperlink" Target="https://aldi-sued.atlassian.net/browse/ANP-23894" TargetMode="External"/><Relationship Id="rId73" Type="http://schemas.openxmlformats.org/officeDocument/2006/relationships/hyperlink" Target="https://aldi-sued.atlassian.net/browse/NPSCO-17318" TargetMode="External"/><Relationship Id="rId78" Type="http://schemas.openxmlformats.org/officeDocument/2006/relationships/hyperlink" Target="https://aldi-sued.atlassian.net/browse/NPSCO-17743" TargetMode="External"/><Relationship Id="rId94" Type="http://schemas.openxmlformats.org/officeDocument/2006/relationships/hyperlink" Target="https://aldi-sued.atlassian.net/browse/NPSCO-17881" TargetMode="External"/><Relationship Id="rId99" Type="http://schemas.openxmlformats.org/officeDocument/2006/relationships/hyperlink" Target="https://aldi-sued.atlassian.net/browse/ANP-22907" TargetMode="External"/><Relationship Id="rId101" Type="http://schemas.openxmlformats.org/officeDocument/2006/relationships/hyperlink" Target="https://aldi-sued.atlassian.net/browse/CHO-7" TargetMode="External"/><Relationship Id="rId122" Type="http://schemas.openxmlformats.org/officeDocument/2006/relationships/hyperlink" Target="https://aldi-sued.atlassian.net/browse/NPSCO-17523" TargetMode="External"/><Relationship Id="rId143" Type="http://schemas.openxmlformats.org/officeDocument/2006/relationships/hyperlink" Target="https://aldi-sued.atlassian.net/browse/ANP-16465" TargetMode="External"/><Relationship Id="rId148" Type="http://schemas.openxmlformats.org/officeDocument/2006/relationships/hyperlink" Target="https://aldi-sued.atlassian.net/browse/BF-311" TargetMode="External"/><Relationship Id="rId4" Type="http://schemas.openxmlformats.org/officeDocument/2006/relationships/hyperlink" Target="https://aldi-sued.atlassian.net/browse/ANP-23344" TargetMode="External"/><Relationship Id="rId9" Type="http://schemas.openxmlformats.org/officeDocument/2006/relationships/hyperlink" Target="https://aldi-sued.atlassian.net/browse/ANP-18173" TargetMode="External"/><Relationship Id="rId26" Type="http://schemas.openxmlformats.org/officeDocument/2006/relationships/hyperlink" Target="https://aldi-sued.atlassian.net/browse/NPSCO-17747" TargetMode="External"/><Relationship Id="rId47" Type="http://schemas.openxmlformats.org/officeDocument/2006/relationships/hyperlink" Target="https://aldi-sued.atlassian.net/browse/ANP-23677" TargetMode="External"/><Relationship Id="rId68" Type="http://schemas.openxmlformats.org/officeDocument/2006/relationships/hyperlink" Target="https://aldi-sued.atlassian.net/browse/NPSCO-16619" TargetMode="External"/><Relationship Id="rId89" Type="http://schemas.openxmlformats.org/officeDocument/2006/relationships/hyperlink" Target="https://aldi-sued.atlassian.net/browse/NPSCO-17699" TargetMode="External"/><Relationship Id="rId112" Type="http://schemas.openxmlformats.org/officeDocument/2006/relationships/hyperlink" Target="https://aldi-sued.atlassian.net/browse/CHO-5090" TargetMode="External"/><Relationship Id="rId133" Type="http://schemas.openxmlformats.org/officeDocument/2006/relationships/hyperlink" Target="https://aldi-sued.atlassian.net/browse/ANP-23585" TargetMode="External"/><Relationship Id="rId154" Type="http://schemas.openxmlformats.org/officeDocument/2006/relationships/hyperlink" Target="https://aldi-sued.atlassian.net/browse/BF-457" TargetMode="External"/><Relationship Id="rId16" Type="http://schemas.openxmlformats.org/officeDocument/2006/relationships/hyperlink" Target="https://aldi-sued.atlassian.net/browse/NPSCO-17361" TargetMode="External"/><Relationship Id="rId37" Type="http://schemas.openxmlformats.org/officeDocument/2006/relationships/hyperlink" Target="https://aldi-sued.atlassian.net/browse/NPSCO-17751" TargetMode="External"/><Relationship Id="rId58" Type="http://schemas.openxmlformats.org/officeDocument/2006/relationships/hyperlink" Target="https://aldi-sued.atlassian.net/browse/NPSCO-17540" TargetMode="External"/><Relationship Id="rId79" Type="http://schemas.openxmlformats.org/officeDocument/2006/relationships/hyperlink" Target="https://aldi-sued.atlassian.net/browse/NPSCO-17735" TargetMode="External"/><Relationship Id="rId102" Type="http://schemas.openxmlformats.org/officeDocument/2006/relationships/hyperlink" Target="https://aldi-sued.atlassian.net/browse/CHO-1520" TargetMode="External"/><Relationship Id="rId123" Type="http://schemas.openxmlformats.org/officeDocument/2006/relationships/hyperlink" Target="https://aldi-sued.atlassian.net/browse/ANP-23144" TargetMode="External"/><Relationship Id="rId144" Type="http://schemas.openxmlformats.org/officeDocument/2006/relationships/hyperlink" Target="https://aldi-sued.atlassian.net/browse/ANP-22666" TargetMode="External"/><Relationship Id="rId90" Type="http://schemas.openxmlformats.org/officeDocument/2006/relationships/hyperlink" Target="https://aldi-sued.atlassian.net/browse/NPSCO-17746" TargetMode="External"/><Relationship Id="rId27" Type="http://schemas.openxmlformats.org/officeDocument/2006/relationships/hyperlink" Target="https://aldi-sued.atlassian.net/browse/NPSCO-17747" TargetMode="External"/><Relationship Id="rId48" Type="http://schemas.openxmlformats.org/officeDocument/2006/relationships/hyperlink" Target="https://aldi-sued.atlassian.net/browse/ANP-23671" TargetMode="External"/><Relationship Id="rId69" Type="http://schemas.openxmlformats.org/officeDocument/2006/relationships/hyperlink" Target="https://aldi-sued.atlassian.net/browse/NPSCO-18026" TargetMode="External"/><Relationship Id="rId113" Type="http://schemas.openxmlformats.org/officeDocument/2006/relationships/hyperlink" Target="https://aldi-sued.atlassian.net/browse/ANP-23717" TargetMode="External"/><Relationship Id="rId134" Type="http://schemas.openxmlformats.org/officeDocument/2006/relationships/hyperlink" Target="https://aldi-sued.atlassian.net/browse/ANP-23919" TargetMode="External"/><Relationship Id="rId80" Type="http://schemas.openxmlformats.org/officeDocument/2006/relationships/hyperlink" Target="https://aldi-sued.atlassian.net/browse/NPSCO-17330" TargetMode="External"/><Relationship Id="rId155" Type="http://schemas.openxmlformats.org/officeDocument/2006/relationships/hyperlink" Target="https://aldi-sued.atlassian.net/browse/BF-458"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17" Type="http://schemas.openxmlformats.org/officeDocument/2006/relationships/hyperlink" Target="https://aldi-sued.atlassian.net/browse/ANP-23338" TargetMode="External"/><Relationship Id="rId21" Type="http://schemas.openxmlformats.org/officeDocument/2006/relationships/hyperlink" Target="https://aldi-sued.atlassian.net/browse/CHO-3440" TargetMode="External"/><Relationship Id="rId42" Type="http://schemas.openxmlformats.org/officeDocument/2006/relationships/hyperlink" Target="https://aldi-sued.atlassian.net/browse/NPSCO-17420" TargetMode="External"/><Relationship Id="rId47" Type="http://schemas.openxmlformats.org/officeDocument/2006/relationships/hyperlink" Target="https://aldi-sued.atlassian.net/browse/NPSCO-17424" TargetMode="External"/><Relationship Id="rId63" Type="http://schemas.openxmlformats.org/officeDocument/2006/relationships/hyperlink" Target="https://aldi-sued.atlassian.net/browse/NPSCO-17319" TargetMode="External"/><Relationship Id="rId68" Type="http://schemas.openxmlformats.org/officeDocument/2006/relationships/hyperlink" Target="https://aldi-sued.atlassian.net/browse/NPSCO-17376" TargetMode="External"/><Relationship Id="rId84" Type="http://schemas.openxmlformats.org/officeDocument/2006/relationships/hyperlink" Target="https://aldi-sued.atlassian.net/browse/NPSCO-17451" TargetMode="External"/><Relationship Id="rId89" Type="http://schemas.openxmlformats.org/officeDocument/2006/relationships/hyperlink" Target="https://aldi-sued.atlassian.net/browse/NPSCO-17519" TargetMode="External"/><Relationship Id="rId112" Type="http://schemas.openxmlformats.org/officeDocument/2006/relationships/hyperlink" Target="https://aldi-sued.atlassian.net/browse/ANP-23443" TargetMode="External"/><Relationship Id="rId16" Type="http://schemas.openxmlformats.org/officeDocument/2006/relationships/hyperlink" Target="https://aldi-sued.atlassian.net/browse/ANP-23187" TargetMode="External"/><Relationship Id="rId107" Type="http://schemas.openxmlformats.org/officeDocument/2006/relationships/hyperlink" Target="https://aldi-sued.atlassian.net/issues/?jql=%22cf%5B12600%5D%22%20%3D%20SCO_Two_Fingered_Sloth" TargetMode="External"/><Relationship Id="rId11" Type="http://schemas.openxmlformats.org/officeDocument/2006/relationships/hyperlink" Target="https://aldi-sued.atlassian.net/browse/ANP-11593" TargetMode="External"/><Relationship Id="rId32" Type="http://schemas.openxmlformats.org/officeDocument/2006/relationships/hyperlink" Target="https://aldi-sued.atlassian.net/browse/CHO-3437" TargetMode="External"/><Relationship Id="rId37" Type="http://schemas.openxmlformats.org/officeDocument/2006/relationships/hyperlink" Target="https://aldi-sued.atlassian.net/browse/CHO-4915" TargetMode="External"/><Relationship Id="rId53" Type="http://schemas.openxmlformats.org/officeDocument/2006/relationships/hyperlink" Target="https://aldi-sued.atlassian.net/browse/NPSCO-16711" TargetMode="External"/><Relationship Id="rId58" Type="http://schemas.openxmlformats.org/officeDocument/2006/relationships/hyperlink" Target="https://aldi-sued.atlassian.net/browse/NPSCO-17343" TargetMode="External"/><Relationship Id="rId74" Type="http://schemas.openxmlformats.org/officeDocument/2006/relationships/hyperlink" Target="https://aldi-sued.atlassian.net/browse/NPSCO-17454" TargetMode="External"/><Relationship Id="rId79" Type="http://schemas.openxmlformats.org/officeDocument/2006/relationships/hyperlink" Target="https://aldi-sued.atlassian.net/browse/NPSCO-15469" TargetMode="External"/><Relationship Id="rId102" Type="http://schemas.openxmlformats.org/officeDocument/2006/relationships/hyperlink" Target="https://aldi-sued.atlassian.net/browse/NPSCO-16390" TargetMode="External"/><Relationship Id="rId123" Type="http://schemas.openxmlformats.org/officeDocument/2006/relationships/hyperlink" Target="https://aldi-sued.atlassian.net/browse/ANP-22433" TargetMode="External"/><Relationship Id="rId128" Type="http://schemas.openxmlformats.org/officeDocument/2006/relationships/hyperlink" Target="https://aldi-sued.atlassian.net/browse/ANP-15108" TargetMode="External"/><Relationship Id="rId5" Type="http://schemas.openxmlformats.org/officeDocument/2006/relationships/hyperlink" Target="https://aldi-sued.atlassian.net/browse/ANP-23346" TargetMode="External"/><Relationship Id="rId90" Type="http://schemas.openxmlformats.org/officeDocument/2006/relationships/hyperlink" Target="https://aldi-sued.atlassian.net/browse/NPSCO-17520" TargetMode="External"/><Relationship Id="rId95" Type="http://schemas.openxmlformats.org/officeDocument/2006/relationships/hyperlink" Target="https://aldi-sued.atlassian.net/browse/NPSCO-17059" TargetMode="External"/><Relationship Id="rId22" Type="http://schemas.openxmlformats.org/officeDocument/2006/relationships/hyperlink" Target="https://aldi-sued.atlassian.net/browse/CHO-4468" TargetMode="External"/><Relationship Id="rId27" Type="http://schemas.openxmlformats.org/officeDocument/2006/relationships/hyperlink" Target="https://aldi-sued.atlassian.net/browse/CHO-7" TargetMode="External"/><Relationship Id="rId43" Type="http://schemas.openxmlformats.org/officeDocument/2006/relationships/hyperlink" Target="https://aldi-sued.atlassian.net/browse/NPSCO-17420" TargetMode="External"/><Relationship Id="rId48" Type="http://schemas.openxmlformats.org/officeDocument/2006/relationships/hyperlink" Target="https://aldi-sued.atlassian.net/browse/NPSCO-16980" TargetMode="External"/><Relationship Id="rId64" Type="http://schemas.openxmlformats.org/officeDocument/2006/relationships/hyperlink" Target="https://aldi-sued.atlassian.net/browse/NPSCO-17319" TargetMode="External"/><Relationship Id="rId69" Type="http://schemas.openxmlformats.org/officeDocument/2006/relationships/hyperlink" Target="https://aldi-sued.atlassian.net/browse/NPSCO-15728" TargetMode="External"/><Relationship Id="rId113" Type="http://schemas.openxmlformats.org/officeDocument/2006/relationships/hyperlink" Target="https://aldi-sued.atlassian.net/browse/ANP-23443" TargetMode="External"/><Relationship Id="rId118" Type="http://schemas.openxmlformats.org/officeDocument/2006/relationships/hyperlink" Target="https://aldi-sued.atlassian.net/browse/ANP-23217" TargetMode="External"/><Relationship Id="rId80" Type="http://schemas.openxmlformats.org/officeDocument/2006/relationships/hyperlink" Target="https://aldi-sued.atlassian.net/browse/NPSCO-17380" TargetMode="External"/><Relationship Id="rId85" Type="http://schemas.openxmlformats.org/officeDocument/2006/relationships/hyperlink" Target="https://aldi-sued.atlassian.net/browse/NPSCO-16617" TargetMode="External"/><Relationship Id="rId12" Type="http://schemas.openxmlformats.org/officeDocument/2006/relationships/hyperlink" Target="https://aldi-sued.atlassian.net/browse/ANP-22950" TargetMode="External"/><Relationship Id="rId17" Type="http://schemas.openxmlformats.org/officeDocument/2006/relationships/hyperlink" Target="https://aldi-sued.atlassian.net/browse/ANP-23195" TargetMode="External"/><Relationship Id="rId33" Type="http://schemas.openxmlformats.org/officeDocument/2006/relationships/hyperlink" Target="https://aldi-sued.atlassian.net/browse/CHO-4293" TargetMode="External"/><Relationship Id="rId38" Type="http://schemas.openxmlformats.org/officeDocument/2006/relationships/hyperlink" Target="https://aldi-sued.atlassian.net/browse/CHO-4939" TargetMode="External"/><Relationship Id="rId59" Type="http://schemas.openxmlformats.org/officeDocument/2006/relationships/hyperlink" Target="https://aldi-sued.atlassian.net/browse/NPSCO-17343" TargetMode="External"/><Relationship Id="rId103" Type="http://schemas.openxmlformats.org/officeDocument/2006/relationships/hyperlink" Target="https://aldi-sued.atlassian.net/browse/NPSCO-16369" TargetMode="External"/><Relationship Id="rId108" Type="http://schemas.openxmlformats.org/officeDocument/2006/relationships/hyperlink" Target="https://aldi-sued.atlassian.net/issues/?jql=%22cf%5B12600%5D%22%20%3D%20SCO_TNT" TargetMode="External"/><Relationship Id="rId124" Type="http://schemas.openxmlformats.org/officeDocument/2006/relationships/hyperlink" Target="https://aldi-sued.atlassian.net/browse/ANP-20270" TargetMode="External"/><Relationship Id="rId129" Type="http://schemas.openxmlformats.org/officeDocument/2006/relationships/hyperlink" Target="https://aldi-sued.atlassian.net/browse/ANP-15108" TargetMode="External"/><Relationship Id="rId54" Type="http://schemas.openxmlformats.org/officeDocument/2006/relationships/hyperlink" Target="https://aldi-sued.atlassian.net/browse/NPSCO-17382" TargetMode="External"/><Relationship Id="rId70" Type="http://schemas.openxmlformats.org/officeDocument/2006/relationships/hyperlink" Target="https://aldi-sued.atlassian.net/browse/NPSCO-16614" TargetMode="External"/><Relationship Id="rId75" Type="http://schemas.openxmlformats.org/officeDocument/2006/relationships/hyperlink" Target="https://aldi-sued.atlassian.net/browse/NPSCO-17455" TargetMode="External"/><Relationship Id="rId91" Type="http://schemas.openxmlformats.org/officeDocument/2006/relationships/hyperlink" Target="https://aldi-sued.atlassian.net/browse/NPSCO-16998" TargetMode="External"/><Relationship Id="rId96" Type="http://schemas.openxmlformats.org/officeDocument/2006/relationships/hyperlink" Target="https://aldi-sued.atlassian.net/browse/NPSCO-17374" TargetMode="External"/><Relationship Id="rId1" Type="http://schemas.openxmlformats.org/officeDocument/2006/relationships/hyperlink" Target="https://aldi-sued.atlassian.net/browse/ANP-21583" TargetMode="External"/><Relationship Id="rId6" Type="http://schemas.openxmlformats.org/officeDocument/2006/relationships/hyperlink" Target="https://aldi-sued.atlassian.net/browse/ANP-23350" TargetMode="External"/><Relationship Id="rId23" Type="http://schemas.openxmlformats.org/officeDocument/2006/relationships/hyperlink" Target="https://aldi-sued.atlassian.net/browse/CHO-4829" TargetMode="External"/><Relationship Id="rId28" Type="http://schemas.openxmlformats.org/officeDocument/2006/relationships/hyperlink" Target="https://aldi-sued.atlassian.net/browse/CHO-1520" TargetMode="External"/><Relationship Id="rId49" Type="http://schemas.openxmlformats.org/officeDocument/2006/relationships/hyperlink" Target="https://aldi-sued.atlassian.net/browse/NPSCO-16980" TargetMode="External"/><Relationship Id="rId114" Type="http://schemas.openxmlformats.org/officeDocument/2006/relationships/hyperlink" Target="https://aldi-sued.atlassian.net/browse/ANP-23442" TargetMode="External"/><Relationship Id="rId119" Type="http://schemas.openxmlformats.org/officeDocument/2006/relationships/hyperlink" Target="https://aldi-sued.atlassian.net/browse/ANP-23217" TargetMode="External"/><Relationship Id="rId44" Type="http://schemas.openxmlformats.org/officeDocument/2006/relationships/hyperlink" Target="https://aldi-sued.atlassian.net/browse/NPSCO-16188" TargetMode="External"/><Relationship Id="rId60" Type="http://schemas.openxmlformats.org/officeDocument/2006/relationships/hyperlink" Target="https://aldi-sued.atlassian.net/browse/NPSCO-16393" TargetMode="External"/><Relationship Id="rId65" Type="http://schemas.openxmlformats.org/officeDocument/2006/relationships/hyperlink" Target="https://aldi-sued.atlassian.net/browse/NPSCO-17367" TargetMode="External"/><Relationship Id="rId81" Type="http://schemas.openxmlformats.org/officeDocument/2006/relationships/hyperlink" Target="https://aldi-sued.atlassian.net/browse/NPSCO-17297" TargetMode="External"/><Relationship Id="rId86" Type="http://schemas.openxmlformats.org/officeDocument/2006/relationships/hyperlink" Target="https://aldi-sued.atlassian.net/browse/NPSCO-17705" TargetMode="External"/><Relationship Id="rId130" Type="http://schemas.openxmlformats.org/officeDocument/2006/relationships/table" Target="../tables/table16.xml"/><Relationship Id="rId13" Type="http://schemas.openxmlformats.org/officeDocument/2006/relationships/hyperlink" Target="https://aldi-sued.atlassian.net/browse/ANP-23107" TargetMode="External"/><Relationship Id="rId18" Type="http://schemas.openxmlformats.org/officeDocument/2006/relationships/hyperlink" Target="https://aldi-sued.atlassian.net/browse/ANP-23470" TargetMode="External"/><Relationship Id="rId39" Type="http://schemas.openxmlformats.org/officeDocument/2006/relationships/hyperlink" Target="https://aldi-sued.atlassian.net/browse/CHO-4940" TargetMode="External"/><Relationship Id="rId109" Type="http://schemas.openxmlformats.org/officeDocument/2006/relationships/hyperlink" Target="https://aldi-sued.atlassian.net/issues/?jql=%22cf%5B12600%5D%22%20%3D%20SCO_TheTillTitans" TargetMode="External"/><Relationship Id="rId34" Type="http://schemas.openxmlformats.org/officeDocument/2006/relationships/hyperlink" Target="https://aldi-sued.atlassian.net/browse/CHO-4737" TargetMode="External"/><Relationship Id="rId50" Type="http://schemas.openxmlformats.org/officeDocument/2006/relationships/hyperlink" Target="https://aldi-sued.atlassian.net/browse/NPSCO-17086" TargetMode="External"/><Relationship Id="rId55" Type="http://schemas.openxmlformats.org/officeDocument/2006/relationships/hyperlink" Target="https://aldi-sued.atlassian.net/browse/NPSCO-17382" TargetMode="External"/><Relationship Id="rId76" Type="http://schemas.openxmlformats.org/officeDocument/2006/relationships/hyperlink" Target="https://aldi-sued.atlassian.net/browse/NPSCO-17456" TargetMode="External"/><Relationship Id="rId97" Type="http://schemas.openxmlformats.org/officeDocument/2006/relationships/hyperlink" Target="https://aldi-sued.atlassian.net/browse/NPSCO-17318" TargetMode="External"/><Relationship Id="rId104" Type="http://schemas.openxmlformats.org/officeDocument/2006/relationships/hyperlink" Target="https://aldi-sued.atlassian.net/browse/NPSCO-17515" TargetMode="External"/><Relationship Id="rId120" Type="http://schemas.openxmlformats.org/officeDocument/2006/relationships/hyperlink" Target="https://aldi-sued.atlassian.net/browse/ANP-22554" TargetMode="External"/><Relationship Id="rId125" Type="http://schemas.openxmlformats.org/officeDocument/2006/relationships/hyperlink" Target="https://aldi-sued.atlassian.net/browse/ANP-20270" TargetMode="External"/><Relationship Id="rId7" Type="http://schemas.openxmlformats.org/officeDocument/2006/relationships/hyperlink" Target="https://aldi-sued.atlassian.net/browse/ANP-22916" TargetMode="External"/><Relationship Id="rId71" Type="http://schemas.openxmlformats.org/officeDocument/2006/relationships/hyperlink" Target="https://aldi-sued.atlassian.net/browse/NPSCO-16610" TargetMode="External"/><Relationship Id="rId92" Type="http://schemas.openxmlformats.org/officeDocument/2006/relationships/hyperlink" Target="https://aldi-sued.atlassian.net/browse/NPSCO-17140" TargetMode="External"/><Relationship Id="rId2" Type="http://schemas.openxmlformats.org/officeDocument/2006/relationships/hyperlink" Target="https://aldi-sued.atlassian.net/browse/ANP-21635" TargetMode="External"/><Relationship Id="rId29" Type="http://schemas.openxmlformats.org/officeDocument/2006/relationships/hyperlink" Target="https://aldi-sued.atlassian.net/browse/CHO-3254" TargetMode="External"/><Relationship Id="rId24" Type="http://schemas.openxmlformats.org/officeDocument/2006/relationships/hyperlink" Target="https://aldi-sued.atlassian.net/browse/CHO-4863" TargetMode="External"/><Relationship Id="rId40" Type="http://schemas.openxmlformats.org/officeDocument/2006/relationships/hyperlink" Target="https://aldi-sued.atlassian.net/browse/NPSCO-17298" TargetMode="External"/><Relationship Id="rId45" Type="http://schemas.openxmlformats.org/officeDocument/2006/relationships/hyperlink" Target="https://aldi-sued.atlassian.net/browse/NPSCO-16188" TargetMode="External"/><Relationship Id="rId66" Type="http://schemas.openxmlformats.org/officeDocument/2006/relationships/hyperlink" Target="https://aldi-sued.atlassian.net/issues/?jql=%22cf%5B12600%5D%22%20%3D%20SCO_TNT" TargetMode="External"/><Relationship Id="rId87" Type="http://schemas.openxmlformats.org/officeDocument/2006/relationships/hyperlink" Target="https://aldi-sued.atlassian.net/browse/NPSCO-17180" TargetMode="External"/><Relationship Id="rId110" Type="http://schemas.openxmlformats.org/officeDocument/2006/relationships/hyperlink" Target="https://aldi-sued.atlassian.net/browse/ANP-23626" TargetMode="External"/><Relationship Id="rId115" Type="http://schemas.openxmlformats.org/officeDocument/2006/relationships/hyperlink" Target="https://aldi-sued.atlassian.net/browse/ANP-23442" TargetMode="External"/><Relationship Id="rId61" Type="http://schemas.openxmlformats.org/officeDocument/2006/relationships/hyperlink" Target="https://aldi-sued.atlassian.net/browse/NPSCO-16393" TargetMode="External"/><Relationship Id="rId82" Type="http://schemas.openxmlformats.org/officeDocument/2006/relationships/hyperlink" Target="https://aldi-sued.atlassian.net/browse/NPSCO-17463" TargetMode="External"/><Relationship Id="rId19" Type="http://schemas.openxmlformats.org/officeDocument/2006/relationships/hyperlink" Target="https://aldi-sued.atlassian.net/browse/CHO-3253" TargetMode="External"/><Relationship Id="rId14" Type="http://schemas.openxmlformats.org/officeDocument/2006/relationships/hyperlink" Target="https://aldi-sued.atlassian.net/browse/ANP-20250" TargetMode="External"/><Relationship Id="rId30" Type="http://schemas.openxmlformats.org/officeDocument/2006/relationships/hyperlink" Target="https://aldi-sued.atlassian.net/browse/CHO-3255" TargetMode="External"/><Relationship Id="rId35" Type="http://schemas.openxmlformats.org/officeDocument/2006/relationships/hyperlink" Target="https://aldi-sued.atlassian.net/browse/CHO-4739" TargetMode="External"/><Relationship Id="rId56" Type="http://schemas.openxmlformats.org/officeDocument/2006/relationships/hyperlink" Target="https://aldi-sued.atlassian.net/browse/NPSCO-17361" TargetMode="External"/><Relationship Id="rId77" Type="http://schemas.openxmlformats.org/officeDocument/2006/relationships/hyperlink" Target="https://aldi-sued.atlassian.net/browse/NPSCO-16615" TargetMode="External"/><Relationship Id="rId100" Type="http://schemas.openxmlformats.org/officeDocument/2006/relationships/hyperlink" Target="https://aldi-sued.atlassian.net/browse/NPSCO-17464" TargetMode="External"/><Relationship Id="rId105" Type="http://schemas.openxmlformats.org/officeDocument/2006/relationships/hyperlink" Target="https://aldi-sued.atlassian.net/browse/NPSCO-17294" TargetMode="External"/><Relationship Id="rId126" Type="http://schemas.openxmlformats.org/officeDocument/2006/relationships/hyperlink" Target="https://aldi-sued.atlassian.net/browse/ANP-19527" TargetMode="External"/><Relationship Id="rId8" Type="http://schemas.openxmlformats.org/officeDocument/2006/relationships/hyperlink" Target="https://aldi-sued.atlassian.net/browse/ANP-23057" TargetMode="External"/><Relationship Id="rId51" Type="http://schemas.openxmlformats.org/officeDocument/2006/relationships/hyperlink" Target="https://aldi-sued.atlassian.net/browse/NPSCO-17086" TargetMode="External"/><Relationship Id="rId72" Type="http://schemas.openxmlformats.org/officeDocument/2006/relationships/hyperlink" Target="https://aldi-sued.atlassian.net/browse/NPSCO-17452" TargetMode="External"/><Relationship Id="rId93" Type="http://schemas.openxmlformats.org/officeDocument/2006/relationships/hyperlink" Target="https://aldi-sued.atlassian.net/browse/NPSCO-17106" TargetMode="External"/><Relationship Id="rId98" Type="http://schemas.openxmlformats.org/officeDocument/2006/relationships/hyperlink" Target="https://aldi-sued.atlassian.net/browse/NPSCO-17330" TargetMode="External"/><Relationship Id="rId121" Type="http://schemas.openxmlformats.org/officeDocument/2006/relationships/hyperlink" Target="https://aldi-sued.atlassian.net/browse/ANP-22554" TargetMode="External"/><Relationship Id="rId3" Type="http://schemas.openxmlformats.org/officeDocument/2006/relationships/hyperlink" Target="https://aldi-sued.atlassian.net/browse/ANP-23181" TargetMode="External"/><Relationship Id="rId25" Type="http://schemas.openxmlformats.org/officeDocument/2006/relationships/hyperlink" Target="https://aldi-sued.atlassian.net/browse/CHO-4937" TargetMode="External"/><Relationship Id="rId46" Type="http://schemas.openxmlformats.org/officeDocument/2006/relationships/hyperlink" Target="https://aldi-sued.atlassian.net/browse/NPSCO-17424" TargetMode="External"/><Relationship Id="rId67" Type="http://schemas.openxmlformats.org/officeDocument/2006/relationships/hyperlink" Target="https://aldi-sued.atlassian.net/browse/NPSCO-17379" TargetMode="External"/><Relationship Id="rId116" Type="http://schemas.openxmlformats.org/officeDocument/2006/relationships/hyperlink" Target="https://aldi-sued.atlassian.net/browse/ANP-23338" TargetMode="External"/><Relationship Id="rId20" Type="http://schemas.openxmlformats.org/officeDocument/2006/relationships/hyperlink" Target="https://aldi-sued.atlassian.net/browse/CHO-3436" TargetMode="External"/><Relationship Id="rId41" Type="http://schemas.openxmlformats.org/officeDocument/2006/relationships/hyperlink" Target="https://aldi-sued.atlassian.net/browse/NPSCO-17298" TargetMode="External"/><Relationship Id="rId62" Type="http://schemas.openxmlformats.org/officeDocument/2006/relationships/hyperlink" Target="https://aldi-sued.atlassian.net/issues/?jql=%22cf%5B12600%5D%22%20%3D%20SCO_Two_Fingered_Sloth" TargetMode="External"/><Relationship Id="rId83" Type="http://schemas.openxmlformats.org/officeDocument/2006/relationships/hyperlink" Target="https://aldi-sued.atlassian.net/browse/NPSCO-17551" TargetMode="External"/><Relationship Id="rId88" Type="http://schemas.openxmlformats.org/officeDocument/2006/relationships/hyperlink" Target="https://aldi-sued.atlassian.net/issues/?jql=%22cf%5B12600%5D%22%20%3D%20SCO_TheTillTitans" TargetMode="External"/><Relationship Id="rId111" Type="http://schemas.openxmlformats.org/officeDocument/2006/relationships/hyperlink" Target="https://aldi-sued.atlassian.net/browse/ANP-23626" TargetMode="External"/><Relationship Id="rId15" Type="http://schemas.openxmlformats.org/officeDocument/2006/relationships/hyperlink" Target="https://aldi-sued.atlassian.net/browse/ANP-23008" TargetMode="External"/><Relationship Id="rId36" Type="http://schemas.openxmlformats.org/officeDocument/2006/relationships/hyperlink" Target="https://aldi-sued.atlassian.net/browse/CHO-4864" TargetMode="External"/><Relationship Id="rId57" Type="http://schemas.openxmlformats.org/officeDocument/2006/relationships/hyperlink" Target="https://aldi-sued.atlassian.net/browse/NPSCO-17361" TargetMode="External"/><Relationship Id="rId106" Type="http://schemas.openxmlformats.org/officeDocument/2006/relationships/hyperlink" Target="https://aldi-sued.atlassian.net/browse/NPSCO-16516" TargetMode="External"/><Relationship Id="rId127" Type="http://schemas.openxmlformats.org/officeDocument/2006/relationships/hyperlink" Target="https://aldi-sued.atlassian.net/browse/ANP-19527" TargetMode="External"/><Relationship Id="rId10" Type="http://schemas.openxmlformats.org/officeDocument/2006/relationships/hyperlink" Target="https://aldi-sued.atlassian.net/browse/ANP-14075" TargetMode="External"/><Relationship Id="rId31" Type="http://schemas.openxmlformats.org/officeDocument/2006/relationships/hyperlink" Target="https://aldi-sued.atlassian.net/browse/CHO-3435" TargetMode="External"/><Relationship Id="rId52" Type="http://schemas.openxmlformats.org/officeDocument/2006/relationships/hyperlink" Target="https://aldi-sued.atlassian.net/browse/NPSCO-16711" TargetMode="External"/><Relationship Id="rId73" Type="http://schemas.openxmlformats.org/officeDocument/2006/relationships/hyperlink" Target="https://aldi-sued.atlassian.net/browse/NPSCO-17453" TargetMode="External"/><Relationship Id="rId78" Type="http://schemas.openxmlformats.org/officeDocument/2006/relationships/hyperlink" Target="https://aldi-sued.atlassian.net/browse/NPSCO-16949" TargetMode="External"/><Relationship Id="rId94" Type="http://schemas.openxmlformats.org/officeDocument/2006/relationships/hyperlink" Target="https://aldi-sued.atlassian.net/browse/NPSCO-15432" TargetMode="External"/><Relationship Id="rId99" Type="http://schemas.openxmlformats.org/officeDocument/2006/relationships/hyperlink" Target="https://aldi-sued.atlassian.net/browse/NPSCO-17234" TargetMode="External"/><Relationship Id="rId101" Type="http://schemas.openxmlformats.org/officeDocument/2006/relationships/hyperlink" Target="https://aldi-sued.atlassian.net/browse/NPSCO-16261" TargetMode="External"/><Relationship Id="rId122" Type="http://schemas.openxmlformats.org/officeDocument/2006/relationships/hyperlink" Target="https://aldi-sued.atlassian.net/browse/ANP-22433" TargetMode="External"/><Relationship Id="rId4" Type="http://schemas.openxmlformats.org/officeDocument/2006/relationships/hyperlink" Target="https://aldi-sued.atlassian.net/browse/ANP-23497" TargetMode="External"/><Relationship Id="rId9" Type="http://schemas.openxmlformats.org/officeDocument/2006/relationships/hyperlink" Target="https://aldi-sued.atlassian.net/browse/ANP-23670" TargetMode="External"/><Relationship Id="rId26" Type="http://schemas.openxmlformats.org/officeDocument/2006/relationships/hyperlink" Target="https://aldi-sued.atlassian.net/browse/CHO-4972"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17" Type="http://schemas.openxmlformats.org/officeDocument/2006/relationships/hyperlink" Target="https://aldi-sued.atlassian.net/browse/ANP-25038" TargetMode="External"/><Relationship Id="rId21" Type="http://schemas.openxmlformats.org/officeDocument/2006/relationships/hyperlink" Target="https://aldi-sued.atlassian.net/browse/ANP-24505" TargetMode="External"/><Relationship Id="rId42" Type="http://schemas.openxmlformats.org/officeDocument/2006/relationships/hyperlink" Target="https://aldi-sued.atlassian.net/browse/NPSCO-21717" TargetMode="External"/><Relationship Id="rId47" Type="http://schemas.openxmlformats.org/officeDocument/2006/relationships/hyperlink" Target="https://aldi-sued.atlassian.net/browse/NPSCO-21799" TargetMode="External"/><Relationship Id="rId63" Type="http://schemas.openxmlformats.org/officeDocument/2006/relationships/hyperlink" Target="https://aldi-sued.atlassian.net/browse/NPSCO-22269" TargetMode="External"/><Relationship Id="rId68" Type="http://schemas.openxmlformats.org/officeDocument/2006/relationships/hyperlink" Target="https://aldi-sued.atlassian.net/browse/NPSCO-21992" TargetMode="External"/><Relationship Id="rId84" Type="http://schemas.openxmlformats.org/officeDocument/2006/relationships/hyperlink" Target="https://aldi-sued.atlassian.net/browse/NPSCO-22073" TargetMode="External"/><Relationship Id="rId89" Type="http://schemas.openxmlformats.org/officeDocument/2006/relationships/hyperlink" Target="https://aldi-sued.atlassian.net/browse/NPSCO-22522" TargetMode="External"/><Relationship Id="rId112" Type="http://schemas.openxmlformats.org/officeDocument/2006/relationships/hyperlink" Target="https://aldi-sued.atlassian.net/browse/ANP-28175" TargetMode="External"/><Relationship Id="rId16" Type="http://schemas.openxmlformats.org/officeDocument/2006/relationships/hyperlink" Target="https://aldi-sued.atlassian.net/browse/ANP-25952" TargetMode="External"/><Relationship Id="rId107" Type="http://schemas.openxmlformats.org/officeDocument/2006/relationships/hyperlink" Target="https://aldi-sued.atlassian.net/browse/ANP-27974" TargetMode="External"/><Relationship Id="rId11" Type="http://schemas.openxmlformats.org/officeDocument/2006/relationships/hyperlink" Target="https://aldi-sued.atlassian.net/browse/ANP-28355" TargetMode="External"/><Relationship Id="rId32" Type="http://schemas.openxmlformats.org/officeDocument/2006/relationships/hyperlink" Target="https://aldi-sued.atlassian.net/browse/NPSCO-22216" TargetMode="External"/><Relationship Id="rId37" Type="http://schemas.openxmlformats.org/officeDocument/2006/relationships/hyperlink" Target="https://aldi-sued.atlassian.net/browse/NPSCO-22101" TargetMode="External"/><Relationship Id="rId53" Type="http://schemas.openxmlformats.org/officeDocument/2006/relationships/hyperlink" Target="https://aldi-sued.atlassian.net/browse/NPSCO-21910" TargetMode="External"/><Relationship Id="rId58" Type="http://schemas.openxmlformats.org/officeDocument/2006/relationships/hyperlink" Target="https://aldi-sued.atlassian.net/browse/NPSCO-21831" TargetMode="External"/><Relationship Id="rId74" Type="http://schemas.openxmlformats.org/officeDocument/2006/relationships/hyperlink" Target="https://aldi-sued.atlassian.net/browse/NPSCO-21840" TargetMode="External"/><Relationship Id="rId79" Type="http://schemas.openxmlformats.org/officeDocument/2006/relationships/hyperlink" Target="https://aldi-sued.atlassian.net/browse/NPSCO-18838" TargetMode="External"/><Relationship Id="rId102" Type="http://schemas.openxmlformats.org/officeDocument/2006/relationships/hyperlink" Target="https://aldi-sued.atlassian.net/browse/ANP-27715" TargetMode="External"/><Relationship Id="rId123" Type="http://schemas.openxmlformats.org/officeDocument/2006/relationships/hyperlink" Target="https://aldi-sued.atlassian.net/browse/ANP-28359" TargetMode="External"/><Relationship Id="rId128" Type="http://schemas.openxmlformats.org/officeDocument/2006/relationships/drawing" Target="../drawings/drawing5.xml"/><Relationship Id="rId5" Type="http://schemas.openxmlformats.org/officeDocument/2006/relationships/hyperlink" Target="https://aldi-sued.atlassian.net/browse/ANP-25064" TargetMode="External"/><Relationship Id="rId90" Type="http://schemas.openxmlformats.org/officeDocument/2006/relationships/hyperlink" Target="https://aldi-sued.atlassian.net/browse/ANP-26854" TargetMode="External"/><Relationship Id="rId95" Type="http://schemas.openxmlformats.org/officeDocument/2006/relationships/hyperlink" Target="https://aldi-sued.atlassian.net/browse/ANP-27483" TargetMode="External"/><Relationship Id="rId22" Type="http://schemas.openxmlformats.org/officeDocument/2006/relationships/hyperlink" Target="https://aldi-sued.atlassian.net/browse/ANP-27720" TargetMode="External"/><Relationship Id="rId27" Type="http://schemas.openxmlformats.org/officeDocument/2006/relationships/hyperlink" Target="https://aldi-sued.atlassian.net/browse/ANP-28938" TargetMode="External"/><Relationship Id="rId43" Type="http://schemas.openxmlformats.org/officeDocument/2006/relationships/hyperlink" Target="https://aldi-sued.atlassian.net/browse/NPSCO-21824" TargetMode="External"/><Relationship Id="rId48" Type="http://schemas.openxmlformats.org/officeDocument/2006/relationships/hyperlink" Target="https://aldi-sued.atlassian.net/browse/NPSCO-21799" TargetMode="External"/><Relationship Id="rId64" Type="http://schemas.openxmlformats.org/officeDocument/2006/relationships/hyperlink" Target="https://aldi-sued.atlassian.net/browse/NPSCO-22269" TargetMode="External"/><Relationship Id="rId69" Type="http://schemas.openxmlformats.org/officeDocument/2006/relationships/hyperlink" Target="https://aldi-sued.atlassian.net/browse/NPSCO-20297" TargetMode="External"/><Relationship Id="rId113" Type="http://schemas.openxmlformats.org/officeDocument/2006/relationships/hyperlink" Target="https://aldi-sued.atlassian.net/browse/ANP-28205" TargetMode="External"/><Relationship Id="rId118" Type="http://schemas.openxmlformats.org/officeDocument/2006/relationships/hyperlink" Target="https://aldi-sued.atlassian.net/browse/ANP-26738" TargetMode="External"/><Relationship Id="rId80" Type="http://schemas.openxmlformats.org/officeDocument/2006/relationships/hyperlink" Target="https://aldi-sued.atlassian.net/browse/NPSCO-22081" TargetMode="External"/><Relationship Id="rId85" Type="http://schemas.openxmlformats.org/officeDocument/2006/relationships/hyperlink" Target="https://aldi-sued.atlassian.net/browse/NPSCO-22373" TargetMode="External"/><Relationship Id="rId12" Type="http://schemas.openxmlformats.org/officeDocument/2006/relationships/hyperlink" Target="https://aldi-sued.atlassian.net/browse/ANP-28469" TargetMode="External"/><Relationship Id="rId17" Type="http://schemas.openxmlformats.org/officeDocument/2006/relationships/hyperlink" Target="https://aldi-sued.atlassian.net/browse/ANP-24505" TargetMode="External"/><Relationship Id="rId33" Type="http://schemas.openxmlformats.org/officeDocument/2006/relationships/hyperlink" Target="https://aldi-sued.atlassian.net/browse/NPSCO-21098" TargetMode="External"/><Relationship Id="rId38" Type="http://schemas.openxmlformats.org/officeDocument/2006/relationships/hyperlink" Target="https://aldi-sued.atlassian.net/browse/NPSCO-22101" TargetMode="External"/><Relationship Id="rId59" Type="http://schemas.openxmlformats.org/officeDocument/2006/relationships/hyperlink" Target="https://aldi-sued.atlassian.net/browse/NPSCO-21833" TargetMode="External"/><Relationship Id="rId103" Type="http://schemas.openxmlformats.org/officeDocument/2006/relationships/hyperlink" Target="https://aldi-sued.atlassian.net/browse/ANP-27716" TargetMode="External"/><Relationship Id="rId108" Type="http://schemas.openxmlformats.org/officeDocument/2006/relationships/hyperlink" Target="https://aldi-sued.atlassian.net/browse/ANP-27993" TargetMode="External"/><Relationship Id="rId124" Type="http://schemas.openxmlformats.org/officeDocument/2006/relationships/hyperlink" Target="https://aldi-sued.atlassian.net/browse/ANP-28385" TargetMode="External"/><Relationship Id="rId129" Type="http://schemas.openxmlformats.org/officeDocument/2006/relationships/table" Target="../tables/table2.xml"/><Relationship Id="rId54" Type="http://schemas.openxmlformats.org/officeDocument/2006/relationships/hyperlink" Target="https://aldi-sued.atlassian.net/browse/NPSCO-21910" TargetMode="External"/><Relationship Id="rId70" Type="http://schemas.openxmlformats.org/officeDocument/2006/relationships/hyperlink" Target="https://aldi-sued.atlassian.net/browse/NPSCO-21115" TargetMode="External"/><Relationship Id="rId75" Type="http://schemas.openxmlformats.org/officeDocument/2006/relationships/hyperlink" Target="https://aldi-sued.atlassian.net/browse/NPSCO-21681" TargetMode="External"/><Relationship Id="rId91" Type="http://schemas.openxmlformats.org/officeDocument/2006/relationships/hyperlink" Target="https://aldi-sued.atlassian.net/browse/ANP-27133" TargetMode="External"/><Relationship Id="rId96" Type="http://schemas.openxmlformats.org/officeDocument/2006/relationships/hyperlink" Target="https://aldi-sued.atlassian.net/browse/ANP-27580" TargetMode="External"/><Relationship Id="rId1" Type="http://schemas.openxmlformats.org/officeDocument/2006/relationships/hyperlink" Target="https://aldi-sued.atlassian.net/browse/ANP-25440" TargetMode="External"/><Relationship Id="rId6" Type="http://schemas.openxmlformats.org/officeDocument/2006/relationships/hyperlink" Target="https://aldi-sued.atlassian.net/browse/ANP-28399" TargetMode="External"/><Relationship Id="rId23" Type="http://schemas.openxmlformats.org/officeDocument/2006/relationships/hyperlink" Target="https://aldi-sued.atlassian.net/browse/ANP-27742" TargetMode="External"/><Relationship Id="rId28" Type="http://schemas.openxmlformats.org/officeDocument/2006/relationships/hyperlink" Target="https://aldi-sued.atlassian.net/browse/ANP-28946" TargetMode="External"/><Relationship Id="rId49" Type="http://schemas.openxmlformats.org/officeDocument/2006/relationships/hyperlink" Target="https://aldi-sued.atlassian.net/browse/NPSCO-21166" TargetMode="External"/><Relationship Id="rId114" Type="http://schemas.openxmlformats.org/officeDocument/2006/relationships/hyperlink" Target="https://aldi-sued.atlassian.net/browse/ANP-28356" TargetMode="External"/><Relationship Id="rId119" Type="http://schemas.openxmlformats.org/officeDocument/2006/relationships/hyperlink" Target="https://aldi-sued.atlassian.net/browse/ANP-26888" TargetMode="External"/><Relationship Id="rId44" Type="http://schemas.openxmlformats.org/officeDocument/2006/relationships/hyperlink" Target="https://aldi-sued.atlassian.net/browse/NPSCO-21824" TargetMode="External"/><Relationship Id="rId60" Type="http://schemas.openxmlformats.org/officeDocument/2006/relationships/hyperlink" Target="https://aldi-sued.atlassian.net/browse/NPSCO-21833" TargetMode="External"/><Relationship Id="rId65" Type="http://schemas.openxmlformats.org/officeDocument/2006/relationships/hyperlink" Target="https://aldi-sued.atlassian.net/browse/NPSCO-22409" TargetMode="External"/><Relationship Id="rId81" Type="http://schemas.openxmlformats.org/officeDocument/2006/relationships/hyperlink" Target="https://aldi-sued.atlassian.net/browse/NPSCO-21815" TargetMode="External"/><Relationship Id="rId86" Type="http://schemas.openxmlformats.org/officeDocument/2006/relationships/hyperlink" Target="https://aldi-sued.atlassian.net/browse/NPSCO-22428" TargetMode="External"/><Relationship Id="rId13" Type="http://schemas.openxmlformats.org/officeDocument/2006/relationships/hyperlink" Target="https://aldi-sued.atlassian.net/browse/ANP-28506" TargetMode="External"/><Relationship Id="rId18" Type="http://schemas.openxmlformats.org/officeDocument/2006/relationships/hyperlink" Target="https://aldi-sued.atlassian.net/browse/ANP-24505" TargetMode="External"/><Relationship Id="rId39" Type="http://schemas.openxmlformats.org/officeDocument/2006/relationships/hyperlink" Target="https://aldi-sued.atlassian.net/browse/NPSCO-22302" TargetMode="External"/><Relationship Id="rId109" Type="http://schemas.openxmlformats.org/officeDocument/2006/relationships/hyperlink" Target="https://aldi-sued.atlassian.net/browse/ANP-27997" TargetMode="External"/><Relationship Id="rId34" Type="http://schemas.openxmlformats.org/officeDocument/2006/relationships/hyperlink" Target="https://aldi-sued.atlassian.net/browse/NPSCO-21098" TargetMode="External"/><Relationship Id="rId50" Type="http://schemas.openxmlformats.org/officeDocument/2006/relationships/hyperlink" Target="https://aldi-sued.atlassian.net/browse/NPSCO-21166" TargetMode="External"/><Relationship Id="rId55" Type="http://schemas.openxmlformats.org/officeDocument/2006/relationships/hyperlink" Target="https://aldi-sued.atlassian.net/browse/NPSCO-21181" TargetMode="External"/><Relationship Id="rId76" Type="http://schemas.openxmlformats.org/officeDocument/2006/relationships/hyperlink" Target="https://aldi-sued.atlassian.net/browse/NPSCO-21491" TargetMode="External"/><Relationship Id="rId97" Type="http://schemas.openxmlformats.org/officeDocument/2006/relationships/hyperlink" Target="https://aldi-sued.atlassian.net/browse/ANP-27613" TargetMode="External"/><Relationship Id="rId104" Type="http://schemas.openxmlformats.org/officeDocument/2006/relationships/hyperlink" Target="https://aldi-sued.atlassian.net/browse/ANP-27718" TargetMode="External"/><Relationship Id="rId120" Type="http://schemas.openxmlformats.org/officeDocument/2006/relationships/hyperlink" Target="https://aldi-sued.atlassian.net/browse/ANP-27170" TargetMode="External"/><Relationship Id="rId125" Type="http://schemas.openxmlformats.org/officeDocument/2006/relationships/hyperlink" Target="https://aldi-sued.atlassian.net/browse/ANP-28500" TargetMode="External"/><Relationship Id="rId7" Type="http://schemas.openxmlformats.org/officeDocument/2006/relationships/hyperlink" Target="https://aldi-sued.atlassian.net/browse/ANP-28571" TargetMode="External"/><Relationship Id="rId71" Type="http://schemas.openxmlformats.org/officeDocument/2006/relationships/hyperlink" Target="https://aldi-sued.atlassian.net/browse/NPSCO-20414" TargetMode="External"/><Relationship Id="rId92" Type="http://schemas.openxmlformats.org/officeDocument/2006/relationships/hyperlink" Target="https://aldi-sued.atlassian.net/browse/ANP-27150" TargetMode="External"/><Relationship Id="rId2" Type="http://schemas.openxmlformats.org/officeDocument/2006/relationships/hyperlink" Target="https://aldi-sued.atlassian.net/browse/ANP-27041" TargetMode="External"/><Relationship Id="rId29" Type="http://schemas.openxmlformats.org/officeDocument/2006/relationships/hyperlink" Target="https://aldi-sued.atlassian.net/browse/ANP-29057" TargetMode="External"/><Relationship Id="rId24" Type="http://schemas.openxmlformats.org/officeDocument/2006/relationships/hyperlink" Target="https://aldi-sued.atlassian.net/browse/ANP-28370" TargetMode="External"/><Relationship Id="rId40" Type="http://schemas.openxmlformats.org/officeDocument/2006/relationships/hyperlink" Target="https://aldi-sued.atlassian.net/browse/NPSCO-22302" TargetMode="External"/><Relationship Id="rId45" Type="http://schemas.openxmlformats.org/officeDocument/2006/relationships/hyperlink" Target="https://aldi-sued.atlassian.net/browse/NPSCO-15181" TargetMode="External"/><Relationship Id="rId66" Type="http://schemas.openxmlformats.org/officeDocument/2006/relationships/hyperlink" Target="https://aldi-sued.atlassian.net/browse/NPSCO-22396" TargetMode="External"/><Relationship Id="rId87" Type="http://schemas.openxmlformats.org/officeDocument/2006/relationships/hyperlink" Target="https://aldi-sued.atlassian.net/browse/NPSCO-20447" TargetMode="External"/><Relationship Id="rId110" Type="http://schemas.openxmlformats.org/officeDocument/2006/relationships/hyperlink" Target="https://aldi-sued.atlassian.net/browse/ANP-28000" TargetMode="External"/><Relationship Id="rId115" Type="http://schemas.openxmlformats.org/officeDocument/2006/relationships/hyperlink" Target="https://aldi-sued.atlassian.net/browse/ANP-28405" TargetMode="External"/><Relationship Id="rId61" Type="http://schemas.openxmlformats.org/officeDocument/2006/relationships/hyperlink" Target="https://aldi-sued.atlassian.net/browse/NPSCO-21835" TargetMode="External"/><Relationship Id="rId82" Type="http://schemas.openxmlformats.org/officeDocument/2006/relationships/hyperlink" Target="https://aldi-sued.atlassian.net/browse/NPSCO-21855" TargetMode="External"/><Relationship Id="rId19" Type="http://schemas.openxmlformats.org/officeDocument/2006/relationships/hyperlink" Target="https://aldi-sued.atlassian.net/browse/ANP-24505" TargetMode="External"/><Relationship Id="rId14" Type="http://schemas.openxmlformats.org/officeDocument/2006/relationships/hyperlink" Target="https://aldi-sued.atlassian.net/browse/ANP-28536" TargetMode="External"/><Relationship Id="rId30" Type="http://schemas.openxmlformats.org/officeDocument/2006/relationships/hyperlink" Target="https://aldi-sued.atlassian.net/browse/ANP-27222" TargetMode="External"/><Relationship Id="rId35" Type="http://schemas.openxmlformats.org/officeDocument/2006/relationships/hyperlink" Target="https://aldi-sued.atlassian.net/browse/NPSCO-22347" TargetMode="External"/><Relationship Id="rId56" Type="http://schemas.openxmlformats.org/officeDocument/2006/relationships/hyperlink" Target="https://aldi-sued.atlassian.net/browse/NPSCO-21181" TargetMode="External"/><Relationship Id="rId77" Type="http://schemas.openxmlformats.org/officeDocument/2006/relationships/hyperlink" Target="https://aldi-sued.atlassian.net/browse/NPSCO-20797" TargetMode="External"/><Relationship Id="rId100" Type="http://schemas.openxmlformats.org/officeDocument/2006/relationships/hyperlink" Target="https://aldi-sued.atlassian.net/browse/ANP-27698" TargetMode="External"/><Relationship Id="rId105" Type="http://schemas.openxmlformats.org/officeDocument/2006/relationships/hyperlink" Target="https://aldi-sued.atlassian.net/browse/ANP-27761" TargetMode="External"/><Relationship Id="rId126" Type="http://schemas.openxmlformats.org/officeDocument/2006/relationships/hyperlink" Target="https://aldi-sued.atlassian.net/browse/ANP-28559" TargetMode="External"/><Relationship Id="rId8" Type="http://schemas.openxmlformats.org/officeDocument/2006/relationships/hyperlink" Target="https://aldi-sued.atlassian.net/browse/ANP-25955" TargetMode="External"/><Relationship Id="rId51" Type="http://schemas.openxmlformats.org/officeDocument/2006/relationships/hyperlink" Target="https://aldi-sued.atlassian.net/browse/NPSCO-20230" TargetMode="External"/><Relationship Id="rId72" Type="http://schemas.openxmlformats.org/officeDocument/2006/relationships/hyperlink" Target="https://aldi-sued.atlassian.net/browse/NPSCO-21296" TargetMode="External"/><Relationship Id="rId93" Type="http://schemas.openxmlformats.org/officeDocument/2006/relationships/hyperlink" Target="https://aldi-sued.atlassian.net/browse/ANP-27424" TargetMode="External"/><Relationship Id="rId98" Type="http://schemas.openxmlformats.org/officeDocument/2006/relationships/hyperlink" Target="https://aldi-sued.atlassian.net/browse/ANP-27638" TargetMode="External"/><Relationship Id="rId121" Type="http://schemas.openxmlformats.org/officeDocument/2006/relationships/hyperlink" Target="https://aldi-sued.atlassian.net/browse/ANP-28174" TargetMode="External"/><Relationship Id="rId3" Type="http://schemas.openxmlformats.org/officeDocument/2006/relationships/hyperlink" Target="https://aldi-sued.atlassian.net/browse/ANP-28397" TargetMode="External"/><Relationship Id="rId25" Type="http://schemas.openxmlformats.org/officeDocument/2006/relationships/hyperlink" Target="https://aldi-sued.atlassian.net/browse/ANP-28913" TargetMode="External"/><Relationship Id="rId46" Type="http://schemas.openxmlformats.org/officeDocument/2006/relationships/hyperlink" Target="https://aldi-sued.atlassian.net/browse/NPSCO-15181" TargetMode="External"/><Relationship Id="rId67" Type="http://schemas.openxmlformats.org/officeDocument/2006/relationships/hyperlink" Target="https://aldi-sued.atlassian.net/browse/NPSCO-22382" TargetMode="External"/><Relationship Id="rId116" Type="http://schemas.openxmlformats.org/officeDocument/2006/relationships/hyperlink" Target="https://aldi-sued.atlassian.net/browse/ANP-17348" TargetMode="External"/><Relationship Id="rId20" Type="http://schemas.openxmlformats.org/officeDocument/2006/relationships/hyperlink" Target="https://aldi-sued.atlassian.net/browse/ANP-24505" TargetMode="External"/><Relationship Id="rId41" Type="http://schemas.openxmlformats.org/officeDocument/2006/relationships/hyperlink" Target="https://aldi-sued.atlassian.net/browse/NPSCO-21717" TargetMode="External"/><Relationship Id="rId62" Type="http://schemas.openxmlformats.org/officeDocument/2006/relationships/hyperlink" Target="https://aldi-sued.atlassian.net/browse/NPSCO-21835" TargetMode="External"/><Relationship Id="rId83" Type="http://schemas.openxmlformats.org/officeDocument/2006/relationships/hyperlink" Target="https://aldi-sued.atlassian.net/browse/NPSCO-22034" TargetMode="External"/><Relationship Id="rId88" Type="http://schemas.openxmlformats.org/officeDocument/2006/relationships/hyperlink" Target="https://aldi-sued.atlassian.net/browse/NPSCO-22361" TargetMode="External"/><Relationship Id="rId111" Type="http://schemas.openxmlformats.org/officeDocument/2006/relationships/hyperlink" Target="https://aldi-sued.atlassian.net/browse/ANP-28165" TargetMode="External"/><Relationship Id="rId15" Type="http://schemas.openxmlformats.org/officeDocument/2006/relationships/hyperlink" Target="https://aldi-sued.atlassian.net/browse/ANP-22244" TargetMode="External"/><Relationship Id="rId36" Type="http://schemas.openxmlformats.org/officeDocument/2006/relationships/hyperlink" Target="https://aldi-sued.atlassian.net/browse/NPSCO-22347" TargetMode="External"/><Relationship Id="rId57" Type="http://schemas.openxmlformats.org/officeDocument/2006/relationships/hyperlink" Target="https://aldi-sued.atlassian.net/browse/NPSCO-21831" TargetMode="External"/><Relationship Id="rId106" Type="http://schemas.openxmlformats.org/officeDocument/2006/relationships/hyperlink" Target="https://aldi-sued.atlassian.net/browse/ANP-27769" TargetMode="External"/><Relationship Id="rId127" Type="http://schemas.openxmlformats.org/officeDocument/2006/relationships/printerSettings" Target="../printerSettings/printerSettings4.bin"/><Relationship Id="rId10" Type="http://schemas.openxmlformats.org/officeDocument/2006/relationships/hyperlink" Target="https://aldi-sued.atlassian.net/browse/ANP-28354" TargetMode="External"/><Relationship Id="rId31" Type="http://schemas.openxmlformats.org/officeDocument/2006/relationships/hyperlink" Target="https://aldi-sued.atlassian.net/browse/NPSCO-22216" TargetMode="External"/><Relationship Id="rId52" Type="http://schemas.openxmlformats.org/officeDocument/2006/relationships/hyperlink" Target="https://aldi-sued.atlassian.net/browse/NPSCO-20230" TargetMode="External"/><Relationship Id="rId73" Type="http://schemas.openxmlformats.org/officeDocument/2006/relationships/hyperlink" Target="https://aldi-sued.atlassian.net/browse/NPSCO-21706" TargetMode="External"/><Relationship Id="rId78" Type="http://schemas.openxmlformats.org/officeDocument/2006/relationships/hyperlink" Target="https://aldi-sued.atlassian.net/browse/NPSCO-20648" TargetMode="External"/><Relationship Id="rId94" Type="http://schemas.openxmlformats.org/officeDocument/2006/relationships/hyperlink" Target="https://aldi-sued.atlassian.net/browse/ANP-27468" TargetMode="External"/><Relationship Id="rId99" Type="http://schemas.openxmlformats.org/officeDocument/2006/relationships/hyperlink" Target="https://aldi-sued.atlassian.net/browse/ANP-27693" TargetMode="External"/><Relationship Id="rId101" Type="http://schemas.openxmlformats.org/officeDocument/2006/relationships/hyperlink" Target="https://aldi-sued.atlassian.net/browse/ANP-27713" TargetMode="External"/><Relationship Id="rId122" Type="http://schemas.openxmlformats.org/officeDocument/2006/relationships/hyperlink" Target="https://aldi-sued.atlassian.net/browse/ANP-28226" TargetMode="External"/><Relationship Id="rId4" Type="http://schemas.openxmlformats.org/officeDocument/2006/relationships/hyperlink" Target="https://aldi-sued.atlassian.net/browse/ANP-28543" TargetMode="External"/><Relationship Id="rId9" Type="http://schemas.openxmlformats.org/officeDocument/2006/relationships/hyperlink" Target="https://aldi-sued.atlassian.net/browse/ANP-28170" TargetMode="External"/><Relationship Id="rId26" Type="http://schemas.openxmlformats.org/officeDocument/2006/relationships/hyperlink" Target="https://aldi-sued.atlassian.net/browse/ANP-24505"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ldi-sued.atlassian.net/browse/NPSCO-21296" TargetMode="External"/><Relationship Id="rId299" Type="http://schemas.openxmlformats.org/officeDocument/2006/relationships/hyperlink" Target="https://aldi-sued.atlassian.net/browse/NPSCO-13007" TargetMode="External"/><Relationship Id="rId21" Type="http://schemas.openxmlformats.org/officeDocument/2006/relationships/hyperlink" Target="https://aldi-sued.atlassian.net/browse/NPSCO-17305" TargetMode="External"/><Relationship Id="rId63" Type="http://schemas.openxmlformats.org/officeDocument/2006/relationships/hyperlink" Target="https://aldi-sued.atlassian.net/browse/NPSCO-17964" TargetMode="External"/><Relationship Id="rId159" Type="http://schemas.openxmlformats.org/officeDocument/2006/relationships/hyperlink" Target="https://aldi-sued.atlassian.net/browse/ANP-27693" TargetMode="External"/><Relationship Id="rId170" Type="http://schemas.openxmlformats.org/officeDocument/2006/relationships/hyperlink" Target="https://aldi-sued.atlassian.net/browse/ANP-25038" TargetMode="External"/><Relationship Id="rId226" Type="http://schemas.openxmlformats.org/officeDocument/2006/relationships/hyperlink" Target="https://aldi-sued.atlassian.net/browse/ANP-28139" TargetMode="External"/><Relationship Id="rId268" Type="http://schemas.openxmlformats.org/officeDocument/2006/relationships/hyperlink" Target="https://aldi-sued.atlassian.net/browse/ANP-28364" TargetMode="External"/><Relationship Id="rId32" Type="http://schemas.openxmlformats.org/officeDocument/2006/relationships/hyperlink" Target="https://aldi-sued.atlassian.net/browse/NPSCO-20806" TargetMode="External"/><Relationship Id="rId74" Type="http://schemas.openxmlformats.org/officeDocument/2006/relationships/hyperlink" Target="https://aldi-sued.atlassian.net/browse/NPSCO-21067" TargetMode="External"/><Relationship Id="rId128" Type="http://schemas.openxmlformats.org/officeDocument/2006/relationships/hyperlink" Target="https://aldi-sued.atlassian.net/browse/ANP-27468" TargetMode="External"/><Relationship Id="rId5" Type="http://schemas.openxmlformats.org/officeDocument/2006/relationships/hyperlink" Target="https://aldi-sued.atlassian.net/browse/ANP-27211" TargetMode="External"/><Relationship Id="rId181" Type="http://schemas.openxmlformats.org/officeDocument/2006/relationships/hyperlink" Target="https://aldi-sued.atlassian.net/browse/ANP-28175" TargetMode="External"/><Relationship Id="rId237" Type="http://schemas.openxmlformats.org/officeDocument/2006/relationships/hyperlink" Target="https://aldi-sued.atlassian.net/browse/ANP-28184" TargetMode="External"/><Relationship Id="rId279" Type="http://schemas.openxmlformats.org/officeDocument/2006/relationships/hyperlink" Target="https://aldi-sued.atlassian.net/browse/ANP-26797" TargetMode="External"/><Relationship Id="rId43" Type="http://schemas.openxmlformats.org/officeDocument/2006/relationships/hyperlink" Target="https://aldi-sued.atlassian.net/browse/NPSCO-21241" TargetMode="External"/><Relationship Id="rId139" Type="http://schemas.openxmlformats.org/officeDocument/2006/relationships/hyperlink" Target="https://aldi-sued.atlassian.net/browse/ANP-26854" TargetMode="External"/><Relationship Id="rId290" Type="http://schemas.openxmlformats.org/officeDocument/2006/relationships/hyperlink" Target="https://aldi-sued.atlassian.net/browse/NPSCO-20701" TargetMode="External"/><Relationship Id="rId304" Type="http://schemas.openxmlformats.org/officeDocument/2006/relationships/printerSettings" Target="../printerSettings/printerSettings5.bin"/><Relationship Id="rId85" Type="http://schemas.openxmlformats.org/officeDocument/2006/relationships/hyperlink" Target="https://aldi-sued.atlassian.net/browse/NPSCO-21179" TargetMode="External"/><Relationship Id="rId150" Type="http://schemas.openxmlformats.org/officeDocument/2006/relationships/hyperlink" Target="https://aldi-sued.atlassian.net/browse/ANP-17348" TargetMode="External"/><Relationship Id="rId192" Type="http://schemas.openxmlformats.org/officeDocument/2006/relationships/hyperlink" Target="https://aldi-sued.atlassian.net/browse/ANP-25832" TargetMode="External"/><Relationship Id="rId206" Type="http://schemas.openxmlformats.org/officeDocument/2006/relationships/hyperlink" Target="https://aldi-sued.atlassian.net/browse/ANP-27756" TargetMode="External"/><Relationship Id="rId248" Type="http://schemas.openxmlformats.org/officeDocument/2006/relationships/hyperlink" Target="https://aldi-sued.atlassian.net/browse/ANP-28262" TargetMode="External"/><Relationship Id="rId12" Type="http://schemas.openxmlformats.org/officeDocument/2006/relationships/hyperlink" Target="https://aldi-sued.atlassian.net/browse/ANP-22244" TargetMode="External"/><Relationship Id="rId108" Type="http://schemas.openxmlformats.org/officeDocument/2006/relationships/hyperlink" Target="https://aldi-sued.atlassian.net/browse/NPSCO-21269" TargetMode="External"/><Relationship Id="rId54" Type="http://schemas.openxmlformats.org/officeDocument/2006/relationships/hyperlink" Target="https://aldi-sued.atlassian.net/browse/NPSCO-18575" TargetMode="External"/><Relationship Id="rId96" Type="http://schemas.openxmlformats.org/officeDocument/2006/relationships/hyperlink" Target="https://aldi-sued.atlassian.net/browse/NPSCO-20854" TargetMode="External"/><Relationship Id="rId161" Type="http://schemas.openxmlformats.org/officeDocument/2006/relationships/hyperlink" Target="https://aldi-sued.atlassian.net/browse/ANP-27713" TargetMode="External"/><Relationship Id="rId217" Type="http://schemas.openxmlformats.org/officeDocument/2006/relationships/hyperlink" Target="https://aldi-sued.atlassian.net/browse/ANP-27988" TargetMode="External"/><Relationship Id="rId259" Type="http://schemas.openxmlformats.org/officeDocument/2006/relationships/hyperlink" Target="https://aldi-sued.atlassian.net/browse/ANP-28390" TargetMode="External"/><Relationship Id="rId23" Type="http://schemas.openxmlformats.org/officeDocument/2006/relationships/hyperlink" Target="https://aldi-sued.atlassian.net/browse/NPSCO-20626" TargetMode="External"/><Relationship Id="rId119" Type="http://schemas.openxmlformats.org/officeDocument/2006/relationships/hyperlink" Target="https://aldi-sued.atlassian.net/browse/ANP-28405" TargetMode="External"/><Relationship Id="rId270" Type="http://schemas.openxmlformats.org/officeDocument/2006/relationships/hyperlink" Target="https://aldi-sued.atlassian.net/browse/ANP-28388" TargetMode="External"/><Relationship Id="rId291" Type="http://schemas.openxmlformats.org/officeDocument/2006/relationships/hyperlink" Target="https://aldi-sued.atlassian.net/browse/NPSCO-21040" TargetMode="External"/><Relationship Id="rId305" Type="http://schemas.openxmlformats.org/officeDocument/2006/relationships/table" Target="../tables/table3.xml"/><Relationship Id="rId44" Type="http://schemas.openxmlformats.org/officeDocument/2006/relationships/hyperlink" Target="https://aldi-sued.atlassian.net/browse/NPSCO-21381" TargetMode="External"/><Relationship Id="rId65" Type="http://schemas.openxmlformats.org/officeDocument/2006/relationships/hyperlink" Target="https://aldi-sued.atlassian.net/browse/NPSCO-20879" TargetMode="External"/><Relationship Id="rId86" Type="http://schemas.openxmlformats.org/officeDocument/2006/relationships/hyperlink" Target="https://aldi-sued.atlassian.net/browse/NPSCO-21182" TargetMode="External"/><Relationship Id="rId130" Type="http://schemas.openxmlformats.org/officeDocument/2006/relationships/hyperlink" Target="https://aldi-sued.atlassian.net/browse/ANP-28356" TargetMode="External"/><Relationship Id="rId151" Type="http://schemas.openxmlformats.org/officeDocument/2006/relationships/hyperlink" Target="https://aldi-sued.atlassian.net/browse/ANP-17348" TargetMode="External"/><Relationship Id="rId172" Type="http://schemas.openxmlformats.org/officeDocument/2006/relationships/hyperlink" Target="https://aldi-sued.atlassian.net/browse/ANP-27150" TargetMode="External"/><Relationship Id="rId193" Type="http://schemas.openxmlformats.org/officeDocument/2006/relationships/hyperlink" Target="https://aldi-sued.atlassian.net/browse/ANP-25915" TargetMode="External"/><Relationship Id="rId207" Type="http://schemas.openxmlformats.org/officeDocument/2006/relationships/hyperlink" Target="https://aldi-sued.atlassian.net/browse/ANP-27757" TargetMode="External"/><Relationship Id="rId228" Type="http://schemas.openxmlformats.org/officeDocument/2006/relationships/hyperlink" Target="https://aldi-sued.atlassian.net/browse/ANP-28141" TargetMode="External"/><Relationship Id="rId249" Type="http://schemas.openxmlformats.org/officeDocument/2006/relationships/hyperlink" Target="https://aldi-sued.atlassian.net/browse/ANP-28281" TargetMode="External"/><Relationship Id="rId13" Type="http://schemas.openxmlformats.org/officeDocument/2006/relationships/hyperlink" Target="https://aldi-sued.atlassian.net/browse/ANP-25952" TargetMode="External"/><Relationship Id="rId109" Type="http://schemas.openxmlformats.org/officeDocument/2006/relationships/hyperlink" Target="https://aldi-sued.atlassian.net/browse/NPSCO-21269" TargetMode="External"/><Relationship Id="rId260" Type="http://schemas.openxmlformats.org/officeDocument/2006/relationships/hyperlink" Target="https://aldi-sued.atlassian.net/browse/ANP-28412" TargetMode="External"/><Relationship Id="rId281" Type="http://schemas.openxmlformats.org/officeDocument/2006/relationships/hyperlink" Target="https://aldi-sued.atlassian.net/browse/BF-1412" TargetMode="External"/><Relationship Id="rId34" Type="http://schemas.openxmlformats.org/officeDocument/2006/relationships/hyperlink" Target="https://aldi-sued.atlassian.net/browse/NPSCO-20799" TargetMode="External"/><Relationship Id="rId55" Type="http://schemas.openxmlformats.org/officeDocument/2006/relationships/hyperlink" Target="https://aldi-sued.atlassian.net/browse/NPSCO-18575" TargetMode="External"/><Relationship Id="rId76" Type="http://schemas.openxmlformats.org/officeDocument/2006/relationships/hyperlink" Target="https://aldi-sued.atlassian.net/browse/NPSCO-19621" TargetMode="External"/><Relationship Id="rId97" Type="http://schemas.openxmlformats.org/officeDocument/2006/relationships/hyperlink" Target="https://aldi-sued.atlassian.net/browse/NPSCO-20854" TargetMode="External"/><Relationship Id="rId120" Type="http://schemas.openxmlformats.org/officeDocument/2006/relationships/hyperlink" Target="https://aldi-sued.atlassian.net/browse/ANP-27993" TargetMode="External"/><Relationship Id="rId141" Type="http://schemas.openxmlformats.org/officeDocument/2006/relationships/hyperlink" Target="https://aldi-sued.atlassian.net/browse/ANP-27718" TargetMode="External"/><Relationship Id="rId7" Type="http://schemas.openxmlformats.org/officeDocument/2006/relationships/hyperlink" Target="https://aldi-sued.atlassian.net/browse/ANP-27041" TargetMode="External"/><Relationship Id="rId162" Type="http://schemas.openxmlformats.org/officeDocument/2006/relationships/hyperlink" Target="https://aldi-sued.atlassian.net/browse/ANP-27715" TargetMode="External"/><Relationship Id="rId183" Type="http://schemas.openxmlformats.org/officeDocument/2006/relationships/hyperlink" Target="https://aldi-sued.atlassian.net/browse/ANP-28174" TargetMode="External"/><Relationship Id="rId218" Type="http://schemas.openxmlformats.org/officeDocument/2006/relationships/hyperlink" Target="https://aldi-sued.atlassian.net/browse/ANP-27989" TargetMode="External"/><Relationship Id="rId239" Type="http://schemas.openxmlformats.org/officeDocument/2006/relationships/hyperlink" Target="https://aldi-sued.atlassian.net/browse/ANP-28191" TargetMode="External"/><Relationship Id="rId250" Type="http://schemas.openxmlformats.org/officeDocument/2006/relationships/hyperlink" Target="https://aldi-sued.atlassian.net/browse/ANP-28287" TargetMode="External"/><Relationship Id="rId271" Type="http://schemas.openxmlformats.org/officeDocument/2006/relationships/hyperlink" Target="https://aldi-sued.atlassian.net/browse/ANP-28389" TargetMode="External"/><Relationship Id="rId292" Type="http://schemas.openxmlformats.org/officeDocument/2006/relationships/hyperlink" Target="https://aldi-sued.atlassian.net/browse/NPSCO-21238" TargetMode="External"/><Relationship Id="rId24" Type="http://schemas.openxmlformats.org/officeDocument/2006/relationships/hyperlink" Target="https://aldi-sued.atlassian.net/browse/NPSCO-19917" TargetMode="External"/><Relationship Id="rId45" Type="http://schemas.openxmlformats.org/officeDocument/2006/relationships/hyperlink" Target="https://aldi-sued.atlassian.net/browse/NPSCO-21381" TargetMode="External"/><Relationship Id="rId66" Type="http://schemas.openxmlformats.org/officeDocument/2006/relationships/hyperlink" Target="https://aldi-sued.atlassian.net/browse/NPSCO-21276" TargetMode="External"/><Relationship Id="rId87" Type="http://schemas.openxmlformats.org/officeDocument/2006/relationships/hyperlink" Target="https://aldi-sued.atlassian.net/browse/NPSCO-21182" TargetMode="External"/><Relationship Id="rId110" Type="http://schemas.openxmlformats.org/officeDocument/2006/relationships/hyperlink" Target="https://aldi-sued.atlassian.net/browse/NPSCO-21656" TargetMode="External"/><Relationship Id="rId131" Type="http://schemas.openxmlformats.org/officeDocument/2006/relationships/hyperlink" Target="https://aldi-sued.atlassian.net/browse/ANP-28356" TargetMode="External"/><Relationship Id="rId152" Type="http://schemas.openxmlformats.org/officeDocument/2006/relationships/hyperlink" Target="https://aldi-sued.atlassian.net/browse/ANP-27716" TargetMode="External"/><Relationship Id="rId173" Type="http://schemas.openxmlformats.org/officeDocument/2006/relationships/hyperlink" Target="https://aldi-sued.atlassian.net/browse/ANP-27150" TargetMode="External"/><Relationship Id="rId194" Type="http://schemas.openxmlformats.org/officeDocument/2006/relationships/hyperlink" Target="https://aldi-sued.atlassian.net/browse/ANP-26502" TargetMode="External"/><Relationship Id="rId208" Type="http://schemas.openxmlformats.org/officeDocument/2006/relationships/hyperlink" Target="https://aldi-sued.atlassian.net/browse/ANP-27759" TargetMode="External"/><Relationship Id="rId229" Type="http://schemas.openxmlformats.org/officeDocument/2006/relationships/hyperlink" Target="https://aldi-sued.atlassian.net/browse/ANP-28163" TargetMode="External"/><Relationship Id="rId240" Type="http://schemas.openxmlformats.org/officeDocument/2006/relationships/hyperlink" Target="https://aldi-sued.atlassian.net/browse/ANP-28198" TargetMode="External"/><Relationship Id="rId261" Type="http://schemas.openxmlformats.org/officeDocument/2006/relationships/hyperlink" Target="https://aldi-sued.atlassian.net/browse/ANP-24512" TargetMode="External"/><Relationship Id="rId14" Type="http://schemas.openxmlformats.org/officeDocument/2006/relationships/hyperlink" Target="https://aldi-sued.atlassian.net/browse/ANP-28132" TargetMode="External"/><Relationship Id="rId35" Type="http://schemas.openxmlformats.org/officeDocument/2006/relationships/hyperlink" Target="https://aldi-sued.atlassian.net/browse/NPSCO-20799" TargetMode="External"/><Relationship Id="rId56" Type="http://schemas.openxmlformats.org/officeDocument/2006/relationships/hyperlink" Target="https://aldi-sued.atlassian.net/browse/NPSCO-16394" TargetMode="External"/><Relationship Id="rId77" Type="http://schemas.openxmlformats.org/officeDocument/2006/relationships/hyperlink" Target="https://aldi-sued.atlassian.net/browse/NPSCO-19621" TargetMode="External"/><Relationship Id="rId100" Type="http://schemas.openxmlformats.org/officeDocument/2006/relationships/hyperlink" Target="https://aldi-sued.atlassian.net/browse/NPSCO-21115" TargetMode="External"/><Relationship Id="rId282" Type="http://schemas.openxmlformats.org/officeDocument/2006/relationships/hyperlink" Target="https://aldi-sued.atlassian.net/browse/BF-1616" TargetMode="External"/><Relationship Id="rId8" Type="http://schemas.openxmlformats.org/officeDocument/2006/relationships/hyperlink" Target="https://aldi-sued.atlassian.net/browse/ANP-27669" TargetMode="External"/><Relationship Id="rId98" Type="http://schemas.openxmlformats.org/officeDocument/2006/relationships/hyperlink" Target="https://aldi-sued.atlassian.net/browse/NPSCO-21641" TargetMode="External"/><Relationship Id="rId121" Type="http://schemas.openxmlformats.org/officeDocument/2006/relationships/hyperlink" Target="https://aldi-sued.atlassian.net/browse/ANP-27993" TargetMode="External"/><Relationship Id="rId142" Type="http://schemas.openxmlformats.org/officeDocument/2006/relationships/hyperlink" Target="https://aldi-sued.atlassian.net/browse/ANP-27483" TargetMode="External"/><Relationship Id="rId163" Type="http://schemas.openxmlformats.org/officeDocument/2006/relationships/hyperlink" Target="https://aldi-sued.atlassian.net/browse/ANP-27715" TargetMode="External"/><Relationship Id="rId184" Type="http://schemas.openxmlformats.org/officeDocument/2006/relationships/hyperlink" Target="https://aldi-sued.atlassian.net/browse/ANP-28385" TargetMode="External"/><Relationship Id="rId219" Type="http://schemas.openxmlformats.org/officeDocument/2006/relationships/hyperlink" Target="https://aldi-sued.atlassian.net/browse/ANP-27990" TargetMode="External"/><Relationship Id="rId230" Type="http://schemas.openxmlformats.org/officeDocument/2006/relationships/hyperlink" Target="https://aldi-sued.atlassian.net/browse/ANP-28171" TargetMode="External"/><Relationship Id="rId251" Type="http://schemas.openxmlformats.org/officeDocument/2006/relationships/hyperlink" Target="https://aldi-sued.atlassian.net/browse/ANP-28303" TargetMode="External"/><Relationship Id="rId25" Type="http://schemas.openxmlformats.org/officeDocument/2006/relationships/hyperlink" Target="https://aldi-sued.atlassian.net/browse/NPSCO-19917" TargetMode="External"/><Relationship Id="rId46" Type="http://schemas.openxmlformats.org/officeDocument/2006/relationships/hyperlink" Target="https://aldi-sued.atlassian.net/browse/NPSCO-21274" TargetMode="External"/><Relationship Id="rId67" Type="http://schemas.openxmlformats.org/officeDocument/2006/relationships/hyperlink" Target="https://aldi-sued.atlassian.net/browse/NPSCO-21276" TargetMode="External"/><Relationship Id="rId272" Type="http://schemas.openxmlformats.org/officeDocument/2006/relationships/hyperlink" Target="https://aldi-sued.atlassian.net/browse/ANP-28403" TargetMode="External"/><Relationship Id="rId293" Type="http://schemas.openxmlformats.org/officeDocument/2006/relationships/hyperlink" Target="https://aldi-sued.atlassian.net/browse/BF-1609" TargetMode="External"/><Relationship Id="rId88" Type="http://schemas.openxmlformats.org/officeDocument/2006/relationships/hyperlink" Target="https://aldi-sued.atlassian.net/browse/NPSCO-20855" TargetMode="External"/><Relationship Id="rId111" Type="http://schemas.openxmlformats.org/officeDocument/2006/relationships/hyperlink" Target="https://aldi-sued.atlassian.net/browse/NPSCO-21656" TargetMode="External"/><Relationship Id="rId132" Type="http://schemas.openxmlformats.org/officeDocument/2006/relationships/hyperlink" Target="https://aldi-sued.atlassian.net/browse/ANP-28359" TargetMode="External"/><Relationship Id="rId153" Type="http://schemas.openxmlformats.org/officeDocument/2006/relationships/hyperlink" Target="https://aldi-sued.atlassian.net/browse/ANP-27716" TargetMode="External"/><Relationship Id="rId174" Type="http://schemas.openxmlformats.org/officeDocument/2006/relationships/hyperlink" Target="https://aldi-sued.atlassian.net/browse/ANP-28000" TargetMode="External"/><Relationship Id="rId195" Type="http://schemas.openxmlformats.org/officeDocument/2006/relationships/hyperlink" Target="https://aldi-sued.atlassian.net/browse/ANP-26746" TargetMode="External"/><Relationship Id="rId209" Type="http://schemas.openxmlformats.org/officeDocument/2006/relationships/hyperlink" Target="https://aldi-sued.atlassian.net/browse/ANP-27762" TargetMode="External"/><Relationship Id="rId220" Type="http://schemas.openxmlformats.org/officeDocument/2006/relationships/hyperlink" Target="https://aldi-sued.atlassian.net/browse/ANP-27991" TargetMode="External"/><Relationship Id="rId241" Type="http://schemas.openxmlformats.org/officeDocument/2006/relationships/hyperlink" Target="https://aldi-sued.atlassian.net/browse/ANP-28204" TargetMode="External"/><Relationship Id="rId15" Type="http://schemas.openxmlformats.org/officeDocument/2006/relationships/hyperlink" Target="https://aldi-sued.atlassian.net/browse/ANP-28122" TargetMode="External"/><Relationship Id="rId36" Type="http://schemas.openxmlformats.org/officeDocument/2006/relationships/hyperlink" Target="https://aldi-sued.atlassian.net/browse/NPSCO-21174" TargetMode="External"/><Relationship Id="rId57" Type="http://schemas.openxmlformats.org/officeDocument/2006/relationships/hyperlink" Target="https://aldi-sued.atlassian.net/browse/NPSCO-16394" TargetMode="External"/><Relationship Id="rId262" Type="http://schemas.openxmlformats.org/officeDocument/2006/relationships/hyperlink" Target="https://aldi-sued.atlassian.net/browse/ANP-25641" TargetMode="External"/><Relationship Id="rId283" Type="http://schemas.openxmlformats.org/officeDocument/2006/relationships/hyperlink" Target="https://aldi-sued.atlassian.net/browse/BF-1625" TargetMode="External"/><Relationship Id="rId78" Type="http://schemas.openxmlformats.org/officeDocument/2006/relationships/hyperlink" Target="https://aldi-sued.atlassian.net/browse/NPSCO-19620" TargetMode="External"/><Relationship Id="rId99" Type="http://schemas.openxmlformats.org/officeDocument/2006/relationships/hyperlink" Target="https://aldi-sued.atlassian.net/browse/NPSCO-21641" TargetMode="External"/><Relationship Id="rId101" Type="http://schemas.openxmlformats.org/officeDocument/2006/relationships/hyperlink" Target="https://aldi-sued.atlassian.net/browse/NPSCO-21115" TargetMode="External"/><Relationship Id="rId122" Type="http://schemas.openxmlformats.org/officeDocument/2006/relationships/hyperlink" Target="https://aldi-sued.atlassian.net/browse/ANP-27424" TargetMode="External"/><Relationship Id="rId143" Type="http://schemas.openxmlformats.org/officeDocument/2006/relationships/hyperlink" Target="https://aldi-sued.atlassian.net/browse/ANP-27483" TargetMode="External"/><Relationship Id="rId164" Type="http://schemas.openxmlformats.org/officeDocument/2006/relationships/hyperlink" Target="https://aldi-sued.atlassian.net/browse/ANP-27638" TargetMode="External"/><Relationship Id="rId185" Type="http://schemas.openxmlformats.org/officeDocument/2006/relationships/hyperlink" Target="https://aldi-sued.atlassian.net/browse/ANP-28385" TargetMode="External"/><Relationship Id="rId9" Type="http://schemas.openxmlformats.org/officeDocument/2006/relationships/hyperlink" Target="https://aldi-sued.atlassian.net/browse/ANP-26021" TargetMode="External"/><Relationship Id="rId210" Type="http://schemas.openxmlformats.org/officeDocument/2006/relationships/hyperlink" Target="https://aldi-sued.atlassian.net/browse/ANP-27763" TargetMode="External"/><Relationship Id="rId26" Type="http://schemas.openxmlformats.org/officeDocument/2006/relationships/hyperlink" Target="https://aldi-sued.atlassian.net/browse/NPSCO-19395" TargetMode="External"/><Relationship Id="rId231" Type="http://schemas.openxmlformats.org/officeDocument/2006/relationships/hyperlink" Target="https://aldi-sued.atlassian.net/browse/ANP-28173" TargetMode="External"/><Relationship Id="rId252" Type="http://schemas.openxmlformats.org/officeDocument/2006/relationships/hyperlink" Target="https://aldi-sued.atlassian.net/browse/ANP-28318" TargetMode="External"/><Relationship Id="rId273" Type="http://schemas.openxmlformats.org/officeDocument/2006/relationships/hyperlink" Target="https://aldi-sued.atlassian.net/browse/ANP-28404" TargetMode="External"/><Relationship Id="rId294" Type="http://schemas.openxmlformats.org/officeDocument/2006/relationships/hyperlink" Target="https://aldi-sued.atlassian.net/browse/BF-1615" TargetMode="External"/><Relationship Id="rId47" Type="http://schemas.openxmlformats.org/officeDocument/2006/relationships/hyperlink" Target="https://aldi-sued.atlassian.net/browse/NPSCO-21274" TargetMode="External"/><Relationship Id="rId68" Type="http://schemas.openxmlformats.org/officeDocument/2006/relationships/hyperlink" Target="https://aldi-sued.atlassian.net/browse/NPSCO-21123" TargetMode="External"/><Relationship Id="rId89" Type="http://schemas.openxmlformats.org/officeDocument/2006/relationships/hyperlink" Target="https://aldi-sued.atlassian.net/browse/NPSCO-20855" TargetMode="External"/><Relationship Id="rId112" Type="http://schemas.openxmlformats.org/officeDocument/2006/relationships/hyperlink" Target="https://aldi-sued.atlassian.net/browse/NPSCO-21290" TargetMode="External"/><Relationship Id="rId133" Type="http://schemas.openxmlformats.org/officeDocument/2006/relationships/hyperlink" Target="https://aldi-sued.atlassian.net/browse/ANP-28359" TargetMode="External"/><Relationship Id="rId154" Type="http://schemas.openxmlformats.org/officeDocument/2006/relationships/hyperlink" Target="https://aldi-sued.atlassian.net/browse/ANP-27580" TargetMode="External"/><Relationship Id="rId175" Type="http://schemas.openxmlformats.org/officeDocument/2006/relationships/hyperlink" Target="https://aldi-sued.atlassian.net/browse/ANP-28000" TargetMode="External"/><Relationship Id="rId196" Type="http://schemas.openxmlformats.org/officeDocument/2006/relationships/hyperlink" Target="https://aldi-sued.atlassian.net/browse/ANP-26792" TargetMode="External"/><Relationship Id="rId200" Type="http://schemas.openxmlformats.org/officeDocument/2006/relationships/hyperlink" Target="https://aldi-sued.atlassian.net/browse/ANP-26801" TargetMode="External"/><Relationship Id="rId16" Type="http://schemas.openxmlformats.org/officeDocument/2006/relationships/hyperlink" Target="https://aldi-sued.atlassian.net/browse/ANP-28241" TargetMode="External"/><Relationship Id="rId221" Type="http://schemas.openxmlformats.org/officeDocument/2006/relationships/hyperlink" Target="https://aldi-sued.atlassian.net/browse/ANP-27992" TargetMode="External"/><Relationship Id="rId242" Type="http://schemas.openxmlformats.org/officeDocument/2006/relationships/hyperlink" Target="https://aldi-sued.atlassian.net/browse/ANP-28219" TargetMode="External"/><Relationship Id="rId263" Type="http://schemas.openxmlformats.org/officeDocument/2006/relationships/hyperlink" Target="https://aldi-sued.atlassian.net/browse/ANP-25914" TargetMode="External"/><Relationship Id="rId284" Type="http://schemas.openxmlformats.org/officeDocument/2006/relationships/hyperlink" Target="https://aldi-sued.atlassian.net/browse/BF-1635" TargetMode="External"/><Relationship Id="rId37" Type="http://schemas.openxmlformats.org/officeDocument/2006/relationships/hyperlink" Target="https://aldi-sued.atlassian.net/browse/NPSCO-21174" TargetMode="External"/><Relationship Id="rId58" Type="http://schemas.openxmlformats.org/officeDocument/2006/relationships/hyperlink" Target="https://aldi-sued.atlassian.net/browse/NPSCO-19202" TargetMode="External"/><Relationship Id="rId79" Type="http://schemas.openxmlformats.org/officeDocument/2006/relationships/hyperlink" Target="https://aldi-sued.atlassian.net/browse/NPSCO-19620" TargetMode="External"/><Relationship Id="rId102" Type="http://schemas.openxmlformats.org/officeDocument/2006/relationships/hyperlink" Target="https://aldi-sued.atlassian.net/browse/NPSCO-21116" TargetMode="External"/><Relationship Id="rId123" Type="http://schemas.openxmlformats.org/officeDocument/2006/relationships/hyperlink" Target="https://aldi-sued.atlassian.net/browse/ANP-27424" TargetMode="External"/><Relationship Id="rId144" Type="http://schemas.openxmlformats.org/officeDocument/2006/relationships/hyperlink" Target="https://aldi-sued.atlassian.net/browse/ANP-27613" TargetMode="External"/><Relationship Id="rId90" Type="http://schemas.openxmlformats.org/officeDocument/2006/relationships/hyperlink" Target="https://aldi-sued.atlassian.net/browse/NPSCO-20647" TargetMode="External"/><Relationship Id="rId165" Type="http://schemas.openxmlformats.org/officeDocument/2006/relationships/hyperlink" Target="https://aldi-sued.atlassian.net/browse/ANP-27638" TargetMode="External"/><Relationship Id="rId186" Type="http://schemas.openxmlformats.org/officeDocument/2006/relationships/hyperlink" Target="https://aldi-sued.atlassian.net/browse/ANP-26888" TargetMode="External"/><Relationship Id="rId211" Type="http://schemas.openxmlformats.org/officeDocument/2006/relationships/hyperlink" Target="https://aldi-sued.atlassian.net/browse/ANP-27766" TargetMode="External"/><Relationship Id="rId232" Type="http://schemas.openxmlformats.org/officeDocument/2006/relationships/hyperlink" Target="https://aldi-sued.atlassian.net/browse/ANP-28176" TargetMode="External"/><Relationship Id="rId253" Type="http://schemas.openxmlformats.org/officeDocument/2006/relationships/hyperlink" Target="https://aldi-sued.atlassian.net/browse/ANP-28328" TargetMode="External"/><Relationship Id="rId274" Type="http://schemas.openxmlformats.org/officeDocument/2006/relationships/hyperlink" Target="https://aldi-sued.atlassian.net/browse/ANP-28411" TargetMode="External"/><Relationship Id="rId295" Type="http://schemas.openxmlformats.org/officeDocument/2006/relationships/hyperlink" Target="https://aldi-sued.atlassian.net/browse/BF-1617" TargetMode="External"/><Relationship Id="rId27" Type="http://schemas.openxmlformats.org/officeDocument/2006/relationships/hyperlink" Target="https://aldi-sued.atlassian.net/browse/NPSCO-19395" TargetMode="External"/><Relationship Id="rId48" Type="http://schemas.openxmlformats.org/officeDocument/2006/relationships/hyperlink" Target="https://aldi-sued.atlassian.net/browse/NPSCO-21480" TargetMode="External"/><Relationship Id="rId69" Type="http://schemas.openxmlformats.org/officeDocument/2006/relationships/hyperlink" Target="https://aldi-sued.atlassian.net/browse/NPSCO-21123" TargetMode="External"/><Relationship Id="rId113" Type="http://schemas.openxmlformats.org/officeDocument/2006/relationships/hyperlink" Target="https://aldi-sued.atlassian.net/browse/NPSCO-21290" TargetMode="External"/><Relationship Id="rId134" Type="http://schemas.openxmlformats.org/officeDocument/2006/relationships/hyperlink" Target="https://aldi-sued.atlassian.net/browse/ANP-27769" TargetMode="External"/><Relationship Id="rId80" Type="http://schemas.openxmlformats.org/officeDocument/2006/relationships/hyperlink" Target="https://aldi-sued.atlassian.net/browse/NPSCO-20440" TargetMode="External"/><Relationship Id="rId155" Type="http://schemas.openxmlformats.org/officeDocument/2006/relationships/hyperlink" Target="https://aldi-sued.atlassian.net/browse/ANP-27580" TargetMode="External"/><Relationship Id="rId176" Type="http://schemas.openxmlformats.org/officeDocument/2006/relationships/hyperlink" Target="https://aldi-sued.atlassian.net/browse/ANP-28165" TargetMode="External"/><Relationship Id="rId197" Type="http://schemas.openxmlformats.org/officeDocument/2006/relationships/hyperlink" Target="https://aldi-sued.atlassian.net/browse/ANP-26793" TargetMode="External"/><Relationship Id="rId201" Type="http://schemas.openxmlformats.org/officeDocument/2006/relationships/hyperlink" Target="https://aldi-sued.atlassian.net/browse/ANP-26802" TargetMode="External"/><Relationship Id="rId222" Type="http://schemas.openxmlformats.org/officeDocument/2006/relationships/hyperlink" Target="https://aldi-sued.atlassian.net/browse/ANP-28063" TargetMode="External"/><Relationship Id="rId243" Type="http://schemas.openxmlformats.org/officeDocument/2006/relationships/hyperlink" Target="https://aldi-sued.atlassian.net/browse/ANP-28220" TargetMode="External"/><Relationship Id="rId264" Type="http://schemas.openxmlformats.org/officeDocument/2006/relationships/hyperlink" Target="https://aldi-sued.atlassian.net/browse/ANP-26735" TargetMode="External"/><Relationship Id="rId285" Type="http://schemas.openxmlformats.org/officeDocument/2006/relationships/hyperlink" Target="https://aldi-sued.atlassian.net/browse/BF-1661" TargetMode="External"/><Relationship Id="rId17" Type="http://schemas.openxmlformats.org/officeDocument/2006/relationships/hyperlink" Target="https://aldi-sued.atlassian.net/browse/ANP-26704" TargetMode="External"/><Relationship Id="rId38" Type="http://schemas.openxmlformats.org/officeDocument/2006/relationships/hyperlink" Target="https://aldi-sued.atlassian.net/browse/NPSCO-21079" TargetMode="External"/><Relationship Id="rId59" Type="http://schemas.openxmlformats.org/officeDocument/2006/relationships/hyperlink" Target="https://aldi-sued.atlassian.net/browse/NPSCO-19202" TargetMode="External"/><Relationship Id="rId103" Type="http://schemas.openxmlformats.org/officeDocument/2006/relationships/hyperlink" Target="https://aldi-sued.atlassian.net/browse/NPSCO-21116" TargetMode="External"/><Relationship Id="rId124" Type="http://schemas.openxmlformats.org/officeDocument/2006/relationships/hyperlink" Target="https://aldi-sued.atlassian.net/browse/ANP-27997" TargetMode="External"/><Relationship Id="rId70" Type="http://schemas.openxmlformats.org/officeDocument/2006/relationships/hyperlink" Target="https://aldi-sued.atlassian.net/browse/NPSCO-21122" TargetMode="External"/><Relationship Id="rId91" Type="http://schemas.openxmlformats.org/officeDocument/2006/relationships/hyperlink" Target="https://aldi-sued.atlassian.net/browse/NPSCO-20647" TargetMode="External"/><Relationship Id="rId145" Type="http://schemas.openxmlformats.org/officeDocument/2006/relationships/hyperlink" Target="https://aldi-sued.atlassian.net/browse/ANP-27613" TargetMode="External"/><Relationship Id="rId166" Type="http://schemas.openxmlformats.org/officeDocument/2006/relationships/hyperlink" Target="https://aldi-sued.atlassian.net/browse/ANP-27133" TargetMode="External"/><Relationship Id="rId187" Type="http://schemas.openxmlformats.org/officeDocument/2006/relationships/hyperlink" Target="https://aldi-sued.atlassian.net/browse/ANP-26888" TargetMode="External"/><Relationship Id="rId1" Type="http://schemas.openxmlformats.org/officeDocument/2006/relationships/hyperlink" Target="https://aldi-sued.atlassian.net/browse/ANP-27197" TargetMode="External"/><Relationship Id="rId212" Type="http://schemas.openxmlformats.org/officeDocument/2006/relationships/hyperlink" Target="https://aldi-sued.atlassian.net/browse/ANP-27768" TargetMode="External"/><Relationship Id="rId233" Type="http://schemas.openxmlformats.org/officeDocument/2006/relationships/hyperlink" Target="https://aldi-sued.atlassian.net/browse/ANP-28177" TargetMode="External"/><Relationship Id="rId254" Type="http://schemas.openxmlformats.org/officeDocument/2006/relationships/hyperlink" Target="https://aldi-sued.atlassian.net/browse/ANP-28344" TargetMode="External"/><Relationship Id="rId28" Type="http://schemas.openxmlformats.org/officeDocument/2006/relationships/hyperlink" Target="https://aldi-sued.atlassian.net/browse/NPSCO-16137" TargetMode="External"/><Relationship Id="rId49" Type="http://schemas.openxmlformats.org/officeDocument/2006/relationships/hyperlink" Target="https://aldi-sued.atlassian.net/browse/NPSCO-21480" TargetMode="External"/><Relationship Id="rId114" Type="http://schemas.openxmlformats.org/officeDocument/2006/relationships/hyperlink" Target="https://aldi-sued.atlassian.net/browse/NPSCO-21697" TargetMode="External"/><Relationship Id="rId275" Type="http://schemas.openxmlformats.org/officeDocument/2006/relationships/hyperlink" Target="https://aldi-sued.atlassian.net/browse/ANP-28435" TargetMode="External"/><Relationship Id="rId296" Type="http://schemas.openxmlformats.org/officeDocument/2006/relationships/hyperlink" Target="https://aldi-sued.atlassian.net/browse/BF-1658" TargetMode="External"/><Relationship Id="rId300" Type="http://schemas.openxmlformats.org/officeDocument/2006/relationships/hyperlink" Target="https://aldi-sued.atlassian.net/browse/NPSCO-19696" TargetMode="External"/><Relationship Id="rId60" Type="http://schemas.openxmlformats.org/officeDocument/2006/relationships/hyperlink" Target="https://aldi-sued.atlassian.net/browse/NPSCO-15567" TargetMode="External"/><Relationship Id="rId81" Type="http://schemas.openxmlformats.org/officeDocument/2006/relationships/hyperlink" Target="https://aldi-sued.atlassian.net/browse/NPSCO-20440" TargetMode="External"/><Relationship Id="rId135" Type="http://schemas.openxmlformats.org/officeDocument/2006/relationships/hyperlink" Target="https://aldi-sued.atlassian.net/browse/ANP-27769" TargetMode="External"/><Relationship Id="rId156" Type="http://schemas.openxmlformats.org/officeDocument/2006/relationships/hyperlink" Target="https://aldi-sued.atlassian.net/browse/ANP-27563" TargetMode="External"/><Relationship Id="rId177" Type="http://schemas.openxmlformats.org/officeDocument/2006/relationships/hyperlink" Target="https://aldi-sued.atlassian.net/browse/ANP-28165" TargetMode="External"/><Relationship Id="rId198" Type="http://schemas.openxmlformats.org/officeDocument/2006/relationships/hyperlink" Target="https://aldi-sued.atlassian.net/browse/ANP-26799" TargetMode="External"/><Relationship Id="rId202" Type="http://schemas.openxmlformats.org/officeDocument/2006/relationships/hyperlink" Target="https://aldi-sued.atlassian.net/browse/ANP-26803" TargetMode="External"/><Relationship Id="rId223" Type="http://schemas.openxmlformats.org/officeDocument/2006/relationships/hyperlink" Target="https://aldi-sued.atlassian.net/browse/ANP-28108" TargetMode="External"/><Relationship Id="rId244" Type="http://schemas.openxmlformats.org/officeDocument/2006/relationships/hyperlink" Target="https://aldi-sued.atlassian.net/browse/ANP-28239" TargetMode="External"/><Relationship Id="rId18" Type="http://schemas.openxmlformats.org/officeDocument/2006/relationships/hyperlink" Target="https://aldi-sued.atlassian.net/browse/ANP-28374" TargetMode="External"/><Relationship Id="rId39" Type="http://schemas.openxmlformats.org/officeDocument/2006/relationships/hyperlink" Target="https://aldi-sued.atlassian.net/browse/NPSCO-21079" TargetMode="External"/><Relationship Id="rId265" Type="http://schemas.openxmlformats.org/officeDocument/2006/relationships/hyperlink" Target="https://aldi-sued.atlassian.net/browse/ANP-27557" TargetMode="External"/><Relationship Id="rId286" Type="http://schemas.openxmlformats.org/officeDocument/2006/relationships/hyperlink" Target="https://aldi-sued.atlassian.net/browse/BF-1672" TargetMode="External"/><Relationship Id="rId50" Type="http://schemas.openxmlformats.org/officeDocument/2006/relationships/hyperlink" Target="https://aldi-sued.atlassian.net/browse/NPSCO-21519" TargetMode="External"/><Relationship Id="rId104" Type="http://schemas.openxmlformats.org/officeDocument/2006/relationships/hyperlink" Target="https://aldi-sued.atlassian.net/browse/NPSCO-21117" TargetMode="External"/><Relationship Id="rId125" Type="http://schemas.openxmlformats.org/officeDocument/2006/relationships/hyperlink" Target="https://aldi-sued.atlassian.net/browse/ANP-27997" TargetMode="External"/><Relationship Id="rId146" Type="http://schemas.openxmlformats.org/officeDocument/2006/relationships/hyperlink" Target="https://aldi-sued.atlassian.net/browse/ANP-27698" TargetMode="External"/><Relationship Id="rId167" Type="http://schemas.openxmlformats.org/officeDocument/2006/relationships/hyperlink" Target="https://aldi-sued.atlassian.net/browse/ANP-27133" TargetMode="External"/><Relationship Id="rId188" Type="http://schemas.openxmlformats.org/officeDocument/2006/relationships/hyperlink" Target="https://aldi-sued.atlassian.net/browse/ANP-28226" TargetMode="External"/><Relationship Id="rId71" Type="http://schemas.openxmlformats.org/officeDocument/2006/relationships/hyperlink" Target="https://aldi-sued.atlassian.net/browse/NPSCO-21122" TargetMode="External"/><Relationship Id="rId92" Type="http://schemas.openxmlformats.org/officeDocument/2006/relationships/hyperlink" Target="https://aldi-sued.atlassian.net/browse/NPSCO-20297" TargetMode="External"/><Relationship Id="rId213" Type="http://schemas.openxmlformats.org/officeDocument/2006/relationships/hyperlink" Target="https://aldi-sued.atlassian.net/browse/ANP-27777" TargetMode="External"/><Relationship Id="rId234" Type="http://schemas.openxmlformats.org/officeDocument/2006/relationships/hyperlink" Target="https://aldi-sued.atlassian.net/browse/ANP-28178" TargetMode="External"/><Relationship Id="rId2" Type="http://schemas.openxmlformats.org/officeDocument/2006/relationships/hyperlink" Target="https://aldi-sued.atlassian.net/browse/ANP-27238" TargetMode="External"/><Relationship Id="rId29" Type="http://schemas.openxmlformats.org/officeDocument/2006/relationships/hyperlink" Target="https://aldi-sued.atlassian.net/browse/NPSCO-16137" TargetMode="External"/><Relationship Id="rId255" Type="http://schemas.openxmlformats.org/officeDocument/2006/relationships/hyperlink" Target="https://aldi-sued.atlassian.net/browse/ANP-28345" TargetMode="External"/><Relationship Id="rId276" Type="http://schemas.openxmlformats.org/officeDocument/2006/relationships/hyperlink" Target="https://aldi-sued.atlassian.net/browse/ANP-26775" TargetMode="External"/><Relationship Id="rId297" Type="http://schemas.openxmlformats.org/officeDocument/2006/relationships/hyperlink" Target="https://aldi-sued.atlassian.net/browse/NPSCO-4758" TargetMode="External"/><Relationship Id="rId40" Type="http://schemas.openxmlformats.org/officeDocument/2006/relationships/hyperlink" Target="https://aldi-sued.atlassian.net/browse/NPSCO-21175" TargetMode="External"/><Relationship Id="rId115" Type="http://schemas.openxmlformats.org/officeDocument/2006/relationships/hyperlink" Target="https://aldi-sued.atlassian.net/browse/NPSCO-21697" TargetMode="External"/><Relationship Id="rId136" Type="http://schemas.openxmlformats.org/officeDocument/2006/relationships/hyperlink" Target="https://aldi-sued.atlassian.net/browse/ANP-27761" TargetMode="External"/><Relationship Id="rId157" Type="http://schemas.openxmlformats.org/officeDocument/2006/relationships/hyperlink" Target="https://aldi-sued.atlassian.net/browse/ANP-27563" TargetMode="External"/><Relationship Id="rId178" Type="http://schemas.openxmlformats.org/officeDocument/2006/relationships/hyperlink" Target="https://aldi-sued.atlassian.net/browse/ANP-28205" TargetMode="External"/><Relationship Id="rId301" Type="http://schemas.openxmlformats.org/officeDocument/2006/relationships/hyperlink" Target="https://aldi-sued.atlassian.net/browse/NPSCO-20702" TargetMode="External"/><Relationship Id="rId61" Type="http://schemas.openxmlformats.org/officeDocument/2006/relationships/hyperlink" Target="https://aldi-sued.atlassian.net/browse/NPSCO-15567" TargetMode="External"/><Relationship Id="rId82" Type="http://schemas.openxmlformats.org/officeDocument/2006/relationships/hyperlink" Target="https://aldi-sued.atlassian.net/browse/NPSCO-20856" TargetMode="External"/><Relationship Id="rId199" Type="http://schemas.openxmlformats.org/officeDocument/2006/relationships/hyperlink" Target="https://aldi-sued.atlassian.net/browse/ANP-26800" TargetMode="External"/><Relationship Id="rId203" Type="http://schemas.openxmlformats.org/officeDocument/2006/relationships/hyperlink" Target="https://aldi-sued.atlassian.net/browse/ANP-26829" TargetMode="External"/><Relationship Id="rId19" Type="http://schemas.openxmlformats.org/officeDocument/2006/relationships/hyperlink" Target="https://aldi-sued.atlassian.net/browse/ANP-9451" TargetMode="External"/><Relationship Id="rId224" Type="http://schemas.openxmlformats.org/officeDocument/2006/relationships/hyperlink" Target="https://aldi-sued.atlassian.net/browse/ANP-28133" TargetMode="External"/><Relationship Id="rId245" Type="http://schemas.openxmlformats.org/officeDocument/2006/relationships/hyperlink" Target="https://aldi-sued.atlassian.net/browse/ANP-28240" TargetMode="External"/><Relationship Id="rId266" Type="http://schemas.openxmlformats.org/officeDocument/2006/relationships/hyperlink" Target="https://aldi-sued.atlassian.net/browse/ANP-28166" TargetMode="External"/><Relationship Id="rId287" Type="http://schemas.openxmlformats.org/officeDocument/2006/relationships/hyperlink" Target="https://aldi-sued.atlassian.net/browse/NPSCO-8198" TargetMode="External"/><Relationship Id="rId30" Type="http://schemas.openxmlformats.org/officeDocument/2006/relationships/hyperlink" Target="https://aldi-sued.atlassian.net/browse/NPSCO-20363" TargetMode="External"/><Relationship Id="rId105" Type="http://schemas.openxmlformats.org/officeDocument/2006/relationships/hyperlink" Target="https://aldi-sued.atlassian.net/browse/NPSCO-21117" TargetMode="External"/><Relationship Id="rId126" Type="http://schemas.openxmlformats.org/officeDocument/2006/relationships/hyperlink" Target="https://aldi-sued.atlassian.net/browse/ANP-27974" TargetMode="External"/><Relationship Id="rId147" Type="http://schemas.openxmlformats.org/officeDocument/2006/relationships/hyperlink" Target="https://aldi-sued.atlassian.net/browse/ANP-27698" TargetMode="External"/><Relationship Id="rId168" Type="http://schemas.openxmlformats.org/officeDocument/2006/relationships/hyperlink" Target="https://aldi-sued.atlassian.net/browse/ANP-27170" TargetMode="External"/><Relationship Id="rId51" Type="http://schemas.openxmlformats.org/officeDocument/2006/relationships/hyperlink" Target="https://aldi-sued.atlassian.net/browse/NPSCO-21519" TargetMode="External"/><Relationship Id="rId72" Type="http://schemas.openxmlformats.org/officeDocument/2006/relationships/hyperlink" Target="https://aldi-sued.atlassian.net/browse/NPSCO-17408" TargetMode="External"/><Relationship Id="rId93" Type="http://schemas.openxmlformats.org/officeDocument/2006/relationships/hyperlink" Target="https://aldi-sued.atlassian.net/browse/NPSCO-20297" TargetMode="External"/><Relationship Id="rId189" Type="http://schemas.openxmlformats.org/officeDocument/2006/relationships/hyperlink" Target="https://aldi-sued.atlassian.net/browse/ANP-28226" TargetMode="External"/><Relationship Id="rId3" Type="http://schemas.openxmlformats.org/officeDocument/2006/relationships/hyperlink" Target="https://aldi-sued.atlassian.net/browse/ANP-27564" TargetMode="External"/><Relationship Id="rId214" Type="http://schemas.openxmlformats.org/officeDocument/2006/relationships/hyperlink" Target="https://aldi-sued.atlassian.net/browse/ANP-27784" TargetMode="External"/><Relationship Id="rId235" Type="http://schemas.openxmlformats.org/officeDocument/2006/relationships/hyperlink" Target="https://aldi-sued.atlassian.net/browse/ANP-28180" TargetMode="External"/><Relationship Id="rId256" Type="http://schemas.openxmlformats.org/officeDocument/2006/relationships/hyperlink" Target="https://aldi-sued.atlassian.net/browse/ANP-28346" TargetMode="External"/><Relationship Id="rId277" Type="http://schemas.openxmlformats.org/officeDocument/2006/relationships/hyperlink" Target="https://aldi-sued.atlassian.net/browse/ANP-26795" TargetMode="External"/><Relationship Id="rId298" Type="http://schemas.openxmlformats.org/officeDocument/2006/relationships/hyperlink" Target="https://aldi-sued.atlassian.net/browse/NPSCO-12862" TargetMode="External"/><Relationship Id="rId116" Type="http://schemas.openxmlformats.org/officeDocument/2006/relationships/hyperlink" Target="https://aldi-sued.atlassian.net/browse/NPSCO-21296" TargetMode="External"/><Relationship Id="rId137" Type="http://schemas.openxmlformats.org/officeDocument/2006/relationships/hyperlink" Target="https://aldi-sued.atlassian.net/browse/ANP-27761" TargetMode="External"/><Relationship Id="rId158" Type="http://schemas.openxmlformats.org/officeDocument/2006/relationships/hyperlink" Target="https://aldi-sued.atlassian.net/browse/ANP-27693" TargetMode="External"/><Relationship Id="rId302" Type="http://schemas.openxmlformats.org/officeDocument/2006/relationships/hyperlink" Target="https://aldi-sued.atlassian.net/browse/NPSCO-20703" TargetMode="External"/><Relationship Id="rId20" Type="http://schemas.openxmlformats.org/officeDocument/2006/relationships/hyperlink" Target="https://aldi-sued.atlassian.net/browse/NPSCO-17305" TargetMode="External"/><Relationship Id="rId41" Type="http://schemas.openxmlformats.org/officeDocument/2006/relationships/hyperlink" Target="https://aldi-sued.atlassian.net/browse/NPSCO-21175" TargetMode="External"/><Relationship Id="rId62" Type="http://schemas.openxmlformats.org/officeDocument/2006/relationships/hyperlink" Target="https://aldi-sued.atlassian.net/browse/NPSCO-17964" TargetMode="External"/><Relationship Id="rId83" Type="http://schemas.openxmlformats.org/officeDocument/2006/relationships/hyperlink" Target="https://aldi-sued.atlassian.net/browse/NPSCO-20856" TargetMode="External"/><Relationship Id="rId179" Type="http://schemas.openxmlformats.org/officeDocument/2006/relationships/hyperlink" Target="https://aldi-sued.atlassian.net/browse/ANP-28205" TargetMode="External"/><Relationship Id="rId190" Type="http://schemas.openxmlformats.org/officeDocument/2006/relationships/hyperlink" Target="https://aldi-sued.atlassian.net/browse/ANP-25386" TargetMode="External"/><Relationship Id="rId204" Type="http://schemas.openxmlformats.org/officeDocument/2006/relationships/hyperlink" Target="https://aldi-sued.atlassian.net/browse/ANP-27555" TargetMode="External"/><Relationship Id="rId225" Type="http://schemas.openxmlformats.org/officeDocument/2006/relationships/hyperlink" Target="https://aldi-sued.atlassian.net/browse/ANP-28138" TargetMode="External"/><Relationship Id="rId246" Type="http://schemas.openxmlformats.org/officeDocument/2006/relationships/hyperlink" Target="https://aldi-sued.atlassian.net/browse/ANP-28259" TargetMode="External"/><Relationship Id="rId267" Type="http://schemas.openxmlformats.org/officeDocument/2006/relationships/hyperlink" Target="https://aldi-sued.atlassian.net/browse/ANP-28361" TargetMode="External"/><Relationship Id="rId288" Type="http://schemas.openxmlformats.org/officeDocument/2006/relationships/hyperlink" Target="https://aldi-sued.atlassian.net/browse/NPSCO-8693" TargetMode="External"/><Relationship Id="rId106" Type="http://schemas.openxmlformats.org/officeDocument/2006/relationships/hyperlink" Target="https://aldi-sued.atlassian.net/browse/NPSCO-20414" TargetMode="External"/><Relationship Id="rId127" Type="http://schemas.openxmlformats.org/officeDocument/2006/relationships/hyperlink" Target="https://aldi-sued.atlassian.net/browse/ANP-27974" TargetMode="External"/><Relationship Id="rId10" Type="http://schemas.openxmlformats.org/officeDocument/2006/relationships/hyperlink" Target="https://aldi-sued.atlassian.net/browse/ANP-26021" TargetMode="External"/><Relationship Id="rId31" Type="http://schemas.openxmlformats.org/officeDocument/2006/relationships/hyperlink" Target="https://aldi-sued.atlassian.net/browse/NPSCO-20363" TargetMode="External"/><Relationship Id="rId52" Type="http://schemas.openxmlformats.org/officeDocument/2006/relationships/hyperlink" Target="https://aldi-sued.atlassian.net/browse/NPSCO-21545" TargetMode="External"/><Relationship Id="rId73" Type="http://schemas.openxmlformats.org/officeDocument/2006/relationships/hyperlink" Target="https://aldi-sued.atlassian.net/browse/NPSCO-17408" TargetMode="External"/><Relationship Id="rId94" Type="http://schemas.openxmlformats.org/officeDocument/2006/relationships/hyperlink" Target="https://aldi-sued.atlassian.net/browse/NPSCO-20959" TargetMode="External"/><Relationship Id="rId148" Type="http://schemas.openxmlformats.org/officeDocument/2006/relationships/hyperlink" Target="https://aldi-sued.atlassian.net/browse/ANP-26738" TargetMode="External"/><Relationship Id="rId169" Type="http://schemas.openxmlformats.org/officeDocument/2006/relationships/hyperlink" Target="https://aldi-sued.atlassian.net/browse/ANP-27170" TargetMode="External"/><Relationship Id="rId4" Type="http://schemas.openxmlformats.org/officeDocument/2006/relationships/hyperlink" Target="https://aldi-sued.atlassian.net/browse/ANP-27245" TargetMode="External"/><Relationship Id="rId180" Type="http://schemas.openxmlformats.org/officeDocument/2006/relationships/hyperlink" Target="https://aldi-sued.atlassian.net/browse/ANP-28175" TargetMode="External"/><Relationship Id="rId215" Type="http://schemas.openxmlformats.org/officeDocument/2006/relationships/hyperlink" Target="https://aldi-sued.atlassian.net/browse/ANP-27786" TargetMode="External"/><Relationship Id="rId236" Type="http://schemas.openxmlformats.org/officeDocument/2006/relationships/hyperlink" Target="https://aldi-sued.atlassian.net/browse/ANP-28181" TargetMode="External"/><Relationship Id="rId257" Type="http://schemas.openxmlformats.org/officeDocument/2006/relationships/hyperlink" Target="https://aldi-sued.atlassian.net/browse/ANP-28358" TargetMode="External"/><Relationship Id="rId278" Type="http://schemas.openxmlformats.org/officeDocument/2006/relationships/hyperlink" Target="https://aldi-sued.atlassian.net/browse/ANP-26796" TargetMode="External"/><Relationship Id="rId303" Type="http://schemas.openxmlformats.org/officeDocument/2006/relationships/hyperlink" Target="https://aldi-sued.atlassian.net/browse/NPSCO-21252" TargetMode="External"/><Relationship Id="rId42" Type="http://schemas.openxmlformats.org/officeDocument/2006/relationships/hyperlink" Target="https://aldi-sued.atlassian.net/browse/NPSCO-21241" TargetMode="External"/><Relationship Id="rId84" Type="http://schemas.openxmlformats.org/officeDocument/2006/relationships/hyperlink" Target="https://aldi-sued.atlassian.net/browse/NPSCO-21179" TargetMode="External"/><Relationship Id="rId138" Type="http://schemas.openxmlformats.org/officeDocument/2006/relationships/hyperlink" Target="https://aldi-sued.atlassian.net/browse/ANP-26854" TargetMode="External"/><Relationship Id="rId191" Type="http://schemas.openxmlformats.org/officeDocument/2006/relationships/hyperlink" Target="https://aldi-sued.atlassian.net/browse/ANP-25643" TargetMode="External"/><Relationship Id="rId205" Type="http://schemas.openxmlformats.org/officeDocument/2006/relationships/hyperlink" Target="https://aldi-sued.atlassian.net/browse/ANP-27755" TargetMode="External"/><Relationship Id="rId247" Type="http://schemas.openxmlformats.org/officeDocument/2006/relationships/hyperlink" Target="https://aldi-sued.atlassian.net/browse/ANP-28261" TargetMode="External"/><Relationship Id="rId107" Type="http://schemas.openxmlformats.org/officeDocument/2006/relationships/hyperlink" Target="https://aldi-sued.atlassian.net/browse/NPSCO-20414" TargetMode="External"/><Relationship Id="rId289" Type="http://schemas.openxmlformats.org/officeDocument/2006/relationships/hyperlink" Target="https://aldi-sued.atlassian.net/browse/NPSCO-20671" TargetMode="External"/><Relationship Id="rId11" Type="http://schemas.openxmlformats.org/officeDocument/2006/relationships/hyperlink" Target="https://aldi-sued.atlassian.net/browse/ANP-18572" TargetMode="External"/><Relationship Id="rId53" Type="http://schemas.openxmlformats.org/officeDocument/2006/relationships/hyperlink" Target="https://aldi-sued.atlassian.net/browse/NPSCO-21545" TargetMode="External"/><Relationship Id="rId149" Type="http://schemas.openxmlformats.org/officeDocument/2006/relationships/hyperlink" Target="https://aldi-sued.atlassian.net/browse/ANP-26738" TargetMode="External"/><Relationship Id="rId95" Type="http://schemas.openxmlformats.org/officeDocument/2006/relationships/hyperlink" Target="https://aldi-sued.atlassian.net/browse/NPSCO-20959" TargetMode="External"/><Relationship Id="rId160" Type="http://schemas.openxmlformats.org/officeDocument/2006/relationships/hyperlink" Target="https://aldi-sued.atlassian.net/browse/ANP-27713" TargetMode="External"/><Relationship Id="rId216" Type="http://schemas.openxmlformats.org/officeDocument/2006/relationships/hyperlink" Target="https://aldi-sued.atlassian.net/browse/ANP-27936" TargetMode="External"/><Relationship Id="rId258" Type="http://schemas.openxmlformats.org/officeDocument/2006/relationships/hyperlink" Target="https://aldi-sued.atlassian.net/browse/ANP-28365" TargetMode="External"/><Relationship Id="rId22" Type="http://schemas.openxmlformats.org/officeDocument/2006/relationships/hyperlink" Target="https://aldi-sued.atlassian.net/browse/NPSCO-20626" TargetMode="External"/><Relationship Id="rId64" Type="http://schemas.openxmlformats.org/officeDocument/2006/relationships/hyperlink" Target="https://aldi-sued.atlassian.net/browse/NPSCO-20879" TargetMode="External"/><Relationship Id="rId118" Type="http://schemas.openxmlformats.org/officeDocument/2006/relationships/hyperlink" Target="https://aldi-sued.atlassian.net/browse/ANP-28405" TargetMode="External"/><Relationship Id="rId171" Type="http://schemas.openxmlformats.org/officeDocument/2006/relationships/hyperlink" Target="https://aldi-sued.atlassian.net/browse/ANP-25038" TargetMode="External"/><Relationship Id="rId227" Type="http://schemas.openxmlformats.org/officeDocument/2006/relationships/hyperlink" Target="https://aldi-sued.atlassian.net/browse/ANP-28140" TargetMode="External"/><Relationship Id="rId269" Type="http://schemas.openxmlformats.org/officeDocument/2006/relationships/hyperlink" Target="https://aldi-sued.atlassian.net/browse/ANP-28387" TargetMode="External"/><Relationship Id="rId33" Type="http://schemas.openxmlformats.org/officeDocument/2006/relationships/hyperlink" Target="https://aldi-sued.atlassian.net/browse/NPSCO-20806" TargetMode="External"/><Relationship Id="rId129" Type="http://schemas.openxmlformats.org/officeDocument/2006/relationships/hyperlink" Target="https://aldi-sued.atlassian.net/browse/ANP-27468" TargetMode="External"/><Relationship Id="rId280" Type="http://schemas.openxmlformats.org/officeDocument/2006/relationships/hyperlink" Target="https://aldi-sued.atlassian.net/browse/BF-507" TargetMode="External"/><Relationship Id="rId75" Type="http://schemas.openxmlformats.org/officeDocument/2006/relationships/hyperlink" Target="https://aldi-sued.atlassian.net/browse/NPSCO-21067" TargetMode="External"/><Relationship Id="rId140" Type="http://schemas.openxmlformats.org/officeDocument/2006/relationships/hyperlink" Target="https://aldi-sued.atlassian.net/browse/ANP-27718" TargetMode="External"/><Relationship Id="rId182" Type="http://schemas.openxmlformats.org/officeDocument/2006/relationships/hyperlink" Target="https://aldi-sued.atlassian.net/browse/ANP-28174" TargetMode="External"/><Relationship Id="rId6" Type="http://schemas.openxmlformats.org/officeDocument/2006/relationships/hyperlink" Target="https://aldi-sued.atlassian.net/browse/ANP-25440" TargetMode="External"/><Relationship Id="rId238" Type="http://schemas.openxmlformats.org/officeDocument/2006/relationships/hyperlink" Target="https://aldi-sued.atlassian.net/browse/ANP-28188"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aldi-sued.atlassian.net/browse/ANP-26893" TargetMode="External"/><Relationship Id="rId21" Type="http://schemas.openxmlformats.org/officeDocument/2006/relationships/hyperlink" Target="https://aldi-sued.atlassian.net/browse/NPSCO-20374" TargetMode="External"/><Relationship Id="rId42" Type="http://schemas.openxmlformats.org/officeDocument/2006/relationships/hyperlink" Target="https://aldi-sued.atlassian.net/browse/NPSCO-20794" TargetMode="External"/><Relationship Id="rId63" Type="http://schemas.openxmlformats.org/officeDocument/2006/relationships/hyperlink" Target="https://aldi-sued.atlassian.net/browse/ANP-27221" TargetMode="External"/><Relationship Id="rId84" Type="http://schemas.openxmlformats.org/officeDocument/2006/relationships/hyperlink" Target="https://aldi-sued.atlassian.net/browse/ANP-27172" TargetMode="External"/><Relationship Id="rId138" Type="http://schemas.openxmlformats.org/officeDocument/2006/relationships/hyperlink" Target="https://aldi-sued.atlassian.net/browse/ANP-27184" TargetMode="External"/><Relationship Id="rId159" Type="http://schemas.openxmlformats.org/officeDocument/2006/relationships/hyperlink" Target="https://aldi-sued.atlassian.net/browse/NPSCO-20626" TargetMode="External"/><Relationship Id="rId170" Type="http://schemas.openxmlformats.org/officeDocument/2006/relationships/hyperlink" Target="https://aldi-sued.atlassian.net/browse/NPSCO-15234" TargetMode="External"/><Relationship Id="rId191" Type="http://schemas.openxmlformats.org/officeDocument/2006/relationships/hyperlink" Target="https://aldi-sued.atlassian.net/browse/NPSCO-15567" TargetMode="External"/><Relationship Id="rId205" Type="http://schemas.openxmlformats.org/officeDocument/2006/relationships/hyperlink" Target="https://aldi-sued.atlassian.net/browse/NPSCO-21058" TargetMode="External"/><Relationship Id="rId226" Type="http://schemas.openxmlformats.org/officeDocument/2006/relationships/hyperlink" Target="https://aldi-sued.atlassian.net/browse/BF-507" TargetMode="External"/><Relationship Id="rId107" Type="http://schemas.openxmlformats.org/officeDocument/2006/relationships/hyperlink" Target="https://aldi-sued.atlassian.net/browse/ANP-26771" TargetMode="External"/><Relationship Id="rId11" Type="http://schemas.openxmlformats.org/officeDocument/2006/relationships/hyperlink" Target="https://aldi-sued.atlassian.net/browse/ANP-27245" TargetMode="External"/><Relationship Id="rId32" Type="http://schemas.openxmlformats.org/officeDocument/2006/relationships/hyperlink" Target="https://aldi-sued.atlassian.net/browse/NPSCO-20316" TargetMode="External"/><Relationship Id="rId53" Type="http://schemas.openxmlformats.org/officeDocument/2006/relationships/hyperlink" Target="https://aldi-sued.atlassian.net/browse/ANP-27678" TargetMode="External"/><Relationship Id="rId74" Type="http://schemas.openxmlformats.org/officeDocument/2006/relationships/hyperlink" Target="https://aldi-sued.atlassian.net/browse/ANP-26752" TargetMode="External"/><Relationship Id="rId128" Type="http://schemas.openxmlformats.org/officeDocument/2006/relationships/hyperlink" Target="https://aldi-sued.atlassian.net/browse/ANP-26746" TargetMode="External"/><Relationship Id="rId149" Type="http://schemas.openxmlformats.org/officeDocument/2006/relationships/hyperlink" Target="https://aldi-sued.atlassian.net/browse/ANP-25461" TargetMode="External"/><Relationship Id="rId5" Type="http://schemas.openxmlformats.org/officeDocument/2006/relationships/hyperlink" Target="https://aldi-sued.atlassian.net/browse/ANP-25453" TargetMode="External"/><Relationship Id="rId95" Type="http://schemas.openxmlformats.org/officeDocument/2006/relationships/hyperlink" Target="https://aldi-sued.atlassian.net/issues/?jql=cf%5B12600%5D%20%3D%20%22Checkout_Base%22" TargetMode="External"/><Relationship Id="rId160" Type="http://schemas.openxmlformats.org/officeDocument/2006/relationships/hyperlink" Target="https://aldi-sued.atlassian.net/browse/NPSCO-19395" TargetMode="External"/><Relationship Id="rId181" Type="http://schemas.openxmlformats.org/officeDocument/2006/relationships/hyperlink" Target="https://aldi-sued.atlassian.net/browse/NPSCO-17408" TargetMode="External"/><Relationship Id="rId216" Type="http://schemas.openxmlformats.org/officeDocument/2006/relationships/hyperlink" Target="https://aldi-sued.atlassian.net/browse/NPSCO-20600" TargetMode="External"/><Relationship Id="rId237" Type="http://schemas.openxmlformats.org/officeDocument/2006/relationships/hyperlink" Target="https://aldi-sued.atlassian.net/browse/ANP-22244" TargetMode="External"/><Relationship Id="rId22" Type="http://schemas.openxmlformats.org/officeDocument/2006/relationships/hyperlink" Target="https://aldi-sued.atlassian.net/browse/NPSCO-20374" TargetMode="External"/><Relationship Id="rId43" Type="http://schemas.openxmlformats.org/officeDocument/2006/relationships/hyperlink" Target="https://aldi-sued.atlassian.net/browse/NPSCO-20690" TargetMode="External"/><Relationship Id="rId64" Type="http://schemas.openxmlformats.org/officeDocument/2006/relationships/hyperlink" Target="https://aldi-sued.atlassian.net/browse/ANP-27221" TargetMode="External"/><Relationship Id="rId118" Type="http://schemas.openxmlformats.org/officeDocument/2006/relationships/hyperlink" Target="https://aldi-sued.atlassian.net/browse/ANP-25834" TargetMode="External"/><Relationship Id="rId139" Type="http://schemas.openxmlformats.org/officeDocument/2006/relationships/hyperlink" Target="https://aldi-sued.atlassian.net/browse/ANP-27184" TargetMode="External"/><Relationship Id="rId85" Type="http://schemas.openxmlformats.org/officeDocument/2006/relationships/hyperlink" Target="https://aldi-sued.atlassian.net/browse/ANP-27175" TargetMode="External"/><Relationship Id="rId150" Type="http://schemas.openxmlformats.org/officeDocument/2006/relationships/hyperlink" Target="https://aldi-sued.atlassian.net/browse/ANP-26798" TargetMode="External"/><Relationship Id="rId171" Type="http://schemas.openxmlformats.org/officeDocument/2006/relationships/hyperlink" Target="https://aldi-sued.atlassian.net/browse/NPSCO-15234" TargetMode="External"/><Relationship Id="rId192" Type="http://schemas.openxmlformats.org/officeDocument/2006/relationships/hyperlink" Target="https://aldi-sued.atlassian.net/browse/NPSCO-20672" TargetMode="External"/><Relationship Id="rId206" Type="http://schemas.openxmlformats.org/officeDocument/2006/relationships/hyperlink" Target="https://aldi-sued.atlassian.net/browse/NPSCO-20799" TargetMode="External"/><Relationship Id="rId227" Type="http://schemas.openxmlformats.org/officeDocument/2006/relationships/hyperlink" Target="https://aldi-sued.atlassian.net/browse/BF-1412" TargetMode="External"/><Relationship Id="rId12" Type="http://schemas.openxmlformats.org/officeDocument/2006/relationships/hyperlink" Target="https://aldi-sued.atlassian.net/browse/ANP-27241" TargetMode="External"/><Relationship Id="rId33" Type="http://schemas.openxmlformats.org/officeDocument/2006/relationships/hyperlink" Target="https://aldi-sued.atlassian.net/browse/NPSCO-19141" TargetMode="External"/><Relationship Id="rId108" Type="http://schemas.openxmlformats.org/officeDocument/2006/relationships/hyperlink" Target="https://aldi-sued.atlassian.net/browse/ANP-26715" TargetMode="External"/><Relationship Id="rId129" Type="http://schemas.openxmlformats.org/officeDocument/2006/relationships/hyperlink" Target="https://aldi-sued.atlassian.net/browse/ANP-26746" TargetMode="External"/><Relationship Id="rId54" Type="http://schemas.openxmlformats.org/officeDocument/2006/relationships/hyperlink" Target="https://aldi-sued.atlassian.net/browse/ANP-27678" TargetMode="External"/><Relationship Id="rId75" Type="http://schemas.openxmlformats.org/officeDocument/2006/relationships/hyperlink" Target="https://aldi-sued.atlassian.net/browse/ANP-26423" TargetMode="External"/><Relationship Id="rId96" Type="http://schemas.openxmlformats.org/officeDocument/2006/relationships/hyperlink" Target="https://aldi-sued.atlassian.net/browse/ANP-25637" TargetMode="External"/><Relationship Id="rId140" Type="http://schemas.openxmlformats.org/officeDocument/2006/relationships/hyperlink" Target="https://aldi-sued.atlassian.net/browse/ANP-27555" TargetMode="External"/><Relationship Id="rId161" Type="http://schemas.openxmlformats.org/officeDocument/2006/relationships/hyperlink" Target="https://aldi-sued.atlassian.net/browse/NPSCO-19395" TargetMode="External"/><Relationship Id="rId182" Type="http://schemas.openxmlformats.org/officeDocument/2006/relationships/hyperlink" Target="https://aldi-sued.atlassian.net/browse/NPSCO-20318" TargetMode="External"/><Relationship Id="rId217" Type="http://schemas.openxmlformats.org/officeDocument/2006/relationships/hyperlink" Target="https://aldi-sued.atlassian.net/browse/NPSCO-20711" TargetMode="External"/><Relationship Id="rId6" Type="http://schemas.openxmlformats.org/officeDocument/2006/relationships/hyperlink" Target="https://aldi-sued.atlassian.net/browse/ANP-25440" TargetMode="External"/><Relationship Id="rId238" Type="http://schemas.openxmlformats.org/officeDocument/2006/relationships/hyperlink" Target="https://aldi-sued.atlassian.net/browse/ANP-25418" TargetMode="External"/><Relationship Id="rId23" Type="http://schemas.openxmlformats.org/officeDocument/2006/relationships/hyperlink" Target="https://aldi-sued.atlassian.net/browse/NPSCO-20326" TargetMode="External"/><Relationship Id="rId119" Type="http://schemas.openxmlformats.org/officeDocument/2006/relationships/hyperlink" Target="https://aldi-sued.atlassian.net/browse/ANP-25834" TargetMode="External"/><Relationship Id="rId44" Type="http://schemas.openxmlformats.org/officeDocument/2006/relationships/hyperlink" Target="https://aldi-sued.atlassian.net/browse/NPSCO-20690" TargetMode="External"/><Relationship Id="rId65" Type="http://schemas.openxmlformats.org/officeDocument/2006/relationships/hyperlink" Target="https://aldi-sued.atlassian.net/browse/ANP-27466" TargetMode="External"/><Relationship Id="rId86" Type="http://schemas.openxmlformats.org/officeDocument/2006/relationships/hyperlink" Target="https://aldi-sued.atlassian.net/browse/ANP-27175" TargetMode="External"/><Relationship Id="rId130" Type="http://schemas.openxmlformats.org/officeDocument/2006/relationships/hyperlink" Target="https://aldi-sued.atlassian.net/browse/ANP-25386" TargetMode="External"/><Relationship Id="rId151" Type="http://schemas.openxmlformats.org/officeDocument/2006/relationships/hyperlink" Target="https://aldi-sued.atlassian.net/browse/ANP-26798" TargetMode="External"/><Relationship Id="rId172" Type="http://schemas.openxmlformats.org/officeDocument/2006/relationships/hyperlink" Target="https://aldi-sued.atlassian.net/browse/NPSCO-17559" TargetMode="External"/><Relationship Id="rId193" Type="http://schemas.openxmlformats.org/officeDocument/2006/relationships/hyperlink" Target="https://aldi-sued.atlassian.net/browse/NPSCO-20672" TargetMode="External"/><Relationship Id="rId207" Type="http://schemas.openxmlformats.org/officeDocument/2006/relationships/hyperlink" Target="https://aldi-sued.atlassian.net/browse/NPSCO-20799" TargetMode="External"/><Relationship Id="rId228" Type="http://schemas.openxmlformats.org/officeDocument/2006/relationships/hyperlink" Target="https://aldi-sued.atlassian.net/browse/NPSCO-8198" TargetMode="External"/><Relationship Id="rId13" Type="http://schemas.openxmlformats.org/officeDocument/2006/relationships/hyperlink" Target="https://aldi-sued.atlassian.net/browse/ANP-27565" TargetMode="External"/><Relationship Id="rId109" Type="http://schemas.openxmlformats.org/officeDocument/2006/relationships/hyperlink" Target="https://aldi-sued.atlassian.net/browse/ANP-26715" TargetMode="External"/><Relationship Id="rId34" Type="http://schemas.openxmlformats.org/officeDocument/2006/relationships/hyperlink" Target="https://aldi-sued.atlassian.net/browse/NPSCO-19141" TargetMode="External"/><Relationship Id="rId55" Type="http://schemas.openxmlformats.org/officeDocument/2006/relationships/hyperlink" Target="https://aldi-sued.atlassian.net/browse/ANP-27468" TargetMode="External"/><Relationship Id="rId76" Type="http://schemas.openxmlformats.org/officeDocument/2006/relationships/hyperlink" Target="https://aldi-sued.atlassian.net/browse/ANP-26423" TargetMode="External"/><Relationship Id="rId97" Type="http://schemas.openxmlformats.org/officeDocument/2006/relationships/hyperlink" Target="https://aldi-sued.atlassian.net/browse/ANP-25637" TargetMode="External"/><Relationship Id="rId120" Type="http://schemas.openxmlformats.org/officeDocument/2006/relationships/hyperlink" Target="https://aldi-sued.atlassian.net/browse/ANP-25627" TargetMode="External"/><Relationship Id="rId141" Type="http://schemas.openxmlformats.org/officeDocument/2006/relationships/hyperlink" Target="https://aldi-sued.atlassian.net/browse/ANP-27555" TargetMode="External"/><Relationship Id="rId7" Type="http://schemas.openxmlformats.org/officeDocument/2006/relationships/hyperlink" Target="https://aldi-sued.atlassian.net/browse/ANP-27102" TargetMode="External"/><Relationship Id="rId162" Type="http://schemas.openxmlformats.org/officeDocument/2006/relationships/hyperlink" Target="https://aldi-sued.atlassian.net/browse/NPSCO-19728" TargetMode="External"/><Relationship Id="rId183" Type="http://schemas.openxmlformats.org/officeDocument/2006/relationships/hyperlink" Target="https://aldi-sued.atlassian.net/browse/NPSCO-20318" TargetMode="External"/><Relationship Id="rId218" Type="http://schemas.openxmlformats.org/officeDocument/2006/relationships/hyperlink" Target="https://aldi-sued.atlassian.net/browse/NPSCO-20775" TargetMode="External"/><Relationship Id="rId239" Type="http://schemas.openxmlformats.org/officeDocument/2006/relationships/hyperlink" Target="https://aldi-sued.atlassian.net/browse/ANP-27883" TargetMode="External"/><Relationship Id="rId24" Type="http://schemas.openxmlformats.org/officeDocument/2006/relationships/hyperlink" Target="https://aldi-sued.atlassian.net/browse/NPSCO-20326" TargetMode="External"/><Relationship Id="rId45" Type="http://schemas.openxmlformats.org/officeDocument/2006/relationships/hyperlink" Target="https://aldi-sued.atlassian.net/browse/NPSCO-20763" TargetMode="External"/><Relationship Id="rId66" Type="http://schemas.openxmlformats.org/officeDocument/2006/relationships/hyperlink" Target="https://aldi-sued.atlassian.net/browse/ANP-27466" TargetMode="External"/><Relationship Id="rId87" Type="http://schemas.openxmlformats.org/officeDocument/2006/relationships/hyperlink" Target="https://aldi-sued.atlassian.net/browse/ANP-27196" TargetMode="External"/><Relationship Id="rId110" Type="http://schemas.openxmlformats.org/officeDocument/2006/relationships/hyperlink" Target="https://aldi-sued.atlassian.net/browse/ANP-26450" TargetMode="External"/><Relationship Id="rId131" Type="http://schemas.openxmlformats.org/officeDocument/2006/relationships/hyperlink" Target="https://aldi-sued.atlassian.net/browse/ANP-25386" TargetMode="External"/><Relationship Id="rId152" Type="http://schemas.openxmlformats.org/officeDocument/2006/relationships/hyperlink" Target="https://aldi-sued.atlassian.net/browse/ANP-26774" TargetMode="External"/><Relationship Id="rId173" Type="http://schemas.openxmlformats.org/officeDocument/2006/relationships/hyperlink" Target="https://aldi-sued.atlassian.net/browse/NPSCO-17559" TargetMode="External"/><Relationship Id="rId194" Type="http://schemas.openxmlformats.org/officeDocument/2006/relationships/hyperlink" Target="https://aldi-sued.atlassian.net/browse/NPSCO-20814" TargetMode="External"/><Relationship Id="rId208" Type="http://schemas.openxmlformats.org/officeDocument/2006/relationships/hyperlink" Target="https://aldi-sued.atlassian.net/browse/BF-1530" TargetMode="External"/><Relationship Id="rId229" Type="http://schemas.openxmlformats.org/officeDocument/2006/relationships/hyperlink" Target="https://aldi-sued.atlassian.net/browse/NPSCO-12862" TargetMode="External"/><Relationship Id="rId240" Type="http://schemas.openxmlformats.org/officeDocument/2006/relationships/hyperlink" Target="https://aldi-sued.atlassian.net/issues/?jql=cf%5B12600%5D%20%3D%20%22Checkout_Base%22" TargetMode="External"/><Relationship Id="rId14" Type="http://schemas.openxmlformats.org/officeDocument/2006/relationships/hyperlink" Target="https://aldi-sued.atlassian.net/browse/ANP-27564" TargetMode="External"/><Relationship Id="rId35" Type="http://schemas.openxmlformats.org/officeDocument/2006/relationships/hyperlink" Target="https://aldi-sued.atlassian.net/browse/NPSCO-20815" TargetMode="External"/><Relationship Id="rId56" Type="http://schemas.openxmlformats.org/officeDocument/2006/relationships/hyperlink" Target="https://aldi-sued.atlassian.net/browse/ANP-27468" TargetMode="External"/><Relationship Id="rId77" Type="http://schemas.openxmlformats.org/officeDocument/2006/relationships/hyperlink" Target="https://aldi-sued.atlassian.net/browse/ANP-26978" TargetMode="External"/><Relationship Id="rId100" Type="http://schemas.openxmlformats.org/officeDocument/2006/relationships/hyperlink" Target="https://aldi-sued.atlassian.net/browse/ANP-26502" TargetMode="External"/><Relationship Id="rId8" Type="http://schemas.openxmlformats.org/officeDocument/2006/relationships/hyperlink" Target="https://aldi-sued.atlassian.net/browse/ANP-27106" TargetMode="External"/><Relationship Id="rId98" Type="http://schemas.openxmlformats.org/officeDocument/2006/relationships/hyperlink" Target="https://aldi-sued.atlassian.net/browse/ANP-25832" TargetMode="External"/><Relationship Id="rId121" Type="http://schemas.openxmlformats.org/officeDocument/2006/relationships/hyperlink" Target="https://aldi-sued.atlassian.net/browse/ANP-25627" TargetMode="External"/><Relationship Id="rId142" Type="http://schemas.openxmlformats.org/officeDocument/2006/relationships/hyperlink" Target="https://aldi-sued.atlassian.net/browse/ANP-27554" TargetMode="External"/><Relationship Id="rId163" Type="http://schemas.openxmlformats.org/officeDocument/2006/relationships/hyperlink" Target="https://aldi-sued.atlassian.net/browse/NPSCO-19728" TargetMode="External"/><Relationship Id="rId184" Type="http://schemas.openxmlformats.org/officeDocument/2006/relationships/hyperlink" Target="https://aldi-sued.atlassian.net/browse/NPSCO-20459" TargetMode="External"/><Relationship Id="rId219" Type="http://schemas.openxmlformats.org/officeDocument/2006/relationships/hyperlink" Target="https://aldi-sued.atlassian.net/browse/NPSCO-21002" TargetMode="External"/><Relationship Id="rId230" Type="http://schemas.openxmlformats.org/officeDocument/2006/relationships/hyperlink" Target="https://aldi-sued.atlassian.net/browse/NPSCO-13007" TargetMode="External"/><Relationship Id="rId25" Type="http://schemas.openxmlformats.org/officeDocument/2006/relationships/hyperlink" Target="https://aldi-sued.atlassian.net/browse/NPSCO-19093" TargetMode="External"/><Relationship Id="rId46" Type="http://schemas.openxmlformats.org/officeDocument/2006/relationships/hyperlink" Target="https://aldi-sued.atlassian.net/browse/NPSCO-20763" TargetMode="External"/><Relationship Id="rId67" Type="http://schemas.openxmlformats.org/officeDocument/2006/relationships/hyperlink" Target="https://aldi-sued.atlassian.net/browse/ANP-27424" TargetMode="External"/><Relationship Id="rId88" Type="http://schemas.openxmlformats.org/officeDocument/2006/relationships/hyperlink" Target="https://aldi-sued.atlassian.net/browse/ANP-27196" TargetMode="External"/><Relationship Id="rId111" Type="http://schemas.openxmlformats.org/officeDocument/2006/relationships/hyperlink" Target="https://aldi-sued.atlassian.net/browse/ANP-26450" TargetMode="External"/><Relationship Id="rId132" Type="http://schemas.openxmlformats.org/officeDocument/2006/relationships/hyperlink" Target="https://aldi-sued.atlassian.net/browse/ANP-25915" TargetMode="External"/><Relationship Id="rId153" Type="http://schemas.openxmlformats.org/officeDocument/2006/relationships/hyperlink" Target="https://aldi-sued.atlassian.net/browse/ANP-26774" TargetMode="External"/><Relationship Id="rId174" Type="http://schemas.openxmlformats.org/officeDocument/2006/relationships/hyperlink" Target="https://aldi-sued.atlassian.net/browse/NPSCO-20127" TargetMode="External"/><Relationship Id="rId195" Type="http://schemas.openxmlformats.org/officeDocument/2006/relationships/hyperlink" Target="https://aldi-sued.atlassian.net/browse/NPSCO-20814" TargetMode="External"/><Relationship Id="rId209" Type="http://schemas.openxmlformats.org/officeDocument/2006/relationships/hyperlink" Target="https://aldi-sued.atlassian.net/browse/BF-1549" TargetMode="External"/><Relationship Id="rId220" Type="http://schemas.openxmlformats.org/officeDocument/2006/relationships/hyperlink" Target="https://aldi-sued.atlassian.net/browse/NPSCO-21102" TargetMode="External"/><Relationship Id="rId241" Type="http://schemas.openxmlformats.org/officeDocument/2006/relationships/table" Target="../tables/table4.xml"/><Relationship Id="rId15" Type="http://schemas.openxmlformats.org/officeDocument/2006/relationships/hyperlink" Target="https://aldi-sued.atlassian.net/browse/ANP-27521" TargetMode="External"/><Relationship Id="rId36" Type="http://schemas.openxmlformats.org/officeDocument/2006/relationships/hyperlink" Target="https://aldi-sued.atlassian.net/browse/NPSCO-20815" TargetMode="External"/><Relationship Id="rId57" Type="http://schemas.openxmlformats.org/officeDocument/2006/relationships/hyperlink" Target="https://aldi-sued.atlassian.net/browse/ANP-27559" TargetMode="External"/><Relationship Id="rId106" Type="http://schemas.openxmlformats.org/officeDocument/2006/relationships/hyperlink" Target="https://aldi-sued.atlassian.net/browse/ANP-26771" TargetMode="External"/><Relationship Id="rId127" Type="http://schemas.openxmlformats.org/officeDocument/2006/relationships/hyperlink" Target="https://aldi-sued.atlassian.net/browse/ANP-25987" TargetMode="External"/><Relationship Id="rId10" Type="http://schemas.openxmlformats.org/officeDocument/2006/relationships/hyperlink" Target="https://aldi-sued.atlassian.net/browse/ANP-27463" TargetMode="External"/><Relationship Id="rId31" Type="http://schemas.openxmlformats.org/officeDocument/2006/relationships/hyperlink" Target="https://aldi-sued.atlassian.net/browse/NPSCO-20316" TargetMode="External"/><Relationship Id="rId52" Type="http://schemas.openxmlformats.org/officeDocument/2006/relationships/hyperlink" Target="https://aldi-sued.atlassian.net/issues/?jql=cf%5B12600%5D%20%3D%20%22Checkout_Base%22" TargetMode="External"/><Relationship Id="rId73" Type="http://schemas.openxmlformats.org/officeDocument/2006/relationships/hyperlink" Target="https://aldi-sued.atlassian.net/browse/ANP-26752" TargetMode="External"/><Relationship Id="rId78" Type="http://schemas.openxmlformats.org/officeDocument/2006/relationships/hyperlink" Target="https://aldi-sued.atlassian.net/browse/ANP-26978" TargetMode="External"/><Relationship Id="rId94" Type="http://schemas.openxmlformats.org/officeDocument/2006/relationships/hyperlink" Target="https://aldi-sued.atlassian.net/browse/ANP-27483" TargetMode="External"/><Relationship Id="rId99" Type="http://schemas.openxmlformats.org/officeDocument/2006/relationships/hyperlink" Target="https://aldi-sued.atlassian.net/browse/ANP-25832" TargetMode="External"/><Relationship Id="rId101" Type="http://schemas.openxmlformats.org/officeDocument/2006/relationships/hyperlink" Target="https://aldi-sued.atlassian.net/browse/ANP-26502" TargetMode="External"/><Relationship Id="rId122" Type="http://schemas.openxmlformats.org/officeDocument/2006/relationships/hyperlink" Target="https://aldi-sued.atlassian.net/browse/ANP-25824" TargetMode="External"/><Relationship Id="rId143" Type="http://schemas.openxmlformats.org/officeDocument/2006/relationships/hyperlink" Target="https://aldi-sued.atlassian.net/browse/ANP-27554" TargetMode="External"/><Relationship Id="rId148" Type="http://schemas.openxmlformats.org/officeDocument/2006/relationships/hyperlink" Target="https://aldi-sued.atlassian.net/browse/ANP-25461" TargetMode="External"/><Relationship Id="rId164" Type="http://schemas.openxmlformats.org/officeDocument/2006/relationships/hyperlink" Target="https://aldi-sued.atlassian.net/browse/NPSCO-19917" TargetMode="External"/><Relationship Id="rId169" Type="http://schemas.openxmlformats.org/officeDocument/2006/relationships/hyperlink" Target="https://aldi-sued.atlassian.net/browse/NPSCO-20569" TargetMode="External"/><Relationship Id="rId185" Type="http://schemas.openxmlformats.org/officeDocument/2006/relationships/hyperlink" Target="https://aldi-sued.atlassian.net/browse/NPSCO-20459" TargetMode="External"/><Relationship Id="rId4" Type="http://schemas.openxmlformats.org/officeDocument/2006/relationships/hyperlink" Target="https://aldi-sued.atlassian.net/browse/ANP-26616" TargetMode="External"/><Relationship Id="rId9" Type="http://schemas.openxmlformats.org/officeDocument/2006/relationships/hyperlink" Target="https://aldi-sued.atlassian.net/browse/ANP-27464" TargetMode="External"/><Relationship Id="rId180" Type="http://schemas.openxmlformats.org/officeDocument/2006/relationships/hyperlink" Target="https://aldi-sued.atlassian.net/browse/NPSCO-17408" TargetMode="External"/><Relationship Id="rId210" Type="http://schemas.openxmlformats.org/officeDocument/2006/relationships/hyperlink" Target="https://aldi-sued.atlassian.net/browse/BF-1561" TargetMode="External"/><Relationship Id="rId215" Type="http://schemas.openxmlformats.org/officeDocument/2006/relationships/hyperlink" Target="https://aldi-sued.atlassian.net/browse/NPSCO-19363" TargetMode="External"/><Relationship Id="rId236" Type="http://schemas.openxmlformats.org/officeDocument/2006/relationships/hyperlink" Target="https://aldi-sued.atlassian.net/browse/ANP-25743" TargetMode="External"/><Relationship Id="rId26" Type="http://schemas.openxmlformats.org/officeDocument/2006/relationships/hyperlink" Target="https://aldi-sued.atlassian.net/browse/NPSCO-19093" TargetMode="External"/><Relationship Id="rId231" Type="http://schemas.openxmlformats.org/officeDocument/2006/relationships/hyperlink" Target="https://aldi-sued.atlassian.net/browse/NPSCO-20671" TargetMode="External"/><Relationship Id="rId47" Type="http://schemas.openxmlformats.org/officeDocument/2006/relationships/hyperlink" Target="https://aldi-sued.atlassian.net/browse/NPSCO-20634" TargetMode="External"/><Relationship Id="rId68" Type="http://schemas.openxmlformats.org/officeDocument/2006/relationships/hyperlink" Target="https://aldi-sued.atlassian.net/browse/ANP-27424" TargetMode="External"/><Relationship Id="rId89" Type="http://schemas.openxmlformats.org/officeDocument/2006/relationships/hyperlink" Target="https://aldi-sued.atlassian.net/browse/ANP-27064" TargetMode="External"/><Relationship Id="rId112" Type="http://schemas.openxmlformats.org/officeDocument/2006/relationships/hyperlink" Target="https://aldi-sued.atlassian.net/browse/ANP-26891" TargetMode="External"/><Relationship Id="rId133" Type="http://schemas.openxmlformats.org/officeDocument/2006/relationships/hyperlink" Target="https://aldi-sued.atlassian.net/browse/ANP-25915" TargetMode="External"/><Relationship Id="rId154" Type="http://schemas.openxmlformats.org/officeDocument/2006/relationships/hyperlink" Target="https://aldi-sued.atlassian.net/browse/ANP-26794" TargetMode="External"/><Relationship Id="rId175" Type="http://schemas.openxmlformats.org/officeDocument/2006/relationships/hyperlink" Target="https://aldi-sued.atlassian.net/browse/NPSCO-20127" TargetMode="External"/><Relationship Id="rId196" Type="http://schemas.openxmlformats.org/officeDocument/2006/relationships/hyperlink" Target="https://aldi-sued.atlassian.net/browse/NPSCO-20363" TargetMode="External"/><Relationship Id="rId200" Type="http://schemas.openxmlformats.org/officeDocument/2006/relationships/hyperlink" Target="https://aldi-sued.atlassian.net/browse/NPSCO-21016" TargetMode="External"/><Relationship Id="rId16" Type="http://schemas.openxmlformats.org/officeDocument/2006/relationships/hyperlink" Target="https://aldi-sued.atlassian.net/browse/ANP-26706" TargetMode="External"/><Relationship Id="rId221" Type="http://schemas.openxmlformats.org/officeDocument/2006/relationships/hyperlink" Target="https://aldi-sued.atlassian.net/browse/NPSCO-21104" TargetMode="External"/><Relationship Id="rId37" Type="http://schemas.openxmlformats.org/officeDocument/2006/relationships/hyperlink" Target="https://aldi-sued.atlassian.net/browse/NPSCO-20466" TargetMode="External"/><Relationship Id="rId58" Type="http://schemas.openxmlformats.org/officeDocument/2006/relationships/hyperlink" Target="https://aldi-sued.atlassian.net/browse/ANP-27559" TargetMode="External"/><Relationship Id="rId79" Type="http://schemas.openxmlformats.org/officeDocument/2006/relationships/hyperlink" Target="https://aldi-sued.atlassian.net/browse/ANP-26961" TargetMode="External"/><Relationship Id="rId102" Type="http://schemas.openxmlformats.org/officeDocument/2006/relationships/hyperlink" Target="https://aldi-sued.atlassian.net/browse/ANP-26295" TargetMode="External"/><Relationship Id="rId123" Type="http://schemas.openxmlformats.org/officeDocument/2006/relationships/hyperlink" Target="https://aldi-sued.atlassian.net/browse/ANP-25824" TargetMode="External"/><Relationship Id="rId144" Type="http://schemas.openxmlformats.org/officeDocument/2006/relationships/hyperlink" Target="https://aldi-sued.atlassian.net/browse/ANP-27556" TargetMode="External"/><Relationship Id="rId90" Type="http://schemas.openxmlformats.org/officeDocument/2006/relationships/hyperlink" Target="https://aldi-sued.atlassian.net/browse/ANP-27064" TargetMode="External"/><Relationship Id="rId165" Type="http://schemas.openxmlformats.org/officeDocument/2006/relationships/hyperlink" Target="https://aldi-sued.atlassian.net/browse/NPSCO-19917" TargetMode="External"/><Relationship Id="rId186" Type="http://schemas.openxmlformats.org/officeDocument/2006/relationships/hyperlink" Target="https://aldi-sued.atlassian.net/browse/NPSCO-20465" TargetMode="External"/><Relationship Id="rId211" Type="http://schemas.openxmlformats.org/officeDocument/2006/relationships/hyperlink" Target="https://aldi-sued.atlassian.net/browse/NPSCO-18029" TargetMode="External"/><Relationship Id="rId232" Type="http://schemas.openxmlformats.org/officeDocument/2006/relationships/hyperlink" Target="https://aldi-sued.atlassian.net/browse/NPSCO-20701" TargetMode="External"/><Relationship Id="rId27" Type="http://schemas.openxmlformats.org/officeDocument/2006/relationships/hyperlink" Target="https://aldi-sued.atlassian.net/browse/NPSCO-19962" TargetMode="External"/><Relationship Id="rId48" Type="http://schemas.openxmlformats.org/officeDocument/2006/relationships/hyperlink" Target="https://aldi-sued.atlassian.net/browse/NPSCO-20634" TargetMode="External"/><Relationship Id="rId69" Type="http://schemas.openxmlformats.org/officeDocument/2006/relationships/hyperlink" Target="https://aldi-sued.atlassian.net/browse/ANP-27471" TargetMode="External"/><Relationship Id="rId113" Type="http://schemas.openxmlformats.org/officeDocument/2006/relationships/hyperlink" Target="https://aldi-sued.atlassian.net/browse/ANP-26891" TargetMode="External"/><Relationship Id="rId134" Type="http://schemas.openxmlformats.org/officeDocument/2006/relationships/hyperlink" Target="https://aldi-sued.atlassian.net/browse/ANP-27538" TargetMode="External"/><Relationship Id="rId80" Type="http://schemas.openxmlformats.org/officeDocument/2006/relationships/hyperlink" Target="https://aldi-sued.atlassian.net/browse/ANP-26961" TargetMode="External"/><Relationship Id="rId155" Type="http://schemas.openxmlformats.org/officeDocument/2006/relationships/hyperlink" Target="https://aldi-sued.atlassian.net/browse/ANP-26794" TargetMode="External"/><Relationship Id="rId176" Type="http://schemas.openxmlformats.org/officeDocument/2006/relationships/hyperlink" Target="https://aldi-sued.atlassian.net/browse/NPSCO-19998" TargetMode="External"/><Relationship Id="rId197" Type="http://schemas.openxmlformats.org/officeDocument/2006/relationships/hyperlink" Target="https://aldi-sued.atlassian.net/browse/NPSCO-20363" TargetMode="External"/><Relationship Id="rId201" Type="http://schemas.openxmlformats.org/officeDocument/2006/relationships/hyperlink" Target="https://aldi-sued.atlassian.net/browse/NPSCO-21016" TargetMode="External"/><Relationship Id="rId222" Type="http://schemas.openxmlformats.org/officeDocument/2006/relationships/hyperlink" Target="https://aldi-sued.atlassian.net/browse/BF-1532" TargetMode="External"/><Relationship Id="rId17" Type="http://schemas.openxmlformats.org/officeDocument/2006/relationships/hyperlink" Target="https://aldi-sued.atlassian.net/browse/ANP-26704" TargetMode="External"/><Relationship Id="rId38" Type="http://schemas.openxmlformats.org/officeDocument/2006/relationships/hyperlink" Target="https://aldi-sued.atlassian.net/browse/NPSCO-20466" TargetMode="External"/><Relationship Id="rId59" Type="http://schemas.openxmlformats.org/officeDocument/2006/relationships/hyperlink" Target="https://aldi-sued.atlassian.net/browse/ANP-27138" TargetMode="External"/><Relationship Id="rId103" Type="http://schemas.openxmlformats.org/officeDocument/2006/relationships/hyperlink" Target="https://aldi-sued.atlassian.net/browse/ANP-26295" TargetMode="External"/><Relationship Id="rId124" Type="http://schemas.openxmlformats.org/officeDocument/2006/relationships/hyperlink" Target="https://aldi-sued.atlassian.net/browse/ANP-26892" TargetMode="External"/><Relationship Id="rId70" Type="http://schemas.openxmlformats.org/officeDocument/2006/relationships/hyperlink" Target="https://aldi-sued.atlassian.net/browse/ANP-27471" TargetMode="External"/><Relationship Id="rId91" Type="http://schemas.openxmlformats.org/officeDocument/2006/relationships/hyperlink" Target="https://aldi-sued.atlassian.net/browse/ANP-27413" TargetMode="External"/><Relationship Id="rId145" Type="http://schemas.openxmlformats.org/officeDocument/2006/relationships/hyperlink" Target="https://aldi-sued.atlassian.net/browse/ANP-27556" TargetMode="External"/><Relationship Id="rId166" Type="http://schemas.openxmlformats.org/officeDocument/2006/relationships/hyperlink" Target="https://aldi-sued.atlassian.net/browse/NPSCO-20365" TargetMode="External"/><Relationship Id="rId187" Type="http://schemas.openxmlformats.org/officeDocument/2006/relationships/hyperlink" Target="https://aldi-sued.atlassian.net/browse/NPSCO-20465" TargetMode="External"/><Relationship Id="rId1" Type="http://schemas.openxmlformats.org/officeDocument/2006/relationships/hyperlink" Target="https://aldi-sued.atlassian.net/browse/ANP-25421" TargetMode="External"/><Relationship Id="rId212" Type="http://schemas.openxmlformats.org/officeDocument/2006/relationships/hyperlink" Target="https://aldi-sued.atlassian.net/browse/NPSCO-18531" TargetMode="External"/><Relationship Id="rId233" Type="http://schemas.openxmlformats.org/officeDocument/2006/relationships/hyperlink" Target="https://aldi-sued.atlassian.net/browse/NPSCO-20798" TargetMode="External"/><Relationship Id="rId28" Type="http://schemas.openxmlformats.org/officeDocument/2006/relationships/hyperlink" Target="https://aldi-sued.atlassian.net/browse/NPSCO-19962" TargetMode="External"/><Relationship Id="rId49" Type="http://schemas.openxmlformats.org/officeDocument/2006/relationships/hyperlink" Target="https://aldi-sued.atlassian.net/browse/ANP-27669" TargetMode="External"/><Relationship Id="rId114" Type="http://schemas.openxmlformats.org/officeDocument/2006/relationships/hyperlink" Target="https://aldi-sued.atlassian.net/browse/ANP-25831" TargetMode="External"/><Relationship Id="rId60" Type="http://schemas.openxmlformats.org/officeDocument/2006/relationships/hyperlink" Target="https://aldi-sued.atlassian.net/browse/ANP-27138" TargetMode="External"/><Relationship Id="rId81" Type="http://schemas.openxmlformats.org/officeDocument/2006/relationships/hyperlink" Target="https://aldi-sued.atlassian.net/browse/ANP-26889" TargetMode="External"/><Relationship Id="rId135" Type="http://schemas.openxmlformats.org/officeDocument/2006/relationships/hyperlink" Target="https://aldi-sued.atlassian.net/browse/ANP-27538" TargetMode="External"/><Relationship Id="rId156" Type="http://schemas.openxmlformats.org/officeDocument/2006/relationships/hyperlink" Target="https://aldi-sued.atlassian.net/browse/ANP-26105" TargetMode="External"/><Relationship Id="rId177" Type="http://schemas.openxmlformats.org/officeDocument/2006/relationships/hyperlink" Target="https://aldi-sued.atlassian.net/browse/NPSCO-19998" TargetMode="External"/><Relationship Id="rId198" Type="http://schemas.openxmlformats.org/officeDocument/2006/relationships/hyperlink" Target="https://aldi-sued.atlassian.net/browse/NPSCO-20806" TargetMode="External"/><Relationship Id="rId202" Type="http://schemas.openxmlformats.org/officeDocument/2006/relationships/hyperlink" Target="https://aldi-sued.atlassian.net/browse/NPSCO-21023" TargetMode="External"/><Relationship Id="rId223" Type="http://schemas.openxmlformats.org/officeDocument/2006/relationships/hyperlink" Target="https://aldi-sued.atlassian.net/browse/BF-1533" TargetMode="External"/><Relationship Id="rId18" Type="http://schemas.openxmlformats.org/officeDocument/2006/relationships/hyperlink" Target="https://aldi-sued.atlassian.net/browse/ANP-27238" TargetMode="External"/><Relationship Id="rId39" Type="http://schemas.openxmlformats.org/officeDocument/2006/relationships/hyperlink" Target="https://aldi-sued.atlassian.net/browse/NPSCO-20809" TargetMode="External"/><Relationship Id="rId50" Type="http://schemas.openxmlformats.org/officeDocument/2006/relationships/hyperlink" Target="https://aldi-sued.atlassian.net/browse/ANP-27490" TargetMode="External"/><Relationship Id="rId104" Type="http://schemas.openxmlformats.org/officeDocument/2006/relationships/hyperlink" Target="https://aldi-sued.atlassian.net/browse/ANP-25776" TargetMode="External"/><Relationship Id="rId125" Type="http://schemas.openxmlformats.org/officeDocument/2006/relationships/hyperlink" Target="https://aldi-sued.atlassian.net/browse/ANP-26892" TargetMode="External"/><Relationship Id="rId146" Type="http://schemas.openxmlformats.org/officeDocument/2006/relationships/hyperlink" Target="https://aldi-sued.atlassian.net/browse/ANP-27557" TargetMode="External"/><Relationship Id="rId167" Type="http://schemas.openxmlformats.org/officeDocument/2006/relationships/hyperlink" Target="https://aldi-sued.atlassian.net/browse/NPSCO-20365" TargetMode="External"/><Relationship Id="rId188" Type="http://schemas.openxmlformats.org/officeDocument/2006/relationships/hyperlink" Target="https://aldi-sued.atlassian.net/browse/NPSCO-19202" TargetMode="External"/><Relationship Id="rId71" Type="http://schemas.openxmlformats.org/officeDocument/2006/relationships/hyperlink" Target="https://aldi-sued.atlassian.net/browse/ANP-27472" TargetMode="External"/><Relationship Id="rId92" Type="http://schemas.openxmlformats.org/officeDocument/2006/relationships/hyperlink" Target="https://aldi-sued.atlassian.net/browse/ANP-27413" TargetMode="External"/><Relationship Id="rId213" Type="http://schemas.openxmlformats.org/officeDocument/2006/relationships/hyperlink" Target="https://aldi-sued.atlassian.net/browse/NPSCO-18556" TargetMode="External"/><Relationship Id="rId234" Type="http://schemas.openxmlformats.org/officeDocument/2006/relationships/hyperlink" Target="https://aldi-sued.atlassian.net/browse/ANP-26021" TargetMode="External"/><Relationship Id="rId2" Type="http://schemas.openxmlformats.org/officeDocument/2006/relationships/hyperlink" Target="https://aldi-sued.atlassian.net/browse/ANP-25572" TargetMode="External"/><Relationship Id="rId29" Type="http://schemas.openxmlformats.org/officeDocument/2006/relationships/hyperlink" Target="https://aldi-sued.atlassian.net/browse/NPSCO-19833" TargetMode="External"/><Relationship Id="rId40" Type="http://schemas.openxmlformats.org/officeDocument/2006/relationships/hyperlink" Target="https://aldi-sued.atlassian.net/browse/NPSCO-20809" TargetMode="External"/><Relationship Id="rId115" Type="http://schemas.openxmlformats.org/officeDocument/2006/relationships/hyperlink" Target="https://aldi-sued.atlassian.net/browse/ANP-25831" TargetMode="External"/><Relationship Id="rId136" Type="http://schemas.openxmlformats.org/officeDocument/2006/relationships/hyperlink" Target="https://aldi-sued.atlassian.net/browse/ANP-27187" TargetMode="External"/><Relationship Id="rId157" Type="http://schemas.openxmlformats.org/officeDocument/2006/relationships/hyperlink" Target="https://aldi-sued.atlassian.net/browse/ANP-26105" TargetMode="External"/><Relationship Id="rId178" Type="http://schemas.openxmlformats.org/officeDocument/2006/relationships/hyperlink" Target="https://aldi-sued.atlassian.net/browse/NPSCO-18835" TargetMode="External"/><Relationship Id="rId61" Type="http://schemas.openxmlformats.org/officeDocument/2006/relationships/hyperlink" Target="https://aldi-sued.atlassian.net/browse/ANP-27230" TargetMode="External"/><Relationship Id="rId82" Type="http://schemas.openxmlformats.org/officeDocument/2006/relationships/hyperlink" Target="https://aldi-sued.atlassian.net/browse/ANP-26889" TargetMode="External"/><Relationship Id="rId199" Type="http://schemas.openxmlformats.org/officeDocument/2006/relationships/hyperlink" Target="https://aldi-sued.atlassian.net/browse/NPSCO-20806" TargetMode="External"/><Relationship Id="rId203" Type="http://schemas.openxmlformats.org/officeDocument/2006/relationships/hyperlink" Target="https://aldi-sued.atlassian.net/browse/NPSCO-21023" TargetMode="External"/><Relationship Id="rId19" Type="http://schemas.openxmlformats.org/officeDocument/2006/relationships/hyperlink" Target="https://aldi-sued.atlassian.net/browse/NPSCO-20364" TargetMode="External"/><Relationship Id="rId224" Type="http://schemas.openxmlformats.org/officeDocument/2006/relationships/hyperlink" Target="https://aldi-sued.atlassian.net/browse/BF-1534" TargetMode="External"/><Relationship Id="rId30" Type="http://schemas.openxmlformats.org/officeDocument/2006/relationships/hyperlink" Target="https://aldi-sued.atlassian.net/browse/NPSCO-19833" TargetMode="External"/><Relationship Id="rId105" Type="http://schemas.openxmlformats.org/officeDocument/2006/relationships/hyperlink" Target="https://aldi-sued.atlassian.net/browse/ANP-25776" TargetMode="External"/><Relationship Id="rId126" Type="http://schemas.openxmlformats.org/officeDocument/2006/relationships/hyperlink" Target="https://aldi-sued.atlassian.net/browse/ANP-25987" TargetMode="External"/><Relationship Id="rId147" Type="http://schemas.openxmlformats.org/officeDocument/2006/relationships/hyperlink" Target="https://aldi-sued.atlassian.net/browse/ANP-27557" TargetMode="External"/><Relationship Id="rId168" Type="http://schemas.openxmlformats.org/officeDocument/2006/relationships/hyperlink" Target="https://aldi-sued.atlassian.net/browse/NPSCO-20569" TargetMode="External"/><Relationship Id="rId51" Type="http://schemas.openxmlformats.org/officeDocument/2006/relationships/hyperlink" Target="https://aldi-sued.atlassian.net/browse/ANP-27490" TargetMode="External"/><Relationship Id="rId72" Type="http://schemas.openxmlformats.org/officeDocument/2006/relationships/hyperlink" Target="https://aldi-sued.atlassian.net/browse/ANP-27472" TargetMode="External"/><Relationship Id="rId93" Type="http://schemas.openxmlformats.org/officeDocument/2006/relationships/hyperlink" Target="https://aldi-sued.atlassian.net/browse/ANP-27483" TargetMode="External"/><Relationship Id="rId189" Type="http://schemas.openxmlformats.org/officeDocument/2006/relationships/hyperlink" Target="https://aldi-sued.atlassian.net/browse/NPSCO-19202" TargetMode="External"/><Relationship Id="rId3" Type="http://schemas.openxmlformats.org/officeDocument/2006/relationships/hyperlink" Target="https://aldi-sued.atlassian.net/browse/ANP-25550" TargetMode="External"/><Relationship Id="rId214" Type="http://schemas.openxmlformats.org/officeDocument/2006/relationships/hyperlink" Target="https://aldi-sued.atlassian.net/browse/NPSCO-18806" TargetMode="External"/><Relationship Id="rId235" Type="http://schemas.openxmlformats.org/officeDocument/2006/relationships/hyperlink" Target="https://aldi-sued.atlassian.net/browse/ANP-25743" TargetMode="External"/><Relationship Id="rId116" Type="http://schemas.openxmlformats.org/officeDocument/2006/relationships/hyperlink" Target="https://aldi-sued.atlassian.net/browse/ANP-26893" TargetMode="External"/><Relationship Id="rId137" Type="http://schemas.openxmlformats.org/officeDocument/2006/relationships/hyperlink" Target="https://aldi-sued.atlassian.net/browse/ANP-27187" TargetMode="External"/><Relationship Id="rId158" Type="http://schemas.openxmlformats.org/officeDocument/2006/relationships/hyperlink" Target="https://aldi-sued.atlassian.net/browse/NPSCO-20626" TargetMode="External"/><Relationship Id="rId20" Type="http://schemas.openxmlformats.org/officeDocument/2006/relationships/hyperlink" Target="https://aldi-sued.atlassian.net/browse/NPSCO-20364" TargetMode="External"/><Relationship Id="rId41" Type="http://schemas.openxmlformats.org/officeDocument/2006/relationships/hyperlink" Target="https://aldi-sued.atlassian.net/browse/NPSCO-20794" TargetMode="External"/><Relationship Id="rId62" Type="http://schemas.openxmlformats.org/officeDocument/2006/relationships/hyperlink" Target="https://aldi-sued.atlassian.net/browse/ANP-27230" TargetMode="External"/><Relationship Id="rId83" Type="http://schemas.openxmlformats.org/officeDocument/2006/relationships/hyperlink" Target="https://aldi-sued.atlassian.net/browse/ANP-27172" TargetMode="External"/><Relationship Id="rId179" Type="http://schemas.openxmlformats.org/officeDocument/2006/relationships/hyperlink" Target="https://aldi-sued.atlassian.net/browse/NPSCO-18835" TargetMode="External"/><Relationship Id="rId190" Type="http://schemas.openxmlformats.org/officeDocument/2006/relationships/hyperlink" Target="https://aldi-sued.atlassian.net/browse/NPSCO-15567" TargetMode="External"/><Relationship Id="rId204" Type="http://schemas.openxmlformats.org/officeDocument/2006/relationships/hyperlink" Target="https://aldi-sued.atlassian.net/browse/NPSCO-21058" TargetMode="External"/><Relationship Id="rId225" Type="http://schemas.openxmlformats.org/officeDocument/2006/relationships/hyperlink" Target="https://aldi-sued.atlassian.net/browse/BF-1550"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aldi-sued.atlassian.net/browse/ANP-26665" TargetMode="External"/><Relationship Id="rId21" Type="http://schemas.openxmlformats.org/officeDocument/2006/relationships/hyperlink" Target="https://aldi-sued.atlassian.net/browse/ANP-26387" TargetMode="External"/><Relationship Id="rId42" Type="http://schemas.openxmlformats.org/officeDocument/2006/relationships/hyperlink" Target="https://aldi-sued.atlassian.net/browse/NPSCO-19961" TargetMode="External"/><Relationship Id="rId47" Type="http://schemas.openxmlformats.org/officeDocument/2006/relationships/hyperlink" Target="https://aldi-sued.atlassian.net/browse/NPSCO-19093" TargetMode="External"/><Relationship Id="rId63" Type="http://schemas.openxmlformats.org/officeDocument/2006/relationships/hyperlink" Target="https://aldi-sued.atlassian.net/browse/BF-1437" TargetMode="External"/><Relationship Id="rId68" Type="http://schemas.openxmlformats.org/officeDocument/2006/relationships/hyperlink" Target="https://aldi-sued.atlassian.net/browse/BF-1474" TargetMode="External"/><Relationship Id="rId16" Type="http://schemas.openxmlformats.org/officeDocument/2006/relationships/hyperlink" Target="https://aldi-sued.atlassian.net/browse/ANP-26747" TargetMode="External"/><Relationship Id="rId11" Type="http://schemas.openxmlformats.org/officeDocument/2006/relationships/hyperlink" Target="https://aldi-sued.atlassian.net/browse/ANP-26974" TargetMode="External"/><Relationship Id="rId24" Type="http://schemas.openxmlformats.org/officeDocument/2006/relationships/hyperlink" Target="https://aldi-sued.atlassian.net/browse/ANP-26377" TargetMode="External"/><Relationship Id="rId32" Type="http://schemas.openxmlformats.org/officeDocument/2006/relationships/hyperlink" Target="https://aldi-sued.atlassian.net/browse/ANP-27089" TargetMode="External"/><Relationship Id="rId37" Type="http://schemas.openxmlformats.org/officeDocument/2006/relationships/hyperlink" Target="https://aldi-sued.atlassian.net/browse/ANP-27058" TargetMode="External"/><Relationship Id="rId40" Type="http://schemas.openxmlformats.org/officeDocument/2006/relationships/hyperlink" Target="https://aldi-sued.atlassian.net/browse/NPSCO-20089" TargetMode="External"/><Relationship Id="rId45" Type="http://schemas.openxmlformats.org/officeDocument/2006/relationships/hyperlink" Target="https://aldi-sued.atlassian.net/browse/NPSCO-18834" TargetMode="External"/><Relationship Id="rId53" Type="http://schemas.openxmlformats.org/officeDocument/2006/relationships/hyperlink" Target="https://aldi-sued.atlassian.net/browse/NPSCO-20187" TargetMode="External"/><Relationship Id="rId58" Type="http://schemas.openxmlformats.org/officeDocument/2006/relationships/hyperlink" Target="https://aldi-sued.atlassian.net/browse/BF-1441" TargetMode="External"/><Relationship Id="rId66" Type="http://schemas.openxmlformats.org/officeDocument/2006/relationships/hyperlink" Target="https://aldi-sued.atlassian.net/browse/BF-1443" TargetMode="External"/><Relationship Id="rId74" Type="http://schemas.openxmlformats.org/officeDocument/2006/relationships/hyperlink" Target="https://aldi-sued.atlassian.net/browse/BF-1505" TargetMode="External"/><Relationship Id="rId79" Type="http://schemas.openxmlformats.org/officeDocument/2006/relationships/table" Target="../tables/table5.xml"/><Relationship Id="rId5" Type="http://schemas.openxmlformats.org/officeDocument/2006/relationships/hyperlink" Target="https://aldi-sued.atlassian.net/browse/ANP-26614" TargetMode="External"/><Relationship Id="rId61" Type="http://schemas.openxmlformats.org/officeDocument/2006/relationships/hyperlink" Target="https://aldi-sued.atlassian.net/browse/BF-1427" TargetMode="External"/><Relationship Id="rId19" Type="http://schemas.openxmlformats.org/officeDocument/2006/relationships/hyperlink" Target="https://aldi-sued.atlassian.net/browse/ANP-27109" TargetMode="External"/><Relationship Id="rId14" Type="http://schemas.openxmlformats.org/officeDocument/2006/relationships/hyperlink" Target="https://aldi-sued.atlassian.net/browse/ANP-27103" TargetMode="External"/><Relationship Id="rId22" Type="http://schemas.openxmlformats.org/officeDocument/2006/relationships/hyperlink" Target="https://aldi-sued.atlassian.net/browse/ANP-26752" TargetMode="External"/><Relationship Id="rId27" Type="http://schemas.openxmlformats.org/officeDocument/2006/relationships/hyperlink" Target="https://aldi-sued.atlassian.net/browse/ANP-26665" TargetMode="External"/><Relationship Id="rId30" Type="http://schemas.openxmlformats.org/officeDocument/2006/relationships/hyperlink" Target="https://aldi-sued.atlassian.net/browse/ANP-12281" TargetMode="External"/><Relationship Id="rId35" Type="http://schemas.openxmlformats.org/officeDocument/2006/relationships/hyperlink" Target="https://aldi-sued.atlassian.net/browse/ANP-26977" TargetMode="External"/><Relationship Id="rId43" Type="http://schemas.openxmlformats.org/officeDocument/2006/relationships/hyperlink" Target="https://aldi-sued.atlassian.net/browse/NPSCO-19961" TargetMode="External"/><Relationship Id="rId48" Type="http://schemas.openxmlformats.org/officeDocument/2006/relationships/hyperlink" Target="https://aldi-sued.atlassian.net/browse/NPSCO-18025" TargetMode="External"/><Relationship Id="rId56" Type="http://schemas.openxmlformats.org/officeDocument/2006/relationships/hyperlink" Target="https://aldi-sued.atlassian.net/browse/NPSCO-17173" TargetMode="External"/><Relationship Id="rId64" Type="http://schemas.openxmlformats.org/officeDocument/2006/relationships/hyperlink" Target="https://aldi-sued.atlassian.net/browse/BF-1438" TargetMode="External"/><Relationship Id="rId69" Type="http://schemas.openxmlformats.org/officeDocument/2006/relationships/hyperlink" Target="https://aldi-sued.atlassian.net/browse/BF-1484" TargetMode="External"/><Relationship Id="rId77" Type="http://schemas.openxmlformats.org/officeDocument/2006/relationships/hyperlink" Target="https://aldi-sued.atlassian.net/browse/BF-507" TargetMode="External"/><Relationship Id="rId8" Type="http://schemas.openxmlformats.org/officeDocument/2006/relationships/hyperlink" Target="https://aldi-sued.atlassian.net/browse/ANP-27068" TargetMode="External"/><Relationship Id="rId51" Type="http://schemas.openxmlformats.org/officeDocument/2006/relationships/hyperlink" Target="https://aldi-sued.atlassian.net/browse/NPSCO-19094" TargetMode="External"/><Relationship Id="rId72" Type="http://schemas.openxmlformats.org/officeDocument/2006/relationships/hyperlink" Target="https://aldi-sued.atlassian.net/browse/NPSCO-20021" TargetMode="External"/><Relationship Id="rId3" Type="http://schemas.openxmlformats.org/officeDocument/2006/relationships/hyperlink" Target="https://aldi-sued.atlassian.net/browse/ANP-25572" TargetMode="External"/><Relationship Id="rId12" Type="http://schemas.openxmlformats.org/officeDocument/2006/relationships/hyperlink" Target="https://aldi-sued.atlassian.net/browse/ANP-27095" TargetMode="External"/><Relationship Id="rId17" Type="http://schemas.openxmlformats.org/officeDocument/2006/relationships/hyperlink" Target="https://aldi-sued.atlassian.net/browse/ANP-26747" TargetMode="External"/><Relationship Id="rId25" Type="http://schemas.openxmlformats.org/officeDocument/2006/relationships/hyperlink" Target="https://aldi-sued.atlassian.net/browse/ANP-26377" TargetMode="External"/><Relationship Id="rId33" Type="http://schemas.openxmlformats.org/officeDocument/2006/relationships/hyperlink" Target="https://aldi-sued.atlassian.net/browse/ANP-27089" TargetMode="External"/><Relationship Id="rId38" Type="http://schemas.openxmlformats.org/officeDocument/2006/relationships/hyperlink" Target="https://aldi-sued.atlassian.net/issues/?jql=cf%5B12600%5D%20%3D%20%22Checkout_Base%22" TargetMode="External"/><Relationship Id="rId46" Type="http://schemas.openxmlformats.org/officeDocument/2006/relationships/hyperlink" Target="https://aldi-sued.atlassian.net/browse/NPSCO-19093" TargetMode="External"/><Relationship Id="rId59" Type="http://schemas.openxmlformats.org/officeDocument/2006/relationships/hyperlink" Target="https://aldi-sued.atlassian.net/browse/BF-1409" TargetMode="External"/><Relationship Id="rId67" Type="http://schemas.openxmlformats.org/officeDocument/2006/relationships/hyperlink" Target="https://aldi-sued.atlassian.net/browse/BF-1459" TargetMode="External"/><Relationship Id="rId20" Type="http://schemas.openxmlformats.org/officeDocument/2006/relationships/hyperlink" Target="https://aldi-sued.atlassian.net/browse/ANP-26387" TargetMode="External"/><Relationship Id="rId41" Type="http://schemas.openxmlformats.org/officeDocument/2006/relationships/hyperlink" Target="https://aldi-sued.atlassian.net/browse/NPSCO-20089" TargetMode="External"/><Relationship Id="rId54" Type="http://schemas.openxmlformats.org/officeDocument/2006/relationships/hyperlink" Target="https://aldi-sued.atlassian.net/browse/NPSCO-20152" TargetMode="External"/><Relationship Id="rId62" Type="http://schemas.openxmlformats.org/officeDocument/2006/relationships/hyperlink" Target="https://aldi-sued.atlassian.net/browse/BF-1429" TargetMode="External"/><Relationship Id="rId70" Type="http://schemas.openxmlformats.org/officeDocument/2006/relationships/hyperlink" Target="https://aldi-sued.atlassian.net/browse/NPSCO-18815" TargetMode="External"/><Relationship Id="rId75" Type="http://schemas.openxmlformats.org/officeDocument/2006/relationships/hyperlink" Target="https://aldi-sued.atlassian.net/browse/NPSCO-18531" TargetMode="External"/><Relationship Id="rId1" Type="http://schemas.openxmlformats.org/officeDocument/2006/relationships/hyperlink" Target="https://aldi-sued.atlassian.net/browse/ANP-26869" TargetMode="External"/><Relationship Id="rId6" Type="http://schemas.openxmlformats.org/officeDocument/2006/relationships/hyperlink" Target="https://aldi-sued.atlassian.net/browse/ANP-26615" TargetMode="External"/><Relationship Id="rId15" Type="http://schemas.openxmlformats.org/officeDocument/2006/relationships/hyperlink" Target="https://aldi-sued.atlassian.net/issues/?jql=cf%5B12600%5D%20%3D%20%22Checkout_Base%22" TargetMode="External"/><Relationship Id="rId23" Type="http://schemas.openxmlformats.org/officeDocument/2006/relationships/hyperlink" Target="https://aldi-sued.atlassian.net/browse/ANP-26752" TargetMode="External"/><Relationship Id="rId28" Type="http://schemas.openxmlformats.org/officeDocument/2006/relationships/hyperlink" Target="https://aldi-sued.atlassian.net/browse/ANP-26340" TargetMode="External"/><Relationship Id="rId36" Type="http://schemas.openxmlformats.org/officeDocument/2006/relationships/hyperlink" Target="https://aldi-sued.atlassian.net/browse/ANP-27058" TargetMode="External"/><Relationship Id="rId49" Type="http://schemas.openxmlformats.org/officeDocument/2006/relationships/hyperlink" Target="https://aldi-sued.atlassian.net/browse/NPSCO-18025" TargetMode="External"/><Relationship Id="rId57" Type="http://schemas.openxmlformats.org/officeDocument/2006/relationships/hyperlink" Target="https://aldi-sued.atlassian.net/browse/BF-1440" TargetMode="External"/><Relationship Id="rId10" Type="http://schemas.openxmlformats.org/officeDocument/2006/relationships/hyperlink" Target="https://aldi-sued.atlassian.net/browse/ANP-26616" TargetMode="External"/><Relationship Id="rId31" Type="http://schemas.openxmlformats.org/officeDocument/2006/relationships/hyperlink" Target="https://aldi-sued.atlassian.net/browse/ANP-12281" TargetMode="External"/><Relationship Id="rId44" Type="http://schemas.openxmlformats.org/officeDocument/2006/relationships/hyperlink" Target="https://aldi-sued.atlassian.net/browse/NPSCO-18834" TargetMode="External"/><Relationship Id="rId52" Type="http://schemas.openxmlformats.org/officeDocument/2006/relationships/hyperlink" Target="https://aldi-sued.atlassian.net/browse/NPSCO-20187" TargetMode="External"/><Relationship Id="rId60" Type="http://schemas.openxmlformats.org/officeDocument/2006/relationships/hyperlink" Target="https://aldi-sued.atlassian.net/browse/BF-1419" TargetMode="External"/><Relationship Id="rId65" Type="http://schemas.openxmlformats.org/officeDocument/2006/relationships/hyperlink" Target="https://aldi-sued.atlassian.net/browse/BF-1442" TargetMode="External"/><Relationship Id="rId73" Type="http://schemas.openxmlformats.org/officeDocument/2006/relationships/hyperlink" Target="https://aldi-sued.atlassian.net/browse/BF-1412" TargetMode="External"/><Relationship Id="rId78" Type="http://schemas.openxmlformats.org/officeDocument/2006/relationships/hyperlink" Target="https://aldi-sued.atlassian.net/browse/BF-1530" TargetMode="External"/><Relationship Id="rId4" Type="http://schemas.openxmlformats.org/officeDocument/2006/relationships/hyperlink" Target="https://aldi-sued.atlassian.net/browse/ANP-23958" TargetMode="External"/><Relationship Id="rId9" Type="http://schemas.openxmlformats.org/officeDocument/2006/relationships/hyperlink" Target="https://aldi-sued.atlassian.net/browse/ANP-26617" TargetMode="External"/><Relationship Id="rId13" Type="http://schemas.openxmlformats.org/officeDocument/2006/relationships/hyperlink" Target="https://aldi-sued.atlassian.net/browse/ANP-27103" TargetMode="External"/><Relationship Id="rId18" Type="http://schemas.openxmlformats.org/officeDocument/2006/relationships/hyperlink" Target="https://aldi-sued.atlassian.net/browse/ANP-27109" TargetMode="External"/><Relationship Id="rId39" Type="http://schemas.openxmlformats.org/officeDocument/2006/relationships/hyperlink" Target="https://aldi-sued.atlassian.net/browse/ANP-17348" TargetMode="External"/><Relationship Id="rId34" Type="http://schemas.openxmlformats.org/officeDocument/2006/relationships/hyperlink" Target="https://aldi-sued.atlassian.net/browse/ANP-26977" TargetMode="External"/><Relationship Id="rId50" Type="http://schemas.openxmlformats.org/officeDocument/2006/relationships/hyperlink" Target="https://aldi-sued.atlassian.net/browse/NPSCO-19094" TargetMode="External"/><Relationship Id="rId55" Type="http://schemas.openxmlformats.org/officeDocument/2006/relationships/hyperlink" Target="https://aldi-sued.atlassian.net/browse/NPSCO-20152" TargetMode="External"/><Relationship Id="rId76" Type="http://schemas.openxmlformats.org/officeDocument/2006/relationships/hyperlink" Target="https://aldi-sued.atlassian.net/browse/NPSCO-19363" TargetMode="External"/><Relationship Id="rId7" Type="http://schemas.openxmlformats.org/officeDocument/2006/relationships/hyperlink" Target="https://aldi-sued.atlassian.net/browse/ANP-25550" TargetMode="External"/><Relationship Id="rId71" Type="http://schemas.openxmlformats.org/officeDocument/2006/relationships/hyperlink" Target="https://aldi-sued.atlassian.net/browse/NPSCO-18817" TargetMode="External"/><Relationship Id="rId2" Type="http://schemas.openxmlformats.org/officeDocument/2006/relationships/hyperlink" Target="https://aldi-sued.atlassian.net/browse/ANP-25421" TargetMode="External"/><Relationship Id="rId29" Type="http://schemas.openxmlformats.org/officeDocument/2006/relationships/hyperlink" Target="https://aldi-sued.atlassian.net/browse/ANP-263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295FE-99A5-45B3-BBA2-8CF230A9DBA4}">
  <dimension ref="A1:AJ70"/>
  <sheetViews>
    <sheetView zoomScale="80" zoomScaleNormal="80" workbookViewId="0">
      <selection activeCell="B2" sqref="B2"/>
    </sheetView>
  </sheetViews>
  <sheetFormatPr baseColWidth="10" defaultColWidth="11.42578125" defaultRowHeight="15"/>
  <cols>
    <col min="1" max="1" width="23.7109375" bestFit="1" customWidth="1"/>
  </cols>
  <sheetData>
    <row r="1" spans="1:32">
      <c r="A1" t="s">
        <v>0</v>
      </c>
    </row>
    <row r="2" spans="1:32">
      <c r="A2" s="232">
        <v>-1</v>
      </c>
      <c r="B2" t="str">
        <f t="shared" ref="B2:F2" ca="1" si="0">INDIRECT($A$27&amp;($A$29+B$3+$A15-2+$A$2-1))</f>
        <v>Sprint 1_3+4</v>
      </c>
      <c r="C2" t="str">
        <f t="shared" ca="1" si="0"/>
        <v>Sprint 1_5+6</v>
      </c>
      <c r="D2" t="str">
        <f t="shared" ca="1" si="0"/>
        <v>Sprint 2_1+2</v>
      </c>
      <c r="E2" t="str">
        <f t="shared" ca="1" si="0"/>
        <v>Sprint 2_3/4</v>
      </c>
      <c r="F2" t="str">
        <f t="shared" ca="1" si="0"/>
        <v>Sprint 2_5/6</v>
      </c>
      <c r="G2" t="str">
        <f ca="1">INDIRECT($A$27&amp;($A$29+G$3+$A15-2+$A$2-1))</f>
        <v>Sprint 3_1/2</v>
      </c>
      <c r="H2" s="254" t="s">
        <v>1</v>
      </c>
      <c r="I2" t="s">
        <v>2</v>
      </c>
    </row>
    <row r="3" spans="1:32">
      <c r="B3" s="234">
        <v>1</v>
      </c>
      <c r="C3" s="234">
        <v>2</v>
      </c>
      <c r="D3" s="234">
        <v>3</v>
      </c>
      <c r="E3" s="234">
        <v>4</v>
      </c>
      <c r="F3" s="234">
        <v>5</v>
      </c>
      <c r="G3" s="234">
        <v>6</v>
      </c>
      <c r="AA3" t="str">
        <f t="shared" ref="AA3:AF3" ca="1" si="1">B2</f>
        <v>Sprint 1_3+4</v>
      </c>
      <c r="AB3" t="str">
        <f t="shared" ca="1" si="1"/>
        <v>Sprint 1_5+6</v>
      </c>
      <c r="AC3" t="str">
        <f t="shared" ca="1" si="1"/>
        <v>Sprint 2_1+2</v>
      </c>
      <c r="AD3" t="str">
        <f t="shared" ca="1" si="1"/>
        <v>Sprint 2_3/4</v>
      </c>
      <c r="AE3" t="str">
        <f t="shared" ca="1" si="1"/>
        <v>Sprint 2_5/6</v>
      </c>
      <c r="AF3" t="str">
        <f t="shared" ca="1" si="1"/>
        <v>Sprint 3_1/2</v>
      </c>
    </row>
    <row r="4" spans="1:32">
      <c r="B4" s="235" t="str">
        <f ca="1">INDIRECT($A$28&amp;($A$29+B$3+$A5-2+$A$2-1))</f>
        <v xml:space="preserve">  IDL Sprint Velocity</v>
      </c>
      <c r="C4" s="235" t="str">
        <f t="shared" ref="C4:G4" ca="1" si="2">INDIRECT($A$28&amp;($A$29+C$3+$A5-2+$A$2-1))</f>
        <v>Payment</v>
      </c>
      <c r="D4" s="235">
        <f t="shared" ca="1" si="2"/>
        <v>18</v>
      </c>
      <c r="E4" s="235">
        <f t="shared" ca="1" si="2"/>
        <v>23</v>
      </c>
      <c r="F4" s="235">
        <f t="shared" ca="1" si="2"/>
        <v>30</v>
      </c>
      <c r="G4" s="235">
        <f t="shared" ca="1" si="2"/>
        <v>27</v>
      </c>
      <c r="AE4">
        <f t="shared" ref="AE4:AF4" ca="1" si="3">F4</f>
        <v>30</v>
      </c>
      <c r="AF4">
        <f t="shared" ca="1" si="3"/>
        <v>27</v>
      </c>
    </row>
    <row r="5" spans="1:32">
      <c r="A5">
        <v>1</v>
      </c>
      <c r="B5" s="236">
        <f>$A5+$H5</f>
        <v>1</v>
      </c>
      <c r="C5" s="236">
        <f t="shared" ref="C5:G15" si="4">$A5+$H5</f>
        <v>1</v>
      </c>
      <c r="D5" s="236">
        <f t="shared" si="4"/>
        <v>1</v>
      </c>
      <c r="E5" s="236">
        <f t="shared" si="4"/>
        <v>1</v>
      </c>
      <c r="F5" s="236">
        <f t="shared" si="4"/>
        <v>1</v>
      </c>
      <c r="G5" s="236">
        <f t="shared" si="4"/>
        <v>1</v>
      </c>
      <c r="H5">
        <v>0</v>
      </c>
      <c r="AD5">
        <f t="shared" ref="AD5:AF5" ca="1" si="5">E6</f>
        <v>30</v>
      </c>
      <c r="AE5">
        <f t="shared" ca="1" si="5"/>
        <v>27</v>
      </c>
      <c r="AF5">
        <f t="shared" ca="1" si="5"/>
        <v>31</v>
      </c>
    </row>
    <row r="6" spans="1:32">
      <c r="B6" s="235" t="str">
        <f ca="1">INDIRECT($A$28&amp;($A$29+B$3+$A7-2+$A$2-1))</f>
        <v>Payment</v>
      </c>
      <c r="C6" s="235">
        <f t="shared" ref="C6:G6" ca="1" si="6">INDIRECT($A$28&amp;($A$29+C$3+$A7-2+$A$2-1))</f>
        <v>18</v>
      </c>
      <c r="D6" s="235">
        <f t="shared" ca="1" si="6"/>
        <v>23</v>
      </c>
      <c r="E6" s="235">
        <f t="shared" ca="1" si="6"/>
        <v>30</v>
      </c>
      <c r="F6" s="235">
        <f t="shared" ca="1" si="6"/>
        <v>27</v>
      </c>
      <c r="G6" s="235">
        <f t="shared" ca="1" si="6"/>
        <v>31</v>
      </c>
      <c r="AC6">
        <f t="shared" ref="AC6:AF6" ca="1" si="7">D8</f>
        <v>30</v>
      </c>
      <c r="AD6">
        <f t="shared" ca="1" si="7"/>
        <v>27</v>
      </c>
      <c r="AE6">
        <f t="shared" ca="1" si="7"/>
        <v>31</v>
      </c>
      <c r="AF6">
        <f t="shared" ca="1" si="7"/>
        <v>34</v>
      </c>
    </row>
    <row r="7" spans="1:32">
      <c r="A7">
        <f>A5+1</f>
        <v>2</v>
      </c>
      <c r="B7" s="236">
        <f>$A7+$H7</f>
        <v>2</v>
      </c>
      <c r="C7" s="236">
        <f t="shared" si="4"/>
        <v>2</v>
      </c>
      <c r="D7" s="236">
        <f t="shared" si="4"/>
        <v>2</v>
      </c>
      <c r="E7" s="236">
        <f t="shared" si="4"/>
        <v>2</v>
      </c>
      <c r="F7" s="236">
        <f t="shared" si="4"/>
        <v>2</v>
      </c>
      <c r="G7" s="236">
        <f t="shared" si="4"/>
        <v>2</v>
      </c>
      <c r="H7">
        <v>0</v>
      </c>
      <c r="AB7">
        <f t="shared" ref="AB7:AF7" ca="1" si="8">C10</f>
        <v>30</v>
      </c>
      <c r="AC7">
        <f t="shared" ca="1" si="8"/>
        <v>27</v>
      </c>
      <c r="AD7">
        <f t="shared" ca="1" si="8"/>
        <v>31</v>
      </c>
      <c r="AE7">
        <f t="shared" ca="1" si="8"/>
        <v>34</v>
      </c>
      <c r="AF7">
        <f t="shared" ca="1" si="8"/>
        <v>20</v>
      </c>
    </row>
    <row r="8" spans="1:32">
      <c r="B8" s="235">
        <f ca="1">INDIRECT($A$28&amp;($A$29+B$3+$A9-2+$A$2-1))</f>
        <v>18</v>
      </c>
      <c r="C8" s="235">
        <f t="shared" ref="C8:G8" ca="1" si="9">INDIRECT($A$28&amp;($A$29+C$3+$A9-2+$A$2-1))</f>
        <v>23</v>
      </c>
      <c r="D8" s="235">
        <f t="shared" ca="1" si="9"/>
        <v>30</v>
      </c>
      <c r="E8" s="235">
        <f t="shared" ca="1" si="9"/>
        <v>27</v>
      </c>
      <c r="F8" s="235">
        <f t="shared" ca="1" si="9"/>
        <v>31</v>
      </c>
      <c r="G8" s="235">
        <f t="shared" ca="1" si="9"/>
        <v>34</v>
      </c>
      <c r="AA8">
        <f t="shared" ref="AA8:AF8" ca="1" si="10">B12</f>
        <v>30</v>
      </c>
      <c r="AB8">
        <f t="shared" ca="1" si="10"/>
        <v>27</v>
      </c>
      <c r="AC8">
        <f t="shared" ca="1" si="10"/>
        <v>31</v>
      </c>
      <c r="AD8">
        <f t="shared" ca="1" si="10"/>
        <v>34</v>
      </c>
      <c r="AE8">
        <f t="shared" ca="1" si="10"/>
        <v>20</v>
      </c>
      <c r="AF8">
        <f t="shared" ca="1" si="10"/>
        <v>26</v>
      </c>
    </row>
    <row r="9" spans="1:32">
      <c r="A9">
        <f>A7+1</f>
        <v>3</v>
      </c>
      <c r="B9" s="236">
        <f>$A9+$H9</f>
        <v>3</v>
      </c>
      <c r="C9" s="236">
        <f t="shared" si="4"/>
        <v>3</v>
      </c>
      <c r="D9" s="236">
        <f t="shared" si="4"/>
        <v>3</v>
      </c>
      <c r="E9" s="236">
        <f t="shared" si="4"/>
        <v>3</v>
      </c>
      <c r="F9" s="236">
        <f t="shared" si="4"/>
        <v>3</v>
      </c>
      <c r="G9" s="236">
        <f t="shared" si="4"/>
        <v>3</v>
      </c>
      <c r="H9">
        <v>0</v>
      </c>
      <c r="AA9">
        <f t="shared" ref="AA9:AF9" ca="1" si="11">B14</f>
        <v>27</v>
      </c>
      <c r="AB9">
        <f t="shared" ca="1" si="11"/>
        <v>31</v>
      </c>
      <c r="AC9">
        <f t="shared" ca="1" si="11"/>
        <v>34</v>
      </c>
      <c r="AD9">
        <f t="shared" ca="1" si="11"/>
        <v>20</v>
      </c>
      <c r="AE9">
        <f t="shared" ca="1" si="11"/>
        <v>26</v>
      </c>
      <c r="AF9">
        <f t="shared" ca="1" si="11"/>
        <v>26</v>
      </c>
    </row>
    <row r="10" spans="1:32">
      <c r="B10" s="235">
        <f ca="1">INDIRECT($A$28&amp;($A$29+B$3+$A11-2+$A$2-1))</f>
        <v>23</v>
      </c>
      <c r="C10" s="235">
        <f t="shared" ref="C10:G10" ca="1" si="12">INDIRECT($A$28&amp;($A$29+C$3+$A11-2+$A$2-1))</f>
        <v>30</v>
      </c>
      <c r="D10" s="235">
        <f t="shared" ca="1" si="12"/>
        <v>27</v>
      </c>
      <c r="E10" s="235">
        <f t="shared" ca="1" si="12"/>
        <v>31</v>
      </c>
      <c r="F10" s="235">
        <f t="shared" ca="1" si="12"/>
        <v>34</v>
      </c>
      <c r="G10" s="235">
        <f t="shared" ca="1" si="12"/>
        <v>20</v>
      </c>
      <c r="AA10">
        <f ca="1">_xlfn.RANK.EQ(AA9,AA4:AA9,0)</f>
        <v>2</v>
      </c>
      <c r="AB10">
        <f t="shared" ref="AB10:AF10" ca="1" si="13">_xlfn.RANK.EQ(AB9,AB4:AB9,0)</f>
        <v>1</v>
      </c>
      <c r="AC10">
        <f t="shared" ca="1" si="13"/>
        <v>1</v>
      </c>
      <c r="AD10">
        <f t="shared" ca="1" si="13"/>
        <v>5</v>
      </c>
      <c r="AE10">
        <f t="shared" ca="1" si="13"/>
        <v>5</v>
      </c>
      <c r="AF10">
        <f t="shared" ca="1" si="13"/>
        <v>4</v>
      </c>
    </row>
    <row r="11" spans="1:32">
      <c r="A11">
        <f>A9+1</f>
        <v>4</v>
      </c>
      <c r="B11" s="236">
        <f>$A11+$H11</f>
        <v>4</v>
      </c>
      <c r="C11" s="236">
        <f t="shared" si="4"/>
        <v>4</v>
      </c>
      <c r="D11" s="236">
        <f t="shared" si="4"/>
        <v>4</v>
      </c>
      <c r="E11" s="236">
        <f t="shared" si="4"/>
        <v>4</v>
      </c>
      <c r="F11" s="236">
        <f t="shared" si="4"/>
        <v>4</v>
      </c>
      <c r="G11" s="236">
        <f t="shared" si="4"/>
        <v>4</v>
      </c>
      <c r="H11">
        <v>0</v>
      </c>
    </row>
    <row r="12" spans="1:32">
      <c r="B12" s="235">
        <f ca="1">INDIRECT($A$28&amp;($A$29+B$3+$A13-2+$A$2-1))</f>
        <v>30</v>
      </c>
      <c r="C12" s="235">
        <f t="shared" ref="C12:G12" ca="1" si="14">INDIRECT($A$28&amp;($A$29+C$3+$A13-2+$A$2-1))</f>
        <v>27</v>
      </c>
      <c r="D12" s="235">
        <f t="shared" ca="1" si="14"/>
        <v>31</v>
      </c>
      <c r="E12" s="235">
        <f t="shared" ca="1" si="14"/>
        <v>34</v>
      </c>
      <c r="F12" s="235">
        <f t="shared" ca="1" si="14"/>
        <v>20</v>
      </c>
      <c r="G12" s="235">
        <f t="shared" ca="1" si="14"/>
        <v>26</v>
      </c>
    </row>
    <row r="13" spans="1:32">
      <c r="A13">
        <f>A11+1</f>
        <v>5</v>
      </c>
      <c r="B13" s="236">
        <f>$A13+$H13</f>
        <v>5</v>
      </c>
      <c r="C13" s="236">
        <f t="shared" si="4"/>
        <v>5</v>
      </c>
      <c r="D13" s="236">
        <f t="shared" si="4"/>
        <v>5</v>
      </c>
      <c r="E13" s="236">
        <f t="shared" si="4"/>
        <v>5</v>
      </c>
      <c r="F13" s="236">
        <f t="shared" si="4"/>
        <v>5</v>
      </c>
      <c r="G13" s="236">
        <f t="shared" si="4"/>
        <v>5</v>
      </c>
      <c r="H13">
        <v>0</v>
      </c>
    </row>
    <row r="14" spans="1:32">
      <c r="B14" s="235">
        <f ca="1">INDIRECT($A$28&amp;($A$29+B$3+$A15-2+$A$2-1))</f>
        <v>27</v>
      </c>
      <c r="C14" s="235">
        <f t="shared" ref="C14:G14" ca="1" si="15">INDIRECT($A$28&amp;($A$29+C$3+$A15-2+$A$2-1))</f>
        <v>31</v>
      </c>
      <c r="D14" s="235">
        <f t="shared" ca="1" si="15"/>
        <v>34</v>
      </c>
      <c r="E14" s="235">
        <f t="shared" ca="1" si="15"/>
        <v>20</v>
      </c>
      <c r="F14" s="235">
        <f t="shared" ca="1" si="15"/>
        <v>26</v>
      </c>
      <c r="G14" s="235">
        <f t="shared" ca="1" si="15"/>
        <v>26</v>
      </c>
    </row>
    <row r="15" spans="1:32">
      <c r="A15">
        <v>6</v>
      </c>
      <c r="B15" s="237">
        <f>$A15+$H15</f>
        <v>7</v>
      </c>
      <c r="C15" s="237">
        <f t="shared" si="4"/>
        <v>7</v>
      </c>
      <c r="D15" s="237">
        <f t="shared" si="4"/>
        <v>7</v>
      </c>
      <c r="E15" s="237">
        <f t="shared" si="4"/>
        <v>7</v>
      </c>
      <c r="F15" s="237">
        <f t="shared" si="4"/>
        <v>7</v>
      </c>
      <c r="G15" s="237">
        <f t="shared" si="4"/>
        <v>7</v>
      </c>
      <c r="H15">
        <v>1</v>
      </c>
    </row>
    <row r="17" spans="1:36">
      <c r="B17" t="s">
        <v>3</v>
      </c>
      <c r="C17" t="s">
        <v>4</v>
      </c>
      <c r="D17" t="s">
        <v>5</v>
      </c>
      <c r="E17" t="s">
        <v>5</v>
      </c>
      <c r="F17" t="s">
        <v>6</v>
      </c>
      <c r="H17" t="s">
        <v>7</v>
      </c>
    </row>
    <row r="18" spans="1:36">
      <c r="B18" t="s">
        <v>3</v>
      </c>
      <c r="C18" t="s">
        <v>8</v>
      </c>
      <c r="D18" t="s">
        <v>9</v>
      </c>
      <c r="E18" t="s">
        <v>9</v>
      </c>
      <c r="F18" t="s">
        <v>10</v>
      </c>
      <c r="H18" t="s">
        <v>11</v>
      </c>
    </row>
    <row r="19" spans="1:36">
      <c r="B19" t="s">
        <v>12</v>
      </c>
      <c r="C19" t="s">
        <v>4</v>
      </c>
      <c r="D19" t="s">
        <v>13</v>
      </c>
      <c r="E19" t="s">
        <v>12</v>
      </c>
      <c r="F19" t="s">
        <v>14</v>
      </c>
      <c r="H19" t="s">
        <v>15</v>
      </c>
    </row>
    <row r="20" spans="1:36">
      <c r="B20" t="s">
        <v>12</v>
      </c>
      <c r="C20" t="s">
        <v>8</v>
      </c>
      <c r="D20" t="s">
        <v>16</v>
      </c>
      <c r="E20" t="s">
        <v>17</v>
      </c>
      <c r="F20" t="s">
        <v>18</v>
      </c>
      <c r="H20" t="s">
        <v>19</v>
      </c>
    </row>
    <row r="21" spans="1:36">
      <c r="B21" t="s">
        <v>20</v>
      </c>
      <c r="C21" t="s">
        <v>4</v>
      </c>
      <c r="D21" t="s">
        <v>21</v>
      </c>
      <c r="E21" t="s">
        <v>21</v>
      </c>
      <c r="F21" t="s">
        <v>22</v>
      </c>
      <c r="H21" t="s">
        <v>23</v>
      </c>
    </row>
    <row r="22" spans="1:36">
      <c r="B22" t="s">
        <v>20</v>
      </c>
      <c r="C22" t="s">
        <v>8</v>
      </c>
      <c r="D22" t="s">
        <v>24</v>
      </c>
      <c r="E22" t="s">
        <v>24</v>
      </c>
      <c r="F22" t="s">
        <v>25</v>
      </c>
      <c r="H22" t="s">
        <v>26</v>
      </c>
    </row>
    <row r="23" spans="1:36">
      <c r="B23" t="s">
        <v>27</v>
      </c>
      <c r="C23" t="s">
        <v>4</v>
      </c>
      <c r="D23" t="s">
        <v>28</v>
      </c>
      <c r="E23" t="s">
        <v>27</v>
      </c>
      <c r="F23" t="s">
        <v>29</v>
      </c>
      <c r="H23" t="s">
        <v>30</v>
      </c>
    </row>
    <row r="24" spans="1:36">
      <c r="B24" t="s">
        <v>27</v>
      </c>
      <c r="C24" t="s">
        <v>8</v>
      </c>
      <c r="D24" t="s">
        <v>31</v>
      </c>
      <c r="E24" t="s">
        <v>32</v>
      </c>
      <c r="F24" t="s">
        <v>33</v>
      </c>
      <c r="H24" t="s">
        <v>34</v>
      </c>
    </row>
    <row r="25" spans="1:36">
      <c r="B25" t="s">
        <v>35</v>
      </c>
      <c r="C25" t="s">
        <v>36</v>
      </c>
      <c r="D25" t="s">
        <v>35</v>
      </c>
      <c r="E25" t="s">
        <v>35</v>
      </c>
      <c r="F25" t="s">
        <v>37</v>
      </c>
      <c r="H25" t="s">
        <v>38</v>
      </c>
    </row>
    <row r="26" spans="1:36">
      <c r="B26" s="254" t="s">
        <v>39</v>
      </c>
      <c r="C26" t="s">
        <v>40</v>
      </c>
    </row>
    <row r="27" spans="1:36">
      <c r="A27" s="36" t="str">
        <f ca="1">_xlfn.UNICHAR(CELL("spalte",A30)+64)</f>
        <v>A</v>
      </c>
      <c r="B27" s="254" t="s">
        <v>41</v>
      </c>
      <c r="C27" t="s">
        <v>42</v>
      </c>
    </row>
    <row r="28" spans="1:36">
      <c r="A28" s="36" t="str">
        <f ca="1">_xlfn.UNICHAR(CELL("spalte",D30)+64)</f>
        <v>D</v>
      </c>
      <c r="B28" s="194" t="s">
        <v>43</v>
      </c>
      <c r="C28" s="194" t="s">
        <v>44</v>
      </c>
      <c r="D28" s="194" t="s">
        <v>45</v>
      </c>
      <c r="E28" s="194" t="s">
        <v>46</v>
      </c>
      <c r="F28" s="194" t="s">
        <v>47</v>
      </c>
      <c r="G28" s="194" t="s">
        <v>48</v>
      </c>
      <c r="H28" s="194" t="s">
        <v>49</v>
      </c>
      <c r="I28" s="194" t="s">
        <v>50</v>
      </c>
      <c r="J28" s="194" t="s">
        <v>51</v>
      </c>
      <c r="K28" s="194"/>
      <c r="L28" s="36" t="s">
        <v>52</v>
      </c>
    </row>
    <row r="29" spans="1:36">
      <c r="A29" s="36">
        <f ca="1">CELL("zeile",D30)</f>
        <v>30</v>
      </c>
      <c r="B29" s="36"/>
      <c r="C29" s="36"/>
      <c r="D29" s="233" t="str">
        <f>'KPIs IDL'!AA61</f>
        <v>Payment</v>
      </c>
      <c r="E29" s="36">
        <v>1</v>
      </c>
      <c r="F29" s="36"/>
      <c r="G29" s="36"/>
      <c r="H29" s="36"/>
      <c r="I29" s="36"/>
      <c r="J29" s="36">
        <f ca="1">ROUND(MAX(E30:E41)+4*MAX(F30:F41),)+10</f>
        <v>57</v>
      </c>
      <c r="L29" s="36">
        <v>1</v>
      </c>
    </row>
    <row r="30" spans="1:36">
      <c r="A30" s="238" t="s">
        <v>53</v>
      </c>
      <c r="B30" s="240">
        <f>IFERROR(_xlfn.STDEV.P(D26:D29),0)</f>
        <v>0</v>
      </c>
      <c r="C30" s="241">
        <f ca="1">IFERROR(AVERAGE(D26:D29),D30)</f>
        <v>18</v>
      </c>
      <c r="D30" s="308">
        <f ca="1">'KPIs IDL'!AA62</f>
        <v>18</v>
      </c>
      <c r="E30" s="241">
        <f t="shared" ref="E30:E33" ca="1" si="16">IF(C30-2*B30&lt;=$E$29,$E$29,C30-2*B30)</f>
        <v>18</v>
      </c>
      <c r="F30" s="241">
        <f t="shared" ref="F30:F33" ca="1" si="17">IF(C30-2*B30&lt;=$E$29,$B30-($E$29-(C30-2*B30)),$B30)</f>
        <v>0</v>
      </c>
      <c r="G30" s="241">
        <f t="shared" ref="G30:I40" si="18">$B30</f>
        <v>0</v>
      </c>
      <c r="H30" s="241">
        <f t="shared" si="18"/>
        <v>0</v>
      </c>
      <c r="I30" s="241">
        <f t="shared" si="18"/>
        <v>0</v>
      </c>
      <c r="J30" s="310">
        <f ca="1">J$29-SUM(E30:I30)</f>
        <v>39</v>
      </c>
      <c r="L30" s="36">
        <f ca="1">MROUND(C30-B30,$L$29)</f>
        <v>18</v>
      </c>
      <c r="AB30" s="287"/>
      <c r="AC30" s="263"/>
      <c r="AD30" s="263"/>
      <c r="AE30" s="263"/>
      <c r="AF30" s="263"/>
      <c r="AG30" s="263"/>
      <c r="AH30" s="263"/>
      <c r="AI30" s="263"/>
      <c r="AJ30" s="263"/>
    </row>
    <row r="31" spans="1:36">
      <c r="A31" s="238" t="s">
        <v>54</v>
      </c>
      <c r="B31" s="240">
        <f t="shared" ref="B31:B40" ca="1" si="19">IFERROR(_xlfn.STDEV.P(D27:D30),0)</f>
        <v>0</v>
      </c>
      <c r="C31" s="241">
        <f t="shared" ref="C31:C40" ca="1" si="20">IFERROR(AVERAGE(D27:D30),D31)</f>
        <v>18</v>
      </c>
      <c r="D31" s="308">
        <f ca="1">'KPIs IDL'!AA63</f>
        <v>23</v>
      </c>
      <c r="E31" s="241">
        <f t="shared" ca="1" si="16"/>
        <v>18</v>
      </c>
      <c r="F31" s="241">
        <f t="shared" ca="1" si="17"/>
        <v>0</v>
      </c>
      <c r="G31" s="241">
        <f t="shared" ca="1" si="18"/>
        <v>0</v>
      </c>
      <c r="H31" s="241">
        <f t="shared" ca="1" si="18"/>
        <v>0</v>
      </c>
      <c r="I31" s="241">
        <f t="shared" ca="1" si="18"/>
        <v>0</v>
      </c>
      <c r="J31" s="310">
        <f t="shared" ref="J31:J36" ca="1" si="21">J$29-SUM(E31:I31)</f>
        <v>39</v>
      </c>
      <c r="L31" s="36">
        <f t="shared" ref="L31:L40" ca="1" si="22">MROUND(C31-B31,$L$29)</f>
        <v>18</v>
      </c>
      <c r="AB31" s="287"/>
      <c r="AC31" s="263"/>
      <c r="AD31" s="263"/>
      <c r="AE31" s="263"/>
      <c r="AF31" s="263"/>
      <c r="AG31" s="263"/>
      <c r="AH31" s="263"/>
      <c r="AI31" s="263"/>
      <c r="AJ31" s="263"/>
    </row>
    <row r="32" spans="1:36">
      <c r="A32" s="238" t="s">
        <v>55</v>
      </c>
      <c r="B32" s="240">
        <f t="shared" ca="1" si="19"/>
        <v>2.5</v>
      </c>
      <c r="C32" s="241">
        <f t="shared" ca="1" si="20"/>
        <v>20.5</v>
      </c>
      <c r="D32" s="308">
        <f ca="1">'KPIs IDL'!AA64</f>
        <v>30</v>
      </c>
      <c r="E32" s="241">
        <f t="shared" ca="1" si="16"/>
        <v>15.5</v>
      </c>
      <c r="F32" s="241">
        <f t="shared" ca="1" si="17"/>
        <v>2.5</v>
      </c>
      <c r="G32" s="241">
        <f t="shared" ca="1" si="18"/>
        <v>2.5</v>
      </c>
      <c r="H32" s="241">
        <f t="shared" ca="1" si="18"/>
        <v>2.5</v>
      </c>
      <c r="I32" s="241">
        <f t="shared" ca="1" si="18"/>
        <v>2.5</v>
      </c>
      <c r="J32" s="310">
        <f t="shared" ca="1" si="21"/>
        <v>31.5</v>
      </c>
      <c r="K32" s="263"/>
      <c r="L32" s="36">
        <f t="shared" ca="1" si="22"/>
        <v>18</v>
      </c>
      <c r="AB32" s="287"/>
      <c r="AC32" s="263"/>
      <c r="AD32" s="263"/>
      <c r="AE32" s="263"/>
      <c r="AF32" s="263"/>
      <c r="AG32" s="263"/>
      <c r="AH32" s="263"/>
      <c r="AI32" s="263"/>
      <c r="AJ32" s="263"/>
    </row>
    <row r="33" spans="1:36">
      <c r="A33" s="238" t="s">
        <v>56</v>
      </c>
      <c r="B33" s="240">
        <f t="shared" ca="1" si="19"/>
        <v>4.9216076867444665</v>
      </c>
      <c r="C33" s="241">
        <f t="shared" ca="1" si="20"/>
        <v>23.666666666666668</v>
      </c>
      <c r="D33" s="308">
        <f ca="1">'KPIs IDL'!AA65</f>
        <v>27</v>
      </c>
      <c r="E33" s="241">
        <f t="shared" ca="1" si="16"/>
        <v>13.823451293177735</v>
      </c>
      <c r="F33" s="241">
        <f t="shared" ca="1" si="17"/>
        <v>4.9216076867444665</v>
      </c>
      <c r="G33" s="241">
        <f t="shared" ca="1" si="18"/>
        <v>4.9216076867444665</v>
      </c>
      <c r="H33" s="241">
        <f t="shared" ca="1" si="18"/>
        <v>4.9216076867444665</v>
      </c>
      <c r="I33" s="241">
        <f t="shared" ca="1" si="18"/>
        <v>4.9216076867444665</v>
      </c>
      <c r="J33" s="310">
        <f t="shared" ca="1" si="21"/>
        <v>23.490117959844397</v>
      </c>
      <c r="K33" s="263"/>
      <c r="L33" s="36">
        <f t="shared" ca="1" si="22"/>
        <v>19</v>
      </c>
      <c r="AB33" s="287"/>
      <c r="AC33" s="263"/>
      <c r="AD33" s="263"/>
      <c r="AE33" s="263"/>
      <c r="AF33" s="263"/>
      <c r="AG33" s="263"/>
      <c r="AH33" s="263"/>
      <c r="AI33" s="263"/>
      <c r="AJ33" s="263"/>
    </row>
    <row r="34" spans="1:36">
      <c r="A34" s="238" t="s">
        <v>57</v>
      </c>
      <c r="B34" s="240">
        <f t="shared" ca="1" si="19"/>
        <v>4.5</v>
      </c>
      <c r="C34" s="241">
        <f t="shared" ca="1" si="20"/>
        <v>24.5</v>
      </c>
      <c r="D34" s="308">
        <f ca="1">'KPIs IDL'!AA66</f>
        <v>31</v>
      </c>
      <c r="E34" s="241">
        <f t="shared" ref="E34:E40" ca="1" si="23">IF(C34-2*B34&lt;=$E$29,$E$29,C34-2*B34)</f>
        <v>15.5</v>
      </c>
      <c r="F34" s="241">
        <f t="shared" ref="F34:F40" ca="1" si="24">IF(C34-2*B34&lt;=$E$29,$B34-($E$29-(C34-2*B34)),$B34)</f>
        <v>4.5</v>
      </c>
      <c r="G34" s="241">
        <f t="shared" ca="1" si="18"/>
        <v>4.5</v>
      </c>
      <c r="H34" s="241">
        <f t="shared" ca="1" si="18"/>
        <v>4.5</v>
      </c>
      <c r="I34" s="241">
        <f t="shared" ca="1" si="18"/>
        <v>4.5</v>
      </c>
      <c r="J34" s="310">
        <f t="shared" ca="1" si="21"/>
        <v>23.5</v>
      </c>
      <c r="K34" s="263"/>
      <c r="L34" s="36">
        <f t="shared" ca="1" si="22"/>
        <v>20</v>
      </c>
      <c r="AB34" s="287"/>
      <c r="AC34" s="263"/>
      <c r="AD34" s="263"/>
      <c r="AE34" s="263"/>
      <c r="AF34" s="263"/>
      <c r="AG34" s="263"/>
      <c r="AH34" s="263"/>
      <c r="AI34" s="263"/>
      <c r="AJ34" s="263"/>
    </row>
    <row r="35" spans="1:36">
      <c r="A35" s="238" t="s">
        <v>58</v>
      </c>
      <c r="B35" s="240">
        <f t="shared" ca="1" si="19"/>
        <v>3.1124748994971831</v>
      </c>
      <c r="C35" s="241">
        <f t="shared" ca="1" si="20"/>
        <v>27.75</v>
      </c>
      <c r="D35" s="308">
        <f ca="1">'KPIs IDL'!AA67</f>
        <v>34</v>
      </c>
      <c r="E35" s="241">
        <f t="shared" ca="1" si="23"/>
        <v>21.525050201005634</v>
      </c>
      <c r="F35" s="241">
        <f t="shared" ca="1" si="24"/>
        <v>3.1124748994971831</v>
      </c>
      <c r="G35" s="241">
        <f t="shared" ca="1" si="18"/>
        <v>3.1124748994971831</v>
      </c>
      <c r="H35" s="241">
        <f t="shared" ca="1" si="18"/>
        <v>3.1124748994971831</v>
      </c>
      <c r="I35" s="241">
        <f t="shared" ca="1" si="18"/>
        <v>3.1124748994971831</v>
      </c>
      <c r="J35" s="310">
        <f t="shared" ca="1" si="21"/>
        <v>23.025050201005634</v>
      </c>
      <c r="K35" s="263"/>
      <c r="L35" s="36">
        <f t="shared" ca="1" si="22"/>
        <v>25</v>
      </c>
      <c r="AB35" s="287"/>
      <c r="AC35" s="263"/>
      <c r="AD35" s="263"/>
      <c r="AE35" s="263"/>
      <c r="AF35" s="263"/>
      <c r="AG35" s="263"/>
      <c r="AH35" s="263"/>
      <c r="AI35" s="263"/>
      <c r="AJ35" s="263"/>
    </row>
    <row r="36" spans="1:36">
      <c r="A36" s="238" t="s">
        <v>59</v>
      </c>
      <c r="B36" s="240">
        <f t="shared" ca="1" si="19"/>
        <v>2.5</v>
      </c>
      <c r="C36" s="241">
        <f t="shared" ca="1" si="20"/>
        <v>30.5</v>
      </c>
      <c r="D36" s="308">
        <f ca="1">'KPIs IDL'!AA68</f>
        <v>20</v>
      </c>
      <c r="E36" s="241">
        <f t="shared" ca="1" si="23"/>
        <v>25.5</v>
      </c>
      <c r="F36" s="241">
        <f t="shared" ca="1" si="24"/>
        <v>2.5</v>
      </c>
      <c r="G36" s="241">
        <f t="shared" ca="1" si="18"/>
        <v>2.5</v>
      </c>
      <c r="H36" s="241">
        <f t="shared" ca="1" si="18"/>
        <v>2.5</v>
      </c>
      <c r="I36" s="241">
        <f t="shared" ca="1" si="18"/>
        <v>2.5</v>
      </c>
      <c r="J36" s="310">
        <f t="shared" ca="1" si="21"/>
        <v>21.5</v>
      </c>
      <c r="K36" s="263"/>
      <c r="L36" s="36">
        <f t="shared" ca="1" si="22"/>
        <v>28</v>
      </c>
      <c r="AB36" s="287"/>
      <c r="AC36" s="263"/>
      <c r="AD36" s="263"/>
      <c r="AE36" s="263"/>
      <c r="AF36" s="263"/>
      <c r="AG36" s="263"/>
      <c r="AH36" s="263"/>
      <c r="AI36" s="263"/>
      <c r="AJ36" s="263"/>
    </row>
    <row r="37" spans="1:36">
      <c r="A37" s="238" t="s">
        <v>60</v>
      </c>
      <c r="B37" s="240">
        <f t="shared" ca="1" si="19"/>
        <v>5.2440442408507577</v>
      </c>
      <c r="C37" s="241">
        <f t="shared" ca="1" si="20"/>
        <v>28</v>
      </c>
      <c r="D37" s="308">
        <f ca="1">'KPIs IDL'!AA69</f>
        <v>26</v>
      </c>
      <c r="E37" s="241">
        <f t="shared" ca="1" si="23"/>
        <v>17.511911518298483</v>
      </c>
      <c r="F37" s="241">
        <f t="shared" ca="1" si="24"/>
        <v>5.2440442408507577</v>
      </c>
      <c r="G37" s="241">
        <f t="shared" ca="1" si="18"/>
        <v>5.2440442408507577</v>
      </c>
      <c r="H37" s="241">
        <f t="shared" ca="1" si="18"/>
        <v>5.2440442408507577</v>
      </c>
      <c r="I37" s="241">
        <f t="shared" ca="1" si="18"/>
        <v>5.2440442408507577</v>
      </c>
      <c r="J37" s="310">
        <f t="shared" ref="J37:J40" ca="1" si="25">J$29-SUM(E37:I37)</f>
        <v>18.51191151829849</v>
      </c>
      <c r="K37" s="263"/>
      <c r="L37" s="36">
        <f t="shared" ca="1" si="22"/>
        <v>23</v>
      </c>
      <c r="AB37" s="287"/>
      <c r="AC37" s="263"/>
      <c r="AD37" s="263"/>
      <c r="AE37" s="263"/>
      <c r="AF37" s="263"/>
      <c r="AG37" s="263"/>
      <c r="AH37" s="263"/>
      <c r="AI37" s="263"/>
      <c r="AJ37" s="263"/>
    </row>
    <row r="38" spans="1:36">
      <c r="A38" s="238" t="s">
        <v>61</v>
      </c>
      <c r="B38" s="240">
        <f t="shared" ca="1" si="19"/>
        <v>5.3091901453988255</v>
      </c>
      <c r="C38" s="241">
        <f t="shared" ca="1" si="20"/>
        <v>27.75</v>
      </c>
      <c r="D38" s="308">
        <f ca="1">'KPIs IDL'!AA70</f>
        <v>26</v>
      </c>
      <c r="E38" s="241">
        <f t="shared" ca="1" si="23"/>
        <v>17.131619709202347</v>
      </c>
      <c r="F38" s="241">
        <f t="shared" ca="1" si="24"/>
        <v>5.3091901453988255</v>
      </c>
      <c r="G38" s="241">
        <f t="shared" ca="1" si="18"/>
        <v>5.3091901453988255</v>
      </c>
      <c r="H38" s="241">
        <f t="shared" ca="1" si="18"/>
        <v>5.3091901453988255</v>
      </c>
      <c r="I38" s="241">
        <f t="shared" ca="1" si="18"/>
        <v>5.3091901453988255</v>
      </c>
      <c r="J38" s="310">
        <f t="shared" ca="1" si="25"/>
        <v>18.631619709202354</v>
      </c>
      <c r="K38" s="263"/>
      <c r="L38" s="36">
        <f t="shared" ca="1" si="22"/>
        <v>22</v>
      </c>
      <c r="AB38" s="287"/>
      <c r="AC38" s="263"/>
      <c r="AD38" s="263"/>
      <c r="AE38" s="263"/>
      <c r="AF38" s="263"/>
      <c r="AG38" s="263"/>
      <c r="AH38" s="263"/>
      <c r="AI38" s="263"/>
      <c r="AJ38" s="263"/>
    </row>
    <row r="39" spans="1:36">
      <c r="A39" s="238" t="s">
        <v>62</v>
      </c>
      <c r="B39" s="240">
        <f t="shared" ca="1" si="19"/>
        <v>4.9749371855330997</v>
      </c>
      <c r="C39" s="241">
        <f t="shared" ca="1" si="20"/>
        <v>26.5</v>
      </c>
      <c r="D39" s="277">
        <f t="shared" ref="D39:D40" ca="1" si="26">TREND(D33:D38,,7)</f>
        <v>23.93333333333333</v>
      </c>
      <c r="E39" s="241">
        <f t="shared" ca="1" si="23"/>
        <v>16.550125628933799</v>
      </c>
      <c r="F39" s="241">
        <f t="shared" ca="1" si="24"/>
        <v>4.9749371855330997</v>
      </c>
      <c r="G39" s="241">
        <f t="shared" ca="1" si="18"/>
        <v>4.9749371855330997</v>
      </c>
      <c r="H39" s="241">
        <f t="shared" ca="1" si="18"/>
        <v>4.9749371855330997</v>
      </c>
      <c r="I39" s="241">
        <f t="shared" ca="1" si="18"/>
        <v>4.9749371855330997</v>
      </c>
      <c r="J39" s="310">
        <f t="shared" ca="1" si="25"/>
        <v>20.550125628933799</v>
      </c>
      <c r="K39" s="263"/>
      <c r="L39" s="36">
        <f t="shared" ca="1" si="22"/>
        <v>22</v>
      </c>
      <c r="AB39" s="287"/>
      <c r="AC39" s="263"/>
      <c r="AD39" s="263"/>
      <c r="AE39" s="263"/>
      <c r="AF39" s="263"/>
      <c r="AG39" s="263"/>
      <c r="AH39" s="263"/>
      <c r="AI39" s="263"/>
      <c r="AJ39" s="263"/>
    </row>
    <row r="40" spans="1:36">
      <c r="A40" s="238" t="s">
        <v>63</v>
      </c>
      <c r="B40" s="240">
        <f t="shared" ca="1" si="19"/>
        <v>2.449659840331543</v>
      </c>
      <c r="C40" s="241">
        <f t="shared" ca="1" si="20"/>
        <v>23.983333333333334</v>
      </c>
      <c r="D40" s="277">
        <f t="shared" ca="1" si="26"/>
        <v>21.488888888888887</v>
      </c>
      <c r="E40" s="241">
        <f t="shared" ca="1" si="23"/>
        <v>19.084013652670247</v>
      </c>
      <c r="F40" s="241">
        <f t="shared" ca="1" si="24"/>
        <v>2.449659840331543</v>
      </c>
      <c r="G40" s="241">
        <f t="shared" ca="1" si="18"/>
        <v>2.449659840331543</v>
      </c>
      <c r="H40" s="241">
        <f t="shared" ca="1" si="18"/>
        <v>2.449659840331543</v>
      </c>
      <c r="I40" s="241">
        <f t="shared" ca="1" si="18"/>
        <v>2.449659840331543</v>
      </c>
      <c r="J40" s="310">
        <f t="shared" ca="1" si="25"/>
        <v>28.117346986003586</v>
      </c>
      <c r="K40" s="263"/>
      <c r="L40" s="36">
        <f t="shared" ca="1" si="22"/>
        <v>22</v>
      </c>
      <c r="AB40" s="287"/>
      <c r="AC40" s="263"/>
      <c r="AD40" s="263"/>
      <c r="AE40" s="263"/>
      <c r="AF40" s="263"/>
      <c r="AG40" s="263"/>
      <c r="AH40" s="263"/>
      <c r="AI40" s="263"/>
      <c r="AJ40" s="263"/>
    </row>
    <row r="41" spans="1:36">
      <c r="A41" s="238"/>
      <c r="B41" s="240"/>
      <c r="C41" s="241"/>
      <c r="D41" s="277"/>
      <c r="E41" s="241"/>
      <c r="F41" s="241"/>
      <c r="G41" s="241"/>
      <c r="H41" s="241"/>
      <c r="I41" s="241"/>
      <c r="J41" s="310"/>
      <c r="K41" s="263"/>
      <c r="L41" s="36"/>
      <c r="AB41" s="287"/>
      <c r="AC41" s="263"/>
      <c r="AD41" s="263"/>
      <c r="AE41" s="263"/>
      <c r="AF41" s="263"/>
      <c r="AG41" s="263"/>
      <c r="AH41" s="263"/>
      <c r="AI41" s="263"/>
      <c r="AJ41" s="263"/>
    </row>
    <row r="42" spans="1:36">
      <c r="A42" s="238"/>
      <c r="B42" s="240"/>
      <c r="C42" s="241"/>
      <c r="D42" s="277"/>
      <c r="E42" s="241"/>
      <c r="F42" s="241"/>
      <c r="G42" s="241"/>
      <c r="H42" s="241"/>
      <c r="I42" s="241"/>
      <c r="J42" s="310"/>
      <c r="K42" s="263"/>
      <c r="L42" s="36"/>
      <c r="AB42" s="287"/>
      <c r="AC42" s="263"/>
      <c r="AD42" s="263"/>
      <c r="AE42" s="263"/>
      <c r="AF42" s="263"/>
      <c r="AG42" s="263"/>
      <c r="AH42" s="263"/>
      <c r="AI42" s="263"/>
      <c r="AJ42" s="263"/>
    </row>
    <row r="43" spans="1:36">
      <c r="A43" s="238"/>
      <c r="B43" s="240"/>
      <c r="C43" s="241"/>
      <c r="D43" s="277"/>
      <c r="E43" s="241"/>
      <c r="F43" s="241"/>
      <c r="G43" s="241"/>
      <c r="H43" s="241"/>
      <c r="I43" s="241"/>
      <c r="J43" s="310"/>
      <c r="K43" s="263"/>
      <c r="L43" s="36"/>
      <c r="AB43" s="287"/>
      <c r="AC43" s="263"/>
      <c r="AD43" s="263"/>
      <c r="AE43" s="263"/>
      <c r="AF43" s="263"/>
      <c r="AG43" s="263"/>
      <c r="AH43" s="263"/>
      <c r="AI43" s="263"/>
      <c r="AJ43" s="263"/>
    </row>
    <row r="44" spans="1:36">
      <c r="A44" s="238"/>
      <c r="B44" s="240"/>
      <c r="C44" s="241"/>
      <c r="D44" s="277"/>
      <c r="E44" s="241"/>
      <c r="F44" s="241"/>
      <c r="G44" s="241"/>
      <c r="H44" s="241"/>
      <c r="I44" s="241"/>
      <c r="J44" s="310"/>
      <c r="K44" s="263"/>
      <c r="L44" s="36"/>
      <c r="AB44" s="287"/>
      <c r="AC44" s="263"/>
      <c r="AD44" s="263"/>
      <c r="AE44" s="263"/>
      <c r="AF44" s="263"/>
      <c r="AG44" s="263"/>
      <c r="AH44" s="263"/>
      <c r="AI44" s="263"/>
      <c r="AJ44" s="263"/>
    </row>
    <row r="45" spans="1:36">
      <c r="A45" s="238"/>
      <c r="B45" s="240"/>
      <c r="C45" s="241"/>
      <c r="D45" s="277"/>
      <c r="E45" s="241"/>
      <c r="F45" s="241"/>
      <c r="G45" s="241"/>
      <c r="H45" s="241"/>
      <c r="I45" s="241"/>
      <c r="J45" s="310"/>
      <c r="K45" s="263"/>
      <c r="L45" s="36"/>
      <c r="AB45" s="287"/>
      <c r="AC45" s="263"/>
      <c r="AD45" s="263"/>
      <c r="AE45" s="263"/>
      <c r="AF45" s="263"/>
      <c r="AG45" s="263"/>
      <c r="AH45" s="263"/>
      <c r="AI45" s="263"/>
      <c r="AJ45" s="263"/>
    </row>
    <row r="52" spans="1:10">
      <c r="B52" s="254" t="s">
        <v>64</v>
      </c>
      <c r="C52" t="s">
        <v>65</v>
      </c>
    </row>
    <row r="53" spans="1:10">
      <c r="A53" t="s">
        <v>66</v>
      </c>
      <c r="B53" s="194" t="s">
        <v>67</v>
      </c>
      <c r="C53" t="s">
        <v>68</v>
      </c>
      <c r="D53" s="194" t="s">
        <v>69</v>
      </c>
      <c r="E53" s="194" t="s">
        <v>70</v>
      </c>
      <c r="F53" s="194" t="s">
        <v>71</v>
      </c>
      <c r="G53" s="194" t="s">
        <v>72</v>
      </c>
      <c r="H53" s="194" t="s">
        <v>73</v>
      </c>
      <c r="I53" s="36" t="s">
        <v>74</v>
      </c>
      <c r="J53" t="s">
        <v>75</v>
      </c>
    </row>
    <row r="54" spans="1:10">
      <c r="B54" s="259"/>
      <c r="C54" s="36">
        <v>2</v>
      </c>
      <c r="D54" s="36"/>
      <c r="E54" s="91"/>
      <c r="F54" s="233" t="str">
        <f>'KPIs HIL'!C81</f>
        <v>Payment</v>
      </c>
      <c r="I54" s="36"/>
    </row>
    <row r="55" spans="1:10">
      <c r="A55" s="238" t="str">
        <f>A30</f>
        <v>Sprint 4_4+5</v>
      </c>
      <c r="B55" s="240">
        <f t="shared" ref="B55:B65" ca="1" si="27">_xlfn.STDEV.P(F50:F55)</f>
        <v>0</v>
      </c>
      <c r="C55" s="262">
        <f ca="1">((E55-B55)/E55)^(1/$C$54)</f>
        <v>1</v>
      </c>
      <c r="D55" s="260">
        <f t="shared" ref="D55:D57" ca="1" si="28">C55*E55</f>
        <v>17</v>
      </c>
      <c r="E55" s="241">
        <f t="shared" ref="E55:E65" ca="1" si="29">AVERAGE(F50:F55)</f>
        <v>17</v>
      </c>
      <c r="F55" s="308">
        <f ca="1">'KPIs HIL'!C82</f>
        <v>17</v>
      </c>
      <c r="G55" s="300">
        <f ca="1">(F55-J55)/I55</f>
        <v>17</v>
      </c>
      <c r="H55" s="241">
        <f t="shared" ref="H55:H57" ca="1" si="30">MEDIAN(F53:F55)</f>
        <v>17</v>
      </c>
      <c r="I55" s="261">
        <v>1</v>
      </c>
      <c r="J55" s="299">
        <v>0</v>
      </c>
    </row>
    <row r="56" spans="1:10">
      <c r="A56" s="238" t="str">
        <f t="shared" ref="A56:A65" si="31">A31</f>
        <v>Sprint 4_6/7+8</v>
      </c>
      <c r="B56" s="240">
        <f t="shared" ca="1" si="27"/>
        <v>6</v>
      </c>
      <c r="C56" s="262">
        <f t="shared" ref="C56:C65" ca="1" si="32">((E56-B56)/E56)^(1/$C$54)</f>
        <v>0.85972695362109508</v>
      </c>
      <c r="D56" s="260">
        <f t="shared" ca="1" si="28"/>
        <v>19.773719933285186</v>
      </c>
      <c r="E56" s="241">
        <f t="shared" ca="1" si="29"/>
        <v>23</v>
      </c>
      <c r="F56" s="308">
        <f ca="1">'KPIs HIL'!C83</f>
        <v>29</v>
      </c>
      <c r="G56" s="300">
        <f t="shared" ref="G56:G65" ca="1" si="33">(F56-J56)/I56</f>
        <v>21.568520567261288</v>
      </c>
      <c r="H56" s="241">
        <f t="shared" ca="1" si="30"/>
        <v>23</v>
      </c>
      <c r="I56" s="261">
        <v>0.89636807833168086</v>
      </c>
      <c r="J56" s="299">
        <v>9.6666666666666661</v>
      </c>
    </row>
    <row r="57" spans="1:10">
      <c r="A57" s="238" t="str">
        <f t="shared" si="31"/>
        <v>Sprint 1_1+2</v>
      </c>
      <c r="B57" s="240">
        <f t="shared" ca="1" si="27"/>
        <v>9.3926685357369148</v>
      </c>
      <c r="C57" s="262">
        <f t="shared" ca="1" si="32"/>
        <v>0.81996876282525388</v>
      </c>
      <c r="D57" s="260">
        <f t="shared" ca="1" si="28"/>
        <v>23.505771200990612</v>
      </c>
      <c r="E57" s="241">
        <f t="shared" ca="1" si="29"/>
        <v>28.666666666666668</v>
      </c>
      <c r="F57" s="308">
        <f ca="1">'KPIs HIL'!C84</f>
        <v>40</v>
      </c>
      <c r="G57" s="300">
        <f t="shared" ca="1" si="33"/>
        <v>29.194441294584585</v>
      </c>
      <c r="H57" s="241">
        <f t="shared" ca="1" si="30"/>
        <v>29</v>
      </c>
      <c r="I57" s="261">
        <v>1.2331114555933567</v>
      </c>
      <c r="J57" s="299">
        <v>4</v>
      </c>
    </row>
    <row r="58" spans="1:10">
      <c r="A58" s="238" t="str">
        <f t="shared" si="31"/>
        <v>Sprint 1_3+4</v>
      </c>
      <c r="B58" s="240">
        <f t="shared" ca="1" si="27"/>
        <v>8.1355700476364898</v>
      </c>
      <c r="C58" s="262">
        <f t="shared" ca="1" si="32"/>
        <v>0.84677249041108527</v>
      </c>
      <c r="D58" s="260">
        <f t="shared" ref="D58:D65" ca="1" si="34">C58*E58</f>
        <v>24.344709099318703</v>
      </c>
      <c r="E58" s="241">
        <f t="shared" ca="1" si="29"/>
        <v>28.75</v>
      </c>
      <c r="F58" s="308">
        <f ca="1">'KPIs HIL'!C85</f>
        <v>29</v>
      </c>
      <c r="G58" s="300">
        <f t="shared" ca="1" si="33"/>
        <v>24.43625919941066</v>
      </c>
      <c r="H58" s="241">
        <f t="shared" ref="H58:H65" ca="1" si="35">MEDIAN(F56:F58)</f>
        <v>29</v>
      </c>
      <c r="I58" s="261">
        <v>1.1867610244001425</v>
      </c>
      <c r="J58" s="299">
        <v>0</v>
      </c>
    </row>
    <row r="59" spans="1:10">
      <c r="A59" s="238" t="str">
        <f t="shared" si="31"/>
        <v>Sprint 1_5+6</v>
      </c>
      <c r="B59" s="240">
        <f t="shared" ca="1" si="27"/>
        <v>11.808471535300409</v>
      </c>
      <c r="C59" s="262">
        <f t="shared" ca="1" si="32"/>
        <v>0.8040229773115305</v>
      </c>
      <c r="D59" s="260">
        <f t="shared" ca="1" si="34"/>
        <v>26.854367442205117</v>
      </c>
      <c r="E59" s="241">
        <f t="shared" ca="1" si="29"/>
        <v>33.4</v>
      </c>
      <c r="F59" s="308">
        <f ca="1">'KPIs HIL'!C86</f>
        <v>52</v>
      </c>
      <c r="G59" s="300">
        <f t="shared" ca="1" si="33"/>
        <v>33.336930009263689</v>
      </c>
      <c r="H59" s="241">
        <f t="shared" ca="1" si="35"/>
        <v>40</v>
      </c>
      <c r="I59" s="261">
        <v>1.1698737702950648</v>
      </c>
      <c r="J59" s="299">
        <v>13</v>
      </c>
    </row>
    <row r="60" spans="1:10">
      <c r="A60" s="238" t="str">
        <f t="shared" si="31"/>
        <v>Sprint 2_1+2</v>
      </c>
      <c r="B60" s="240">
        <f t="shared" ca="1" si="27"/>
        <v>10.816653826391969</v>
      </c>
      <c r="C60" s="262">
        <f t="shared" ca="1" si="32"/>
        <v>0.81989182903688917</v>
      </c>
      <c r="D60" s="260">
        <f t="shared" ca="1" si="34"/>
        <v>27.056430358217344</v>
      </c>
      <c r="E60" s="241">
        <f t="shared" ca="1" si="29"/>
        <v>33</v>
      </c>
      <c r="F60" s="308">
        <f ca="1">'KPIs HIL'!C87</f>
        <v>31</v>
      </c>
      <c r="G60" s="300">
        <f t="shared" ca="1" si="33"/>
        <v>26.446417003683234</v>
      </c>
      <c r="H60" s="241">
        <f t="shared" ca="1" si="35"/>
        <v>31</v>
      </c>
      <c r="I60" s="261">
        <v>0.98311994386154233</v>
      </c>
      <c r="J60" s="299">
        <v>5</v>
      </c>
    </row>
    <row r="61" spans="1:10">
      <c r="A61" s="238" t="str">
        <f t="shared" si="31"/>
        <v>Sprint 2_3/4</v>
      </c>
      <c r="B61" s="240">
        <f t="shared" ca="1" si="27"/>
        <v>9.8938813864372204</v>
      </c>
      <c r="C61" s="262">
        <f t="shared" ca="1" si="32"/>
        <v>0.84031085620520229</v>
      </c>
      <c r="D61" s="260">
        <f t="shared" ca="1" si="34"/>
        <v>28.290465492241808</v>
      </c>
      <c r="E61" s="241">
        <f t="shared" ca="1" si="29"/>
        <v>33.666666666666664</v>
      </c>
      <c r="F61" s="308">
        <f ca="1">'KPIs HIL'!C88</f>
        <v>21</v>
      </c>
      <c r="G61" s="300">
        <f t="shared" ca="1" si="33"/>
        <v>27.07914476637805</v>
      </c>
      <c r="H61" s="241">
        <f t="shared" ca="1" si="35"/>
        <v>31</v>
      </c>
      <c r="I61" s="261">
        <v>0.77550455087023185</v>
      </c>
      <c r="J61" s="299">
        <v>0</v>
      </c>
    </row>
    <row r="62" spans="1:10">
      <c r="A62" s="238" t="str">
        <f t="shared" si="31"/>
        <v>Sprint 2_5/6</v>
      </c>
      <c r="B62" s="240">
        <f t="shared" ca="1" si="27"/>
        <v>10.311805532172013</v>
      </c>
      <c r="C62" s="262">
        <f t="shared" ca="1" si="32"/>
        <v>0.8291688877904404</v>
      </c>
      <c r="D62" s="260">
        <f t="shared" ca="1" si="34"/>
        <v>27.362573297084534</v>
      </c>
      <c r="E62" s="241">
        <f t="shared" ca="1" si="29"/>
        <v>33</v>
      </c>
      <c r="F62" s="308">
        <f ca="1">'KPIs HIL'!C89</f>
        <v>25</v>
      </c>
      <c r="G62" s="300">
        <f t="shared" ca="1" si="33"/>
        <v>29.073936490316179</v>
      </c>
      <c r="H62" s="241">
        <f t="shared" ca="1" si="35"/>
        <v>25</v>
      </c>
      <c r="I62" s="261">
        <v>0.85987668055637712</v>
      </c>
      <c r="J62" s="299">
        <v>0</v>
      </c>
    </row>
    <row r="63" spans="1:10">
      <c r="A63" s="238" t="str">
        <f t="shared" si="31"/>
        <v>Sprint 3_1/2</v>
      </c>
      <c r="B63" s="240">
        <f t="shared" ca="1" si="27"/>
        <v>9.9163165204290102</v>
      </c>
      <c r="C63" s="262">
        <f t="shared" ca="1" si="32"/>
        <v>0.82469316834908046</v>
      </c>
      <c r="D63" s="260">
        <f t="shared" ca="1" si="34"/>
        <v>25.565488218821493</v>
      </c>
      <c r="E63" s="241">
        <f t="shared" ca="1" si="29"/>
        <v>31</v>
      </c>
      <c r="F63" s="308">
        <f ca="1">'KPIs HIL'!C90</f>
        <v>28</v>
      </c>
      <c r="G63" s="300">
        <f t="shared" ca="1" si="33"/>
        <v>27.083678375781304</v>
      </c>
      <c r="H63" s="241">
        <f t="shared" ca="1" si="35"/>
        <v>25</v>
      </c>
      <c r="I63" s="261">
        <v>1.0338329827841291</v>
      </c>
      <c r="J63" s="299"/>
    </row>
    <row r="64" spans="1:10">
      <c r="A64" s="238" t="str">
        <f t="shared" si="31"/>
        <v>Sprint 3_3/4</v>
      </c>
      <c r="B64" s="240">
        <f t="shared" ca="1" si="27"/>
        <v>9.9233170977361311</v>
      </c>
      <c r="C64" s="262">
        <f t="shared" ca="1" si="32"/>
        <v>0.82962205933042832</v>
      </c>
      <c r="D64" s="260">
        <f t="shared" ca="1" si="34"/>
        <v>26.409635555351969</v>
      </c>
      <c r="E64" s="241">
        <f t="shared" ca="1" si="29"/>
        <v>31.833333333333332</v>
      </c>
      <c r="F64" s="277">
        <f t="shared" ref="F64:F65" ca="1" si="36">ROUND(G58*I64,)</f>
        <v>34</v>
      </c>
      <c r="G64" s="300">
        <f t="shared" ca="1" si="33"/>
        <v>24.454126989646461</v>
      </c>
      <c r="H64" s="241">
        <f t="shared" ca="1" si="35"/>
        <v>28</v>
      </c>
      <c r="I64" s="261">
        <v>1.3903583642301003</v>
      </c>
      <c r="J64" s="299"/>
    </row>
    <row r="65" spans="1:10">
      <c r="A65" s="238" t="str">
        <f t="shared" si="31"/>
        <v>Sprint 3_5/6</v>
      </c>
      <c r="B65" s="240">
        <f t="shared" ca="1" si="27"/>
        <v>7.9459982940401446</v>
      </c>
      <c r="C65" s="262">
        <f t="shared" ca="1" si="32"/>
        <v>0.86156366405525697</v>
      </c>
      <c r="D65" s="260">
        <f t="shared" ca="1" si="34"/>
        <v>26.564879641703754</v>
      </c>
      <c r="E65" s="241">
        <f t="shared" ca="1" si="29"/>
        <v>30.833333333333332</v>
      </c>
      <c r="F65" s="277">
        <f t="shared" ca="1" si="36"/>
        <v>46</v>
      </c>
      <c r="G65" s="300">
        <f t="shared" ca="1" si="33"/>
        <v>33.084995338933446</v>
      </c>
      <c r="H65" s="241">
        <f t="shared" ca="1" si="35"/>
        <v>34</v>
      </c>
      <c r="I65" s="261">
        <v>1.3903583642301003</v>
      </c>
      <c r="J65" s="299"/>
    </row>
    <row r="66" spans="1:10">
      <c r="A66" s="238"/>
      <c r="B66" s="240"/>
      <c r="C66" s="262"/>
      <c r="D66" s="260"/>
      <c r="E66" s="241"/>
      <c r="F66" s="277"/>
      <c r="G66" s="241"/>
      <c r="H66" s="241"/>
      <c r="I66" s="241"/>
      <c r="J66" s="300"/>
    </row>
    <row r="67" spans="1:10">
      <c r="A67" s="238"/>
      <c r="B67" s="240"/>
      <c r="C67" s="262"/>
      <c r="D67" s="260"/>
      <c r="E67" s="241"/>
      <c r="F67" s="277"/>
      <c r="G67" s="241"/>
      <c r="H67" s="241"/>
      <c r="I67" s="241"/>
      <c r="J67" s="300"/>
    </row>
    <row r="68" spans="1:10">
      <c r="A68" s="238"/>
      <c r="B68" s="240"/>
      <c r="C68" s="262"/>
      <c r="D68" s="260"/>
      <c r="E68" s="241"/>
      <c r="F68" s="277"/>
      <c r="G68" s="241"/>
      <c r="H68" s="241"/>
      <c r="I68" s="241"/>
      <c r="J68" s="300"/>
    </row>
    <row r="69" spans="1:10">
      <c r="A69" s="238"/>
      <c r="B69" s="240"/>
      <c r="C69" s="262"/>
      <c r="D69" s="260"/>
      <c r="E69" s="241"/>
      <c r="F69" s="277"/>
      <c r="G69" s="241"/>
      <c r="H69" s="241"/>
      <c r="I69" s="241"/>
      <c r="J69" s="300"/>
    </row>
    <row r="70" spans="1:10">
      <c r="A70" s="238"/>
      <c r="B70" s="240"/>
      <c r="C70" s="262"/>
      <c r="D70" s="260"/>
      <c r="E70" s="241"/>
      <c r="F70" s="277"/>
      <c r="G70" s="241"/>
      <c r="H70" s="241"/>
      <c r="I70" s="241"/>
      <c r="J70" s="300"/>
    </row>
  </sheetData>
  <phoneticPr fontId="12" type="noConversion"/>
  <pageMargins left="0.7" right="0.7" top="0.78740157499999996" bottom="0.78740157499999996" header="0.3" footer="0.3"/>
  <ignoredErrors>
    <ignoredError sqref="D58:D59 D61 D60" formulaRange="1"/>
    <ignoredError sqref="B5:G14" formula="1"/>
  </ignoredErrors>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02B40-4612-4284-868E-214D887A197F}">
  <sheetPr>
    <outlinePr summaryBelow="0" summaryRight="0"/>
    <pageSetUpPr fitToPage="1"/>
  </sheetPr>
  <dimension ref="A1:AM220"/>
  <sheetViews>
    <sheetView zoomScale="80" zoomScaleNormal="80" workbookViewId="0">
      <selection activeCell="E6" sqref="E6"/>
    </sheetView>
  </sheetViews>
  <sheetFormatPr baseColWidth="10" defaultColWidth="8.85546875" defaultRowHeight="13.5" customHeight="1"/>
  <cols>
    <col min="1" max="1" width="16" style="27" customWidth="1"/>
    <col min="2" max="2" width="72.85546875" style="27" customWidth="1"/>
    <col min="3" max="8" width="15.42578125" style="28" customWidth="1"/>
    <col min="9" max="9" width="19" style="29" customWidth="1"/>
    <col min="10" max="11" width="15.42578125" style="29" customWidth="1"/>
    <col min="12" max="12" width="15.42578125" style="30" customWidth="1"/>
    <col min="13" max="13" width="15.42578125" style="28" customWidth="1"/>
    <col min="14" max="18" width="15.42578125" style="1" customWidth="1"/>
    <col min="19" max="28" width="10.42578125" style="1" customWidth="1"/>
    <col min="29" max="34" width="8.42578125" style="1" customWidth="1"/>
    <col min="35" max="35" width="3.42578125" style="1" customWidth="1"/>
    <col min="36" max="36" width="8.42578125" style="1" customWidth="1"/>
    <col min="37" max="16384" width="8.85546875" style="1"/>
  </cols>
  <sheetData>
    <row r="1" spans="2:22" ht="13.5" customHeight="1">
      <c r="C1" s="417" t="s">
        <v>1505</v>
      </c>
      <c r="D1" s="417"/>
      <c r="E1" s="417"/>
      <c r="F1" s="417"/>
      <c r="G1" s="417"/>
      <c r="H1" s="417"/>
      <c r="I1" s="417"/>
      <c r="J1" s="417"/>
      <c r="K1" s="2"/>
      <c r="L1" s="2"/>
      <c r="M1" s="2"/>
    </row>
    <row r="2" spans="2:22" ht="13.5" customHeight="1">
      <c r="C2" s="1"/>
      <c r="D2" s="1"/>
      <c r="E2" s="2"/>
      <c r="F2" s="2"/>
      <c r="G2" s="2"/>
      <c r="H2" s="2"/>
      <c r="I2" s="2"/>
      <c r="J2" s="1"/>
      <c r="K2" s="2"/>
      <c r="L2" s="2"/>
      <c r="M2" s="1"/>
    </row>
    <row r="3" spans="2:22" ht="13.5" customHeight="1" thickBot="1">
      <c r="C3" s="3" t="s">
        <v>162</v>
      </c>
      <c r="D3" s="66"/>
      <c r="E3" s="10"/>
      <c r="F3" s="10"/>
      <c r="H3" s="418" t="s">
        <v>163</v>
      </c>
      <c r="I3" s="418"/>
      <c r="J3" s="418"/>
      <c r="K3" s="4"/>
      <c r="L3" s="4"/>
      <c r="M3" s="2"/>
    </row>
    <row r="4" spans="2:22" ht="13.5" customHeight="1">
      <c r="C4" s="10"/>
      <c r="D4" s="419" t="s">
        <v>164</v>
      </c>
      <c r="E4" s="420"/>
      <c r="F4" s="421" t="s">
        <v>165</v>
      </c>
      <c r="G4" s="422"/>
      <c r="H4" s="422"/>
      <c r="I4" s="422"/>
      <c r="J4" s="422"/>
      <c r="K4" s="423"/>
      <c r="M4" s="424" t="s">
        <v>1303</v>
      </c>
      <c r="N4" s="424"/>
      <c r="O4" s="424"/>
      <c r="P4" s="424"/>
      <c r="Q4" s="424"/>
      <c r="R4" s="424"/>
    </row>
    <row r="5" spans="2:22" ht="27" customHeight="1">
      <c r="C5" s="63" t="s">
        <v>167</v>
      </c>
      <c r="D5" s="60" t="s">
        <v>171</v>
      </c>
      <c r="E5" s="73" t="str">
        <f>H5</f>
        <v>Completed</v>
      </c>
      <c r="F5" s="60" t="s">
        <v>105</v>
      </c>
      <c r="G5" s="21" t="s">
        <v>106</v>
      </c>
      <c r="H5" s="20" t="s">
        <v>125</v>
      </c>
      <c r="I5" s="20" t="s">
        <v>127</v>
      </c>
      <c r="J5" s="20" t="s">
        <v>126</v>
      </c>
      <c r="K5" s="67" t="s">
        <v>172</v>
      </c>
      <c r="M5" s="21" t="s">
        <v>105</v>
      </c>
      <c r="N5" s="21" t="s">
        <v>106</v>
      </c>
      <c r="O5" s="31" t="s">
        <v>125</v>
      </c>
      <c r="P5" s="31" t="str">
        <f>J5</f>
        <v>Removed</v>
      </c>
      <c r="Q5" s="31" t="s">
        <v>127</v>
      </c>
      <c r="R5" s="39" t="s">
        <v>173</v>
      </c>
    </row>
    <row r="6" spans="2:22" ht="13.5" customHeight="1">
      <c r="B6" s="415" t="s">
        <v>174</v>
      </c>
      <c r="C6" s="59" t="s">
        <v>35</v>
      </c>
      <c r="D6" s="61">
        <f>COUNTIFS(Tabelle132456891011121314[Team],$C6)</f>
        <v>21</v>
      </c>
      <c r="E6" s="74">
        <f>COUNTIFS(Tabelle132456891011121314[Team],$C6,Tabelle132456891011121314[Status],$E$5)</f>
        <v>17</v>
      </c>
      <c r="F6" s="68">
        <f>SUMIFS(Tabelle132456891011121314[Jira Story Points],Tabelle132456891011121314[Pulled after Start],"",Tabelle132456891011121314[Team],$C6)</f>
        <v>38</v>
      </c>
      <c r="G6" s="6">
        <f>SUMIFS(Tabelle132456891011121314[Jira Story Points],Tabelle132456891011121314[Pulled after Start],"yes",Tabelle132456891011121314[Team],$C6)</f>
        <v>14</v>
      </c>
      <c r="H6" s="7">
        <f>SUMIFS(Tabelle132456891011121314[Jira Story Points],Tabelle132456891011121314[Status],$H$5,Tabelle132456891011121314[Team],$C6)</f>
        <v>40</v>
      </c>
      <c r="I6" s="6">
        <f>SUMIFS(Tabelle132456891011121314[Jira Story Points],Tabelle132456891011121314[Status],$I$5,Tabelle132456891011121314[Team],$C6)</f>
        <v>12</v>
      </c>
      <c r="J6" s="6">
        <f>SUMIFS(Tabelle132456891011121314[Jira Story Points],Tabelle132456891011121314[Status],$J$5,Tabelle132456891011121314[Team],$C6)</f>
        <v>0</v>
      </c>
      <c r="K6" s="69">
        <f>SUMIFS(Tabelle132456891011121314[Jira Story Points],Tabelle132456891011121314[Team],$C6)</f>
        <v>52</v>
      </c>
      <c r="M6" s="6">
        <f>SUMIFS(Tabelle132456891011121314[SP Initially Planned (COS)],Tabelle132456891011121314[Pulled after Start],"",Tabelle132456891011121314[Team],$C6)</f>
        <v>38</v>
      </c>
      <c r="N6" s="6">
        <f>SUMIFS(Tabelle132456891011121314[SP Pulled after Start (COS)],Tabelle132456891011121314[Team],$C6)</f>
        <v>14</v>
      </c>
      <c r="O6" s="25">
        <f>SUMIFS(Tabelle132456891011121314[SP Completed (COS &amp; SOS)],Tabelle132456891011121314[Team],$C6)</f>
        <v>40</v>
      </c>
      <c r="P6" s="25">
        <f>SUMIFS(Tabelle132456891011121314[SP Removed (COS &amp; SOS)],Tabelle132456891011121314[Team],$C6)</f>
        <v>0</v>
      </c>
      <c r="Q6" s="41">
        <f>SUMIFS(Tabelle132456891011121314[SP Not Completed (COS &amp; SOS)],Tabelle132456891011121314[Team],$C6)</f>
        <v>12</v>
      </c>
      <c r="R6" s="40">
        <f t="shared" ref="R6:R15" si="0">IFERROR(O6/$M6," ")</f>
        <v>1.0526315789473684</v>
      </c>
      <c r="T6" s="43"/>
    </row>
    <row r="7" spans="2:22" ht="13.5" customHeight="1">
      <c r="B7" s="415"/>
      <c r="C7" s="59" t="s">
        <v>12</v>
      </c>
      <c r="D7" s="61">
        <f>COUNTIFS(Tabelle132456891011121314[Team],$C7)</f>
        <v>11</v>
      </c>
      <c r="E7" s="74">
        <f>COUNTIFS(Tabelle132456891011121314[Team],$C7,Tabelle132456891011121314[Status],$E$5)</f>
        <v>7</v>
      </c>
      <c r="F7" s="68">
        <f>SUMIFS(Tabelle132456891011121314[Jira Story Points],Tabelle132456891011121314[Pulled after Start],"",Tabelle132456891011121314[Team],$C7)</f>
        <v>15</v>
      </c>
      <c r="G7" s="6">
        <f>SUMIFS(Tabelle132456891011121314[Jira Story Points],Tabelle132456891011121314[Pulled after Start],"yes",Tabelle132456891011121314[Team],$C7)</f>
        <v>5</v>
      </c>
      <c r="H7" s="7">
        <f>SUMIFS(Tabelle132456891011121314[Jira Story Points],Tabelle132456891011121314[Status],$H$5,Tabelle132456891011121314[Team],$C7)</f>
        <v>13</v>
      </c>
      <c r="I7" s="6">
        <f>SUMIFS(Tabelle132456891011121314[Jira Story Points],Tabelle132456891011121314[Status],$I$5,Tabelle132456891011121314[Team],$C7)</f>
        <v>7</v>
      </c>
      <c r="J7" s="6">
        <f>SUMIFS(Tabelle132456891011121314[Jira Story Points],Tabelle132456891011121314[Status],$J$5,Tabelle132456891011121314[Team],$C7)</f>
        <v>0</v>
      </c>
      <c r="K7" s="69">
        <f>SUMIFS(Tabelle132456891011121314[Jira Story Points],Tabelle132456891011121314[Team],$C7)</f>
        <v>20</v>
      </c>
      <c r="M7" s="6">
        <f>SUMIFS(Tabelle132456891011121314[SP Initially Planned (COS)],Tabelle132456891011121314[Pulled after Start],"",Tabelle132456891011121314[Team],$C7)</f>
        <v>15</v>
      </c>
      <c r="N7" s="6">
        <f>SUMIFS(Tabelle132456891011121314[SP Pulled after Start (COS)],Tabelle132456891011121314[Team],$C7)</f>
        <v>5</v>
      </c>
      <c r="O7" s="25">
        <f>SUMIFS(Tabelle132456891011121314[SP Completed (COS &amp; SOS)],Tabelle132456891011121314[Team],$C7)</f>
        <v>13</v>
      </c>
      <c r="P7" s="25">
        <f>SUMIFS(Tabelle132456891011121314[SP Removed (COS &amp; SOS)],Tabelle132456891011121314[Team],$C7)</f>
        <v>0</v>
      </c>
      <c r="Q7" s="41">
        <f>SUMIFS(Tabelle132456891011121314[SP Not Completed (COS &amp; SOS)],Tabelle132456891011121314[Team],$C7)</f>
        <v>7</v>
      </c>
      <c r="R7" s="40">
        <f t="shared" si="0"/>
        <v>0.8666666666666667</v>
      </c>
      <c r="T7" s="43"/>
    </row>
    <row r="8" spans="2:22" ht="13.5" customHeight="1">
      <c r="B8" s="415"/>
      <c r="C8" s="59" t="s">
        <v>27</v>
      </c>
      <c r="D8" s="61">
        <f>COUNTIFS(Tabelle132456891011121314[Team],$C8)</f>
        <v>10</v>
      </c>
      <c r="E8" s="74">
        <f>COUNTIFS(Tabelle132456891011121314[Team],$C8,Tabelle132456891011121314[Status],$E$5)</f>
        <v>8</v>
      </c>
      <c r="F8" s="68">
        <f>SUMIFS(Tabelle132456891011121314[Jira Story Points],Tabelle132456891011121314[Pulled after Start],"",Tabelle132456891011121314[Team],$C8)</f>
        <v>39</v>
      </c>
      <c r="G8" s="6">
        <f>SUMIFS(Tabelle132456891011121314[Jira Story Points],Tabelle132456891011121314[Pulled after Start],"yes",Tabelle132456891011121314[Team],$C8)</f>
        <v>8</v>
      </c>
      <c r="H8" s="7">
        <f>SUMIFS(Tabelle132456891011121314[Jira Story Points],Tabelle132456891011121314[Status],$H$5,Tabelle132456891011121314[Team],$C8)</f>
        <v>26</v>
      </c>
      <c r="I8" s="6">
        <f>SUMIFS(Tabelle132456891011121314[Jira Story Points],Tabelle132456891011121314[Status],$I$5,Tabelle132456891011121314[Team],$C8)</f>
        <v>21</v>
      </c>
      <c r="J8" s="6">
        <f>SUMIFS(Tabelle132456891011121314[Jira Story Points],Tabelle132456891011121314[Status],$J$5,Tabelle132456891011121314[Team],$C8)</f>
        <v>0</v>
      </c>
      <c r="K8" s="69">
        <f>SUMIFS(Tabelle132456891011121314[Jira Story Points],Tabelle132456891011121314[Team],$C8)</f>
        <v>47</v>
      </c>
      <c r="M8" s="6">
        <f>SUMIFS(Tabelle132456891011121314[SP Initially Planned (COS)],Tabelle132456891011121314[Pulled after Start],"",Tabelle132456891011121314[Team],$C8)</f>
        <v>39</v>
      </c>
      <c r="N8" s="6">
        <f>SUMIFS(Tabelle132456891011121314[SP Pulled after Start (COS)],Tabelle132456891011121314[Team],$C8)</f>
        <v>8</v>
      </c>
      <c r="O8" s="25">
        <f>SUMIFS(Tabelle132456891011121314[SP Completed (COS &amp; SOS)],Tabelle132456891011121314[Team],$C8)</f>
        <v>37</v>
      </c>
      <c r="P8" s="25">
        <f>SUMIFS(Tabelle132456891011121314[SP Removed (COS &amp; SOS)],Tabelle132456891011121314[Team],$C8)</f>
        <v>0</v>
      </c>
      <c r="Q8" s="41">
        <f>SUMIFS(Tabelle132456891011121314[SP Not Completed (COS &amp; SOS)],Tabelle132456891011121314[Team],$C8)</f>
        <v>10</v>
      </c>
      <c r="R8" s="40">
        <f t="shared" si="0"/>
        <v>0.94871794871794868</v>
      </c>
      <c r="T8" s="43"/>
    </row>
    <row r="9" spans="2:22" ht="13.5" customHeight="1">
      <c r="B9" s="415"/>
      <c r="C9" s="59" t="s">
        <v>5</v>
      </c>
      <c r="D9" s="61">
        <f>COUNTIFS(Tabelle132456891011121314[Team],$C9)</f>
        <v>13</v>
      </c>
      <c r="E9" s="74">
        <f>COUNTIFS(Tabelle132456891011121314[Team],$C9,Tabelle132456891011121314[Status],$E$5)</f>
        <v>11</v>
      </c>
      <c r="F9" s="68">
        <f>SUMIFS(Tabelle132456891011121314[Jira Story Points],Tabelle132456891011121314[Pulled after Start],"",Tabelle132456891011121314[Team],$C9)</f>
        <v>47</v>
      </c>
      <c r="G9" s="6">
        <f>SUMIFS(Tabelle132456891011121314[Jira Story Points],Tabelle132456891011121314[Pulled after Start],"yes",Tabelle132456891011121314[Team],$C9)</f>
        <v>15</v>
      </c>
      <c r="H9" s="7">
        <f>SUMIFS(Tabelle132456891011121314[Jira Story Points],Tabelle132456891011121314[Status],$H$5,Tabelle132456891011121314[Team],$C9)</f>
        <v>44</v>
      </c>
      <c r="I9" s="6">
        <f>SUMIFS(Tabelle132456891011121314[Jira Story Points],Tabelle132456891011121314[Status],$I$5,Tabelle132456891011121314[Team],$C9)</f>
        <v>18</v>
      </c>
      <c r="J9" s="6">
        <f>SUMIFS(Tabelle132456891011121314[Jira Story Points],Tabelle132456891011121314[Status],$J$5,Tabelle132456891011121314[Team],$C9)</f>
        <v>0</v>
      </c>
      <c r="K9" s="69">
        <f>SUMIFS(Tabelle132456891011121314[Jira Story Points],Tabelle132456891011121314[Team],$C9)</f>
        <v>62</v>
      </c>
      <c r="M9" s="6">
        <f>SUMIFS(Tabelle132456891011121314[SP Initially Planned (COS)],Tabelle132456891011121314[Pulled after Start],"",Tabelle132456891011121314[Team],$C9)</f>
        <v>36</v>
      </c>
      <c r="N9" s="6">
        <f>SUMIFS(Tabelle132456891011121314[SP Pulled after Start (COS)],Tabelle132456891011121314[Team],$C9)</f>
        <v>15</v>
      </c>
      <c r="O9" s="25">
        <f>SUMIFS(Tabelle132456891011121314[SP Completed (COS &amp; SOS)],Tabelle132456891011121314[Team],$C9)</f>
        <v>40</v>
      </c>
      <c r="P9" s="25">
        <f>SUMIFS(Tabelle132456891011121314[SP Removed (COS &amp; SOS)],Tabelle132456891011121314[Team],$C9)</f>
        <v>0</v>
      </c>
      <c r="Q9" s="41">
        <f>SUMIFS(Tabelle132456891011121314[SP Not Completed (COS &amp; SOS)],Tabelle132456891011121314[Team],$C9)</f>
        <v>11</v>
      </c>
      <c r="R9" s="40">
        <f t="shared" si="0"/>
        <v>1.1111111111111112</v>
      </c>
      <c r="T9" s="43"/>
    </row>
    <row r="10" spans="2:22" ht="13.5" customHeight="1">
      <c r="B10" s="415"/>
      <c r="C10" s="59" t="s">
        <v>32</v>
      </c>
      <c r="D10" s="61">
        <f>COUNTIFS(Tabelle132456891011121314[Team],$C10)</f>
        <v>11</v>
      </c>
      <c r="E10" s="74">
        <f>COUNTIFS(Tabelle132456891011121314[Team],$C10,Tabelle132456891011121314[Status],$E$5)</f>
        <v>7</v>
      </c>
      <c r="F10" s="68">
        <f>SUMIFS(Tabelle132456891011121314[Jira Story Points],Tabelle132456891011121314[Pulled after Start],"",Tabelle132456891011121314[Team],$C10)</f>
        <v>26</v>
      </c>
      <c r="G10" s="6">
        <f>SUMIFS(Tabelle132456891011121314[Jira Story Points],Tabelle132456891011121314[Pulled after Start],"yes",Tabelle132456891011121314[Team],$C10)</f>
        <v>8</v>
      </c>
      <c r="H10" s="7">
        <f>SUMIFS(Tabelle132456891011121314[Jira Story Points],Tabelle132456891011121314[Status],$H$5,Tabelle132456891011121314[Team],$C10)</f>
        <v>25</v>
      </c>
      <c r="I10" s="6">
        <f>SUMIFS(Tabelle132456891011121314[Jira Story Points],Tabelle132456891011121314[Status],$I$5,Tabelle132456891011121314[Team],$C10)</f>
        <v>9</v>
      </c>
      <c r="J10" s="6">
        <f>SUMIFS(Tabelle132456891011121314[Jira Story Points],Tabelle132456891011121314[Status],$J$5,Tabelle132456891011121314[Team],$C10)</f>
        <v>0</v>
      </c>
      <c r="K10" s="69">
        <f>SUMIFS(Tabelle132456891011121314[Jira Story Points],Tabelle132456891011121314[Team],$C10)</f>
        <v>34</v>
      </c>
      <c r="M10" s="6">
        <f>SUMIFS(Tabelle132456891011121314[SP Initially Planned (COS)],Tabelle132456891011121314[Pulled after Start],"",Tabelle132456891011121314[Team],$C10)</f>
        <v>15</v>
      </c>
      <c r="N10" s="6">
        <f>SUMIFS(Tabelle132456891011121314[SP Pulled after Start (COS)],Tabelle132456891011121314[Team],$C10)</f>
        <v>8</v>
      </c>
      <c r="O10" s="25">
        <f>SUMIFS(Tabelle132456891011121314[SP Completed (COS &amp; SOS)],Tabelle132456891011121314[Team],$C10)</f>
        <v>13</v>
      </c>
      <c r="P10" s="25">
        <f>SUMIFS(Tabelle132456891011121314[SP Removed (COS &amp; SOS)],Tabelle132456891011121314[Team],$C10)</f>
        <v>0</v>
      </c>
      <c r="Q10" s="41">
        <f>SUMIFS(Tabelle132456891011121314[SP Not Completed (COS &amp; SOS)],Tabelle132456891011121314[Team],$C10)</f>
        <v>10</v>
      </c>
      <c r="R10" s="40">
        <f>IFERROR(O10/$M10," ")</f>
        <v>0.8666666666666667</v>
      </c>
      <c r="T10" s="43"/>
    </row>
    <row r="11" spans="2:22" ht="13.5" customHeight="1">
      <c r="B11" s="415"/>
      <c r="C11" s="59" t="s">
        <v>24</v>
      </c>
      <c r="D11" s="61">
        <f>COUNTIFS(Tabelle132456891011121314[Team],$C11)</f>
        <v>11</v>
      </c>
      <c r="E11" s="74">
        <f>COUNTIFS(Tabelle132456891011121314[Team],$C11,Tabelle132456891011121314[Status],$E$5)</f>
        <v>9</v>
      </c>
      <c r="F11" s="68">
        <f>SUMIFS(Tabelle132456891011121314[Jira Story Points],Tabelle132456891011121314[Pulled after Start],"",Tabelle132456891011121314[Team],$C11)</f>
        <v>33</v>
      </c>
      <c r="G11" s="6">
        <f>SUMIFS(Tabelle132456891011121314[Jira Story Points],Tabelle132456891011121314[Pulled after Start],"yes",Tabelle132456891011121314[Team],$C11)</f>
        <v>7</v>
      </c>
      <c r="H11" s="7">
        <f>SUMIFS(Tabelle132456891011121314[Jira Story Points],Tabelle132456891011121314[Status],$H$5,Tabelle132456891011121314[Team],$C11)</f>
        <v>32</v>
      </c>
      <c r="I11" s="6">
        <f>SUMIFS(Tabelle132456891011121314[Jira Story Points],Tabelle132456891011121314[Status],$I$5,Tabelle132456891011121314[Team],$C11)</f>
        <v>8</v>
      </c>
      <c r="J11" s="6">
        <f>SUMIFS(Tabelle132456891011121314[Jira Story Points],Tabelle132456891011121314[Status],$J$5,Tabelle132456891011121314[Team],$C11)</f>
        <v>0</v>
      </c>
      <c r="K11" s="69">
        <f>SUMIFS(Tabelle132456891011121314[Jira Story Points],Tabelle132456891011121314[Team],$C11)</f>
        <v>40</v>
      </c>
      <c r="M11" s="6">
        <f>SUMIFS(Tabelle132456891011121314[SP Initially Planned (COS)],Tabelle132456891011121314[Pulled after Start],"",Tabelle132456891011121314[Team],$C11)</f>
        <v>27</v>
      </c>
      <c r="N11" s="6">
        <f>SUMIFS(Tabelle132456891011121314[SP Pulled after Start (COS)],Tabelle132456891011121314[Team],$C11)</f>
        <v>7</v>
      </c>
      <c r="O11" s="25">
        <f>SUMIFS(Tabelle132456891011121314[SP Completed (COS &amp; SOS)],Tabelle132456891011121314[Team],$C11)</f>
        <v>28</v>
      </c>
      <c r="P11" s="25">
        <f>SUMIFS(Tabelle132456891011121314[SP Removed (COS &amp; SOS)],Tabelle132456891011121314[Team],$C11)</f>
        <v>0</v>
      </c>
      <c r="Q11" s="41">
        <f>SUMIFS(Tabelle132456891011121314[SP Not Completed (COS &amp; SOS)],Tabelle132456891011121314[Team],$C11)</f>
        <v>6</v>
      </c>
      <c r="R11" s="40">
        <f t="shared" si="0"/>
        <v>1.037037037037037</v>
      </c>
      <c r="T11" s="43"/>
    </row>
    <row r="12" spans="2:22" ht="13.5" customHeight="1">
      <c r="B12" s="415"/>
      <c r="C12" s="59" t="s">
        <v>17</v>
      </c>
      <c r="D12" s="61">
        <f>COUNTIFS(Tabelle132456891011121314[Team],$C12)</f>
        <v>10</v>
      </c>
      <c r="E12" s="74">
        <f>COUNTIFS(Tabelle132456891011121314[Team],$C12,Tabelle132456891011121314[Status],$E$5)</f>
        <v>6</v>
      </c>
      <c r="F12" s="68">
        <f>SUMIFS(Tabelle132456891011121314[Jira Story Points],Tabelle132456891011121314[Pulled after Start],"",Tabelle132456891011121314[Team],$C12)</f>
        <v>26</v>
      </c>
      <c r="G12" s="6">
        <f>SUMIFS(Tabelle132456891011121314[Jira Story Points],Tabelle132456891011121314[Pulled after Start],"yes",Tabelle132456891011121314[Team],$C12)</f>
        <v>7</v>
      </c>
      <c r="H12" s="7">
        <f>SUMIFS(Tabelle132456891011121314[Jira Story Points],Tabelle132456891011121314[Status],$H$5,Tabelle132456891011121314[Team],$C12)</f>
        <v>17</v>
      </c>
      <c r="I12" s="6">
        <f>SUMIFS(Tabelle132456891011121314[Jira Story Points],Tabelle132456891011121314[Status],$I$5,Tabelle132456891011121314[Team],$C12)</f>
        <v>16</v>
      </c>
      <c r="J12" s="6">
        <f>SUMIFS(Tabelle132456891011121314[Jira Story Points],Tabelle132456891011121314[Status],$J$5,Tabelle132456891011121314[Team],$C12)</f>
        <v>0</v>
      </c>
      <c r="K12" s="69">
        <f>SUMIFS(Tabelle132456891011121314[Jira Story Points],Tabelle132456891011121314[Team],$C12)</f>
        <v>33</v>
      </c>
      <c r="M12" s="6">
        <f>SUMIFS(Tabelle132456891011121314[SP Initially Planned (COS)],Tabelle132456891011121314[Pulled after Start],"",Tabelle132456891011121314[Team],$C12)</f>
        <v>24</v>
      </c>
      <c r="N12" s="6">
        <f>SUMIFS(Tabelle132456891011121314[SP Pulled after Start (COS)],Tabelle132456891011121314[Team],$C12)</f>
        <v>7</v>
      </c>
      <c r="O12" s="25">
        <f>SUMIFS(Tabelle132456891011121314[SP Completed (COS &amp; SOS)],Tabelle132456891011121314[Team],$C12)</f>
        <v>19</v>
      </c>
      <c r="P12" s="25">
        <f>SUMIFS(Tabelle132456891011121314[SP Removed (COS &amp; SOS)],Tabelle132456891011121314[Team],$C12)</f>
        <v>0</v>
      </c>
      <c r="Q12" s="41">
        <f>SUMIFS(Tabelle132456891011121314[SP Not Completed (COS &amp; SOS)],Tabelle132456891011121314[Team],$C12)</f>
        <v>12</v>
      </c>
      <c r="R12" s="40">
        <f t="shared" si="0"/>
        <v>0.79166666666666663</v>
      </c>
      <c r="T12" s="43"/>
    </row>
    <row r="13" spans="2:22" ht="13.5" customHeight="1">
      <c r="B13" s="415"/>
      <c r="C13" s="64" t="s">
        <v>107</v>
      </c>
      <c r="D13" s="61">
        <f>COUNTIFS(Tabelle132456891011121314[Team],$C13)</f>
        <v>0</v>
      </c>
      <c r="E13" s="74">
        <f>COUNTIFS(Tabelle132456891011121314[Team],$C13,Tabelle132456891011121314[Status],$E$5)</f>
        <v>0</v>
      </c>
      <c r="F13" s="68">
        <f>SUMIFS(Tabelle132456891011121314[Jira Story Points],Tabelle132456891011121314[Pulled after Start],"",Tabelle132456891011121314[Team],$C13)</f>
        <v>0</v>
      </c>
      <c r="G13" s="6">
        <f>SUMIFS(Tabelle132456891011121314[Jira Story Points],Tabelle132456891011121314[Pulled after Start],"yes",Tabelle132456891011121314[Team],$C13)</f>
        <v>0</v>
      </c>
      <c r="H13" s="7">
        <f>SUMIFS(Tabelle132456891011121314[Jira Story Points],Tabelle132456891011121314[Status],$H$5,Tabelle132456891011121314[Team],$C13)</f>
        <v>0</v>
      </c>
      <c r="I13" s="6">
        <f>SUMIFS(Tabelle132456891011121314[Jira Story Points],Tabelle132456891011121314[Status],$I$5,Tabelle132456891011121314[Team],$C13)</f>
        <v>0</v>
      </c>
      <c r="J13" s="6">
        <f>SUMIFS(Tabelle132456891011121314[Jira Story Points],Tabelle132456891011121314[Status],$J$5,Tabelle132456891011121314[Team],$C13)</f>
        <v>0</v>
      </c>
      <c r="K13" s="69">
        <f>SUMIFS(Tabelle132456891011121314[Jira Story Points],Tabelle132456891011121314[Team],$C13)</f>
        <v>0</v>
      </c>
      <c r="M13" s="6">
        <f>SUMIFS(Tabelle132456891011121314[SP Initially Planned (COS)],Tabelle132456891011121314[Pulled after Start],"",Tabelle132456891011121314[Team],$C13)</f>
        <v>0</v>
      </c>
      <c r="N13" s="6">
        <f>SUMIFS(Tabelle132456891011121314[SP Pulled after Start (COS)],Tabelle132456891011121314[Team],$C13)</f>
        <v>0</v>
      </c>
      <c r="O13" s="25">
        <f>SUMIFS(Tabelle132456891011121314[SP Completed (COS &amp; SOS)],Tabelle132456891011121314[Team],$C13)</f>
        <v>0</v>
      </c>
      <c r="P13" s="25">
        <f>SUMIFS(Tabelle132456891011121314[SP Removed (COS &amp; SOS)],Tabelle132456891011121314[Team],$C13)</f>
        <v>0</v>
      </c>
      <c r="Q13" s="41">
        <f>SUMIFS(Tabelle132456891011121314[SP Not Completed (COS &amp; SOS)],Tabelle132456891011121314[Team],$C13)</f>
        <v>0</v>
      </c>
      <c r="R13" s="40" t="str">
        <f>IFERROR(O13/$M13," ")</f>
        <v xml:space="preserve"> </v>
      </c>
      <c r="T13" s="43"/>
    </row>
    <row r="14" spans="2:22" ht="13.5" customHeight="1">
      <c r="B14" s="415"/>
      <c r="C14" s="41" t="s">
        <v>21</v>
      </c>
      <c r="D14" s="61">
        <f>COUNTIFS(Tabelle132456891011121314[Team],$C14)</f>
        <v>13</v>
      </c>
      <c r="E14" s="74">
        <f>COUNTIFS(Tabelle132456891011121314[Team],$C14,Tabelle132456891011121314[Status],$E$5)</f>
        <v>11</v>
      </c>
      <c r="F14" s="68">
        <f>SUMIFS(Tabelle132456891011121314[Jira Story Points],Tabelle132456891011121314[Pulled after Start],"",Tabelle132456891011121314[Team],$C14)</f>
        <v>47</v>
      </c>
      <c r="G14" s="6">
        <f>SUMIFS(Tabelle132456891011121314[Jira Story Points],Tabelle132456891011121314[Pulled after Start],"yes",Tabelle132456891011121314[Team],$C14)</f>
        <v>0</v>
      </c>
      <c r="H14" s="7">
        <f>SUMIFS(Tabelle132456891011121314[Jira Story Points],Tabelle132456891011121314[Status],$H$5,Tabelle132456891011121314[Team],$C14)</f>
        <v>34</v>
      </c>
      <c r="I14" s="6">
        <f>SUMIFS(Tabelle132456891011121314[Jira Story Points],Tabelle132456891011121314[Status],$I$5,Tabelle132456891011121314[Team],$C14)</f>
        <v>13</v>
      </c>
      <c r="J14" s="6">
        <f>SUMIFS(Tabelle132456891011121314[Jira Story Points],Tabelle132456891011121314[Status],$J$5,Tabelle132456891011121314[Team],$C14)</f>
        <v>0</v>
      </c>
      <c r="K14" s="69">
        <f>SUMIFS(Tabelle132456891011121314[Jira Story Points],Tabelle132456891011121314[Team],$C14)</f>
        <v>47</v>
      </c>
      <c r="M14" s="6">
        <f>SUMIFS(Tabelle132456891011121314[SP Initially Planned (COS)],Tabelle132456891011121314[Pulled after Start],"",Tabelle132456891011121314[Team],$C14)</f>
        <v>47</v>
      </c>
      <c r="N14" s="6">
        <f>SUMIFS(Tabelle132456891011121314[SP Pulled after Start (COS)],Tabelle132456891011121314[Team],$C14)</f>
        <v>0</v>
      </c>
      <c r="O14" s="25">
        <f>SUMIFS(Tabelle132456891011121314[SP Completed (COS &amp; SOS)],Tabelle132456891011121314[Team],$C14)</f>
        <v>37</v>
      </c>
      <c r="P14" s="25">
        <f>SUMIFS(Tabelle132456891011121314[SP Removed (COS &amp; SOS)],Tabelle132456891011121314[Team],$C14)</f>
        <v>0</v>
      </c>
      <c r="Q14" s="41">
        <f>SUMIFS(Tabelle132456891011121314[SP Not Completed (COS &amp; SOS)],Tabelle132456891011121314[Team],$C14)</f>
        <v>10</v>
      </c>
      <c r="R14" s="40">
        <f t="shared" si="0"/>
        <v>0.78723404255319152</v>
      </c>
      <c r="T14" s="43"/>
    </row>
    <row r="15" spans="2:22" ht="13.5" customHeight="1">
      <c r="B15" s="415"/>
      <c r="C15" s="41" t="s">
        <v>9</v>
      </c>
      <c r="D15" s="61">
        <f>COUNTIFS(Tabelle132456891011121314[Team],$C15)</f>
        <v>16</v>
      </c>
      <c r="E15" s="74">
        <f>COUNTIFS(Tabelle132456891011121314[Team],$C15,Tabelle132456891011121314[Status],$E$5)</f>
        <v>10</v>
      </c>
      <c r="F15" s="68">
        <f>SUMIFS(Tabelle132456891011121314[Jira Story Points],Tabelle132456891011121314[Pulled after Start],"",Tabelle132456891011121314[Team],$C15)</f>
        <v>48</v>
      </c>
      <c r="G15" s="6">
        <f>SUMIFS(Tabelle132456891011121314[Jira Story Points],Tabelle132456891011121314[Pulled after Start],"yes",Tabelle132456891011121314[Team],$C15)</f>
        <v>15</v>
      </c>
      <c r="H15" s="7">
        <f>SUMIFS(Tabelle132456891011121314[Jira Story Points],Tabelle132456891011121314[Status],$H$5,Tabelle132456891011121314[Team],$C15)</f>
        <v>29</v>
      </c>
      <c r="I15" s="6">
        <f>SUMIFS(Tabelle132456891011121314[Jira Story Points],Tabelle132456891011121314[Status],$I$5,Tabelle132456891011121314[Team],$C15)</f>
        <v>34</v>
      </c>
      <c r="J15" s="6">
        <f>SUMIFS(Tabelle132456891011121314[Jira Story Points],Tabelle132456891011121314[Status],$J$5,Tabelle132456891011121314[Team],$C15)</f>
        <v>0</v>
      </c>
      <c r="K15" s="69">
        <f>SUMIFS(Tabelle132456891011121314[Jira Story Points],Tabelle132456891011121314[Team],$C15)</f>
        <v>63</v>
      </c>
      <c r="M15" s="6">
        <f>SUMIFS(Tabelle132456891011121314[SP Initially Planned (COS)],Tabelle132456891011121314[Pulled after Start],"",Tabelle132456891011121314[Team],$C15)</f>
        <v>41</v>
      </c>
      <c r="N15" s="6">
        <f>SUMIFS(Tabelle132456891011121314[SP Pulled after Start (COS)],Tabelle132456891011121314[Team],$C15)</f>
        <v>15</v>
      </c>
      <c r="O15" s="25">
        <f>SUMIFS(Tabelle132456891011121314[SP Completed (COS &amp; SOS)],Tabelle132456891011121314[Team],$C15)</f>
        <v>41.5</v>
      </c>
      <c r="P15" s="25">
        <f>SUMIFS(Tabelle132456891011121314[SP Removed (COS &amp; SOS)],Tabelle132456891011121314[Team],$C15)</f>
        <v>0</v>
      </c>
      <c r="Q15" s="41">
        <f>SUMIFS(Tabelle132456891011121314[SP Not Completed (COS &amp; SOS)],Tabelle132456891011121314[Team],$C15)</f>
        <v>12.5</v>
      </c>
      <c r="R15" s="40">
        <f t="shared" si="0"/>
        <v>1.0121951219512195</v>
      </c>
      <c r="T15" s="43"/>
    </row>
    <row r="16" spans="2:22" ht="13.5" customHeight="1" thickBot="1">
      <c r="C16" s="65" t="s">
        <v>172</v>
      </c>
      <c r="D16" s="62">
        <f t="shared" ref="D16:K16" si="1">SUM(D6:D13)</f>
        <v>87</v>
      </c>
      <c r="E16" s="75">
        <f t="shared" si="1"/>
        <v>65</v>
      </c>
      <c r="F16" s="62">
        <f t="shared" si="1"/>
        <v>224</v>
      </c>
      <c r="G16" s="70">
        <f t="shared" si="1"/>
        <v>64</v>
      </c>
      <c r="H16" s="71">
        <f t="shared" si="1"/>
        <v>197</v>
      </c>
      <c r="I16" s="71">
        <f t="shared" si="1"/>
        <v>91</v>
      </c>
      <c r="J16" s="71">
        <f t="shared" si="1"/>
        <v>0</v>
      </c>
      <c r="K16" s="72">
        <f t="shared" si="1"/>
        <v>288</v>
      </c>
      <c r="M16" s="23">
        <f t="shared" ref="M16:N16" si="2">SUM(M6:M13)</f>
        <v>194</v>
      </c>
      <c r="N16" s="21">
        <f t="shared" si="2"/>
        <v>64</v>
      </c>
      <c r="O16" s="31">
        <f>SUM(O6:O13)</f>
        <v>190</v>
      </c>
      <c r="P16" s="31">
        <f>SUM(P6:P13)</f>
        <v>0</v>
      </c>
      <c r="Q16" s="22">
        <f>SUM(Q6:Q13)</f>
        <v>68</v>
      </c>
      <c r="R16" s="38" t="s">
        <v>185</v>
      </c>
      <c r="T16" s="42"/>
      <c r="U16" s="42"/>
      <c r="V16" s="42"/>
    </row>
    <row r="17" spans="1:22" ht="13.5" customHeight="1">
      <c r="T17" s="5"/>
      <c r="U17" s="5"/>
      <c r="V17" s="5"/>
    </row>
    <row r="18" spans="1:22" ht="13.5" customHeight="1">
      <c r="T18" s="5"/>
      <c r="U18" s="5"/>
      <c r="V18" s="5"/>
    </row>
    <row r="19" spans="1:22" ht="13.5" customHeight="1">
      <c r="T19" s="5"/>
      <c r="U19" s="5"/>
      <c r="V19" s="5"/>
    </row>
    <row r="20" spans="1:22" ht="13.5" customHeight="1">
      <c r="T20" s="5"/>
      <c r="U20" s="5"/>
      <c r="V20" s="5"/>
    </row>
    <row r="21" spans="1:22" ht="13.5" customHeight="1">
      <c r="C21" s="33" t="s">
        <v>186</v>
      </c>
      <c r="D21" s="9"/>
      <c r="E21" s="9"/>
      <c r="F21" s="9"/>
      <c r="G21" s="9"/>
      <c r="H21" s="9"/>
      <c r="I21" s="9"/>
      <c r="J21" s="9"/>
      <c r="K21" s="9"/>
      <c r="L21" s="9"/>
      <c r="M21" s="9"/>
      <c r="N21" s="9"/>
      <c r="O21" s="9"/>
      <c r="T21" s="5"/>
      <c r="U21" s="5"/>
      <c r="V21" s="5"/>
    </row>
    <row r="22" spans="1:22" ht="13.5" customHeight="1">
      <c r="C22" s="10"/>
      <c r="D22" s="425" t="s">
        <v>187</v>
      </c>
      <c r="E22" s="425"/>
      <c r="F22" s="425" t="s">
        <v>106</v>
      </c>
      <c r="G22" s="425"/>
      <c r="H22" s="425" t="s">
        <v>172</v>
      </c>
      <c r="I22" s="425"/>
      <c r="J22" s="426" t="s">
        <v>188</v>
      </c>
      <c r="K22" s="426"/>
      <c r="L22" s="426" t="s">
        <v>189</v>
      </c>
      <c r="M22" s="426"/>
      <c r="N22" s="416" t="s">
        <v>172</v>
      </c>
      <c r="O22" s="416"/>
    </row>
    <row r="23" spans="1:22" ht="13.5" customHeight="1">
      <c r="C23" s="10"/>
      <c r="D23" s="11" t="s">
        <v>190</v>
      </c>
      <c r="E23" s="12" t="s">
        <v>191</v>
      </c>
      <c r="F23" s="11" t="s">
        <v>190</v>
      </c>
      <c r="G23" s="12" t="s">
        <v>191</v>
      </c>
      <c r="H23" s="12" t="s">
        <v>190</v>
      </c>
      <c r="I23" s="12" t="s">
        <v>191</v>
      </c>
      <c r="J23" s="34" t="s">
        <v>190</v>
      </c>
      <c r="K23" s="13" t="s">
        <v>191</v>
      </c>
      <c r="L23" s="14" t="s">
        <v>190</v>
      </c>
      <c r="M23" s="14" t="s">
        <v>191</v>
      </c>
      <c r="N23" s="14" t="s">
        <v>190</v>
      </c>
      <c r="O23" s="14" t="s">
        <v>191</v>
      </c>
    </row>
    <row r="24" spans="1:22" ht="13.5" customHeight="1">
      <c r="C24" s="15" t="s">
        <v>192</v>
      </c>
      <c r="D24" s="7">
        <f>COUNTIFS(Tabelle132456891011121314[Team],"*",Tabelle132456891011121314[Pulled after Start],"&lt;&gt;yes")</f>
        <v>85</v>
      </c>
      <c r="E24" s="7">
        <f>SUMIFS(Tabelle132456891011121314[Jira Story Points],Tabelle132456891011121314[Team],"*",Tabelle132456891011121314[Pulled after Start],"&lt;&gt;yes")+COUNTIFS(Tabelle132456891011121314[Team],"*",Tabelle132456891011121314[Jira Story Points],"-",Tabelle132456891011121314[Pulled after Start],"&lt;&gt;yes")*$M$28</f>
        <v>321</v>
      </c>
      <c r="F24" s="7">
        <f>COUNTIF(Tabelle132456891011121314[Pulled after Start],"yes")</f>
        <v>31</v>
      </c>
      <c r="G24" s="7">
        <f>SUMIFS(Tabelle132456891011121314[Jira Story Points],Tabelle132456891011121314[Team],"*",Tabelle132456891011121314[Pulled after Start],"yes")+COUNTIFS(Tabelle132456891011121314[Team],"*",Tabelle132456891011121314[Jira Story Points],"-",Tabelle132456891011121314[Pulled after Start],"yes")*$M$28</f>
        <v>79</v>
      </c>
      <c r="H24" s="7">
        <f t="shared" ref="H24:I27" si="3">D24+F24</f>
        <v>116</v>
      </c>
      <c r="I24" s="7">
        <f t="shared" si="3"/>
        <v>400</v>
      </c>
      <c r="J24" s="7">
        <f>COUNTIFS(Tabelle132456891011121314[Team],"*",Tabelle132456891011121314[Jira Story Points],"&lt;&gt;-")</f>
        <v>115</v>
      </c>
      <c r="K24" s="16">
        <f>SUMIFS(Tabelle132456891011121314[Jira Story Points],Tabelle132456891011121314[Team],"*",Tabelle132456891011121314[Jira Story Points],"&lt;&gt;-")</f>
        <v>398</v>
      </c>
      <c r="L24" s="8">
        <f>COUNTIFS(Tabelle132456891011121314[Team],"*",Tabelle132456891011121314[Jira Story Points],"-")</f>
        <v>1</v>
      </c>
      <c r="M24" s="8">
        <f>L24*$M$28</f>
        <v>2</v>
      </c>
      <c r="N24" s="35">
        <f t="shared" ref="N24:O27" si="4">J24+L24</f>
        <v>116</v>
      </c>
      <c r="O24" s="7">
        <f t="shared" si="4"/>
        <v>400</v>
      </c>
    </row>
    <row r="25" spans="1:22" ht="13.5" customHeight="1">
      <c r="C25" s="15" t="s">
        <v>125</v>
      </c>
      <c r="D25" s="7">
        <f>COUNTIFS(Tabelle132456891011121314[Team],"*",Tabelle132456891011121314[Pulled after Start],"&lt;&gt;yes",Tabelle132456891011121314[Status],H5)</f>
        <v>67</v>
      </c>
      <c r="E25" s="7">
        <f>SUMIFS(Tabelle132456891011121314[Jira Story Points],Tabelle132456891011121314[Team],"*",Tabelle132456891011121314[Pulled after Start],"&lt;&gt;yes",Tabelle132456891011121314[Status],H5)+COUNTIFS(Tabelle132456891011121314[Team],"*",Tabelle132456891011121314[Jira Story Points],"-",Tabelle132456891011121314[Pulled after Start],"&lt;&gt;yes",Tabelle132456891011121314[Status],H5)*$M$28</f>
        <v>220</v>
      </c>
      <c r="F25" s="7">
        <f>COUNTIFS(Tabelle132456891011121314[Pulled after Start],"yes",Tabelle132456891011121314[Status],H5)</f>
        <v>19</v>
      </c>
      <c r="G25" s="7">
        <f>SUMIFS(Tabelle132456891011121314[Jira Story Points],Tabelle132456891011121314[Team],"*",Tabelle132456891011121314[Pulled after Start],"yes",Tabelle132456891011121314[Status],H5)+COUNTIFS(Tabelle132456891011121314[Team],"*",Tabelle132456891011121314[Jira Story Points],"-",Tabelle132456891011121314[Pulled after Start],"yes",Tabelle132456891011121314[Status],H5)*$M$28</f>
        <v>40</v>
      </c>
      <c r="H25" s="7">
        <f t="shared" si="3"/>
        <v>86</v>
      </c>
      <c r="I25" s="7">
        <f t="shared" si="3"/>
        <v>260</v>
      </c>
      <c r="J25" s="7">
        <f>COUNTIFS(Tabelle132456891011121314[Team],"*",Tabelle132456891011121314[Jira Story Points],"&lt;&gt;-",Tabelle132456891011121314[Status],H5)</f>
        <v>86</v>
      </c>
      <c r="K25" s="7">
        <f>SUMIFS(Tabelle132456891011121314[Jira Story Points],Tabelle132456891011121314[Team],"*",Tabelle132456891011121314[Jira Story Points],"&lt;&gt;-",Tabelle132456891011121314[Status],H5)</f>
        <v>260</v>
      </c>
      <c r="L25" s="17">
        <f>COUNTIFS(Tabelle132456891011121314[Team],"*",Tabelle132456891011121314[Jira Story Points],"-",Tabelle132456891011121314[Status],H5)</f>
        <v>0</v>
      </c>
      <c r="M25" s="8">
        <f>L25*$M$28</f>
        <v>0</v>
      </c>
      <c r="N25" s="7">
        <f t="shared" si="4"/>
        <v>86</v>
      </c>
      <c r="O25" s="7">
        <f t="shared" si="4"/>
        <v>260</v>
      </c>
    </row>
    <row r="26" spans="1:22" ht="13.5" customHeight="1">
      <c r="C26" s="15" t="s">
        <v>127</v>
      </c>
      <c r="D26" s="7">
        <f>COUNTIFS(Tabelle132456891011121314[Team],"*",Tabelle132456891011121314[Pulled after Start],"&lt;&gt;yes",Tabelle132456891011121314[Status],I5)</f>
        <v>17</v>
      </c>
      <c r="E26" s="7">
        <f>SUMIFS(Tabelle132456891011121314[Jira Story Points],Tabelle132456891011121314[Team],"*",Tabelle132456891011121314[Pulled after Start],"&lt;&gt;yes",Tabelle132456891011121314[Status],I5)+COUNTIFS(Tabelle132456891011121314[Team],"*",Tabelle132456891011121314[Jira Story Points],"-",Tabelle132456891011121314[Pulled after Start],"&lt;&gt;yes",Tabelle132456891011121314[Status],I5)*$M$28</f>
        <v>99</v>
      </c>
      <c r="F26" s="7">
        <f>COUNTIFS(Tabelle132456891011121314[Pulled after Start],"yes",Tabelle132456891011121314[Status],I5)</f>
        <v>12</v>
      </c>
      <c r="G26" s="7">
        <f>SUMIFS(Tabelle132456891011121314[Jira Story Points],Tabelle132456891011121314[Team],"*",Tabelle132456891011121314[Pulled after Start],"yes",Tabelle132456891011121314[Status],I5)+COUNTIFS(Tabelle132456891011121314[Team],"*",Tabelle132456891011121314[Jira Story Points],"-",Tabelle132456891011121314[Pulled after Start],"yes",Tabelle132456891011121314[Status],I5)*$M$28</f>
        <v>39</v>
      </c>
      <c r="H26" s="7">
        <f t="shared" si="3"/>
        <v>29</v>
      </c>
      <c r="I26" s="7">
        <f t="shared" si="3"/>
        <v>138</v>
      </c>
      <c r="J26" s="7">
        <f>COUNTIFS(Tabelle132456891011121314[Team],"*",Tabelle132456891011121314[Jira Story Points],"&lt;&gt;-",Tabelle132456891011121314[Status],I5)</f>
        <v>29</v>
      </c>
      <c r="K26" s="7">
        <f>SUMIFS(Tabelle132456891011121314[Jira Story Points],Tabelle132456891011121314[Team],"*",Tabelle132456891011121314[Jira Story Points],"&lt;&gt;-",Tabelle132456891011121314[Status],I5)</f>
        <v>138</v>
      </c>
      <c r="L26" s="17">
        <f>COUNTIFS(Tabelle132456891011121314[Team],"*",Tabelle132456891011121314[Jira Story Points],"-",Tabelle132456891011121314[Status],I5)</f>
        <v>0</v>
      </c>
      <c r="M26" s="8">
        <f>L26*$M$28</f>
        <v>0</v>
      </c>
      <c r="N26" s="7">
        <f t="shared" si="4"/>
        <v>29</v>
      </c>
      <c r="O26" s="7">
        <f t="shared" si="4"/>
        <v>138</v>
      </c>
    </row>
    <row r="27" spans="1:22" ht="13.5" customHeight="1">
      <c r="C27" s="15" t="s">
        <v>126</v>
      </c>
      <c r="D27" s="7">
        <f>COUNTIFS(Tabelle132456891011121314[Team],"*",Tabelle132456891011121314[Pulled after Start],"&lt;&gt;yes",Tabelle132456891011121314[Status],J5)</f>
        <v>1</v>
      </c>
      <c r="E27" s="7">
        <f>SUMIFS(Tabelle132456891011121314[Jira Story Points],Tabelle132456891011121314[Team],"*",Tabelle132456891011121314[Pulled after Start],"&lt;&gt;yes",Tabelle132456891011121314[Status],J5)+COUNTIFS(Tabelle132456891011121314[Team],"*",Tabelle132456891011121314[Jira Story Points],"-",Tabelle132456891011121314[Pulled after Start],"&lt;&gt;yes",Tabelle132456891011121314[Status],J5)*$M$28</f>
        <v>2</v>
      </c>
      <c r="F27" s="7">
        <f>COUNTIFS(Tabelle132456891011121314[Pulled after Start],"yes",Tabelle132456891011121314[Status],J5)</f>
        <v>0</v>
      </c>
      <c r="G27" s="7">
        <f>SUMIFS(Tabelle132456891011121314[Jira Story Points],Tabelle132456891011121314[Team],"*",Tabelle132456891011121314[Pulled after Start],"yes",Tabelle132456891011121314[Status],J5)+COUNTIFS(Tabelle132456891011121314[Team],"*",Tabelle132456891011121314[Jira Story Points],"-",Tabelle132456891011121314[Pulled after Start],"yes",Tabelle132456891011121314[Status],J5)*$M$28</f>
        <v>0</v>
      </c>
      <c r="H27" s="7">
        <f t="shared" si="3"/>
        <v>1</v>
      </c>
      <c r="I27" s="7">
        <f t="shared" si="3"/>
        <v>2</v>
      </c>
      <c r="J27" s="7">
        <f>COUNTIFS(Tabelle132456891011121314[Team],"*",Tabelle132456891011121314[Jira Story Points],"&lt;&gt;-",Tabelle132456891011121314[Status],J5)</f>
        <v>0</v>
      </c>
      <c r="K27" s="7">
        <f>SUMIFS(Tabelle132456891011121314[Jira Story Points],Tabelle132456891011121314[Team],"*",Tabelle132456891011121314[Jira Story Points],"&lt;&gt;-",Tabelle132456891011121314[Status],J5)</f>
        <v>0</v>
      </c>
      <c r="L27" s="17">
        <f>COUNTIFS(Tabelle132456891011121314[Team],"*",Tabelle132456891011121314[Jira Story Points],"-",Tabelle132456891011121314[Status],J5)</f>
        <v>1</v>
      </c>
      <c r="M27" s="8">
        <f>L27*$M$28</f>
        <v>2</v>
      </c>
      <c r="N27" s="7">
        <f t="shared" si="4"/>
        <v>1</v>
      </c>
      <c r="O27" s="7">
        <f t="shared" si="4"/>
        <v>2</v>
      </c>
    </row>
    <row r="28" spans="1:22" ht="13.5" customHeight="1" thickBot="1">
      <c r="C28" s="1"/>
      <c r="D28" s="1"/>
      <c r="E28" s="1"/>
      <c r="F28" s="1"/>
      <c r="G28" s="1"/>
      <c r="H28" s="1"/>
      <c r="I28" s="1"/>
      <c r="J28" s="1"/>
      <c r="K28" s="1"/>
      <c r="L28" s="24" t="s">
        <v>193</v>
      </c>
      <c r="M28" s="45">
        <v>2</v>
      </c>
    </row>
    <row r="31" spans="1:22" s="201" customFormat="1" ht="30.75" customHeight="1">
      <c r="A31" s="197" t="s">
        <v>194</v>
      </c>
      <c r="B31" s="197" t="s">
        <v>195</v>
      </c>
      <c r="C31" s="197" t="s">
        <v>196</v>
      </c>
      <c r="D31" s="197" t="s">
        <v>197</v>
      </c>
      <c r="E31" s="197" t="s">
        <v>198</v>
      </c>
      <c r="F31" s="197" t="s">
        <v>199</v>
      </c>
      <c r="G31" s="197" t="s">
        <v>167</v>
      </c>
      <c r="H31" s="197" t="s">
        <v>106</v>
      </c>
      <c r="I31" s="197" t="s">
        <v>200</v>
      </c>
      <c r="J31" s="197" t="s">
        <v>201</v>
      </c>
      <c r="K31" s="197" t="s">
        <v>202</v>
      </c>
      <c r="L31" s="197" t="s">
        <v>203</v>
      </c>
      <c r="M31" s="198" t="s">
        <v>1304</v>
      </c>
      <c r="N31" s="199" t="s">
        <v>1305</v>
      </c>
      <c r="O31" s="199" t="s">
        <v>1306</v>
      </c>
      <c r="P31" s="200" t="s">
        <v>1307</v>
      </c>
      <c r="Q31" s="199" t="s">
        <v>1308</v>
      </c>
    </row>
    <row r="32" spans="1:22" s="201" customFormat="1" hidden="1">
      <c r="A32" s="214" t="s">
        <v>1506</v>
      </c>
      <c r="B32" s="47" t="s">
        <v>1507</v>
      </c>
      <c r="C32" s="203" t="s">
        <v>372</v>
      </c>
      <c r="D32" s="203">
        <v>1</v>
      </c>
      <c r="E32" s="203" t="s">
        <v>324</v>
      </c>
      <c r="F32" s="204">
        <v>5</v>
      </c>
      <c r="G32" s="203" t="s">
        <v>35</v>
      </c>
      <c r="H32" s="205" t="s">
        <v>209</v>
      </c>
      <c r="I32" s="206"/>
      <c r="J32" s="203" t="s">
        <v>125</v>
      </c>
      <c r="K32" s="204"/>
      <c r="L32" s="204"/>
      <c r="M32" s="208">
        <f>IF(Tabelle132456891011121314[[#This Row],[Pulled after Start]]="",MIN(Tabelle132456891011121314[[#This Row],[Jira Story Points]],Tabelle132456891011121314[[#This Row],[Carry-over]]),0)</f>
        <v>0</v>
      </c>
      <c r="N32" s="209">
        <f>MIN(Tabelle132456891011121314[[#This Row],[Jira Story Points]],Tabelle132456891011121314[[#This Row],[Carry-over]])-Tabelle132456891011121314[[#This Row],[SP Initially Planned (COS)]]</f>
        <v>5</v>
      </c>
      <c r="O32"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5</v>
      </c>
      <c r="P32" s="211">
        <f>IFERROR(IF(Tabelle132456891011121314[[#This Row],[Status]]=$J$5,MIN(Tabelle132456891011121314[[#This Row],[Jira Story Points]],Tabelle132456891011121314[[#This Row],[Carry-over]]),0),0)</f>
        <v>0</v>
      </c>
      <c r="Q32" s="211">
        <f>IFERROR(IF(Tabelle132456891011121314[[#This Row],[Status]]=$J$5,0,MIN(Tabelle132456891011121314[[#This Row],[Jira Story Points]],Tabelle132456891011121314[[#This Row],[Carry-over]])-Tabelle132456891011121314[[#This Row],[SP Completed (COS &amp; SOS)]]),0)</f>
        <v>0</v>
      </c>
    </row>
    <row r="33" spans="1:39" s="213" customFormat="1" hidden="1">
      <c r="A33" s="214" t="s">
        <v>1508</v>
      </c>
      <c r="B33" s="47" t="s">
        <v>1509</v>
      </c>
      <c r="C33" s="203" t="s">
        <v>375</v>
      </c>
      <c r="D33" s="203">
        <v>3</v>
      </c>
      <c r="E33" s="203" t="s">
        <v>324</v>
      </c>
      <c r="F33" s="204">
        <v>3</v>
      </c>
      <c r="G33" s="203" t="s">
        <v>35</v>
      </c>
      <c r="H33" s="205"/>
      <c r="I33" s="206"/>
      <c r="J33" s="203" t="s">
        <v>125</v>
      </c>
      <c r="K33" s="204"/>
      <c r="L33" s="204"/>
      <c r="M33" s="208">
        <f>IF(Tabelle132456891011121314[[#This Row],[Pulled after Start]]="",MIN(Tabelle132456891011121314[[#This Row],[Jira Story Points]],Tabelle132456891011121314[[#This Row],[Carry-over]]),0)</f>
        <v>3</v>
      </c>
      <c r="N33" s="209">
        <f>MIN(Tabelle132456891011121314[[#This Row],[Jira Story Points]],Tabelle132456891011121314[[#This Row],[Carry-over]])-Tabelle132456891011121314[[#This Row],[SP Initially Planned (COS)]]</f>
        <v>0</v>
      </c>
      <c r="O33"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33" s="211">
        <f>IFERROR(IF(Tabelle132456891011121314[[#This Row],[Status]]=$J$5,MIN(Tabelle132456891011121314[[#This Row],[Jira Story Points]],Tabelle132456891011121314[[#This Row],[Carry-over]]),0),0)</f>
        <v>0</v>
      </c>
      <c r="Q33" s="211">
        <f>IFERROR(IF(Tabelle132456891011121314[[#This Row],[Status]]=$J$5,0,MIN(Tabelle132456891011121314[[#This Row],[Jira Story Points]],Tabelle132456891011121314[[#This Row],[Carry-over]])-Tabelle132456891011121314[[#This Row],[SP Completed (COS &amp; SOS)]]),0)</f>
        <v>0</v>
      </c>
      <c r="AA33" s="1"/>
      <c r="AB33" s="1"/>
      <c r="AC33" s="1"/>
      <c r="AD33" s="1"/>
      <c r="AE33" s="1"/>
      <c r="AF33" s="1"/>
      <c r="AG33" s="1"/>
      <c r="AH33" s="1"/>
      <c r="AI33" s="1"/>
      <c r="AJ33" s="1"/>
      <c r="AK33" s="1"/>
      <c r="AL33" s="1"/>
      <c r="AM33" s="1"/>
    </row>
    <row r="34" spans="1:39" s="213" customFormat="1" hidden="1">
      <c r="A34" s="214" t="s">
        <v>1510</v>
      </c>
      <c r="B34" s="47" t="s">
        <v>1511</v>
      </c>
      <c r="C34" s="203" t="s">
        <v>375</v>
      </c>
      <c r="D34" s="203">
        <v>3</v>
      </c>
      <c r="E34" s="203" t="s">
        <v>324</v>
      </c>
      <c r="F34" s="204">
        <v>3</v>
      </c>
      <c r="G34" s="203" t="s">
        <v>35</v>
      </c>
      <c r="H34" s="205"/>
      <c r="I34" s="206"/>
      <c r="J34" s="203" t="s">
        <v>125</v>
      </c>
      <c r="K34" s="204"/>
      <c r="L34" s="204"/>
      <c r="M34" s="208">
        <f>IF(Tabelle132456891011121314[[#This Row],[Pulled after Start]]="",MIN(Tabelle132456891011121314[[#This Row],[Jira Story Points]],Tabelle132456891011121314[[#This Row],[Carry-over]]),0)</f>
        <v>3</v>
      </c>
      <c r="N34" s="209">
        <f>MIN(Tabelle132456891011121314[[#This Row],[Jira Story Points]],Tabelle132456891011121314[[#This Row],[Carry-over]])-Tabelle132456891011121314[[#This Row],[SP Initially Planned (COS)]]</f>
        <v>0</v>
      </c>
      <c r="O34"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34" s="211">
        <f>IFERROR(IF(Tabelle132456891011121314[[#This Row],[Status]]=$J$5,MIN(Tabelle132456891011121314[[#This Row],[Jira Story Points]],Tabelle132456891011121314[[#This Row],[Carry-over]]),0),0)</f>
        <v>0</v>
      </c>
      <c r="Q34" s="211">
        <f>IFERROR(IF(Tabelle132456891011121314[[#This Row],[Status]]=$J$5,0,MIN(Tabelle132456891011121314[[#This Row],[Jira Story Points]],Tabelle132456891011121314[[#This Row],[Carry-over]])-Tabelle132456891011121314[[#This Row],[SP Completed (COS &amp; SOS)]]),0)</f>
        <v>0</v>
      </c>
      <c r="AA34" s="1"/>
      <c r="AB34" s="1"/>
      <c r="AC34" s="1"/>
      <c r="AD34" s="1"/>
      <c r="AE34" s="1"/>
      <c r="AF34" s="1"/>
      <c r="AG34" s="1"/>
      <c r="AH34" s="1"/>
      <c r="AI34" s="1"/>
      <c r="AJ34" s="1"/>
      <c r="AK34" s="1"/>
      <c r="AL34" s="1"/>
      <c r="AM34" s="1"/>
    </row>
    <row r="35" spans="1:39" s="213" customFormat="1" hidden="1">
      <c r="A35" s="214" t="s">
        <v>1512</v>
      </c>
      <c r="B35" s="47" t="s">
        <v>1513</v>
      </c>
      <c r="C35" s="203" t="s">
        <v>382</v>
      </c>
      <c r="D35" s="203">
        <v>3</v>
      </c>
      <c r="E35" s="203" t="s">
        <v>324</v>
      </c>
      <c r="F35" s="204">
        <v>2</v>
      </c>
      <c r="G35" s="203" t="s">
        <v>35</v>
      </c>
      <c r="H35" s="205"/>
      <c r="I35" s="206"/>
      <c r="J35" s="203" t="s">
        <v>125</v>
      </c>
      <c r="K35" s="204"/>
      <c r="L35" s="204"/>
      <c r="M35" s="208">
        <f>IF(Tabelle132456891011121314[[#This Row],[Pulled after Start]]="",MIN(Tabelle132456891011121314[[#This Row],[Jira Story Points]],Tabelle132456891011121314[[#This Row],[Carry-over]]),0)</f>
        <v>2</v>
      </c>
      <c r="N35" s="209">
        <f>MIN(Tabelle132456891011121314[[#This Row],[Jira Story Points]],Tabelle132456891011121314[[#This Row],[Carry-over]])-Tabelle132456891011121314[[#This Row],[SP Initially Planned (COS)]]</f>
        <v>0</v>
      </c>
      <c r="O35"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2</v>
      </c>
      <c r="P35" s="211">
        <f>IFERROR(IF(Tabelle132456891011121314[[#This Row],[Status]]=$J$5,MIN(Tabelle132456891011121314[[#This Row],[Jira Story Points]],Tabelle132456891011121314[[#This Row],[Carry-over]]),0),0)</f>
        <v>0</v>
      </c>
      <c r="Q35" s="211">
        <f>IFERROR(IF(Tabelle132456891011121314[[#This Row],[Status]]=$J$5,0,MIN(Tabelle132456891011121314[[#This Row],[Jira Story Points]],Tabelle132456891011121314[[#This Row],[Carry-over]])-Tabelle132456891011121314[[#This Row],[SP Completed (COS &amp; SOS)]]),0)</f>
        <v>0</v>
      </c>
      <c r="AA35" s="1"/>
      <c r="AB35" s="1"/>
      <c r="AC35" s="1"/>
      <c r="AD35" s="1"/>
      <c r="AE35" s="1"/>
      <c r="AF35" s="1"/>
      <c r="AG35" s="1"/>
      <c r="AH35" s="1"/>
      <c r="AI35" s="1"/>
      <c r="AJ35" s="1"/>
      <c r="AK35" s="1"/>
      <c r="AL35" s="1"/>
      <c r="AM35" s="1"/>
    </row>
    <row r="36" spans="1:39" s="213" customFormat="1" hidden="1">
      <c r="A36" s="214" t="s">
        <v>1514</v>
      </c>
      <c r="B36" s="47" t="s">
        <v>1515</v>
      </c>
      <c r="C36" s="203" t="s">
        <v>382</v>
      </c>
      <c r="D36" s="203">
        <v>3</v>
      </c>
      <c r="E36" s="203" t="s">
        <v>324</v>
      </c>
      <c r="F36" s="204">
        <v>1</v>
      </c>
      <c r="G36" s="203" t="s">
        <v>35</v>
      </c>
      <c r="H36" s="205"/>
      <c r="I36" s="206"/>
      <c r="J36" s="203" t="s">
        <v>125</v>
      </c>
      <c r="K36" s="204"/>
      <c r="L36" s="204"/>
      <c r="M36" s="208">
        <f>IF(Tabelle132456891011121314[[#This Row],[Pulled after Start]]="",MIN(Tabelle132456891011121314[[#This Row],[Jira Story Points]],Tabelle132456891011121314[[#This Row],[Carry-over]]),0)</f>
        <v>1</v>
      </c>
      <c r="N36" s="209">
        <f>MIN(Tabelle132456891011121314[[#This Row],[Jira Story Points]],Tabelle132456891011121314[[#This Row],[Carry-over]])-Tabelle132456891011121314[[#This Row],[SP Initially Planned (COS)]]</f>
        <v>0</v>
      </c>
      <c r="O36"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v>
      </c>
      <c r="P36" s="211">
        <f>IFERROR(IF(Tabelle132456891011121314[[#This Row],[Status]]=$J$5,MIN(Tabelle132456891011121314[[#This Row],[Jira Story Points]],Tabelle132456891011121314[[#This Row],[Carry-over]]),0),0)</f>
        <v>0</v>
      </c>
      <c r="Q36" s="211">
        <f>IFERROR(IF(Tabelle132456891011121314[[#This Row],[Status]]=$J$5,0,MIN(Tabelle132456891011121314[[#This Row],[Jira Story Points]],Tabelle132456891011121314[[#This Row],[Carry-over]])-Tabelle132456891011121314[[#This Row],[SP Completed (COS &amp; SOS)]]),0)</f>
        <v>0</v>
      </c>
      <c r="AA36" s="1"/>
      <c r="AB36" s="1"/>
      <c r="AC36" s="1"/>
      <c r="AD36" s="1"/>
      <c r="AE36" s="1"/>
      <c r="AF36" s="1"/>
      <c r="AG36" s="1"/>
      <c r="AH36" s="1"/>
      <c r="AI36" s="1"/>
      <c r="AJ36" s="1"/>
      <c r="AK36" s="1"/>
      <c r="AL36" s="1"/>
      <c r="AM36" s="1"/>
    </row>
    <row r="37" spans="1:39" s="213" customFormat="1" hidden="1">
      <c r="A37" s="214" t="s">
        <v>1516</v>
      </c>
      <c r="B37" s="47" t="s">
        <v>1517</v>
      </c>
      <c r="C37" s="203" t="s">
        <v>382</v>
      </c>
      <c r="D37" s="203">
        <v>4</v>
      </c>
      <c r="E37" s="203" t="s">
        <v>324</v>
      </c>
      <c r="F37" s="204">
        <v>1</v>
      </c>
      <c r="G37" s="203" t="s">
        <v>35</v>
      </c>
      <c r="H37" s="205" t="s">
        <v>209</v>
      </c>
      <c r="I37" s="206"/>
      <c r="J37" s="203" t="s">
        <v>125</v>
      </c>
      <c r="K37" s="204"/>
      <c r="L37" s="204"/>
      <c r="M37" s="208">
        <f>IF(Tabelle132456891011121314[[#This Row],[Pulled after Start]]="",MIN(Tabelle132456891011121314[[#This Row],[Jira Story Points]],Tabelle132456891011121314[[#This Row],[Carry-over]]),0)</f>
        <v>0</v>
      </c>
      <c r="N37" s="209">
        <f>MIN(Tabelle132456891011121314[[#This Row],[Jira Story Points]],Tabelle132456891011121314[[#This Row],[Carry-over]])-Tabelle132456891011121314[[#This Row],[SP Initially Planned (COS)]]</f>
        <v>1</v>
      </c>
      <c r="O37"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v>
      </c>
      <c r="P37" s="211">
        <f>IFERROR(IF(Tabelle132456891011121314[[#This Row],[Status]]=$J$5,MIN(Tabelle132456891011121314[[#This Row],[Jira Story Points]],Tabelle132456891011121314[[#This Row],[Carry-over]]),0),0)</f>
        <v>0</v>
      </c>
      <c r="Q37" s="211">
        <f>IFERROR(IF(Tabelle132456891011121314[[#This Row],[Status]]=$J$5,0,MIN(Tabelle132456891011121314[[#This Row],[Jira Story Points]],Tabelle132456891011121314[[#This Row],[Carry-over]])-Tabelle132456891011121314[[#This Row],[SP Completed (COS &amp; SOS)]]),0)</f>
        <v>0</v>
      </c>
      <c r="AA37" s="1"/>
      <c r="AB37" s="1"/>
      <c r="AC37" s="1"/>
      <c r="AD37" s="1"/>
      <c r="AE37" s="1"/>
      <c r="AF37" s="1"/>
      <c r="AG37" s="1"/>
      <c r="AH37" s="1"/>
      <c r="AI37" s="1"/>
      <c r="AJ37" s="1"/>
      <c r="AK37" s="1"/>
      <c r="AL37" s="1"/>
      <c r="AM37" s="1"/>
    </row>
    <row r="38" spans="1:39" s="213" customFormat="1" hidden="1">
      <c r="A38" s="214" t="s">
        <v>1518</v>
      </c>
      <c r="B38" s="47" t="s">
        <v>1519</v>
      </c>
      <c r="C38" s="203" t="s">
        <v>382</v>
      </c>
      <c r="D38" s="203">
        <v>3</v>
      </c>
      <c r="E38" s="203" t="s">
        <v>324</v>
      </c>
      <c r="F38" s="204">
        <v>1</v>
      </c>
      <c r="G38" s="203" t="s">
        <v>35</v>
      </c>
      <c r="H38" s="205" t="s">
        <v>209</v>
      </c>
      <c r="I38" s="206"/>
      <c r="J38" s="203" t="s">
        <v>125</v>
      </c>
      <c r="K38" s="204"/>
      <c r="L38" s="204"/>
      <c r="M38" s="208">
        <f>IF(Tabelle132456891011121314[[#This Row],[Pulled after Start]]="",MIN(Tabelle132456891011121314[[#This Row],[Jira Story Points]],Tabelle132456891011121314[[#This Row],[Carry-over]]),0)</f>
        <v>0</v>
      </c>
      <c r="N38" s="209">
        <f>MIN(Tabelle132456891011121314[[#This Row],[Jira Story Points]],Tabelle132456891011121314[[#This Row],[Carry-over]])-Tabelle132456891011121314[[#This Row],[SP Initially Planned (COS)]]</f>
        <v>1</v>
      </c>
      <c r="O38"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v>
      </c>
      <c r="P38" s="211">
        <f>IFERROR(IF(Tabelle132456891011121314[[#This Row],[Status]]=$J$5,MIN(Tabelle132456891011121314[[#This Row],[Jira Story Points]],Tabelle132456891011121314[[#This Row],[Carry-over]]),0),0)</f>
        <v>0</v>
      </c>
      <c r="Q38" s="211">
        <f>IFERROR(IF(Tabelle132456891011121314[[#This Row],[Status]]=$J$5,0,MIN(Tabelle132456891011121314[[#This Row],[Jira Story Points]],Tabelle132456891011121314[[#This Row],[Carry-over]])-Tabelle132456891011121314[[#This Row],[SP Completed (COS &amp; SOS)]]),0)</f>
        <v>0</v>
      </c>
      <c r="AA38" s="2"/>
      <c r="AB38" s="2"/>
      <c r="AC38" s="2"/>
      <c r="AD38" s="2"/>
      <c r="AE38" s="2"/>
      <c r="AF38" s="2"/>
      <c r="AG38" s="2"/>
      <c r="AH38" s="2"/>
      <c r="AI38" s="2"/>
      <c r="AJ38" s="2"/>
      <c r="AK38" s="2"/>
      <c r="AL38" s="2"/>
      <c r="AM38" s="2"/>
    </row>
    <row r="39" spans="1:39" s="213" customFormat="1" hidden="1">
      <c r="A39" s="214" t="s">
        <v>1520</v>
      </c>
      <c r="B39" s="49" t="s">
        <v>1521</v>
      </c>
      <c r="C39" s="203" t="s">
        <v>375</v>
      </c>
      <c r="D39" s="203">
        <v>1</v>
      </c>
      <c r="E39" s="203" t="s">
        <v>324</v>
      </c>
      <c r="F39" s="204">
        <v>2</v>
      </c>
      <c r="G39" s="203" t="s">
        <v>35</v>
      </c>
      <c r="H39" s="205" t="s">
        <v>209</v>
      </c>
      <c r="I39" s="206"/>
      <c r="J39" s="203" t="s">
        <v>125</v>
      </c>
      <c r="K39" s="204"/>
      <c r="L39" s="204"/>
      <c r="M39" s="208">
        <f>IF(Tabelle132456891011121314[[#This Row],[Pulled after Start]]="",MIN(Tabelle132456891011121314[[#This Row],[Jira Story Points]],Tabelle132456891011121314[[#This Row],[Carry-over]]),0)</f>
        <v>0</v>
      </c>
      <c r="N39" s="209">
        <f>MIN(Tabelle132456891011121314[[#This Row],[Jira Story Points]],Tabelle132456891011121314[[#This Row],[Carry-over]])-Tabelle132456891011121314[[#This Row],[SP Initially Planned (COS)]]</f>
        <v>2</v>
      </c>
      <c r="O39"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2</v>
      </c>
      <c r="P39" s="211">
        <f>IFERROR(IF(Tabelle132456891011121314[[#This Row],[Status]]=$J$5,MIN(Tabelle132456891011121314[[#This Row],[Jira Story Points]],Tabelle132456891011121314[[#This Row],[Carry-over]]),0),0)</f>
        <v>0</v>
      </c>
      <c r="Q39" s="211">
        <f>IFERROR(IF(Tabelle132456891011121314[[#This Row],[Status]]=$J$5,0,MIN(Tabelle132456891011121314[[#This Row],[Jira Story Points]],Tabelle132456891011121314[[#This Row],[Carry-over]])-Tabelle132456891011121314[[#This Row],[SP Completed (COS &amp; SOS)]]),0)</f>
        <v>0</v>
      </c>
      <c r="AA39" s="2"/>
      <c r="AB39" s="2"/>
      <c r="AC39" s="2"/>
      <c r="AD39" s="2"/>
      <c r="AE39" s="2"/>
      <c r="AF39" s="2"/>
      <c r="AG39" s="2"/>
      <c r="AH39" s="2"/>
      <c r="AI39" s="2"/>
      <c r="AJ39" s="2"/>
      <c r="AK39" s="2"/>
      <c r="AL39" s="2"/>
      <c r="AM39" s="2"/>
    </row>
    <row r="40" spans="1:39" s="213" customFormat="1" hidden="1">
      <c r="A40" s="214" t="s">
        <v>1522</v>
      </c>
      <c r="B40" s="49" t="s">
        <v>1523</v>
      </c>
      <c r="C40" s="203" t="s">
        <v>372</v>
      </c>
      <c r="D40" s="203">
        <v>3</v>
      </c>
      <c r="E40" s="203" t="s">
        <v>324</v>
      </c>
      <c r="F40" s="204">
        <v>1</v>
      </c>
      <c r="G40" s="203" t="s">
        <v>35</v>
      </c>
      <c r="H40" s="205" t="s">
        <v>209</v>
      </c>
      <c r="I40" s="220"/>
      <c r="J40" s="203" t="s">
        <v>125</v>
      </c>
      <c r="K40" s="204"/>
      <c r="L40" s="204"/>
      <c r="M40" s="208">
        <f>IF(Tabelle132456891011121314[[#This Row],[Pulled after Start]]="",MIN(Tabelle132456891011121314[[#This Row],[Jira Story Points]],Tabelle132456891011121314[[#This Row],[Carry-over]]),0)</f>
        <v>0</v>
      </c>
      <c r="N40" s="209">
        <f>MIN(Tabelle132456891011121314[[#This Row],[Jira Story Points]],Tabelle132456891011121314[[#This Row],[Carry-over]])-Tabelle132456891011121314[[#This Row],[SP Initially Planned (COS)]]</f>
        <v>1</v>
      </c>
      <c r="O40"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v>
      </c>
      <c r="P40" s="211">
        <f>IFERROR(IF(Tabelle132456891011121314[[#This Row],[Status]]=$J$5,MIN(Tabelle132456891011121314[[#This Row],[Jira Story Points]],Tabelle132456891011121314[[#This Row],[Carry-over]]),0),0)</f>
        <v>0</v>
      </c>
      <c r="Q40" s="211">
        <f>IFERROR(IF(Tabelle132456891011121314[[#This Row],[Status]]=$J$5,0,MIN(Tabelle132456891011121314[[#This Row],[Jira Story Points]],Tabelle132456891011121314[[#This Row],[Carry-over]])-Tabelle132456891011121314[[#This Row],[SP Completed (COS &amp; SOS)]]),0)</f>
        <v>0</v>
      </c>
      <c r="AA40" s="2"/>
      <c r="AB40" s="2"/>
      <c r="AC40" s="2"/>
      <c r="AD40" s="2"/>
      <c r="AE40" s="2"/>
      <c r="AF40" s="2"/>
      <c r="AG40" s="2"/>
      <c r="AH40" s="2"/>
      <c r="AI40" s="2"/>
      <c r="AJ40" s="2"/>
      <c r="AK40" s="2"/>
      <c r="AL40" s="2"/>
      <c r="AM40" s="2"/>
    </row>
    <row r="41" spans="1:39" s="213" customFormat="1" hidden="1">
      <c r="A41" s="214" t="s">
        <v>1524</v>
      </c>
      <c r="B41" s="49" t="s">
        <v>1525</v>
      </c>
      <c r="C41" s="203" t="s">
        <v>382</v>
      </c>
      <c r="D41" s="203">
        <v>3</v>
      </c>
      <c r="E41" s="203" t="s">
        <v>324</v>
      </c>
      <c r="F41" s="204">
        <v>1</v>
      </c>
      <c r="G41" s="203" t="s">
        <v>35</v>
      </c>
      <c r="H41" s="205" t="s">
        <v>209</v>
      </c>
      <c r="I41" s="220"/>
      <c r="J41" s="203" t="s">
        <v>125</v>
      </c>
      <c r="K41" s="204"/>
      <c r="L41" s="204"/>
      <c r="M41" s="208">
        <f>IF(Tabelle132456891011121314[[#This Row],[Pulled after Start]]="",MIN(Tabelle132456891011121314[[#This Row],[Jira Story Points]],Tabelle132456891011121314[[#This Row],[Carry-over]]),0)</f>
        <v>0</v>
      </c>
      <c r="N41" s="209">
        <f>MIN(Tabelle132456891011121314[[#This Row],[Jira Story Points]],Tabelle132456891011121314[[#This Row],[Carry-over]])-Tabelle132456891011121314[[#This Row],[SP Initially Planned (COS)]]</f>
        <v>1</v>
      </c>
      <c r="O41"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v>
      </c>
      <c r="P41" s="211">
        <f>IFERROR(IF(Tabelle132456891011121314[[#This Row],[Status]]=$J$5,MIN(Tabelle132456891011121314[[#This Row],[Jira Story Points]],Tabelle132456891011121314[[#This Row],[Carry-over]]),0),0)</f>
        <v>0</v>
      </c>
      <c r="Q41" s="211">
        <f>IFERROR(IF(Tabelle132456891011121314[[#This Row],[Status]]=$J$5,0,MIN(Tabelle132456891011121314[[#This Row],[Jira Story Points]],Tabelle132456891011121314[[#This Row],[Carry-over]])-Tabelle132456891011121314[[#This Row],[SP Completed (COS &amp; SOS)]]),0)</f>
        <v>0</v>
      </c>
      <c r="AA41" s="2"/>
      <c r="AB41" s="2"/>
      <c r="AC41" s="2"/>
      <c r="AD41" s="2"/>
      <c r="AE41" s="2"/>
      <c r="AF41" s="2"/>
      <c r="AG41" s="2"/>
      <c r="AH41" s="2"/>
      <c r="AI41" s="2"/>
      <c r="AJ41" s="2"/>
      <c r="AK41" s="2"/>
      <c r="AL41" s="2"/>
      <c r="AM41" s="2"/>
    </row>
    <row r="42" spans="1:39" s="213" customFormat="1" hidden="1">
      <c r="A42" s="214" t="s">
        <v>582</v>
      </c>
      <c r="B42" s="49" t="s">
        <v>1317</v>
      </c>
      <c r="C42" s="203" t="s">
        <v>375</v>
      </c>
      <c r="D42" s="203">
        <v>3</v>
      </c>
      <c r="E42" s="203" t="s">
        <v>351</v>
      </c>
      <c r="F42" s="204">
        <v>3</v>
      </c>
      <c r="G42" s="203" t="s">
        <v>35</v>
      </c>
      <c r="H42" s="205"/>
      <c r="I42" s="206"/>
      <c r="J42" s="203" t="s">
        <v>127</v>
      </c>
      <c r="K42" s="204"/>
      <c r="L42" s="204"/>
      <c r="M42" s="208">
        <f>IF(Tabelle132456891011121314[[#This Row],[Pulled after Start]]="",MIN(Tabelle132456891011121314[[#This Row],[Jira Story Points]],Tabelle132456891011121314[[#This Row],[Carry-over]]),0)</f>
        <v>3</v>
      </c>
      <c r="N42" s="209">
        <f>MIN(Tabelle132456891011121314[[#This Row],[Jira Story Points]],Tabelle132456891011121314[[#This Row],[Carry-over]])-Tabelle132456891011121314[[#This Row],[SP Initially Planned (COS)]]</f>
        <v>0</v>
      </c>
      <c r="O42"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42" s="211">
        <f>IFERROR(IF(Tabelle132456891011121314[[#This Row],[Status]]=$J$5,MIN(Tabelle132456891011121314[[#This Row],[Jira Story Points]],Tabelle132456891011121314[[#This Row],[Carry-over]]),0),0)</f>
        <v>0</v>
      </c>
      <c r="Q42" s="211">
        <f>IFERROR(IF(Tabelle132456891011121314[[#This Row],[Status]]=$J$5,0,MIN(Tabelle132456891011121314[[#This Row],[Jira Story Points]],Tabelle132456891011121314[[#This Row],[Carry-over]])-Tabelle132456891011121314[[#This Row],[SP Completed (COS &amp; SOS)]]),0)</f>
        <v>3</v>
      </c>
      <c r="AA42" s="2"/>
      <c r="AB42" s="2"/>
      <c r="AC42" s="2"/>
      <c r="AD42" s="2"/>
      <c r="AE42" s="2"/>
      <c r="AF42" s="2"/>
      <c r="AG42" s="2"/>
      <c r="AH42" s="2"/>
      <c r="AI42" s="2"/>
      <c r="AJ42" s="2"/>
      <c r="AK42" s="2"/>
      <c r="AL42" s="2"/>
      <c r="AM42" s="2"/>
    </row>
    <row r="43" spans="1:39" ht="13.5" hidden="1" customHeight="1">
      <c r="A43" s="214" t="s">
        <v>1318</v>
      </c>
      <c r="B43" s="49" t="s">
        <v>1319</v>
      </c>
      <c r="C43" s="203" t="s">
        <v>372</v>
      </c>
      <c r="D43" s="203">
        <v>3</v>
      </c>
      <c r="E43" s="203" t="s">
        <v>327</v>
      </c>
      <c r="F43" s="204">
        <v>3</v>
      </c>
      <c r="G43" s="203" t="s">
        <v>35</v>
      </c>
      <c r="H43" s="205"/>
      <c r="I43" s="206"/>
      <c r="J43" s="203" t="s">
        <v>127</v>
      </c>
      <c r="K43" s="204"/>
      <c r="L43" s="204"/>
      <c r="M43" s="208">
        <f>IF(Tabelle132456891011121314[[#This Row],[Pulled after Start]]="",MIN(Tabelle132456891011121314[[#This Row],[Jira Story Points]],Tabelle132456891011121314[[#This Row],[Carry-over]]),0)</f>
        <v>3</v>
      </c>
      <c r="N43" s="209">
        <f>MIN(Tabelle132456891011121314[[#This Row],[Jira Story Points]],Tabelle132456891011121314[[#This Row],[Carry-over]])-Tabelle132456891011121314[[#This Row],[SP Initially Planned (COS)]]</f>
        <v>0</v>
      </c>
      <c r="O43"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43" s="211">
        <f>IFERROR(IF(Tabelle132456891011121314[[#This Row],[Status]]=$J$5,MIN(Tabelle132456891011121314[[#This Row],[Jira Story Points]],Tabelle132456891011121314[[#This Row],[Carry-over]]),0),0)</f>
        <v>0</v>
      </c>
      <c r="Q43" s="211">
        <f>IFERROR(IF(Tabelle132456891011121314[[#This Row],[Status]]=$J$5,0,MIN(Tabelle132456891011121314[[#This Row],[Jira Story Points]],Tabelle132456891011121314[[#This Row],[Carry-over]])-Tabelle132456891011121314[[#This Row],[SP Completed (COS &amp; SOS)]]),0)</f>
        <v>3</v>
      </c>
    </row>
    <row r="44" spans="1:39" ht="13.5" hidden="1" customHeight="1">
      <c r="A44" s="214" t="s">
        <v>1101</v>
      </c>
      <c r="B44" s="49" t="s">
        <v>1102</v>
      </c>
      <c r="C44" s="203" t="s">
        <v>375</v>
      </c>
      <c r="D44" s="203">
        <v>1</v>
      </c>
      <c r="E44" s="203" t="s">
        <v>628</v>
      </c>
      <c r="F44" s="204">
        <v>3</v>
      </c>
      <c r="G44" s="203" t="s">
        <v>35</v>
      </c>
      <c r="H44" s="205"/>
      <c r="I44" s="206"/>
      <c r="J44" s="203" t="s">
        <v>125</v>
      </c>
      <c r="K44" s="204"/>
      <c r="L44" s="204"/>
      <c r="M44" s="208">
        <f>IF(Tabelle132456891011121314[[#This Row],[Pulled after Start]]="",MIN(Tabelle132456891011121314[[#This Row],[Jira Story Points]],Tabelle132456891011121314[[#This Row],[Carry-over]]),0)</f>
        <v>3</v>
      </c>
      <c r="N44" s="209">
        <f>MIN(Tabelle132456891011121314[[#This Row],[Jira Story Points]],Tabelle132456891011121314[[#This Row],[Carry-over]])-Tabelle132456891011121314[[#This Row],[SP Initially Planned (COS)]]</f>
        <v>0</v>
      </c>
      <c r="O44"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44" s="211">
        <f>IFERROR(IF(Tabelle132456891011121314[[#This Row],[Status]]=$J$5,MIN(Tabelle132456891011121314[[#This Row],[Jira Story Points]],Tabelle132456891011121314[[#This Row],[Carry-over]]),0),0)</f>
        <v>0</v>
      </c>
      <c r="Q44" s="211">
        <f>IFERROR(IF(Tabelle132456891011121314[[#This Row],[Status]]=$J$5,0,MIN(Tabelle132456891011121314[[#This Row],[Jira Story Points]],Tabelle132456891011121314[[#This Row],[Carry-over]])-Tabelle132456891011121314[[#This Row],[SP Completed (COS &amp; SOS)]]),0)</f>
        <v>0</v>
      </c>
    </row>
    <row r="45" spans="1:39" ht="13.5" hidden="1" customHeight="1">
      <c r="A45" s="214" t="s">
        <v>1526</v>
      </c>
      <c r="B45" s="49" t="s">
        <v>1527</v>
      </c>
      <c r="C45" s="203" t="s">
        <v>375</v>
      </c>
      <c r="D45" s="203">
        <v>3</v>
      </c>
      <c r="E45" s="203" t="s">
        <v>1247</v>
      </c>
      <c r="F45" s="204">
        <v>3</v>
      </c>
      <c r="G45" s="203" t="s">
        <v>35</v>
      </c>
      <c r="H45" s="205"/>
      <c r="I45" s="206"/>
      <c r="J45" s="203" t="s">
        <v>125</v>
      </c>
      <c r="K45" s="204"/>
      <c r="L45" s="204"/>
      <c r="M45" s="208">
        <f>IF(Tabelle132456891011121314[[#This Row],[Pulled after Start]]="",MIN(Tabelle132456891011121314[[#This Row],[Jira Story Points]],Tabelle132456891011121314[[#This Row],[Carry-over]]),0)</f>
        <v>3</v>
      </c>
      <c r="N45" s="209">
        <f>MIN(Tabelle132456891011121314[[#This Row],[Jira Story Points]],Tabelle132456891011121314[[#This Row],[Carry-over]])-Tabelle132456891011121314[[#This Row],[SP Initially Planned (COS)]]</f>
        <v>0</v>
      </c>
      <c r="O45"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45" s="211">
        <f>IFERROR(IF(Tabelle132456891011121314[[#This Row],[Status]]=$J$5,MIN(Tabelle132456891011121314[[#This Row],[Jira Story Points]],Tabelle132456891011121314[[#This Row],[Carry-over]]),0),0)</f>
        <v>0</v>
      </c>
      <c r="Q45" s="211">
        <f>IFERROR(IF(Tabelle132456891011121314[[#This Row],[Status]]=$J$5,0,MIN(Tabelle132456891011121314[[#This Row],[Jira Story Points]],Tabelle132456891011121314[[#This Row],[Carry-over]])-Tabelle132456891011121314[[#This Row],[SP Completed (COS &amp; SOS)]]),0)</f>
        <v>0</v>
      </c>
    </row>
    <row r="46" spans="1:39" ht="13.5" hidden="1" customHeight="1">
      <c r="A46" s="214" t="s">
        <v>1528</v>
      </c>
      <c r="B46" s="49" t="s">
        <v>1529</v>
      </c>
      <c r="C46" s="203" t="s">
        <v>372</v>
      </c>
      <c r="D46" s="203">
        <v>3</v>
      </c>
      <c r="E46" s="203" t="s">
        <v>642</v>
      </c>
      <c r="F46" s="204">
        <v>5</v>
      </c>
      <c r="G46" s="203" t="s">
        <v>35</v>
      </c>
      <c r="H46" s="205"/>
      <c r="I46" s="220"/>
      <c r="J46" s="203" t="s">
        <v>125</v>
      </c>
      <c r="K46" s="204"/>
      <c r="L46" s="204"/>
      <c r="M46" s="208">
        <f>IF(Tabelle132456891011121314[[#This Row],[Pulled after Start]]="",MIN(Tabelle132456891011121314[[#This Row],[Jira Story Points]],Tabelle132456891011121314[[#This Row],[Carry-over]]),0)</f>
        <v>5</v>
      </c>
      <c r="N46" s="209">
        <f>MIN(Tabelle132456891011121314[[#This Row],[Jira Story Points]],Tabelle132456891011121314[[#This Row],[Carry-over]])-Tabelle132456891011121314[[#This Row],[SP Initially Planned (COS)]]</f>
        <v>0</v>
      </c>
      <c r="O46"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5</v>
      </c>
      <c r="P46" s="211">
        <f>IFERROR(IF(Tabelle132456891011121314[[#This Row],[Status]]=$J$5,MIN(Tabelle132456891011121314[[#This Row],[Jira Story Points]],Tabelle132456891011121314[[#This Row],[Carry-over]]),0),0)</f>
        <v>0</v>
      </c>
      <c r="Q46" s="211">
        <f>IFERROR(IF(Tabelle132456891011121314[[#This Row],[Status]]=$J$5,0,MIN(Tabelle132456891011121314[[#This Row],[Jira Story Points]],Tabelle132456891011121314[[#This Row],[Carry-over]])-Tabelle132456891011121314[[#This Row],[SP Completed (COS &amp; SOS)]]),0)</f>
        <v>0</v>
      </c>
    </row>
    <row r="47" spans="1:39" ht="13.5" hidden="1" customHeight="1">
      <c r="A47" s="214" t="s">
        <v>1313</v>
      </c>
      <c r="B47" s="47" t="s">
        <v>1314</v>
      </c>
      <c r="C47" s="203" t="s">
        <v>375</v>
      </c>
      <c r="D47" s="203">
        <v>3</v>
      </c>
      <c r="E47" s="203" t="s">
        <v>637</v>
      </c>
      <c r="F47" s="204">
        <v>3</v>
      </c>
      <c r="G47" s="203" t="s">
        <v>35</v>
      </c>
      <c r="H47" s="205"/>
      <c r="I47" s="206"/>
      <c r="J47" s="203" t="s">
        <v>127</v>
      </c>
      <c r="K47" s="204"/>
      <c r="L47" s="204"/>
      <c r="M47" s="208">
        <f>IF(Tabelle132456891011121314[[#This Row],[Pulled after Start]]="",MIN(Tabelle132456891011121314[[#This Row],[Jira Story Points]],Tabelle132456891011121314[[#This Row],[Carry-over]]),0)</f>
        <v>3</v>
      </c>
      <c r="N47" s="209">
        <f>MIN(Tabelle132456891011121314[[#This Row],[Jira Story Points]],Tabelle132456891011121314[[#This Row],[Carry-over]])-Tabelle132456891011121314[[#This Row],[SP Initially Planned (COS)]]</f>
        <v>0</v>
      </c>
      <c r="O47"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47" s="211">
        <f>IFERROR(IF(Tabelle132456891011121314[[#This Row],[Status]]=$J$5,MIN(Tabelle132456891011121314[[#This Row],[Jira Story Points]],Tabelle132456891011121314[[#This Row],[Carry-over]]),0),0)</f>
        <v>0</v>
      </c>
      <c r="Q47" s="211">
        <f>IFERROR(IF(Tabelle132456891011121314[[#This Row],[Status]]=$J$5,0,MIN(Tabelle132456891011121314[[#This Row],[Jira Story Points]],Tabelle132456891011121314[[#This Row],[Carry-over]])-Tabelle132456891011121314[[#This Row],[SP Completed (COS &amp; SOS)]]),0)</f>
        <v>3</v>
      </c>
    </row>
    <row r="48" spans="1:39" ht="13.5" hidden="1" customHeight="1">
      <c r="A48" s="214" t="s">
        <v>1315</v>
      </c>
      <c r="B48" s="47" t="s">
        <v>1316</v>
      </c>
      <c r="C48" s="203" t="s">
        <v>375</v>
      </c>
      <c r="D48" s="203">
        <v>3</v>
      </c>
      <c r="E48" s="203" t="s">
        <v>327</v>
      </c>
      <c r="F48" s="204">
        <v>3</v>
      </c>
      <c r="G48" s="203" t="s">
        <v>35</v>
      </c>
      <c r="H48" s="205"/>
      <c r="I48" s="206"/>
      <c r="J48" s="203" t="s">
        <v>125</v>
      </c>
      <c r="K48" s="204"/>
      <c r="L48" s="204"/>
      <c r="M48" s="208">
        <f>IF(Tabelle132456891011121314[[#This Row],[Pulled after Start]]="",MIN(Tabelle132456891011121314[[#This Row],[Jira Story Points]],Tabelle132456891011121314[[#This Row],[Carry-over]]),0)</f>
        <v>3</v>
      </c>
      <c r="N48" s="209">
        <f>MIN(Tabelle132456891011121314[[#This Row],[Jira Story Points]],Tabelle132456891011121314[[#This Row],[Carry-over]])-Tabelle132456891011121314[[#This Row],[SP Initially Planned (COS)]]</f>
        <v>0</v>
      </c>
      <c r="O48"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48" s="211">
        <f>IFERROR(IF(Tabelle132456891011121314[[#This Row],[Status]]=$J$5,MIN(Tabelle132456891011121314[[#This Row],[Jira Story Points]],Tabelle132456891011121314[[#This Row],[Carry-over]]),0),0)</f>
        <v>0</v>
      </c>
      <c r="Q48" s="211">
        <f>IFERROR(IF(Tabelle132456891011121314[[#This Row],[Status]]=$J$5,0,MIN(Tabelle132456891011121314[[#This Row],[Jira Story Points]],Tabelle132456891011121314[[#This Row],[Carry-over]])-Tabelle132456891011121314[[#This Row],[SP Completed (COS &amp; SOS)]]),0)</f>
        <v>0</v>
      </c>
    </row>
    <row r="49" spans="1:17" ht="13.5" hidden="1" customHeight="1">
      <c r="A49" s="214" t="s">
        <v>1530</v>
      </c>
      <c r="B49" s="47" t="s">
        <v>1531</v>
      </c>
      <c r="C49" s="203" t="s">
        <v>372</v>
      </c>
      <c r="D49" s="203">
        <v>3</v>
      </c>
      <c r="E49" s="203" t="s">
        <v>637</v>
      </c>
      <c r="F49" s="204">
        <v>2</v>
      </c>
      <c r="G49" s="203" t="s">
        <v>35</v>
      </c>
      <c r="H49" s="205"/>
      <c r="I49" s="206"/>
      <c r="J49" s="203" t="s">
        <v>125</v>
      </c>
      <c r="K49" s="204"/>
      <c r="L49" s="204"/>
      <c r="M49" s="208">
        <f>IF(Tabelle132456891011121314[[#This Row],[Pulled after Start]]="",MIN(Tabelle132456891011121314[[#This Row],[Jira Story Points]],Tabelle132456891011121314[[#This Row],[Carry-over]]),0)</f>
        <v>2</v>
      </c>
      <c r="N49" s="209">
        <f>MIN(Tabelle132456891011121314[[#This Row],[Jira Story Points]],Tabelle132456891011121314[[#This Row],[Carry-over]])-Tabelle132456891011121314[[#This Row],[SP Initially Planned (COS)]]</f>
        <v>0</v>
      </c>
      <c r="O49"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2</v>
      </c>
      <c r="P49" s="211">
        <f>IFERROR(IF(Tabelle132456891011121314[[#This Row],[Status]]=$J$5,MIN(Tabelle132456891011121314[[#This Row],[Jira Story Points]],Tabelle132456891011121314[[#This Row],[Carry-over]]),0),0)</f>
        <v>0</v>
      </c>
      <c r="Q49" s="211">
        <f>IFERROR(IF(Tabelle132456891011121314[[#This Row],[Status]]=$J$5,0,MIN(Tabelle132456891011121314[[#This Row],[Jira Story Points]],Tabelle132456891011121314[[#This Row],[Carry-over]])-Tabelle132456891011121314[[#This Row],[SP Completed (COS &amp; SOS)]]),0)</f>
        <v>0</v>
      </c>
    </row>
    <row r="50" spans="1:17" ht="13.5" hidden="1" customHeight="1">
      <c r="A50" s="214" t="s">
        <v>1532</v>
      </c>
      <c r="B50" s="47" t="s">
        <v>646</v>
      </c>
      <c r="C50" s="203" t="s">
        <v>382</v>
      </c>
      <c r="D50" s="203">
        <v>3</v>
      </c>
      <c r="E50" s="203" t="s">
        <v>330</v>
      </c>
      <c r="F50" s="204">
        <v>3</v>
      </c>
      <c r="G50" s="203" t="s">
        <v>35</v>
      </c>
      <c r="H50" s="205"/>
      <c r="I50" s="206"/>
      <c r="J50" s="203" t="s">
        <v>125</v>
      </c>
      <c r="K50" s="204"/>
      <c r="L50" s="204"/>
      <c r="M50" s="208">
        <f>IF(Tabelle132456891011121314[[#This Row],[Pulled after Start]]="",MIN(Tabelle132456891011121314[[#This Row],[Jira Story Points]],Tabelle132456891011121314[[#This Row],[Carry-over]]),0)</f>
        <v>3</v>
      </c>
      <c r="N50" s="209">
        <f>MIN(Tabelle132456891011121314[[#This Row],[Jira Story Points]],Tabelle132456891011121314[[#This Row],[Carry-over]])-Tabelle132456891011121314[[#This Row],[SP Initially Planned (COS)]]</f>
        <v>0</v>
      </c>
      <c r="O50"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50" s="211">
        <f>IFERROR(IF(Tabelle132456891011121314[[#This Row],[Status]]=$J$5,MIN(Tabelle132456891011121314[[#This Row],[Jira Story Points]],Tabelle132456891011121314[[#This Row],[Carry-over]]),0),0)</f>
        <v>0</v>
      </c>
      <c r="Q50" s="211">
        <f>IFERROR(IF(Tabelle132456891011121314[[#This Row],[Status]]=$J$5,0,MIN(Tabelle132456891011121314[[#This Row],[Jira Story Points]],Tabelle132456891011121314[[#This Row],[Carry-over]])-Tabelle132456891011121314[[#This Row],[SP Completed (COS &amp; SOS)]]),0)</f>
        <v>0</v>
      </c>
    </row>
    <row r="51" spans="1:17" ht="13.5" hidden="1" customHeight="1">
      <c r="A51" s="214" t="s">
        <v>1105</v>
      </c>
      <c r="B51" s="47" t="s">
        <v>1106</v>
      </c>
      <c r="C51" s="203" t="s">
        <v>375</v>
      </c>
      <c r="D51" s="203">
        <v>1</v>
      </c>
      <c r="E51" s="203" t="s">
        <v>637</v>
      </c>
      <c r="F51" s="204">
        <v>3</v>
      </c>
      <c r="G51" s="203" t="s">
        <v>35</v>
      </c>
      <c r="H51" s="205" t="s">
        <v>209</v>
      </c>
      <c r="I51" s="206"/>
      <c r="J51" s="203" t="s">
        <v>127</v>
      </c>
      <c r="K51" s="204"/>
      <c r="L51" s="204"/>
      <c r="M51" s="208">
        <f>IF(Tabelle132456891011121314[[#This Row],[Pulled after Start]]="",MIN(Tabelle132456891011121314[[#This Row],[Jira Story Points]],Tabelle132456891011121314[[#This Row],[Carry-over]]),0)</f>
        <v>0</v>
      </c>
      <c r="N51" s="209">
        <f>MIN(Tabelle132456891011121314[[#This Row],[Jira Story Points]],Tabelle132456891011121314[[#This Row],[Carry-over]])-Tabelle132456891011121314[[#This Row],[SP Initially Planned (COS)]]</f>
        <v>3</v>
      </c>
      <c r="O51"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51" s="211">
        <f>IFERROR(IF(Tabelle132456891011121314[[#This Row],[Status]]=$J$5,MIN(Tabelle132456891011121314[[#This Row],[Jira Story Points]],Tabelle132456891011121314[[#This Row],[Carry-over]]),0),0)</f>
        <v>0</v>
      </c>
      <c r="Q51" s="211">
        <f>IFERROR(IF(Tabelle132456891011121314[[#This Row],[Status]]=$J$5,0,MIN(Tabelle132456891011121314[[#This Row],[Jira Story Points]],Tabelle132456891011121314[[#This Row],[Carry-over]])-Tabelle132456891011121314[[#This Row],[SP Completed (COS &amp; SOS)]]),0)</f>
        <v>3</v>
      </c>
    </row>
    <row r="52" spans="1:17" ht="13.5" hidden="1" customHeight="1">
      <c r="A52" s="214" t="s">
        <v>1533</v>
      </c>
      <c r="B52" s="47" t="s">
        <v>1534</v>
      </c>
      <c r="C52" s="203" t="s">
        <v>372</v>
      </c>
      <c r="D52" s="203">
        <v>3</v>
      </c>
      <c r="E52" s="203" t="s">
        <v>642</v>
      </c>
      <c r="F52" s="204">
        <v>1</v>
      </c>
      <c r="G52" s="203" t="s">
        <v>35</v>
      </c>
      <c r="H52" s="205"/>
      <c r="I52" s="206"/>
      <c r="J52" s="203" t="s">
        <v>125</v>
      </c>
      <c r="K52" s="204"/>
      <c r="L52" s="204"/>
      <c r="M52" s="208">
        <f>IF(Tabelle132456891011121314[[#This Row],[Pulled after Start]]="",MIN(Tabelle132456891011121314[[#This Row],[Jira Story Points]],Tabelle132456891011121314[[#This Row],[Carry-over]]),0)</f>
        <v>1</v>
      </c>
      <c r="N52" s="209">
        <f>MIN(Tabelle132456891011121314[[#This Row],[Jira Story Points]],Tabelle132456891011121314[[#This Row],[Carry-over]])-Tabelle132456891011121314[[#This Row],[SP Initially Planned (COS)]]</f>
        <v>0</v>
      </c>
      <c r="O52"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v>
      </c>
      <c r="P52" s="211">
        <f>IFERROR(IF(Tabelle132456891011121314[[#This Row],[Status]]=$J$5,MIN(Tabelle132456891011121314[[#This Row],[Jira Story Points]],Tabelle132456891011121314[[#This Row],[Carry-over]]),0),0)</f>
        <v>0</v>
      </c>
      <c r="Q52" s="211">
        <f>IFERROR(IF(Tabelle132456891011121314[[#This Row],[Status]]=$J$5,0,MIN(Tabelle132456891011121314[[#This Row],[Jira Story Points]],Tabelle132456891011121314[[#This Row],[Carry-over]])-Tabelle132456891011121314[[#This Row],[SP Completed (COS &amp; SOS)]]),0)</f>
        <v>0</v>
      </c>
    </row>
    <row r="53" spans="1:17" ht="13.5" customHeight="1">
      <c r="A53" s="202" t="s">
        <v>1535</v>
      </c>
      <c r="B53" t="s">
        <v>1536</v>
      </c>
      <c r="C53" s="203" t="s">
        <v>372</v>
      </c>
      <c r="D53" s="203">
        <v>2</v>
      </c>
      <c r="E53" s="203" t="s">
        <v>216</v>
      </c>
      <c r="F53" s="204">
        <v>3</v>
      </c>
      <c r="G53" s="203" t="s">
        <v>12</v>
      </c>
      <c r="H53" s="205"/>
      <c r="I53" s="206" t="s">
        <v>1537</v>
      </c>
      <c r="J53" s="203" t="s">
        <v>125</v>
      </c>
      <c r="K53" s="207"/>
      <c r="L53" s="204"/>
      <c r="M53" s="208">
        <f>IF(Tabelle132456891011121314[[#This Row],[Pulled after Start]]="",MIN(Tabelle132456891011121314[[#This Row],[Jira Story Points]],Tabelle132456891011121314[[#This Row],[Carry-over]]),0)</f>
        <v>3</v>
      </c>
      <c r="N53" s="209">
        <f>MIN(Tabelle132456891011121314[[#This Row],[Jira Story Points]],Tabelle132456891011121314[[#This Row],[Carry-over]])-Tabelle132456891011121314[[#This Row],[SP Initially Planned (COS)]]</f>
        <v>0</v>
      </c>
      <c r="O53"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53" s="211">
        <f>IFERROR(IF(Tabelle132456891011121314[[#This Row],[Status]]=$J$5,MIN(Tabelle132456891011121314[[#This Row],[Jira Story Points]],Tabelle132456891011121314[[#This Row],[Carry-over]]),0),0)</f>
        <v>0</v>
      </c>
      <c r="Q53" s="211">
        <f>IFERROR(IF(Tabelle132456891011121314[[#This Row],[Status]]=$J$5,0,MIN(Tabelle132456891011121314[[#This Row],[Jira Story Points]],Tabelle132456891011121314[[#This Row],[Carry-over]])-Tabelle132456891011121314[[#This Row],[SP Completed (COS &amp; SOS)]]),0)</f>
        <v>0</v>
      </c>
    </row>
    <row r="54" spans="1:17" ht="13.5" customHeight="1">
      <c r="A54" s="202" t="s">
        <v>1538</v>
      </c>
      <c r="B54" t="s">
        <v>1539</v>
      </c>
      <c r="C54" s="212" t="s">
        <v>372</v>
      </c>
      <c r="D54" s="212">
        <v>3</v>
      </c>
      <c r="E54" s="212" t="s">
        <v>216</v>
      </c>
      <c r="F54" s="212">
        <v>1</v>
      </c>
      <c r="G54" s="203" t="s">
        <v>12</v>
      </c>
      <c r="H54" s="205"/>
      <c r="I54" s="206" t="s">
        <v>270</v>
      </c>
      <c r="J54" s="203" t="s">
        <v>125</v>
      </c>
      <c r="K54" s="204"/>
      <c r="L54" s="204"/>
      <c r="M54" s="208">
        <f>IF(Tabelle132456891011121314[[#This Row],[Pulled after Start]]="",MIN(Tabelle132456891011121314[[#This Row],[Jira Story Points]],Tabelle132456891011121314[[#This Row],[Carry-over]]),0)</f>
        <v>1</v>
      </c>
      <c r="N54" s="209">
        <f>MIN(Tabelle132456891011121314[[#This Row],[Jira Story Points]],Tabelle132456891011121314[[#This Row],[Carry-over]])-Tabelle132456891011121314[[#This Row],[SP Initially Planned (COS)]]</f>
        <v>0</v>
      </c>
      <c r="O54"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v>
      </c>
      <c r="P54" s="211">
        <f>IFERROR(IF(Tabelle132456891011121314[[#This Row],[Status]]=$J$5,MIN(Tabelle132456891011121314[[#This Row],[Jira Story Points]],Tabelle132456891011121314[[#This Row],[Carry-over]]),0),0)</f>
        <v>0</v>
      </c>
      <c r="Q54" s="211">
        <f>IFERROR(IF(Tabelle132456891011121314[[#This Row],[Status]]=$J$5,0,MIN(Tabelle132456891011121314[[#This Row],[Jira Story Points]],Tabelle132456891011121314[[#This Row],[Carry-over]])-Tabelle132456891011121314[[#This Row],[SP Completed (COS &amp; SOS)]]),0)</f>
        <v>0</v>
      </c>
    </row>
    <row r="55" spans="1:17" ht="13.5" customHeight="1">
      <c r="A55" s="202" t="s">
        <v>1540</v>
      </c>
      <c r="B55" t="s">
        <v>1541</v>
      </c>
      <c r="C55" s="212" t="s">
        <v>372</v>
      </c>
      <c r="D55" s="212">
        <v>3</v>
      </c>
      <c r="E55" s="212" t="s">
        <v>216</v>
      </c>
      <c r="F55" s="212">
        <v>3</v>
      </c>
      <c r="G55" s="203" t="s">
        <v>12</v>
      </c>
      <c r="H55" s="205"/>
      <c r="I55" s="206" t="s">
        <v>270</v>
      </c>
      <c r="J55" s="203" t="s">
        <v>125</v>
      </c>
      <c r="K55" s="204"/>
      <c r="L55" s="204"/>
      <c r="M55" s="208">
        <f>IF(Tabelle132456891011121314[[#This Row],[Pulled after Start]]="",MIN(Tabelle132456891011121314[[#This Row],[Jira Story Points]],Tabelle132456891011121314[[#This Row],[Carry-over]]),0)</f>
        <v>3</v>
      </c>
      <c r="N55" s="209">
        <f>MIN(Tabelle132456891011121314[[#This Row],[Jira Story Points]],Tabelle132456891011121314[[#This Row],[Carry-over]])-Tabelle132456891011121314[[#This Row],[SP Initially Planned (COS)]]</f>
        <v>0</v>
      </c>
      <c r="O55"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55" s="211">
        <f>IFERROR(IF(Tabelle132456891011121314[[#This Row],[Status]]=$J$5,MIN(Tabelle132456891011121314[[#This Row],[Jira Story Points]],Tabelle132456891011121314[[#This Row],[Carry-over]]),0),0)</f>
        <v>0</v>
      </c>
      <c r="Q55" s="211">
        <f>IFERROR(IF(Tabelle132456891011121314[[#This Row],[Status]]=$J$5,0,MIN(Tabelle132456891011121314[[#This Row],[Jira Story Points]],Tabelle132456891011121314[[#This Row],[Carry-over]])-Tabelle132456891011121314[[#This Row],[SP Completed (COS &amp; SOS)]]),0)</f>
        <v>0</v>
      </c>
    </row>
    <row r="56" spans="1:17" ht="13.5" customHeight="1">
      <c r="A56" s="202" t="s">
        <v>953</v>
      </c>
      <c r="B56" t="s">
        <v>954</v>
      </c>
      <c r="C56" s="212" t="s">
        <v>375</v>
      </c>
      <c r="D56" s="212">
        <v>2</v>
      </c>
      <c r="E56" s="212" t="s">
        <v>238</v>
      </c>
      <c r="F56" s="212">
        <v>3</v>
      </c>
      <c r="G56" s="203" t="s">
        <v>12</v>
      </c>
      <c r="H56" s="205"/>
      <c r="I56" s="27" t="s">
        <v>217</v>
      </c>
      <c r="J56" s="203" t="s">
        <v>127</v>
      </c>
      <c r="K56" s="28"/>
      <c r="L56" s="28">
        <v>3</v>
      </c>
      <c r="M56" s="208">
        <f>IF(Tabelle132456891011121314[[#This Row],[Pulled after Start]]="",MIN(Tabelle132456891011121314[[#This Row],[Jira Story Points]],Tabelle132456891011121314[[#This Row],[Carry-over]]),0)</f>
        <v>3</v>
      </c>
      <c r="N56" s="209">
        <f>MIN(Tabelle132456891011121314[[#This Row],[Jira Story Points]],Tabelle132456891011121314[[#This Row],[Carry-over]])-Tabelle132456891011121314[[#This Row],[SP Initially Planned (COS)]]</f>
        <v>0</v>
      </c>
      <c r="O56"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56" s="211">
        <f>IFERROR(IF(Tabelle132456891011121314[[#This Row],[Status]]=$J$5,MIN(Tabelle132456891011121314[[#This Row],[Jira Story Points]],Tabelle132456891011121314[[#This Row],[Carry-over]]),0),0)</f>
        <v>0</v>
      </c>
      <c r="Q56" s="211">
        <f>IFERROR(IF(Tabelle132456891011121314[[#This Row],[Status]]=$J$5,0,MIN(Tabelle132456891011121314[[#This Row],[Jira Story Points]],Tabelle132456891011121314[[#This Row],[Carry-over]])-Tabelle132456891011121314[[#This Row],[SP Completed (COS &amp; SOS)]]),0)</f>
        <v>3</v>
      </c>
    </row>
    <row r="57" spans="1:17" ht="13.5" customHeight="1">
      <c r="A57" s="202" t="s">
        <v>1542</v>
      </c>
      <c r="B57" t="s">
        <v>1543</v>
      </c>
      <c r="C57" s="212" t="s">
        <v>382</v>
      </c>
      <c r="D57" s="212">
        <v>3</v>
      </c>
      <c r="E57" s="212" t="s">
        <v>216</v>
      </c>
      <c r="F57" s="212" t="s">
        <v>210</v>
      </c>
      <c r="G57" s="203" t="s">
        <v>12</v>
      </c>
      <c r="H57" s="205"/>
      <c r="I57" s="206" t="s">
        <v>217</v>
      </c>
      <c r="J57" s="203" t="s">
        <v>126</v>
      </c>
      <c r="K57" s="204"/>
      <c r="L57" s="204"/>
      <c r="M57" s="208">
        <f>IF(Tabelle132456891011121314[[#This Row],[Pulled after Start]]="",MIN(Tabelle132456891011121314[[#This Row],[Jira Story Points]],Tabelle132456891011121314[[#This Row],[Carry-over]]),0)</f>
        <v>0</v>
      </c>
      <c r="N57" s="209">
        <f>MIN(Tabelle132456891011121314[[#This Row],[Jira Story Points]],Tabelle132456891011121314[[#This Row],[Carry-over]])-Tabelle132456891011121314[[#This Row],[SP Initially Planned (COS)]]</f>
        <v>0</v>
      </c>
      <c r="O57"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57" s="211">
        <f>IFERROR(IF(Tabelle132456891011121314[[#This Row],[Status]]=$J$5,MIN(Tabelle132456891011121314[[#This Row],[Jira Story Points]],Tabelle132456891011121314[[#This Row],[Carry-over]]),0),0)</f>
        <v>0</v>
      </c>
      <c r="Q57" s="211">
        <f>IFERROR(IF(Tabelle132456891011121314[[#This Row],[Status]]=$J$5,0,MIN(Tabelle132456891011121314[[#This Row],[Jira Story Points]],Tabelle132456891011121314[[#This Row],[Carry-over]])-Tabelle132456891011121314[[#This Row],[SP Completed (COS &amp; SOS)]]),0)</f>
        <v>0</v>
      </c>
    </row>
    <row r="58" spans="1:17" ht="13.5" customHeight="1">
      <c r="A58" s="202" t="s">
        <v>955</v>
      </c>
      <c r="B58" t="s">
        <v>1544</v>
      </c>
      <c r="C58" s="203" t="s">
        <v>375</v>
      </c>
      <c r="D58" s="203">
        <v>3</v>
      </c>
      <c r="E58" s="203" t="s">
        <v>238</v>
      </c>
      <c r="F58" s="204">
        <v>3</v>
      </c>
      <c r="G58" s="203" t="s">
        <v>12</v>
      </c>
      <c r="H58" s="205" t="s">
        <v>209</v>
      </c>
      <c r="I58" s="206" t="s">
        <v>217</v>
      </c>
      <c r="J58" s="203" t="s">
        <v>127</v>
      </c>
      <c r="K58" s="204"/>
      <c r="L58" s="204"/>
      <c r="M58" s="208">
        <f>IF(Tabelle132456891011121314[[#This Row],[Pulled after Start]]="",MIN(Tabelle132456891011121314[[#This Row],[Jira Story Points]],Tabelle132456891011121314[[#This Row],[Carry-over]]),0)</f>
        <v>0</v>
      </c>
      <c r="N58" s="209">
        <f>MIN(Tabelle132456891011121314[[#This Row],[Jira Story Points]],Tabelle132456891011121314[[#This Row],[Carry-over]])-Tabelle132456891011121314[[#This Row],[SP Initially Planned (COS)]]</f>
        <v>3</v>
      </c>
      <c r="O58"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58" s="211">
        <f>IFERROR(IF(Tabelle132456891011121314[[#This Row],[Status]]=$J$5,MIN(Tabelle132456891011121314[[#This Row],[Jira Story Points]],Tabelle132456891011121314[[#This Row],[Carry-over]]),0),0)</f>
        <v>0</v>
      </c>
      <c r="Q58" s="211">
        <f>IFERROR(IF(Tabelle132456891011121314[[#This Row],[Status]]=$J$5,0,MIN(Tabelle132456891011121314[[#This Row],[Jira Story Points]],Tabelle132456891011121314[[#This Row],[Carry-over]])-Tabelle132456891011121314[[#This Row],[SP Completed (COS &amp; SOS)]]),0)</f>
        <v>3</v>
      </c>
    </row>
    <row r="59" spans="1:17" ht="13.5" customHeight="1">
      <c r="A59" s="202" t="s">
        <v>1545</v>
      </c>
      <c r="B59" t="s">
        <v>1546</v>
      </c>
      <c r="C59" s="212" t="s">
        <v>375</v>
      </c>
      <c r="D59" s="212">
        <v>2</v>
      </c>
      <c r="E59" s="212" t="s">
        <v>216</v>
      </c>
      <c r="F59" s="212">
        <v>3</v>
      </c>
      <c r="G59" s="203" t="s">
        <v>12</v>
      </c>
      <c r="H59" s="205"/>
      <c r="I59" s="206" t="s">
        <v>217</v>
      </c>
      <c r="J59" s="203" t="s">
        <v>125</v>
      </c>
      <c r="K59" s="204"/>
      <c r="L59" s="204"/>
      <c r="M59" s="208">
        <f>IF(Tabelle132456891011121314[[#This Row],[Pulled after Start]]="",MIN(Tabelle132456891011121314[[#This Row],[Jira Story Points]],Tabelle132456891011121314[[#This Row],[Carry-over]]),0)</f>
        <v>3</v>
      </c>
      <c r="N59" s="209">
        <f>MIN(Tabelle132456891011121314[[#This Row],[Jira Story Points]],Tabelle132456891011121314[[#This Row],[Carry-over]])-Tabelle132456891011121314[[#This Row],[SP Initially Planned (COS)]]</f>
        <v>0</v>
      </c>
      <c r="O59"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59" s="211">
        <f>IFERROR(IF(Tabelle132456891011121314[[#This Row],[Status]]=$J$5,MIN(Tabelle132456891011121314[[#This Row],[Jira Story Points]],Tabelle132456891011121314[[#This Row],[Carry-over]]),0),0)</f>
        <v>0</v>
      </c>
      <c r="Q59" s="211">
        <f>IFERROR(IF(Tabelle132456891011121314[[#This Row],[Status]]=$J$5,0,MIN(Tabelle132456891011121314[[#This Row],[Jira Story Points]],Tabelle132456891011121314[[#This Row],[Carry-over]])-Tabelle132456891011121314[[#This Row],[SP Completed (COS &amp; SOS)]]),0)</f>
        <v>0</v>
      </c>
    </row>
    <row r="60" spans="1:17" ht="13.5" customHeight="1">
      <c r="A60" s="202" t="s">
        <v>1547</v>
      </c>
      <c r="B60" t="s">
        <v>1548</v>
      </c>
      <c r="C60" s="212" t="s">
        <v>372</v>
      </c>
      <c r="D60" s="212">
        <v>3</v>
      </c>
      <c r="E60" s="212" t="s">
        <v>216</v>
      </c>
      <c r="F60" s="212">
        <v>1</v>
      </c>
      <c r="G60" s="203" t="s">
        <v>12</v>
      </c>
      <c r="H60" s="205"/>
      <c r="I60" s="206" t="s">
        <v>217</v>
      </c>
      <c r="J60" s="203" t="s">
        <v>125</v>
      </c>
      <c r="K60" s="204"/>
      <c r="L60" s="204"/>
      <c r="M60" s="208">
        <f>IF(Tabelle132456891011121314[[#This Row],[Pulled after Start]]="",MIN(Tabelle132456891011121314[[#This Row],[Jira Story Points]],Tabelle132456891011121314[[#This Row],[Carry-over]]),0)</f>
        <v>1</v>
      </c>
      <c r="N60" s="209">
        <f>MIN(Tabelle132456891011121314[[#This Row],[Jira Story Points]],Tabelle132456891011121314[[#This Row],[Carry-over]])-Tabelle132456891011121314[[#This Row],[SP Initially Planned (COS)]]</f>
        <v>0</v>
      </c>
      <c r="O60"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v>
      </c>
      <c r="P60" s="211">
        <f>IFERROR(IF(Tabelle132456891011121314[[#This Row],[Status]]=$J$5,MIN(Tabelle132456891011121314[[#This Row],[Jira Story Points]],Tabelle132456891011121314[[#This Row],[Carry-over]]),0),0)</f>
        <v>0</v>
      </c>
      <c r="Q60" s="211">
        <f>IFERROR(IF(Tabelle132456891011121314[[#This Row],[Status]]=$J$5,0,MIN(Tabelle132456891011121314[[#This Row],[Jira Story Points]],Tabelle132456891011121314[[#This Row],[Carry-over]])-Tabelle132456891011121314[[#This Row],[SP Completed (COS &amp; SOS)]]),0)</f>
        <v>0</v>
      </c>
    </row>
    <row r="61" spans="1:17" ht="13.5" customHeight="1">
      <c r="A61" s="202" t="s">
        <v>1549</v>
      </c>
      <c r="B61" t="s">
        <v>1550</v>
      </c>
      <c r="C61" s="203" t="s">
        <v>372</v>
      </c>
      <c r="D61" s="203">
        <v>3</v>
      </c>
      <c r="E61" s="203" t="s">
        <v>216</v>
      </c>
      <c r="F61" s="204">
        <v>1</v>
      </c>
      <c r="G61" s="203" t="s">
        <v>12</v>
      </c>
      <c r="H61" s="205"/>
      <c r="I61" s="206" t="s">
        <v>217</v>
      </c>
      <c r="J61" s="203" t="s">
        <v>125</v>
      </c>
      <c r="K61" s="204"/>
      <c r="L61" s="204"/>
      <c r="M61" s="208">
        <f>IF(Tabelle132456891011121314[[#This Row],[Pulled after Start]]="",MIN(Tabelle132456891011121314[[#This Row],[Jira Story Points]],Tabelle132456891011121314[[#This Row],[Carry-over]]),0)</f>
        <v>1</v>
      </c>
      <c r="N61" s="209">
        <f>MIN(Tabelle132456891011121314[[#This Row],[Jira Story Points]],Tabelle132456891011121314[[#This Row],[Carry-over]])-Tabelle132456891011121314[[#This Row],[SP Initially Planned (COS)]]</f>
        <v>0</v>
      </c>
      <c r="O61"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v>
      </c>
      <c r="P61" s="211">
        <f>IFERROR(IF(Tabelle132456891011121314[[#This Row],[Status]]=$J$5,MIN(Tabelle132456891011121314[[#This Row],[Jira Story Points]],Tabelle132456891011121314[[#This Row],[Carry-over]]),0),0)</f>
        <v>0</v>
      </c>
      <c r="Q61" s="211">
        <f>IFERROR(IF(Tabelle132456891011121314[[#This Row],[Status]]=$J$5,0,MIN(Tabelle132456891011121314[[#This Row],[Jira Story Points]],Tabelle132456891011121314[[#This Row],[Carry-over]])-Tabelle132456891011121314[[#This Row],[SP Completed (COS &amp; SOS)]]),0)</f>
        <v>0</v>
      </c>
    </row>
    <row r="62" spans="1:17" ht="13.5" customHeight="1">
      <c r="A62" s="202" t="s">
        <v>1551</v>
      </c>
      <c r="B62" t="s">
        <v>1552</v>
      </c>
      <c r="C62" s="203" t="s">
        <v>372</v>
      </c>
      <c r="D62" s="203">
        <v>3</v>
      </c>
      <c r="E62" s="203" t="s">
        <v>216</v>
      </c>
      <c r="F62" s="204">
        <v>1</v>
      </c>
      <c r="G62" s="203" t="s">
        <v>12</v>
      </c>
      <c r="H62" s="205" t="s">
        <v>209</v>
      </c>
      <c r="I62" s="206" t="s">
        <v>217</v>
      </c>
      <c r="J62" s="203" t="s">
        <v>125</v>
      </c>
      <c r="K62" s="204"/>
      <c r="L62" s="204"/>
      <c r="M62" s="208">
        <f>IF(Tabelle132456891011121314[[#This Row],[Pulled after Start]]="",MIN(Tabelle132456891011121314[[#This Row],[Jira Story Points]],Tabelle132456891011121314[[#This Row],[Carry-over]]),0)</f>
        <v>0</v>
      </c>
      <c r="N62" s="209">
        <f>MIN(Tabelle132456891011121314[[#This Row],[Jira Story Points]],Tabelle132456891011121314[[#This Row],[Carry-over]])-Tabelle132456891011121314[[#This Row],[SP Initially Planned (COS)]]</f>
        <v>1</v>
      </c>
      <c r="O62"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v>
      </c>
      <c r="P62" s="211">
        <f>IFERROR(IF(Tabelle132456891011121314[[#This Row],[Status]]=$J$5,MIN(Tabelle132456891011121314[[#This Row],[Jira Story Points]],Tabelle132456891011121314[[#This Row],[Carry-over]]),0),0)</f>
        <v>0</v>
      </c>
      <c r="Q62" s="211">
        <f>IFERROR(IF(Tabelle132456891011121314[[#This Row],[Status]]=$J$5,0,MIN(Tabelle132456891011121314[[#This Row],[Jira Story Points]],Tabelle132456891011121314[[#This Row],[Carry-over]])-Tabelle132456891011121314[[#This Row],[SP Completed (COS &amp; SOS)]]),0)</f>
        <v>0</v>
      </c>
    </row>
    <row r="63" spans="1:17" ht="13.5" customHeight="1">
      <c r="A63" s="202" t="s">
        <v>1325</v>
      </c>
      <c r="B63" t="s">
        <v>1326</v>
      </c>
      <c r="C63" s="203" t="s">
        <v>372</v>
      </c>
      <c r="D63" s="203">
        <v>1</v>
      </c>
      <c r="E63" s="203" t="s">
        <v>976</v>
      </c>
      <c r="F63" s="204">
        <v>1</v>
      </c>
      <c r="G63" s="203" t="s">
        <v>12</v>
      </c>
      <c r="H63" s="205" t="s">
        <v>209</v>
      </c>
      <c r="I63" s="206" t="s">
        <v>217</v>
      </c>
      <c r="J63" s="203" t="s">
        <v>127</v>
      </c>
      <c r="K63" s="204"/>
      <c r="L63" s="204"/>
      <c r="M63" s="208">
        <f>IF(Tabelle132456891011121314[[#This Row],[Pulled after Start]]="",MIN(Tabelle132456891011121314[[#This Row],[Jira Story Points]],Tabelle132456891011121314[[#This Row],[Carry-over]]),0)</f>
        <v>0</v>
      </c>
      <c r="N63" s="209">
        <f>MIN(Tabelle132456891011121314[[#This Row],[Jira Story Points]],Tabelle132456891011121314[[#This Row],[Carry-over]])-Tabelle132456891011121314[[#This Row],[SP Initially Planned (COS)]]</f>
        <v>1</v>
      </c>
      <c r="O63"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63" s="211">
        <f>IFERROR(IF(Tabelle132456891011121314[[#This Row],[Status]]=$J$5,MIN(Tabelle132456891011121314[[#This Row],[Jira Story Points]],Tabelle132456891011121314[[#This Row],[Carry-over]]),0),0)</f>
        <v>0</v>
      </c>
      <c r="Q63" s="211">
        <f>IFERROR(IF(Tabelle132456891011121314[[#This Row],[Status]]=$J$5,0,MIN(Tabelle132456891011121314[[#This Row],[Jira Story Points]],Tabelle132456891011121314[[#This Row],[Carry-over]])-Tabelle132456891011121314[[#This Row],[SP Completed (COS &amp; SOS)]]),0)</f>
        <v>1</v>
      </c>
    </row>
    <row r="64" spans="1:17" ht="13.5" hidden="1" customHeight="1">
      <c r="A64" s="251" t="s">
        <v>1553</v>
      </c>
      <c r="B64" s="251" t="s">
        <v>1554</v>
      </c>
      <c r="C64" s="203" t="s">
        <v>375</v>
      </c>
      <c r="D64" s="203">
        <v>1</v>
      </c>
      <c r="E64" s="203" t="s">
        <v>324</v>
      </c>
      <c r="F64" s="204">
        <v>3</v>
      </c>
      <c r="G64" s="203" t="s">
        <v>27</v>
      </c>
      <c r="H64" s="205"/>
      <c r="I64" s="206"/>
      <c r="J64" s="203" t="s">
        <v>125</v>
      </c>
      <c r="K64" s="204"/>
      <c r="L64" s="204"/>
      <c r="M64" s="208">
        <f>IF(Tabelle132456891011121314[[#This Row],[Pulled after Start]]="",MIN(Tabelle132456891011121314[[#This Row],[Jira Story Points]],Tabelle132456891011121314[[#This Row],[Carry-over]]),0)</f>
        <v>3</v>
      </c>
      <c r="N64" s="209">
        <f>MIN(Tabelle132456891011121314[[#This Row],[Jira Story Points]],Tabelle132456891011121314[[#This Row],[Carry-over]])-Tabelle132456891011121314[[#This Row],[SP Initially Planned (COS)]]</f>
        <v>0</v>
      </c>
      <c r="O64"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64" s="211">
        <f>IFERROR(IF(Tabelle132456891011121314[[#This Row],[Status]]=$J$5,MIN(Tabelle132456891011121314[[#This Row],[Jira Story Points]],Tabelle132456891011121314[[#This Row],[Carry-over]]),0),0)</f>
        <v>0</v>
      </c>
      <c r="Q64" s="211">
        <f>IFERROR(IF(Tabelle132456891011121314[[#This Row],[Status]]=$J$5,0,MIN(Tabelle132456891011121314[[#This Row],[Jira Story Points]],Tabelle132456891011121314[[#This Row],[Carry-over]])-Tabelle132456891011121314[[#This Row],[SP Completed (COS &amp; SOS)]]),0)</f>
        <v>0</v>
      </c>
    </row>
    <row r="65" spans="1:17" ht="13.5" hidden="1" customHeight="1">
      <c r="A65" s="251" t="s">
        <v>1555</v>
      </c>
      <c r="B65" s="251" t="s">
        <v>1556</v>
      </c>
      <c r="C65" s="203" t="s">
        <v>375</v>
      </c>
      <c r="D65" s="203">
        <v>1</v>
      </c>
      <c r="E65" s="203" t="s">
        <v>324</v>
      </c>
      <c r="F65" s="204">
        <v>3</v>
      </c>
      <c r="G65" s="203" t="s">
        <v>27</v>
      </c>
      <c r="H65" s="205" t="s">
        <v>209</v>
      </c>
      <c r="I65" s="206"/>
      <c r="J65" s="203" t="s">
        <v>125</v>
      </c>
      <c r="K65" s="204"/>
      <c r="L65" s="204"/>
      <c r="M65" s="208">
        <f>IF(Tabelle132456891011121314[[#This Row],[Pulled after Start]]="",MIN(Tabelle132456891011121314[[#This Row],[Jira Story Points]],Tabelle132456891011121314[[#This Row],[Carry-over]]),0)</f>
        <v>0</v>
      </c>
      <c r="N65" s="209">
        <f>MIN(Tabelle132456891011121314[[#This Row],[Jira Story Points]],Tabelle132456891011121314[[#This Row],[Carry-over]])-Tabelle132456891011121314[[#This Row],[SP Initially Planned (COS)]]</f>
        <v>3</v>
      </c>
      <c r="O65"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65" s="211">
        <f>IFERROR(IF(Tabelle132456891011121314[[#This Row],[Status]]=$J$5,MIN(Tabelle132456891011121314[[#This Row],[Jira Story Points]],Tabelle132456891011121314[[#This Row],[Carry-over]]),0),0)</f>
        <v>0</v>
      </c>
      <c r="Q65" s="211">
        <f>IFERROR(IF(Tabelle132456891011121314[[#This Row],[Status]]=$J$5,0,MIN(Tabelle132456891011121314[[#This Row],[Jira Story Points]],Tabelle132456891011121314[[#This Row],[Carry-over]])-Tabelle132456891011121314[[#This Row],[SP Completed (COS &amp; SOS)]]),0)</f>
        <v>0</v>
      </c>
    </row>
    <row r="66" spans="1:17" ht="13.5" hidden="1" customHeight="1">
      <c r="A66" s="251" t="s">
        <v>1557</v>
      </c>
      <c r="B66" s="251" t="s">
        <v>1558</v>
      </c>
      <c r="C66" s="203" t="s">
        <v>375</v>
      </c>
      <c r="D66" s="203">
        <v>1</v>
      </c>
      <c r="E66" s="203" t="s">
        <v>324</v>
      </c>
      <c r="F66" s="204">
        <v>3</v>
      </c>
      <c r="G66" s="203" t="s">
        <v>27</v>
      </c>
      <c r="H66" s="205" t="s">
        <v>209</v>
      </c>
      <c r="I66" s="206"/>
      <c r="J66" s="203" t="s">
        <v>125</v>
      </c>
      <c r="K66" s="204"/>
      <c r="L66" s="204"/>
      <c r="M66" s="208">
        <f>IF(Tabelle132456891011121314[[#This Row],[Pulled after Start]]="",MIN(Tabelle132456891011121314[[#This Row],[Jira Story Points]],Tabelle132456891011121314[[#This Row],[Carry-over]]),0)</f>
        <v>0</v>
      </c>
      <c r="N66" s="209">
        <f>MIN(Tabelle132456891011121314[[#This Row],[Jira Story Points]],Tabelle132456891011121314[[#This Row],[Carry-over]])-Tabelle132456891011121314[[#This Row],[SP Initially Planned (COS)]]</f>
        <v>3</v>
      </c>
      <c r="O66"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66" s="211">
        <f>IFERROR(IF(Tabelle132456891011121314[[#This Row],[Status]]=$J$5,MIN(Tabelle132456891011121314[[#This Row],[Jira Story Points]],Tabelle132456891011121314[[#This Row],[Carry-over]]),0),0)</f>
        <v>0</v>
      </c>
      <c r="Q66" s="211">
        <f>IFERROR(IF(Tabelle132456891011121314[[#This Row],[Status]]=$J$5,0,MIN(Tabelle132456891011121314[[#This Row],[Jira Story Points]],Tabelle132456891011121314[[#This Row],[Carry-over]])-Tabelle132456891011121314[[#This Row],[SP Completed (COS &amp; SOS)]]),0)</f>
        <v>0</v>
      </c>
    </row>
    <row r="67" spans="1:17" ht="13.5" hidden="1" customHeight="1">
      <c r="A67" s="251" t="s">
        <v>1559</v>
      </c>
      <c r="B67" s="251" t="s">
        <v>1560</v>
      </c>
      <c r="C67" s="203" t="s">
        <v>372</v>
      </c>
      <c r="D67" s="203">
        <v>3</v>
      </c>
      <c r="E67" s="203" t="s">
        <v>327</v>
      </c>
      <c r="F67" s="204">
        <v>5</v>
      </c>
      <c r="G67" s="203" t="s">
        <v>27</v>
      </c>
      <c r="H67" s="205"/>
      <c r="I67" s="206"/>
      <c r="J67" s="203" t="s">
        <v>125</v>
      </c>
      <c r="K67" s="204"/>
      <c r="L67" s="204"/>
      <c r="M67" s="208">
        <f>IF(Tabelle132456891011121314[[#This Row],[Pulled after Start]]="",MIN(Tabelle132456891011121314[[#This Row],[Jira Story Points]],Tabelle132456891011121314[[#This Row],[Carry-over]]),0)</f>
        <v>5</v>
      </c>
      <c r="N67" s="209">
        <f>MIN(Tabelle132456891011121314[[#This Row],[Jira Story Points]],Tabelle132456891011121314[[#This Row],[Carry-over]])-Tabelle132456891011121314[[#This Row],[SP Initially Planned (COS)]]</f>
        <v>0</v>
      </c>
      <c r="O67"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5</v>
      </c>
      <c r="P67" s="211">
        <f>IFERROR(IF(Tabelle132456891011121314[[#This Row],[Status]]=$J$5,MIN(Tabelle132456891011121314[[#This Row],[Jira Story Points]],Tabelle132456891011121314[[#This Row],[Carry-over]]),0),0)</f>
        <v>0</v>
      </c>
      <c r="Q67" s="211">
        <f>IFERROR(IF(Tabelle132456891011121314[[#This Row],[Status]]=$J$5,0,MIN(Tabelle132456891011121314[[#This Row],[Jira Story Points]],Tabelle132456891011121314[[#This Row],[Carry-over]])-Tabelle132456891011121314[[#This Row],[SP Completed (COS &amp; SOS)]]),0)</f>
        <v>0</v>
      </c>
    </row>
    <row r="68" spans="1:17" ht="13.5" hidden="1" customHeight="1">
      <c r="A68" s="251" t="s">
        <v>1561</v>
      </c>
      <c r="B68" s="251" t="s">
        <v>1562</v>
      </c>
      <c r="C68" s="203" t="s">
        <v>372</v>
      </c>
      <c r="D68" s="203">
        <v>3</v>
      </c>
      <c r="E68" s="203" t="s">
        <v>327</v>
      </c>
      <c r="F68" s="204">
        <v>5</v>
      </c>
      <c r="G68" s="203" t="s">
        <v>27</v>
      </c>
      <c r="H68" s="205"/>
      <c r="I68" s="206"/>
      <c r="J68" s="203" t="s">
        <v>125</v>
      </c>
      <c r="K68" s="204"/>
      <c r="L68" s="204"/>
      <c r="M68" s="208">
        <f>IF(Tabelle132456891011121314[[#This Row],[Pulled after Start]]="",MIN(Tabelle132456891011121314[[#This Row],[Jira Story Points]],Tabelle132456891011121314[[#This Row],[Carry-over]]),0)</f>
        <v>5</v>
      </c>
      <c r="N68" s="209">
        <f>MIN(Tabelle132456891011121314[[#This Row],[Jira Story Points]],Tabelle132456891011121314[[#This Row],[Carry-over]])-Tabelle132456891011121314[[#This Row],[SP Initially Planned (COS)]]</f>
        <v>0</v>
      </c>
      <c r="O68"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5</v>
      </c>
      <c r="P68" s="211">
        <f>IFERROR(IF(Tabelle132456891011121314[[#This Row],[Status]]=$J$5,MIN(Tabelle132456891011121314[[#This Row],[Jira Story Points]],Tabelle132456891011121314[[#This Row],[Carry-over]]),0),0)</f>
        <v>0</v>
      </c>
      <c r="Q68" s="211">
        <f>IFERROR(IF(Tabelle132456891011121314[[#This Row],[Status]]=$J$5,0,MIN(Tabelle132456891011121314[[#This Row],[Jira Story Points]],Tabelle132456891011121314[[#This Row],[Carry-over]])-Tabelle132456891011121314[[#This Row],[SP Completed (COS &amp; SOS)]]),0)</f>
        <v>0</v>
      </c>
    </row>
    <row r="69" spans="1:17" ht="13.5" hidden="1" customHeight="1">
      <c r="A69" s="251" t="s">
        <v>1355</v>
      </c>
      <c r="B69" s="251" t="s">
        <v>1356</v>
      </c>
      <c r="C69" s="203" t="s">
        <v>372</v>
      </c>
      <c r="D69" s="203">
        <v>3</v>
      </c>
      <c r="E69" s="203" t="s">
        <v>327</v>
      </c>
      <c r="F69" s="204">
        <v>8</v>
      </c>
      <c r="G69" s="203" t="s">
        <v>27</v>
      </c>
      <c r="H69" s="205"/>
      <c r="I69" s="206"/>
      <c r="J69" s="203" t="s">
        <v>127</v>
      </c>
      <c r="K69" s="204"/>
      <c r="L69" s="204"/>
      <c r="M69" s="208">
        <f>IF(Tabelle132456891011121314[[#This Row],[Pulled after Start]]="",MIN(Tabelle132456891011121314[[#This Row],[Jira Story Points]],Tabelle132456891011121314[[#This Row],[Carry-over]]),0)</f>
        <v>8</v>
      </c>
      <c r="N69" s="209">
        <f>MIN(Tabelle132456891011121314[[#This Row],[Jira Story Points]],Tabelle132456891011121314[[#This Row],[Carry-over]])-Tabelle132456891011121314[[#This Row],[SP Initially Planned (COS)]]</f>
        <v>0</v>
      </c>
      <c r="O69"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69" s="211">
        <f>IFERROR(IF(Tabelle132456891011121314[[#This Row],[Status]]=$J$5,MIN(Tabelle132456891011121314[[#This Row],[Jira Story Points]],Tabelle132456891011121314[[#This Row],[Carry-over]]),0),0)</f>
        <v>0</v>
      </c>
      <c r="Q69" s="211">
        <f>IFERROR(IF(Tabelle132456891011121314[[#This Row],[Status]]=$J$5,0,MIN(Tabelle132456891011121314[[#This Row],[Jira Story Points]],Tabelle132456891011121314[[#This Row],[Carry-over]])-Tabelle132456891011121314[[#This Row],[SP Completed (COS &amp; SOS)]]),0)</f>
        <v>8</v>
      </c>
    </row>
    <row r="70" spans="1:17" ht="13.5" hidden="1" customHeight="1">
      <c r="A70" s="251" t="s">
        <v>1563</v>
      </c>
      <c r="B70" s="251" t="s">
        <v>1564</v>
      </c>
      <c r="C70" s="203" t="s">
        <v>372</v>
      </c>
      <c r="D70" s="203">
        <v>3</v>
      </c>
      <c r="E70" s="203" t="s">
        <v>327</v>
      </c>
      <c r="F70" s="204">
        <v>3</v>
      </c>
      <c r="G70" s="203" t="s">
        <v>27</v>
      </c>
      <c r="H70" s="205"/>
      <c r="I70" s="206"/>
      <c r="J70" s="203" t="s">
        <v>125</v>
      </c>
      <c r="K70" s="204"/>
      <c r="L70" s="204"/>
      <c r="M70" s="208">
        <f>IF(Tabelle132456891011121314[[#This Row],[Pulled after Start]]="",MIN(Tabelle132456891011121314[[#This Row],[Jira Story Points]],Tabelle132456891011121314[[#This Row],[Carry-over]]),0)</f>
        <v>3</v>
      </c>
      <c r="N70" s="209">
        <f>MIN(Tabelle132456891011121314[[#This Row],[Jira Story Points]],Tabelle132456891011121314[[#This Row],[Carry-over]])-Tabelle132456891011121314[[#This Row],[SP Initially Planned (COS)]]</f>
        <v>0</v>
      </c>
      <c r="O70"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70" s="211">
        <f>IFERROR(IF(Tabelle132456891011121314[[#This Row],[Status]]=$J$5,MIN(Tabelle132456891011121314[[#This Row],[Jira Story Points]],Tabelle132456891011121314[[#This Row],[Carry-over]]),0),0)</f>
        <v>0</v>
      </c>
      <c r="Q70" s="211">
        <f>IFERROR(IF(Tabelle132456891011121314[[#This Row],[Status]]=$J$5,0,MIN(Tabelle132456891011121314[[#This Row],[Jira Story Points]],Tabelle132456891011121314[[#This Row],[Carry-over]])-Tabelle132456891011121314[[#This Row],[SP Completed (COS &amp; SOS)]]),0)</f>
        <v>0</v>
      </c>
    </row>
    <row r="71" spans="1:17" ht="13.5" hidden="1" customHeight="1">
      <c r="A71" s="251" t="s">
        <v>1565</v>
      </c>
      <c r="B71" s="251" t="s">
        <v>1566</v>
      </c>
      <c r="C71" s="203" t="s">
        <v>372</v>
      </c>
      <c r="D71" s="203">
        <v>3</v>
      </c>
      <c r="E71" s="203" t="s">
        <v>327</v>
      </c>
      <c r="F71" s="204">
        <v>2</v>
      </c>
      <c r="G71" s="203" t="s">
        <v>27</v>
      </c>
      <c r="H71" s="205"/>
      <c r="I71" s="206"/>
      <c r="J71" s="203" t="s">
        <v>125</v>
      </c>
      <c r="K71" s="204"/>
      <c r="L71" s="204"/>
      <c r="M71" s="208">
        <f>IF(Tabelle132456891011121314[[#This Row],[Pulled after Start]]="",MIN(Tabelle132456891011121314[[#This Row],[Jira Story Points]],Tabelle132456891011121314[[#This Row],[Carry-over]]),0)</f>
        <v>2</v>
      </c>
      <c r="N71" s="209">
        <f>MIN(Tabelle132456891011121314[[#This Row],[Jira Story Points]],Tabelle132456891011121314[[#This Row],[Carry-over]])-Tabelle132456891011121314[[#This Row],[SP Initially Planned (COS)]]</f>
        <v>0</v>
      </c>
      <c r="O71"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2</v>
      </c>
      <c r="P71" s="211">
        <f>IFERROR(IF(Tabelle132456891011121314[[#This Row],[Status]]=$J$5,MIN(Tabelle132456891011121314[[#This Row],[Jira Story Points]],Tabelle132456891011121314[[#This Row],[Carry-over]]),0),0)</f>
        <v>0</v>
      </c>
      <c r="Q71" s="211">
        <f>IFERROR(IF(Tabelle132456891011121314[[#This Row],[Status]]=$J$5,0,MIN(Tabelle132456891011121314[[#This Row],[Jira Story Points]],Tabelle132456891011121314[[#This Row],[Carry-over]])-Tabelle132456891011121314[[#This Row],[SP Completed (COS &amp; SOS)]]),0)</f>
        <v>0</v>
      </c>
    </row>
    <row r="72" spans="1:17" ht="13.5" hidden="1" customHeight="1">
      <c r="A72" s="251" t="s">
        <v>1357</v>
      </c>
      <c r="B72" s="251" t="s">
        <v>1358</v>
      </c>
      <c r="C72" s="203" t="s">
        <v>372</v>
      </c>
      <c r="D72" s="203">
        <v>3</v>
      </c>
      <c r="E72" s="203" t="s">
        <v>327</v>
      </c>
      <c r="F72" s="204">
        <v>13</v>
      </c>
      <c r="G72" s="203" t="s">
        <v>27</v>
      </c>
      <c r="H72" s="205"/>
      <c r="I72" s="206"/>
      <c r="J72" s="203" t="s">
        <v>127</v>
      </c>
      <c r="K72" s="204"/>
      <c r="L72" s="204">
        <v>2</v>
      </c>
      <c r="M72" s="208">
        <f>IF(Tabelle132456891011121314[[#This Row],[Pulled after Start]]="",MIN(Tabelle132456891011121314[[#This Row],[Jira Story Points]],Tabelle132456891011121314[[#This Row],[Carry-over]]),0)</f>
        <v>13</v>
      </c>
      <c r="N72" s="209">
        <f>MIN(Tabelle132456891011121314[[#This Row],[Jira Story Points]],Tabelle132456891011121314[[#This Row],[Carry-over]])-Tabelle132456891011121314[[#This Row],[SP Initially Planned (COS)]]</f>
        <v>0</v>
      </c>
      <c r="O72"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11</v>
      </c>
      <c r="P72" s="211">
        <f>IFERROR(IF(Tabelle132456891011121314[[#This Row],[Status]]=$J$5,MIN(Tabelle132456891011121314[[#This Row],[Jira Story Points]],Tabelle132456891011121314[[#This Row],[Carry-over]]),0),0)</f>
        <v>0</v>
      </c>
      <c r="Q72" s="211">
        <f>IFERROR(IF(Tabelle132456891011121314[[#This Row],[Status]]=$J$5,0,MIN(Tabelle132456891011121314[[#This Row],[Jira Story Points]],Tabelle132456891011121314[[#This Row],[Carry-over]])-Tabelle132456891011121314[[#This Row],[SP Completed (COS &amp; SOS)]]),0)</f>
        <v>2</v>
      </c>
    </row>
    <row r="73" spans="1:17" ht="13.5" hidden="1" customHeight="1">
      <c r="A73" s="251" t="s">
        <v>1567</v>
      </c>
      <c r="B73" s="251" t="s">
        <v>1568</v>
      </c>
      <c r="C73" s="203" t="s">
        <v>372</v>
      </c>
      <c r="D73" s="203">
        <v>3</v>
      </c>
      <c r="E73" s="203" t="s">
        <v>327</v>
      </c>
      <c r="F73" s="204">
        <v>2</v>
      </c>
      <c r="G73" s="203" t="s">
        <v>27</v>
      </c>
      <c r="H73" s="205" t="s">
        <v>209</v>
      </c>
      <c r="I73" s="206"/>
      <c r="J73" s="203" t="s">
        <v>125</v>
      </c>
      <c r="K73" s="204"/>
      <c r="L73" s="204"/>
      <c r="M73" s="208">
        <f>IF(Tabelle132456891011121314[[#This Row],[Pulled after Start]]="",MIN(Tabelle132456891011121314[[#This Row],[Jira Story Points]],Tabelle132456891011121314[[#This Row],[Carry-over]]),0)</f>
        <v>0</v>
      </c>
      <c r="N73" s="209">
        <f>MIN(Tabelle132456891011121314[[#This Row],[Jira Story Points]],Tabelle132456891011121314[[#This Row],[Carry-over]])-Tabelle132456891011121314[[#This Row],[SP Initially Planned (COS)]]</f>
        <v>2</v>
      </c>
      <c r="O73"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2</v>
      </c>
      <c r="P73" s="211">
        <f>IFERROR(IF(Tabelle132456891011121314[[#This Row],[Status]]=$J$5,MIN(Tabelle132456891011121314[[#This Row],[Jira Story Points]],Tabelle132456891011121314[[#This Row],[Carry-over]]),0),0)</f>
        <v>0</v>
      </c>
      <c r="Q73" s="211">
        <f>IFERROR(IF(Tabelle132456891011121314[[#This Row],[Status]]=$J$5,0,MIN(Tabelle132456891011121314[[#This Row],[Jira Story Points]],Tabelle132456891011121314[[#This Row],[Carry-over]])-Tabelle132456891011121314[[#This Row],[SP Completed (COS &amp; SOS)]]),0)</f>
        <v>0</v>
      </c>
    </row>
    <row r="74" spans="1:17" ht="13.5" hidden="1" customHeight="1">
      <c r="A74" s="215" t="s">
        <v>687</v>
      </c>
      <c r="B74" s="47" t="s">
        <v>688</v>
      </c>
      <c r="C74" s="203" t="s">
        <v>372</v>
      </c>
      <c r="D74" s="203">
        <v>3</v>
      </c>
      <c r="E74" s="203" t="s">
        <v>637</v>
      </c>
      <c r="F74" s="204">
        <v>8</v>
      </c>
      <c r="G74" s="203" t="s">
        <v>21</v>
      </c>
      <c r="H74" s="205"/>
      <c r="I74" s="206"/>
      <c r="J74" s="203" t="s">
        <v>127</v>
      </c>
      <c r="K74" s="204"/>
      <c r="L74" s="204"/>
      <c r="M74" s="208">
        <f>IF(Tabelle132456891011121314[[#This Row],[Pulled after Start]]="",MIN(Tabelle132456891011121314[[#This Row],[Jira Story Points]],Tabelle132456891011121314[[#This Row],[Carry-over]]),0)</f>
        <v>8</v>
      </c>
      <c r="N74" s="209">
        <f>MIN(Tabelle132456891011121314[[#This Row],[Jira Story Points]],Tabelle132456891011121314[[#This Row],[Carry-over]])-Tabelle132456891011121314[[#This Row],[SP Initially Planned (COS)]]</f>
        <v>0</v>
      </c>
      <c r="O74"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74" s="211">
        <f>IFERROR(IF(Tabelle132456891011121314[[#This Row],[Status]]=$J$5,MIN(Tabelle132456891011121314[[#This Row],[Jira Story Points]],Tabelle132456891011121314[[#This Row],[Carry-over]]),0),0)</f>
        <v>0</v>
      </c>
      <c r="Q74" s="211">
        <f>IFERROR(IF(Tabelle132456891011121314[[#This Row],[Status]]=$J$5,0,MIN(Tabelle132456891011121314[[#This Row],[Jira Story Points]],Tabelle132456891011121314[[#This Row],[Carry-over]])-Tabelle132456891011121314[[#This Row],[SP Completed (COS &amp; SOS)]]),0)</f>
        <v>8</v>
      </c>
    </row>
    <row r="75" spans="1:17" ht="13.5" hidden="1" customHeight="1">
      <c r="A75" s="215" t="s">
        <v>1569</v>
      </c>
      <c r="B75" s="47" t="s">
        <v>1570</v>
      </c>
      <c r="C75" s="203" t="s">
        <v>372</v>
      </c>
      <c r="D75" s="203">
        <v>3</v>
      </c>
      <c r="E75" s="203" t="s">
        <v>324</v>
      </c>
      <c r="F75" s="204">
        <v>3</v>
      </c>
      <c r="G75" s="203" t="s">
        <v>21</v>
      </c>
      <c r="H75" s="205"/>
      <c r="I75" s="206"/>
      <c r="J75" s="203" t="s">
        <v>125</v>
      </c>
      <c r="K75" s="204"/>
      <c r="L75" s="204"/>
      <c r="M75" s="208">
        <f>IF(Tabelle132456891011121314[[#This Row],[Pulled after Start]]="",MIN(Tabelle132456891011121314[[#This Row],[Jira Story Points]],Tabelle132456891011121314[[#This Row],[Carry-over]]),0)</f>
        <v>3</v>
      </c>
      <c r="N75" s="209">
        <f>MIN(Tabelle132456891011121314[[#This Row],[Jira Story Points]],Tabelle132456891011121314[[#This Row],[Carry-over]])-Tabelle132456891011121314[[#This Row],[SP Initially Planned (COS)]]</f>
        <v>0</v>
      </c>
      <c r="O75"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75" s="211">
        <f>IFERROR(IF(Tabelle132456891011121314[[#This Row],[Status]]=$J$5,MIN(Tabelle132456891011121314[[#This Row],[Jira Story Points]],Tabelle132456891011121314[[#This Row],[Carry-over]]),0),0)</f>
        <v>0</v>
      </c>
      <c r="Q75" s="211">
        <f>IFERROR(IF(Tabelle132456891011121314[[#This Row],[Status]]=$J$5,0,MIN(Tabelle132456891011121314[[#This Row],[Jira Story Points]],Tabelle132456891011121314[[#This Row],[Carry-over]])-Tabelle132456891011121314[[#This Row],[SP Completed (COS &amp; SOS)]]),0)</f>
        <v>0</v>
      </c>
    </row>
    <row r="76" spans="1:17" ht="13.5" hidden="1" customHeight="1">
      <c r="A76" s="215" t="s">
        <v>1571</v>
      </c>
      <c r="B76" s="47" t="s">
        <v>1572</v>
      </c>
      <c r="C76" s="203" t="s">
        <v>372</v>
      </c>
      <c r="D76" s="203">
        <v>3</v>
      </c>
      <c r="E76" s="203" t="s">
        <v>324</v>
      </c>
      <c r="F76" s="204">
        <v>5</v>
      </c>
      <c r="G76" s="203" t="s">
        <v>21</v>
      </c>
      <c r="H76" s="205"/>
      <c r="I76" s="206"/>
      <c r="J76" s="203" t="s">
        <v>125</v>
      </c>
      <c r="K76" s="204"/>
      <c r="L76" s="204"/>
      <c r="M76" s="208">
        <f>IF(Tabelle132456891011121314[[#This Row],[Pulled after Start]]="",MIN(Tabelle132456891011121314[[#This Row],[Jira Story Points]],Tabelle132456891011121314[[#This Row],[Carry-over]]),0)</f>
        <v>5</v>
      </c>
      <c r="N76" s="209">
        <f>MIN(Tabelle132456891011121314[[#This Row],[Jira Story Points]],Tabelle132456891011121314[[#This Row],[Carry-over]])-Tabelle132456891011121314[[#This Row],[SP Initially Planned (COS)]]</f>
        <v>0</v>
      </c>
      <c r="O76"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5</v>
      </c>
      <c r="P76" s="211">
        <f>IFERROR(IF(Tabelle132456891011121314[[#This Row],[Status]]=$J$5,MIN(Tabelle132456891011121314[[#This Row],[Jira Story Points]],Tabelle132456891011121314[[#This Row],[Carry-over]]),0),0)</f>
        <v>0</v>
      </c>
      <c r="Q76" s="211">
        <f>IFERROR(IF(Tabelle132456891011121314[[#This Row],[Status]]=$J$5,0,MIN(Tabelle132456891011121314[[#This Row],[Jira Story Points]],Tabelle132456891011121314[[#This Row],[Carry-over]])-Tabelle132456891011121314[[#This Row],[SP Completed (COS &amp; SOS)]]),0)</f>
        <v>0</v>
      </c>
    </row>
    <row r="77" spans="1:17" ht="13.5" hidden="1" customHeight="1">
      <c r="A77" s="215" t="s">
        <v>1573</v>
      </c>
      <c r="B77" s="47" t="s">
        <v>1574</v>
      </c>
      <c r="C77" s="203" t="s">
        <v>372</v>
      </c>
      <c r="D77" s="203">
        <v>3</v>
      </c>
      <c r="E77" s="203" t="s">
        <v>324</v>
      </c>
      <c r="F77" s="204">
        <v>3</v>
      </c>
      <c r="G77" s="203" t="s">
        <v>21</v>
      </c>
      <c r="H77" s="205"/>
      <c r="I77" s="206"/>
      <c r="J77" s="203" t="s">
        <v>125</v>
      </c>
      <c r="K77" s="204"/>
      <c r="L77" s="204"/>
      <c r="M77" s="208">
        <f>IF(Tabelle132456891011121314[[#This Row],[Pulled after Start]]="",MIN(Tabelle132456891011121314[[#This Row],[Jira Story Points]],Tabelle132456891011121314[[#This Row],[Carry-over]]),0)</f>
        <v>3</v>
      </c>
      <c r="N77" s="209">
        <f>MIN(Tabelle132456891011121314[[#This Row],[Jira Story Points]],Tabelle132456891011121314[[#This Row],[Carry-over]])-Tabelle132456891011121314[[#This Row],[SP Initially Planned (COS)]]</f>
        <v>0</v>
      </c>
      <c r="O77"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77" s="211">
        <f>IFERROR(IF(Tabelle132456891011121314[[#This Row],[Status]]=$J$5,MIN(Tabelle132456891011121314[[#This Row],[Jira Story Points]],Tabelle132456891011121314[[#This Row],[Carry-over]]),0),0)</f>
        <v>0</v>
      </c>
      <c r="Q77" s="211">
        <f>IFERROR(IF(Tabelle132456891011121314[[#This Row],[Status]]=$J$5,0,MIN(Tabelle132456891011121314[[#This Row],[Jira Story Points]],Tabelle132456891011121314[[#This Row],[Carry-over]])-Tabelle132456891011121314[[#This Row],[SP Completed (COS &amp; SOS)]]),0)</f>
        <v>0</v>
      </c>
    </row>
    <row r="78" spans="1:17" ht="13.5" hidden="1" customHeight="1">
      <c r="A78" s="215" t="s">
        <v>1575</v>
      </c>
      <c r="B78" s="47" t="s">
        <v>1576</v>
      </c>
      <c r="C78" s="203" t="s">
        <v>372</v>
      </c>
      <c r="D78" s="203">
        <v>3</v>
      </c>
      <c r="E78" s="203" t="s">
        <v>324</v>
      </c>
      <c r="F78" s="204">
        <v>2</v>
      </c>
      <c r="G78" s="203" t="s">
        <v>21</v>
      </c>
      <c r="H78" s="205"/>
      <c r="I78" s="206"/>
      <c r="J78" s="203" t="s">
        <v>125</v>
      </c>
      <c r="K78" s="204"/>
      <c r="L78" s="204"/>
      <c r="M78" s="208">
        <f>IF(Tabelle132456891011121314[[#This Row],[Pulled after Start]]="",MIN(Tabelle132456891011121314[[#This Row],[Jira Story Points]],Tabelle132456891011121314[[#This Row],[Carry-over]]),0)</f>
        <v>2</v>
      </c>
      <c r="N78" s="209">
        <f>MIN(Tabelle132456891011121314[[#This Row],[Jira Story Points]],Tabelle132456891011121314[[#This Row],[Carry-over]])-Tabelle132456891011121314[[#This Row],[SP Initially Planned (COS)]]</f>
        <v>0</v>
      </c>
      <c r="O78"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2</v>
      </c>
      <c r="P78" s="211">
        <f>IFERROR(IF(Tabelle132456891011121314[[#This Row],[Status]]=$J$5,MIN(Tabelle132456891011121314[[#This Row],[Jira Story Points]],Tabelle132456891011121314[[#This Row],[Carry-over]]),0),0)</f>
        <v>0</v>
      </c>
      <c r="Q78" s="211">
        <f>IFERROR(IF(Tabelle132456891011121314[[#This Row],[Status]]=$J$5,0,MIN(Tabelle132456891011121314[[#This Row],[Jira Story Points]],Tabelle132456891011121314[[#This Row],[Carry-over]])-Tabelle132456891011121314[[#This Row],[SP Completed (COS &amp; SOS)]]),0)</f>
        <v>0</v>
      </c>
    </row>
    <row r="79" spans="1:17" ht="13.5" hidden="1" customHeight="1">
      <c r="A79" s="215" t="s">
        <v>1577</v>
      </c>
      <c r="B79" s="47" t="s">
        <v>1578</v>
      </c>
      <c r="C79" s="203" t="s">
        <v>372</v>
      </c>
      <c r="D79" s="203">
        <v>3</v>
      </c>
      <c r="E79" s="203" t="s">
        <v>324</v>
      </c>
      <c r="F79" s="204">
        <v>2</v>
      </c>
      <c r="G79" s="203" t="s">
        <v>21</v>
      </c>
      <c r="H79" s="205"/>
      <c r="I79" s="206"/>
      <c r="J79" s="203" t="s">
        <v>125</v>
      </c>
      <c r="K79" s="204"/>
      <c r="L79" s="204"/>
      <c r="M79" s="208">
        <f>IF(Tabelle132456891011121314[[#This Row],[Pulled after Start]]="",MIN(Tabelle132456891011121314[[#This Row],[Jira Story Points]],Tabelle132456891011121314[[#This Row],[Carry-over]]),0)</f>
        <v>2</v>
      </c>
      <c r="N79" s="209">
        <f>MIN(Tabelle132456891011121314[[#This Row],[Jira Story Points]],Tabelle132456891011121314[[#This Row],[Carry-over]])-Tabelle132456891011121314[[#This Row],[SP Initially Planned (COS)]]</f>
        <v>0</v>
      </c>
      <c r="O79"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2</v>
      </c>
      <c r="P79" s="211">
        <f>IFERROR(IF(Tabelle132456891011121314[[#This Row],[Status]]=$J$5,MIN(Tabelle132456891011121314[[#This Row],[Jira Story Points]],Tabelle132456891011121314[[#This Row],[Carry-over]]),0),0)</f>
        <v>0</v>
      </c>
      <c r="Q79" s="211">
        <f>IFERROR(IF(Tabelle132456891011121314[[#This Row],[Status]]=$J$5,0,MIN(Tabelle132456891011121314[[#This Row],[Jira Story Points]],Tabelle132456891011121314[[#This Row],[Carry-over]])-Tabelle132456891011121314[[#This Row],[SP Completed (COS &amp; SOS)]]),0)</f>
        <v>0</v>
      </c>
    </row>
    <row r="80" spans="1:17" ht="13.5" hidden="1" customHeight="1">
      <c r="A80" s="215" t="s">
        <v>1579</v>
      </c>
      <c r="B80" s="47" t="s">
        <v>1580</v>
      </c>
      <c r="C80" s="203" t="s">
        <v>372</v>
      </c>
      <c r="D80" s="203">
        <v>3</v>
      </c>
      <c r="E80" s="203" t="s">
        <v>324</v>
      </c>
      <c r="F80" s="204">
        <v>3</v>
      </c>
      <c r="G80" s="203" t="s">
        <v>21</v>
      </c>
      <c r="H80" s="205"/>
      <c r="I80" s="206"/>
      <c r="J80" s="203" t="s">
        <v>125</v>
      </c>
      <c r="K80" s="204"/>
      <c r="L80" s="204"/>
      <c r="M80" s="208">
        <f>IF(Tabelle132456891011121314[[#This Row],[Pulled after Start]]="",MIN(Tabelle132456891011121314[[#This Row],[Jira Story Points]],Tabelle132456891011121314[[#This Row],[Carry-over]]),0)</f>
        <v>3</v>
      </c>
      <c r="N80" s="209">
        <f>MIN(Tabelle132456891011121314[[#This Row],[Jira Story Points]],Tabelle132456891011121314[[#This Row],[Carry-over]])-Tabelle132456891011121314[[#This Row],[SP Initially Planned (COS)]]</f>
        <v>0</v>
      </c>
      <c r="O80"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80" s="211">
        <f>IFERROR(IF(Tabelle132456891011121314[[#This Row],[Status]]=$J$5,MIN(Tabelle132456891011121314[[#This Row],[Jira Story Points]],Tabelle132456891011121314[[#This Row],[Carry-over]]),0),0)</f>
        <v>0</v>
      </c>
      <c r="Q80" s="211">
        <f>IFERROR(IF(Tabelle132456891011121314[[#This Row],[Status]]=$J$5,0,MIN(Tabelle132456891011121314[[#This Row],[Jira Story Points]],Tabelle132456891011121314[[#This Row],[Carry-over]])-Tabelle132456891011121314[[#This Row],[SP Completed (COS &amp; SOS)]]),0)</f>
        <v>0</v>
      </c>
    </row>
    <row r="81" spans="1:17" ht="13.5" hidden="1" customHeight="1">
      <c r="A81" s="215" t="s">
        <v>1581</v>
      </c>
      <c r="B81" s="47" t="s">
        <v>1582</v>
      </c>
      <c r="C81" s="203" t="s">
        <v>372</v>
      </c>
      <c r="D81" s="203">
        <v>3</v>
      </c>
      <c r="E81" s="203" t="s">
        <v>324</v>
      </c>
      <c r="F81" s="204">
        <v>5</v>
      </c>
      <c r="G81" s="203" t="s">
        <v>21</v>
      </c>
      <c r="H81" s="205"/>
      <c r="I81" s="206"/>
      <c r="J81" s="203" t="s">
        <v>125</v>
      </c>
      <c r="K81" s="204"/>
      <c r="L81" s="204"/>
      <c r="M81" s="208">
        <f>IF(Tabelle132456891011121314[[#This Row],[Pulled after Start]]="",MIN(Tabelle132456891011121314[[#This Row],[Jira Story Points]],Tabelle132456891011121314[[#This Row],[Carry-over]]),0)</f>
        <v>5</v>
      </c>
      <c r="N81" s="209">
        <f>MIN(Tabelle132456891011121314[[#This Row],[Jira Story Points]],Tabelle132456891011121314[[#This Row],[Carry-over]])-Tabelle132456891011121314[[#This Row],[SP Initially Planned (COS)]]</f>
        <v>0</v>
      </c>
      <c r="O81"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5</v>
      </c>
      <c r="P81" s="211">
        <f>IFERROR(IF(Tabelle132456891011121314[[#This Row],[Status]]=$J$5,MIN(Tabelle132456891011121314[[#This Row],[Jira Story Points]],Tabelle132456891011121314[[#This Row],[Carry-over]]),0),0)</f>
        <v>0</v>
      </c>
      <c r="Q81" s="211">
        <f>IFERROR(IF(Tabelle132456891011121314[[#This Row],[Status]]=$J$5,0,MIN(Tabelle132456891011121314[[#This Row],[Jira Story Points]],Tabelle132456891011121314[[#This Row],[Carry-over]])-Tabelle132456891011121314[[#This Row],[SP Completed (COS &amp; SOS)]]),0)</f>
        <v>0</v>
      </c>
    </row>
    <row r="82" spans="1:17" ht="13.5" hidden="1" customHeight="1">
      <c r="A82" s="215" t="s">
        <v>1370</v>
      </c>
      <c r="B82" s="47" t="s">
        <v>1371</v>
      </c>
      <c r="C82" s="203" t="s">
        <v>372</v>
      </c>
      <c r="D82" s="203">
        <v>3</v>
      </c>
      <c r="E82" s="203" t="s">
        <v>324</v>
      </c>
      <c r="F82" s="204">
        <v>2</v>
      </c>
      <c r="G82" s="203" t="s">
        <v>21</v>
      </c>
      <c r="H82" s="205"/>
      <c r="I82" s="206"/>
      <c r="J82" s="203" t="s">
        <v>125</v>
      </c>
      <c r="K82" s="204"/>
      <c r="L82" s="204"/>
      <c r="M82" s="208">
        <f>IF(Tabelle132456891011121314[[#This Row],[Pulled after Start]]="",MIN(Tabelle132456891011121314[[#This Row],[Jira Story Points]],Tabelle132456891011121314[[#This Row],[Carry-over]]),0)</f>
        <v>2</v>
      </c>
      <c r="N82" s="209">
        <f>MIN(Tabelle132456891011121314[[#This Row],[Jira Story Points]],Tabelle132456891011121314[[#This Row],[Carry-over]])-Tabelle132456891011121314[[#This Row],[SP Initially Planned (COS)]]</f>
        <v>0</v>
      </c>
      <c r="O82"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2</v>
      </c>
      <c r="P82" s="211">
        <f>IFERROR(IF(Tabelle132456891011121314[[#This Row],[Status]]=$J$5,MIN(Tabelle132456891011121314[[#This Row],[Jira Story Points]],Tabelle132456891011121314[[#This Row],[Carry-over]]),0),0)</f>
        <v>0</v>
      </c>
      <c r="Q82" s="211">
        <f>IFERROR(IF(Tabelle132456891011121314[[#This Row],[Status]]=$J$5,0,MIN(Tabelle132456891011121314[[#This Row],[Jira Story Points]],Tabelle132456891011121314[[#This Row],[Carry-over]])-Tabelle132456891011121314[[#This Row],[SP Completed (COS &amp; SOS)]]),0)</f>
        <v>0</v>
      </c>
    </row>
    <row r="83" spans="1:17" ht="13.5" hidden="1" customHeight="1">
      <c r="A83" s="215" t="s">
        <v>1368</v>
      </c>
      <c r="B83" s="47" t="s">
        <v>1369</v>
      </c>
      <c r="C83" s="203" t="s">
        <v>372</v>
      </c>
      <c r="D83" s="203">
        <v>3</v>
      </c>
      <c r="E83" s="203" t="s">
        <v>324</v>
      </c>
      <c r="F83" s="204">
        <v>3</v>
      </c>
      <c r="G83" s="203" t="s">
        <v>21</v>
      </c>
      <c r="H83" s="205"/>
      <c r="I83" s="206"/>
      <c r="J83" s="203" t="s">
        <v>125</v>
      </c>
      <c r="K83" s="204"/>
      <c r="L83" s="204"/>
      <c r="M83" s="208">
        <f>IF(Tabelle132456891011121314[[#This Row],[Pulled after Start]]="",MIN(Tabelle132456891011121314[[#This Row],[Jira Story Points]],Tabelle132456891011121314[[#This Row],[Carry-over]]),0)</f>
        <v>3</v>
      </c>
      <c r="N83" s="209">
        <f>MIN(Tabelle132456891011121314[[#This Row],[Jira Story Points]],Tabelle132456891011121314[[#This Row],[Carry-over]])-Tabelle132456891011121314[[#This Row],[SP Initially Planned (COS)]]</f>
        <v>0</v>
      </c>
      <c r="O83"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83" s="211">
        <f>IFERROR(IF(Tabelle132456891011121314[[#This Row],[Status]]=$J$5,MIN(Tabelle132456891011121314[[#This Row],[Jira Story Points]],Tabelle132456891011121314[[#This Row],[Carry-over]]),0),0)</f>
        <v>0</v>
      </c>
      <c r="Q83" s="211">
        <f>IFERROR(IF(Tabelle132456891011121314[[#This Row],[Status]]=$J$5,0,MIN(Tabelle132456891011121314[[#This Row],[Jira Story Points]],Tabelle132456891011121314[[#This Row],[Carry-over]])-Tabelle132456891011121314[[#This Row],[SP Completed (COS &amp; SOS)]]),0)</f>
        <v>0</v>
      </c>
    </row>
    <row r="84" spans="1:17" ht="13.5" hidden="1" customHeight="1">
      <c r="A84" s="215" t="s">
        <v>1583</v>
      </c>
      <c r="B84" s="47" t="s">
        <v>1584</v>
      </c>
      <c r="C84" s="203" t="s">
        <v>372</v>
      </c>
      <c r="D84" s="203">
        <v>3</v>
      </c>
      <c r="E84" s="203" t="s">
        <v>324</v>
      </c>
      <c r="F84" s="204">
        <v>3</v>
      </c>
      <c r="G84" s="203" t="s">
        <v>21</v>
      </c>
      <c r="H84" s="205"/>
      <c r="I84" s="206"/>
      <c r="J84" s="203" t="s">
        <v>125</v>
      </c>
      <c r="K84" s="204"/>
      <c r="L84" s="204"/>
      <c r="M84" s="208">
        <f>IF(Tabelle132456891011121314[[#This Row],[Pulled after Start]]="",MIN(Tabelle132456891011121314[[#This Row],[Jira Story Points]],Tabelle132456891011121314[[#This Row],[Carry-over]]),0)</f>
        <v>3</v>
      </c>
      <c r="N84" s="209">
        <f>MIN(Tabelle132456891011121314[[#This Row],[Jira Story Points]],Tabelle132456891011121314[[#This Row],[Carry-over]])-Tabelle132456891011121314[[#This Row],[SP Initially Planned (COS)]]</f>
        <v>0</v>
      </c>
      <c r="O84"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84" s="211">
        <f>IFERROR(IF(Tabelle132456891011121314[[#This Row],[Status]]=$J$5,MIN(Tabelle132456891011121314[[#This Row],[Jira Story Points]],Tabelle132456891011121314[[#This Row],[Carry-over]]),0),0)</f>
        <v>0</v>
      </c>
      <c r="Q84" s="211">
        <f>IFERROR(IF(Tabelle132456891011121314[[#This Row],[Status]]=$J$5,0,MIN(Tabelle132456891011121314[[#This Row],[Jira Story Points]],Tabelle132456891011121314[[#This Row],[Carry-over]])-Tabelle132456891011121314[[#This Row],[SP Completed (COS &amp; SOS)]]),0)</f>
        <v>0</v>
      </c>
    </row>
    <row r="85" spans="1:17" ht="13.5" hidden="1" customHeight="1">
      <c r="A85" s="215" t="s">
        <v>1366</v>
      </c>
      <c r="B85" s="47" t="s">
        <v>1367</v>
      </c>
      <c r="C85" s="203" t="s">
        <v>372</v>
      </c>
      <c r="D85" s="203">
        <v>3</v>
      </c>
      <c r="E85" s="203" t="s">
        <v>327</v>
      </c>
      <c r="F85" s="204">
        <v>5</v>
      </c>
      <c r="G85" s="203" t="s">
        <v>21</v>
      </c>
      <c r="H85" s="205"/>
      <c r="I85" s="206"/>
      <c r="J85" s="203" t="s">
        <v>127</v>
      </c>
      <c r="K85" s="204"/>
      <c r="L85" s="204">
        <v>2</v>
      </c>
      <c r="M85" s="208">
        <f>IF(Tabelle132456891011121314[[#This Row],[Pulled after Start]]="",MIN(Tabelle132456891011121314[[#This Row],[Jira Story Points]],Tabelle132456891011121314[[#This Row],[Carry-over]]),0)</f>
        <v>5</v>
      </c>
      <c r="N85" s="209">
        <f>MIN(Tabelle132456891011121314[[#This Row],[Jira Story Points]],Tabelle132456891011121314[[#This Row],[Carry-over]])-Tabelle132456891011121314[[#This Row],[SP Initially Planned (COS)]]</f>
        <v>0</v>
      </c>
      <c r="O85"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85" s="211">
        <f>IFERROR(IF(Tabelle132456891011121314[[#This Row],[Status]]=$J$5,MIN(Tabelle132456891011121314[[#This Row],[Jira Story Points]],Tabelle132456891011121314[[#This Row],[Carry-over]]),0),0)</f>
        <v>0</v>
      </c>
      <c r="Q85" s="211">
        <f>IFERROR(IF(Tabelle132456891011121314[[#This Row],[Status]]=$J$5,0,MIN(Tabelle132456891011121314[[#This Row],[Jira Story Points]],Tabelle132456891011121314[[#This Row],[Carry-over]])-Tabelle132456891011121314[[#This Row],[SP Completed (COS &amp; SOS)]]),0)</f>
        <v>2</v>
      </c>
    </row>
    <row r="86" spans="1:17" ht="13.5" hidden="1" customHeight="1">
      <c r="A86" s="215" t="s">
        <v>1585</v>
      </c>
      <c r="B86" s="47" t="s">
        <v>1586</v>
      </c>
      <c r="C86" s="203" t="s">
        <v>375</v>
      </c>
      <c r="D86" s="203">
        <v>3</v>
      </c>
      <c r="E86" s="203" t="s">
        <v>324</v>
      </c>
      <c r="F86" s="204">
        <v>3</v>
      </c>
      <c r="G86" s="203" t="s">
        <v>21</v>
      </c>
      <c r="H86" s="205"/>
      <c r="I86" s="206"/>
      <c r="J86" s="203" t="s">
        <v>125</v>
      </c>
      <c r="K86" s="204"/>
      <c r="L86" s="204"/>
      <c r="M86" s="208">
        <f>IF(Tabelle132456891011121314[[#This Row],[Pulled after Start]]="",MIN(Tabelle132456891011121314[[#This Row],[Jira Story Points]],Tabelle132456891011121314[[#This Row],[Carry-over]]),0)</f>
        <v>3</v>
      </c>
      <c r="N86" s="209">
        <f>MIN(Tabelle132456891011121314[[#This Row],[Jira Story Points]],Tabelle132456891011121314[[#This Row],[Carry-over]])-Tabelle132456891011121314[[#This Row],[SP Initially Planned (COS)]]</f>
        <v>0</v>
      </c>
      <c r="O86"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86" s="211">
        <f>IFERROR(IF(Tabelle132456891011121314[[#This Row],[Status]]=$J$5,MIN(Tabelle132456891011121314[[#This Row],[Jira Story Points]],Tabelle132456891011121314[[#This Row],[Carry-over]]),0),0)</f>
        <v>0</v>
      </c>
      <c r="Q86" s="211">
        <f>IFERROR(IF(Tabelle132456891011121314[[#This Row],[Status]]=$J$5,0,MIN(Tabelle132456891011121314[[#This Row],[Jira Story Points]],Tabelle132456891011121314[[#This Row],[Carry-over]])-Tabelle132456891011121314[[#This Row],[SP Completed (COS &amp; SOS)]]),0)</f>
        <v>0</v>
      </c>
    </row>
    <row r="87" spans="1:17" ht="13.5" hidden="1" customHeight="1">
      <c r="A87" s="202" t="s">
        <v>1587</v>
      </c>
      <c r="B87" s="202" t="s">
        <v>1588</v>
      </c>
      <c r="C87" s="203" t="s">
        <v>375</v>
      </c>
      <c r="D87" s="203">
        <v>3</v>
      </c>
      <c r="E87" s="203" t="s">
        <v>238</v>
      </c>
      <c r="F87" s="204">
        <v>5</v>
      </c>
      <c r="G87" s="242" t="s">
        <v>17</v>
      </c>
      <c r="H87" s="205"/>
      <c r="I87" s="206" t="s">
        <v>217</v>
      </c>
      <c r="J87" s="203" t="s">
        <v>125</v>
      </c>
      <c r="K87" s="204"/>
      <c r="L87" s="204"/>
      <c r="M87" s="208">
        <f>IF(Tabelle132456891011121314[[#This Row],[Pulled after Start]]="",MIN(Tabelle132456891011121314[[#This Row],[Jira Story Points]],Tabelle132456891011121314[[#This Row],[Carry-over]]),0)</f>
        <v>5</v>
      </c>
      <c r="N87" s="209">
        <f>MIN(Tabelle132456891011121314[[#This Row],[Jira Story Points]],Tabelle132456891011121314[[#This Row],[Carry-over]])-Tabelle132456891011121314[[#This Row],[SP Initially Planned (COS)]]</f>
        <v>0</v>
      </c>
      <c r="O87"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5</v>
      </c>
      <c r="P87" s="211">
        <f>IFERROR(IF(Tabelle132456891011121314[[#This Row],[Status]]=$J$5,MIN(Tabelle132456891011121314[[#This Row],[Jira Story Points]],Tabelle132456891011121314[[#This Row],[Carry-over]]),0),0)</f>
        <v>0</v>
      </c>
      <c r="Q87" s="211">
        <f>IFERROR(IF(Tabelle132456891011121314[[#This Row],[Status]]=$J$5,0,MIN(Tabelle132456891011121314[[#This Row],[Jira Story Points]],Tabelle132456891011121314[[#This Row],[Carry-over]])-Tabelle132456891011121314[[#This Row],[SP Completed (COS &amp; SOS)]]),0)</f>
        <v>0</v>
      </c>
    </row>
    <row r="88" spans="1:17" ht="13.5" hidden="1" customHeight="1">
      <c r="A88" s="202" t="s">
        <v>1589</v>
      </c>
      <c r="B88" s="202" t="s">
        <v>1590</v>
      </c>
      <c r="C88" s="203" t="s">
        <v>375</v>
      </c>
      <c r="D88" s="203">
        <v>2</v>
      </c>
      <c r="E88" s="203" t="s">
        <v>238</v>
      </c>
      <c r="F88" s="204">
        <v>5</v>
      </c>
      <c r="G88" s="242" t="s">
        <v>17</v>
      </c>
      <c r="H88" s="205"/>
      <c r="I88" s="206" t="s">
        <v>217</v>
      </c>
      <c r="J88" s="203" t="s">
        <v>127</v>
      </c>
      <c r="K88" s="204">
        <v>3</v>
      </c>
      <c r="L88" s="204">
        <v>3</v>
      </c>
      <c r="M88" s="208">
        <f>IF(Tabelle132456891011121314[[#This Row],[Pulled after Start]]="",MIN(Tabelle132456891011121314[[#This Row],[Jira Story Points]],Tabelle132456891011121314[[#This Row],[Carry-over]]),0)</f>
        <v>3</v>
      </c>
      <c r="N88" s="209">
        <f>MIN(Tabelle132456891011121314[[#This Row],[Jira Story Points]],Tabelle132456891011121314[[#This Row],[Carry-over]])-Tabelle132456891011121314[[#This Row],[SP Initially Planned (COS)]]</f>
        <v>0</v>
      </c>
      <c r="O88"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88" s="211">
        <f>IFERROR(IF(Tabelle132456891011121314[[#This Row],[Status]]=$J$5,MIN(Tabelle132456891011121314[[#This Row],[Jira Story Points]],Tabelle132456891011121314[[#This Row],[Carry-over]]),0),0)</f>
        <v>0</v>
      </c>
      <c r="Q88" s="211">
        <f>IFERROR(IF(Tabelle132456891011121314[[#This Row],[Status]]=$J$5,0,MIN(Tabelle132456891011121314[[#This Row],[Jira Story Points]],Tabelle132456891011121314[[#This Row],[Carry-over]])-Tabelle132456891011121314[[#This Row],[SP Completed (COS &amp; SOS)]]),0)</f>
        <v>3</v>
      </c>
    </row>
    <row r="89" spans="1:17" ht="13.5" hidden="1" customHeight="1">
      <c r="A89" s="202" t="s">
        <v>1406</v>
      </c>
      <c r="B89" s="202" t="s">
        <v>1407</v>
      </c>
      <c r="C89" s="203" t="s">
        <v>372</v>
      </c>
      <c r="D89" s="203">
        <v>3</v>
      </c>
      <c r="E89" s="203" t="s">
        <v>238</v>
      </c>
      <c r="F89" s="204">
        <v>5</v>
      </c>
      <c r="G89" s="242" t="s">
        <v>17</v>
      </c>
      <c r="H89" s="205"/>
      <c r="I89" s="206" t="s">
        <v>227</v>
      </c>
      <c r="J89" s="203" t="s">
        <v>127</v>
      </c>
      <c r="K89" s="204"/>
      <c r="L89" s="204">
        <v>3</v>
      </c>
      <c r="M89" s="208">
        <f>IF(Tabelle132456891011121314[[#This Row],[Pulled after Start]]="",MIN(Tabelle132456891011121314[[#This Row],[Jira Story Points]],Tabelle132456891011121314[[#This Row],[Carry-over]]),0)</f>
        <v>5</v>
      </c>
      <c r="N89" s="209">
        <f>MIN(Tabelle132456891011121314[[#This Row],[Jira Story Points]],Tabelle132456891011121314[[#This Row],[Carry-over]])-Tabelle132456891011121314[[#This Row],[SP Initially Planned (COS)]]</f>
        <v>0</v>
      </c>
      <c r="O89"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2</v>
      </c>
      <c r="P89" s="211">
        <f>IFERROR(IF(Tabelle132456891011121314[[#This Row],[Status]]=$J$5,MIN(Tabelle132456891011121314[[#This Row],[Jira Story Points]],Tabelle132456891011121314[[#This Row],[Carry-over]]),0),0)</f>
        <v>0</v>
      </c>
      <c r="Q89" s="211">
        <f>IFERROR(IF(Tabelle132456891011121314[[#This Row],[Status]]=$J$5,0,MIN(Tabelle132456891011121314[[#This Row],[Jira Story Points]],Tabelle132456891011121314[[#This Row],[Carry-over]])-Tabelle132456891011121314[[#This Row],[SP Completed (COS &amp; SOS)]]),0)</f>
        <v>3</v>
      </c>
    </row>
    <row r="90" spans="1:17" ht="13.5" hidden="1" customHeight="1">
      <c r="A90" s="202" t="s">
        <v>1408</v>
      </c>
      <c r="B90" s="202" t="s">
        <v>1409</v>
      </c>
      <c r="C90" s="203" t="s">
        <v>375</v>
      </c>
      <c r="D90" s="203">
        <v>2</v>
      </c>
      <c r="E90" s="203" t="s">
        <v>238</v>
      </c>
      <c r="F90" s="204">
        <v>3</v>
      </c>
      <c r="G90" s="242" t="s">
        <v>17</v>
      </c>
      <c r="H90" s="205"/>
      <c r="I90" s="206" t="s">
        <v>217</v>
      </c>
      <c r="J90" s="203" t="s">
        <v>127</v>
      </c>
      <c r="K90" s="204"/>
      <c r="L90" s="204">
        <v>3</v>
      </c>
      <c r="M90" s="208">
        <f>IF(Tabelle132456891011121314[[#This Row],[Pulled after Start]]="",MIN(Tabelle132456891011121314[[#This Row],[Jira Story Points]],Tabelle132456891011121314[[#This Row],[Carry-over]]),0)</f>
        <v>3</v>
      </c>
      <c r="N90" s="209">
        <f>MIN(Tabelle132456891011121314[[#This Row],[Jira Story Points]],Tabelle132456891011121314[[#This Row],[Carry-over]])-Tabelle132456891011121314[[#This Row],[SP Initially Planned (COS)]]</f>
        <v>0</v>
      </c>
      <c r="O90"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90" s="211">
        <f>IFERROR(IF(Tabelle132456891011121314[[#This Row],[Status]]=$J$5,MIN(Tabelle132456891011121314[[#This Row],[Jira Story Points]],Tabelle132456891011121314[[#This Row],[Carry-over]]),0),0)</f>
        <v>0</v>
      </c>
      <c r="Q90" s="211">
        <f>IFERROR(IF(Tabelle132456891011121314[[#This Row],[Status]]=$J$5,0,MIN(Tabelle132456891011121314[[#This Row],[Jira Story Points]],Tabelle132456891011121314[[#This Row],[Carry-over]])-Tabelle132456891011121314[[#This Row],[SP Completed (COS &amp; SOS)]]),0)</f>
        <v>3</v>
      </c>
    </row>
    <row r="91" spans="1:17" ht="13.5" hidden="1" customHeight="1">
      <c r="A91" s="202" t="s">
        <v>1591</v>
      </c>
      <c r="B91" s="202" t="s">
        <v>1592</v>
      </c>
      <c r="C91" s="203" t="s">
        <v>382</v>
      </c>
      <c r="D91" s="203">
        <v>3</v>
      </c>
      <c r="E91" s="203" t="s">
        <v>216</v>
      </c>
      <c r="F91" s="204">
        <v>2</v>
      </c>
      <c r="G91" s="242" t="s">
        <v>17</v>
      </c>
      <c r="H91" s="205"/>
      <c r="I91" s="206" t="s">
        <v>227</v>
      </c>
      <c r="J91" s="203" t="s">
        <v>125</v>
      </c>
      <c r="K91" s="204"/>
      <c r="L91" s="204"/>
      <c r="M91" s="208">
        <f>IF(Tabelle132456891011121314[[#This Row],[Pulled after Start]]="",MIN(Tabelle132456891011121314[[#This Row],[Jira Story Points]],Tabelle132456891011121314[[#This Row],[Carry-over]]),0)</f>
        <v>2</v>
      </c>
      <c r="N91" s="209">
        <f>MIN(Tabelle132456891011121314[[#This Row],[Jira Story Points]],Tabelle132456891011121314[[#This Row],[Carry-over]])-Tabelle132456891011121314[[#This Row],[SP Initially Planned (COS)]]</f>
        <v>0</v>
      </c>
      <c r="O91"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2</v>
      </c>
      <c r="P91" s="211">
        <f>IFERROR(IF(Tabelle132456891011121314[[#This Row],[Status]]=$J$5,MIN(Tabelle132456891011121314[[#This Row],[Jira Story Points]],Tabelle132456891011121314[[#This Row],[Carry-over]]),0),0)</f>
        <v>0</v>
      </c>
      <c r="Q91" s="211">
        <f>IFERROR(IF(Tabelle132456891011121314[[#This Row],[Status]]=$J$5,0,MIN(Tabelle132456891011121314[[#This Row],[Jira Story Points]],Tabelle132456891011121314[[#This Row],[Carry-over]])-Tabelle132456891011121314[[#This Row],[SP Completed (COS &amp; SOS)]]),0)</f>
        <v>0</v>
      </c>
    </row>
    <row r="92" spans="1:17" ht="13.5" hidden="1" customHeight="1">
      <c r="A92" s="202" t="s">
        <v>1402</v>
      </c>
      <c r="B92" s="202" t="s">
        <v>1403</v>
      </c>
      <c r="C92" s="203" t="s">
        <v>382</v>
      </c>
      <c r="D92" s="203">
        <v>3</v>
      </c>
      <c r="E92" s="203" t="s">
        <v>264</v>
      </c>
      <c r="F92" s="204">
        <v>3</v>
      </c>
      <c r="G92" s="242" t="s">
        <v>17</v>
      </c>
      <c r="H92" s="205" t="s">
        <v>209</v>
      </c>
      <c r="I92" s="206" t="s">
        <v>227</v>
      </c>
      <c r="J92" s="203" t="s">
        <v>127</v>
      </c>
      <c r="K92" s="204"/>
      <c r="L92" s="204"/>
      <c r="M92" s="208">
        <f>IF(Tabelle132456891011121314[[#This Row],[Pulled after Start]]="",MIN(Tabelle132456891011121314[[#This Row],[Jira Story Points]],Tabelle132456891011121314[[#This Row],[Carry-over]]),0)</f>
        <v>0</v>
      </c>
      <c r="N92" s="209">
        <f>MIN(Tabelle132456891011121314[[#This Row],[Jira Story Points]],Tabelle132456891011121314[[#This Row],[Carry-over]])-Tabelle132456891011121314[[#This Row],[SP Initially Planned (COS)]]</f>
        <v>3</v>
      </c>
      <c r="O92"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92" s="211">
        <f>IFERROR(IF(Tabelle132456891011121314[[#This Row],[Status]]=$J$5,MIN(Tabelle132456891011121314[[#This Row],[Jira Story Points]],Tabelle132456891011121314[[#This Row],[Carry-over]]),0),0)</f>
        <v>0</v>
      </c>
      <c r="Q92" s="211">
        <f>IFERROR(IF(Tabelle132456891011121314[[#This Row],[Status]]=$J$5,0,MIN(Tabelle132456891011121314[[#This Row],[Jira Story Points]],Tabelle132456891011121314[[#This Row],[Carry-over]])-Tabelle132456891011121314[[#This Row],[SP Completed (COS &amp; SOS)]]),0)</f>
        <v>3</v>
      </c>
    </row>
    <row r="93" spans="1:17" ht="13.5" hidden="1" customHeight="1">
      <c r="A93" s="202" t="s">
        <v>1593</v>
      </c>
      <c r="B93" s="202" t="s">
        <v>1594</v>
      </c>
      <c r="C93" s="203" t="s">
        <v>382</v>
      </c>
      <c r="D93" s="203">
        <v>3</v>
      </c>
      <c r="E93" s="203" t="s">
        <v>216</v>
      </c>
      <c r="F93" s="204">
        <v>3</v>
      </c>
      <c r="G93" s="242" t="s">
        <v>17</v>
      </c>
      <c r="H93" s="205"/>
      <c r="I93" s="206" t="s">
        <v>270</v>
      </c>
      <c r="J93" s="203" t="s">
        <v>125</v>
      </c>
      <c r="K93" s="204"/>
      <c r="L93" s="204"/>
      <c r="M93" s="208">
        <f>IF(Tabelle132456891011121314[[#This Row],[Pulled after Start]]="",MIN(Tabelle132456891011121314[[#This Row],[Jira Story Points]],Tabelle132456891011121314[[#This Row],[Carry-over]]),0)</f>
        <v>3</v>
      </c>
      <c r="N93" s="209">
        <f>MIN(Tabelle132456891011121314[[#This Row],[Jira Story Points]],Tabelle132456891011121314[[#This Row],[Carry-over]])-Tabelle132456891011121314[[#This Row],[SP Initially Planned (COS)]]</f>
        <v>0</v>
      </c>
      <c r="O93"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93" s="211">
        <f>IFERROR(IF(Tabelle132456891011121314[[#This Row],[Status]]=$J$5,MIN(Tabelle132456891011121314[[#This Row],[Jira Story Points]],Tabelle132456891011121314[[#This Row],[Carry-over]]),0),0)</f>
        <v>0</v>
      </c>
      <c r="Q93" s="211">
        <f>IFERROR(IF(Tabelle132456891011121314[[#This Row],[Status]]=$J$5,0,MIN(Tabelle132456891011121314[[#This Row],[Jira Story Points]],Tabelle132456891011121314[[#This Row],[Carry-over]])-Tabelle132456891011121314[[#This Row],[SP Completed (COS &amp; SOS)]]),0)</f>
        <v>0</v>
      </c>
    </row>
    <row r="94" spans="1:17" ht="13.5" hidden="1" customHeight="1">
      <c r="A94" s="202" t="s">
        <v>1595</v>
      </c>
      <c r="B94" s="202" t="s">
        <v>1596</v>
      </c>
      <c r="C94" s="203" t="s">
        <v>382</v>
      </c>
      <c r="D94" s="203">
        <v>3</v>
      </c>
      <c r="E94" s="203" t="s">
        <v>264</v>
      </c>
      <c r="F94" s="204">
        <v>3</v>
      </c>
      <c r="G94" s="242" t="s">
        <v>17</v>
      </c>
      <c r="H94" s="205"/>
      <c r="I94" s="206" t="s">
        <v>270</v>
      </c>
      <c r="J94" s="203" t="s">
        <v>125</v>
      </c>
      <c r="K94" s="204"/>
      <c r="L94" s="204"/>
      <c r="M94" s="208">
        <f>IF(Tabelle132456891011121314[[#This Row],[Pulled after Start]]="",MIN(Tabelle132456891011121314[[#This Row],[Jira Story Points]],Tabelle132456891011121314[[#This Row],[Carry-over]]),0)</f>
        <v>3</v>
      </c>
      <c r="N94" s="209">
        <f>MIN(Tabelle132456891011121314[[#This Row],[Jira Story Points]],Tabelle132456891011121314[[#This Row],[Carry-over]])-Tabelle132456891011121314[[#This Row],[SP Initially Planned (COS)]]</f>
        <v>0</v>
      </c>
      <c r="O94"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94" s="211">
        <f>IFERROR(IF(Tabelle132456891011121314[[#This Row],[Status]]=$J$5,MIN(Tabelle132456891011121314[[#This Row],[Jira Story Points]],Tabelle132456891011121314[[#This Row],[Carry-over]]),0),0)</f>
        <v>0</v>
      </c>
      <c r="Q94" s="211">
        <f>IFERROR(IF(Tabelle132456891011121314[[#This Row],[Status]]=$J$5,0,MIN(Tabelle132456891011121314[[#This Row],[Jira Story Points]],Tabelle132456891011121314[[#This Row],[Carry-over]])-Tabelle132456891011121314[[#This Row],[SP Completed (COS &amp; SOS)]]),0)</f>
        <v>0</v>
      </c>
    </row>
    <row r="95" spans="1:17" ht="13.5" hidden="1" customHeight="1">
      <c r="A95" s="202" t="s">
        <v>1597</v>
      </c>
      <c r="B95" s="202" t="s">
        <v>1598</v>
      </c>
      <c r="C95" s="203" t="s">
        <v>382</v>
      </c>
      <c r="D95" s="203">
        <v>3</v>
      </c>
      <c r="E95" s="203" t="s">
        <v>264</v>
      </c>
      <c r="F95" s="204">
        <v>3</v>
      </c>
      <c r="G95" s="242" t="s">
        <v>17</v>
      </c>
      <c r="H95" s="205" t="s">
        <v>209</v>
      </c>
      <c r="I95" s="206" t="s">
        <v>270</v>
      </c>
      <c r="J95" s="203" t="s">
        <v>125</v>
      </c>
      <c r="K95" s="204"/>
      <c r="L95" s="204"/>
      <c r="M95" s="208">
        <f>IF(Tabelle132456891011121314[[#This Row],[Pulled after Start]]="",MIN(Tabelle132456891011121314[[#This Row],[Jira Story Points]],Tabelle132456891011121314[[#This Row],[Carry-over]]),0)</f>
        <v>0</v>
      </c>
      <c r="N95" s="209">
        <f>MIN(Tabelle132456891011121314[[#This Row],[Jira Story Points]],Tabelle132456891011121314[[#This Row],[Carry-over]])-Tabelle132456891011121314[[#This Row],[SP Initially Planned (COS)]]</f>
        <v>3</v>
      </c>
      <c r="O95"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95" s="211">
        <f>IFERROR(IF(Tabelle132456891011121314[[#This Row],[Status]]=$J$5,MIN(Tabelle132456891011121314[[#This Row],[Jira Story Points]],Tabelle132456891011121314[[#This Row],[Carry-over]]),0),0)</f>
        <v>0</v>
      </c>
      <c r="Q95" s="211">
        <f>IFERROR(IF(Tabelle132456891011121314[[#This Row],[Status]]=$J$5,0,MIN(Tabelle132456891011121314[[#This Row],[Jira Story Points]],Tabelle132456891011121314[[#This Row],[Carry-over]])-Tabelle132456891011121314[[#This Row],[SP Completed (COS &amp; SOS)]]),0)</f>
        <v>0</v>
      </c>
    </row>
    <row r="96" spans="1:17" ht="13.5" hidden="1" customHeight="1">
      <c r="A96" s="202" t="s">
        <v>1599</v>
      </c>
      <c r="B96" s="202" t="s">
        <v>1415</v>
      </c>
      <c r="C96" s="203" t="s">
        <v>382</v>
      </c>
      <c r="D96" s="203">
        <v>3</v>
      </c>
      <c r="E96" s="203" t="s">
        <v>264</v>
      </c>
      <c r="F96" s="204">
        <v>1</v>
      </c>
      <c r="G96" s="242" t="s">
        <v>17</v>
      </c>
      <c r="H96" s="205" t="s">
        <v>209</v>
      </c>
      <c r="I96" s="206" t="s">
        <v>217</v>
      </c>
      <c r="J96" s="203" t="s">
        <v>125</v>
      </c>
      <c r="K96" s="204"/>
      <c r="L96" s="204"/>
      <c r="M96" s="208">
        <f>IF(Tabelle132456891011121314[[#This Row],[Pulled after Start]]="",MIN(Tabelle132456891011121314[[#This Row],[Jira Story Points]],Tabelle132456891011121314[[#This Row],[Carry-over]]),0)</f>
        <v>0</v>
      </c>
      <c r="N96" s="209">
        <f>MIN(Tabelle132456891011121314[[#This Row],[Jira Story Points]],Tabelle132456891011121314[[#This Row],[Carry-over]])-Tabelle132456891011121314[[#This Row],[SP Initially Planned (COS)]]</f>
        <v>1</v>
      </c>
      <c r="O96"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v>
      </c>
      <c r="P96" s="211">
        <f>IFERROR(IF(Tabelle132456891011121314[[#This Row],[Status]]=$J$5,MIN(Tabelle132456891011121314[[#This Row],[Jira Story Points]],Tabelle132456891011121314[[#This Row],[Carry-over]]),0),0)</f>
        <v>0</v>
      </c>
      <c r="Q96" s="211">
        <f>IFERROR(IF(Tabelle132456891011121314[[#This Row],[Status]]=$J$5,0,MIN(Tabelle132456891011121314[[#This Row],[Jira Story Points]],Tabelle132456891011121314[[#This Row],[Carry-over]])-Tabelle132456891011121314[[#This Row],[SP Completed (COS &amp; SOS)]]),0)</f>
        <v>0</v>
      </c>
    </row>
    <row r="97" spans="1:17" ht="13.5" hidden="1" customHeight="1">
      <c r="A97" s="251" t="s">
        <v>1600</v>
      </c>
      <c r="B97" s="251" t="s">
        <v>1601</v>
      </c>
      <c r="C97" s="203" t="s">
        <v>372</v>
      </c>
      <c r="D97" s="203">
        <v>3</v>
      </c>
      <c r="E97" s="203" t="s">
        <v>278</v>
      </c>
      <c r="F97" s="204">
        <v>8</v>
      </c>
      <c r="G97" s="201" t="s">
        <v>24</v>
      </c>
      <c r="H97" s="205"/>
      <c r="I97" s="206"/>
      <c r="J97" s="203" t="s">
        <v>125</v>
      </c>
      <c r="K97" s="204">
        <v>4</v>
      </c>
      <c r="L97" s="204"/>
      <c r="M97" s="208">
        <f>IF(Tabelle132456891011121314[[#This Row],[Pulled after Start]]="",MIN(Tabelle132456891011121314[[#This Row],[Jira Story Points]],Tabelle132456891011121314[[#This Row],[Carry-over]]),0)</f>
        <v>4</v>
      </c>
      <c r="N97" s="209">
        <f>MIN(Tabelle132456891011121314[[#This Row],[Jira Story Points]],Tabelle132456891011121314[[#This Row],[Carry-over]])-Tabelle132456891011121314[[#This Row],[SP Initially Planned (COS)]]</f>
        <v>0</v>
      </c>
      <c r="O97"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4</v>
      </c>
      <c r="P97" s="211">
        <f>IFERROR(IF(Tabelle132456891011121314[[#This Row],[Status]]=$J$5,MIN(Tabelle132456891011121314[[#This Row],[Jira Story Points]],Tabelle132456891011121314[[#This Row],[Carry-over]]),0),0)</f>
        <v>0</v>
      </c>
      <c r="Q97" s="211">
        <f>IFERROR(IF(Tabelle132456891011121314[[#This Row],[Status]]=$J$5,0,MIN(Tabelle132456891011121314[[#This Row],[Jira Story Points]],Tabelle132456891011121314[[#This Row],[Carry-over]])-Tabelle132456891011121314[[#This Row],[SP Completed (COS &amp; SOS)]]),0)</f>
        <v>0</v>
      </c>
    </row>
    <row r="98" spans="1:17" ht="13.5" hidden="1" customHeight="1">
      <c r="A98" s="251" t="s">
        <v>1602</v>
      </c>
      <c r="B98" s="251" t="s">
        <v>1603</v>
      </c>
      <c r="C98" s="203" t="s">
        <v>375</v>
      </c>
      <c r="D98" s="203">
        <v>2</v>
      </c>
      <c r="E98" s="203" t="s">
        <v>278</v>
      </c>
      <c r="F98" s="204">
        <v>3</v>
      </c>
      <c r="G98" s="201" t="s">
        <v>24</v>
      </c>
      <c r="H98" s="205"/>
      <c r="I98" s="206"/>
      <c r="J98" s="203" t="s">
        <v>125</v>
      </c>
      <c r="K98" s="204"/>
      <c r="L98" s="204"/>
      <c r="M98" s="208">
        <f>IF(Tabelle132456891011121314[[#This Row],[Pulled after Start]]="",MIN(Tabelle132456891011121314[[#This Row],[Jira Story Points]],Tabelle132456891011121314[[#This Row],[Carry-over]]),0)</f>
        <v>3</v>
      </c>
      <c r="N98" s="209">
        <f>MIN(Tabelle132456891011121314[[#This Row],[Jira Story Points]],Tabelle132456891011121314[[#This Row],[Carry-over]])-Tabelle132456891011121314[[#This Row],[SP Initially Planned (COS)]]</f>
        <v>0</v>
      </c>
      <c r="O98"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98" s="211">
        <f>IFERROR(IF(Tabelle132456891011121314[[#This Row],[Status]]=$J$5,MIN(Tabelle132456891011121314[[#This Row],[Jira Story Points]],Tabelle132456891011121314[[#This Row],[Carry-over]]),0),0)</f>
        <v>0</v>
      </c>
      <c r="Q98" s="211">
        <f>IFERROR(IF(Tabelle132456891011121314[[#This Row],[Status]]=$J$5,0,MIN(Tabelle132456891011121314[[#This Row],[Jira Story Points]],Tabelle132456891011121314[[#This Row],[Carry-over]])-Tabelle132456891011121314[[#This Row],[SP Completed (COS &amp; SOS)]]),0)</f>
        <v>0</v>
      </c>
    </row>
    <row r="99" spans="1:17" ht="13.5" hidden="1" customHeight="1">
      <c r="A99" s="251" t="s">
        <v>1604</v>
      </c>
      <c r="B99" s="251" t="s">
        <v>1605</v>
      </c>
      <c r="C99" s="203" t="s">
        <v>372</v>
      </c>
      <c r="D99" s="203">
        <v>3</v>
      </c>
      <c r="E99" s="203" t="s">
        <v>278</v>
      </c>
      <c r="F99" s="204">
        <v>5</v>
      </c>
      <c r="G99" s="201" t="s">
        <v>24</v>
      </c>
      <c r="H99" s="205"/>
      <c r="I99" s="206"/>
      <c r="J99" s="203" t="s">
        <v>125</v>
      </c>
      <c r="K99" s="204">
        <v>3</v>
      </c>
      <c r="L99" s="204"/>
      <c r="M99" s="208">
        <f>IF(Tabelle132456891011121314[[#This Row],[Pulled after Start]]="",MIN(Tabelle132456891011121314[[#This Row],[Jira Story Points]],Tabelle132456891011121314[[#This Row],[Carry-over]]),0)</f>
        <v>3</v>
      </c>
      <c r="N99" s="209">
        <f>MIN(Tabelle132456891011121314[[#This Row],[Jira Story Points]],Tabelle132456891011121314[[#This Row],[Carry-over]])-Tabelle132456891011121314[[#This Row],[SP Initially Planned (COS)]]</f>
        <v>0</v>
      </c>
      <c r="O99"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99" s="211">
        <f>IFERROR(IF(Tabelle132456891011121314[[#This Row],[Status]]=$J$5,MIN(Tabelle132456891011121314[[#This Row],[Jira Story Points]],Tabelle132456891011121314[[#This Row],[Carry-over]]),0),0)</f>
        <v>0</v>
      </c>
      <c r="Q99" s="211">
        <f>IFERROR(IF(Tabelle132456891011121314[[#This Row],[Status]]=$J$5,0,MIN(Tabelle132456891011121314[[#This Row],[Jira Story Points]],Tabelle132456891011121314[[#This Row],[Carry-over]])-Tabelle132456891011121314[[#This Row],[SP Completed (COS &amp; SOS)]]),0)</f>
        <v>0</v>
      </c>
    </row>
    <row r="100" spans="1:17" ht="13.5" hidden="1" customHeight="1">
      <c r="A100" s="251" t="s">
        <v>493</v>
      </c>
      <c r="B100" s="251" t="s">
        <v>494</v>
      </c>
      <c r="C100" s="203" t="s">
        <v>372</v>
      </c>
      <c r="D100" s="203">
        <v>3</v>
      </c>
      <c r="E100" s="203" t="s">
        <v>288</v>
      </c>
      <c r="F100" s="204">
        <v>5</v>
      </c>
      <c r="G100" s="201" t="s">
        <v>24</v>
      </c>
      <c r="H100" s="205"/>
      <c r="I100" s="206"/>
      <c r="J100" s="203" t="s">
        <v>127</v>
      </c>
      <c r="K100" s="204"/>
      <c r="L100" s="204">
        <v>3</v>
      </c>
      <c r="M100" s="208">
        <f>IF(Tabelle132456891011121314[[#This Row],[Pulled after Start]]="",MIN(Tabelle132456891011121314[[#This Row],[Jira Story Points]],Tabelle132456891011121314[[#This Row],[Carry-over]]),0)</f>
        <v>5</v>
      </c>
      <c r="N100" s="209">
        <f>MIN(Tabelle132456891011121314[[#This Row],[Jira Story Points]],Tabelle132456891011121314[[#This Row],[Carry-over]])-Tabelle132456891011121314[[#This Row],[SP Initially Planned (COS)]]</f>
        <v>0</v>
      </c>
      <c r="O100"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2</v>
      </c>
      <c r="P100" s="211">
        <f>IFERROR(IF(Tabelle132456891011121314[[#This Row],[Status]]=$J$5,MIN(Tabelle132456891011121314[[#This Row],[Jira Story Points]],Tabelle132456891011121314[[#This Row],[Carry-over]]),0),0)</f>
        <v>0</v>
      </c>
      <c r="Q100" s="211">
        <f>IFERROR(IF(Tabelle132456891011121314[[#This Row],[Status]]=$J$5,0,MIN(Tabelle132456891011121314[[#This Row],[Jira Story Points]],Tabelle132456891011121314[[#This Row],[Carry-over]])-Tabelle132456891011121314[[#This Row],[SP Completed (COS &amp; SOS)]]),0)</f>
        <v>3</v>
      </c>
    </row>
    <row r="101" spans="1:17" ht="13.5" hidden="1" customHeight="1">
      <c r="A101" s="251" t="s">
        <v>1606</v>
      </c>
      <c r="B101" s="251" t="s">
        <v>1607</v>
      </c>
      <c r="C101" s="203" t="s">
        <v>375</v>
      </c>
      <c r="D101" s="203">
        <v>2</v>
      </c>
      <c r="E101" s="203" t="s">
        <v>278</v>
      </c>
      <c r="F101" s="204">
        <v>3</v>
      </c>
      <c r="G101" s="201" t="s">
        <v>24</v>
      </c>
      <c r="H101" s="205"/>
      <c r="I101" s="206"/>
      <c r="J101" s="203" t="s">
        <v>125</v>
      </c>
      <c r="K101" s="204"/>
      <c r="L101" s="204"/>
      <c r="M101" s="208">
        <f>IF(Tabelle132456891011121314[[#This Row],[Pulled after Start]]="",MIN(Tabelle132456891011121314[[#This Row],[Jira Story Points]],Tabelle132456891011121314[[#This Row],[Carry-over]]),0)</f>
        <v>3</v>
      </c>
      <c r="N101" s="209">
        <f>MIN(Tabelle132456891011121314[[#This Row],[Jira Story Points]],Tabelle132456891011121314[[#This Row],[Carry-over]])-Tabelle132456891011121314[[#This Row],[SP Initially Planned (COS)]]</f>
        <v>0</v>
      </c>
      <c r="O101"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101" s="211">
        <f>IFERROR(IF(Tabelle132456891011121314[[#This Row],[Status]]=$J$5,MIN(Tabelle132456891011121314[[#This Row],[Jira Story Points]],Tabelle132456891011121314[[#This Row],[Carry-over]]),0),0)</f>
        <v>0</v>
      </c>
      <c r="Q101" s="211">
        <f>IFERROR(IF(Tabelle132456891011121314[[#This Row],[Status]]=$J$5,0,MIN(Tabelle132456891011121314[[#This Row],[Jira Story Points]],Tabelle132456891011121314[[#This Row],[Carry-over]])-Tabelle132456891011121314[[#This Row],[SP Completed (COS &amp; SOS)]]),0)</f>
        <v>0</v>
      </c>
    </row>
    <row r="102" spans="1:17" ht="13.5" hidden="1" customHeight="1">
      <c r="A102" s="251" t="s">
        <v>1608</v>
      </c>
      <c r="B102" s="251" t="s">
        <v>1609</v>
      </c>
      <c r="C102" s="203" t="s">
        <v>372</v>
      </c>
      <c r="D102" s="203">
        <v>3</v>
      </c>
      <c r="E102" s="203" t="s">
        <v>278</v>
      </c>
      <c r="F102" s="204">
        <v>3</v>
      </c>
      <c r="G102" s="201" t="s">
        <v>24</v>
      </c>
      <c r="H102" s="205"/>
      <c r="I102" s="206"/>
      <c r="J102" s="203" t="s">
        <v>125</v>
      </c>
      <c r="K102" s="204"/>
      <c r="L102" s="204"/>
      <c r="M102" s="208">
        <f>IF(Tabelle132456891011121314[[#This Row],[Pulled after Start]]="",MIN(Tabelle132456891011121314[[#This Row],[Jira Story Points]],Tabelle132456891011121314[[#This Row],[Carry-over]]),0)</f>
        <v>3</v>
      </c>
      <c r="N102" s="209">
        <f>MIN(Tabelle132456891011121314[[#This Row],[Jira Story Points]],Tabelle132456891011121314[[#This Row],[Carry-over]])-Tabelle132456891011121314[[#This Row],[SP Initially Planned (COS)]]</f>
        <v>0</v>
      </c>
      <c r="O102"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102" s="211">
        <f>IFERROR(IF(Tabelle132456891011121314[[#This Row],[Status]]=$J$5,MIN(Tabelle132456891011121314[[#This Row],[Jira Story Points]],Tabelle132456891011121314[[#This Row],[Carry-over]]),0),0)</f>
        <v>0</v>
      </c>
      <c r="Q102" s="211">
        <f>IFERROR(IF(Tabelle132456891011121314[[#This Row],[Status]]=$J$5,0,MIN(Tabelle132456891011121314[[#This Row],[Jira Story Points]],Tabelle132456891011121314[[#This Row],[Carry-over]])-Tabelle132456891011121314[[#This Row],[SP Completed (COS &amp; SOS)]]),0)</f>
        <v>0</v>
      </c>
    </row>
    <row r="103" spans="1:17" ht="13.5" hidden="1" customHeight="1">
      <c r="A103" s="251" t="s">
        <v>1610</v>
      </c>
      <c r="B103" s="251" t="s">
        <v>1611</v>
      </c>
      <c r="C103" s="203" t="s">
        <v>375</v>
      </c>
      <c r="D103" s="203">
        <v>2</v>
      </c>
      <c r="E103" s="203" t="s">
        <v>278</v>
      </c>
      <c r="F103" s="204">
        <v>3</v>
      </c>
      <c r="G103" s="201" t="s">
        <v>24</v>
      </c>
      <c r="H103" s="205"/>
      <c r="I103" s="206"/>
      <c r="J103" s="203" t="s">
        <v>125</v>
      </c>
      <c r="K103" s="204"/>
      <c r="L103" s="204"/>
      <c r="M103" s="208">
        <f>IF(Tabelle132456891011121314[[#This Row],[Pulled after Start]]="",MIN(Tabelle132456891011121314[[#This Row],[Jira Story Points]],Tabelle132456891011121314[[#This Row],[Carry-over]]),0)</f>
        <v>3</v>
      </c>
      <c r="N103" s="209">
        <f>MIN(Tabelle132456891011121314[[#This Row],[Jira Story Points]],Tabelle132456891011121314[[#This Row],[Carry-over]])-Tabelle132456891011121314[[#This Row],[SP Initially Planned (COS)]]</f>
        <v>0</v>
      </c>
      <c r="O103"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103" s="211">
        <f>IFERROR(IF(Tabelle132456891011121314[[#This Row],[Status]]=$J$5,MIN(Tabelle132456891011121314[[#This Row],[Jira Story Points]],Tabelle132456891011121314[[#This Row],[Carry-over]]),0),0)</f>
        <v>0</v>
      </c>
      <c r="Q103" s="211">
        <f>IFERROR(IF(Tabelle132456891011121314[[#This Row],[Status]]=$J$5,0,MIN(Tabelle132456891011121314[[#This Row],[Jira Story Points]],Tabelle132456891011121314[[#This Row],[Carry-over]])-Tabelle132456891011121314[[#This Row],[SP Completed (COS &amp; SOS)]]),0)</f>
        <v>0</v>
      </c>
    </row>
    <row r="104" spans="1:17" ht="13.5" hidden="1" customHeight="1">
      <c r="A104" s="251" t="s">
        <v>1416</v>
      </c>
      <c r="B104" s="251" t="s">
        <v>1417</v>
      </c>
      <c r="C104" s="203" t="s">
        <v>372</v>
      </c>
      <c r="D104" s="203">
        <v>3</v>
      </c>
      <c r="E104" s="203" t="s">
        <v>278</v>
      </c>
      <c r="F104" s="204">
        <v>3</v>
      </c>
      <c r="G104" s="201" t="s">
        <v>24</v>
      </c>
      <c r="H104" s="205"/>
      <c r="I104" s="206"/>
      <c r="J104" s="203" t="s">
        <v>125</v>
      </c>
      <c r="K104" s="204"/>
      <c r="L104" s="204"/>
      <c r="M104" s="208">
        <f>IF(Tabelle132456891011121314[[#This Row],[Pulled after Start]]="",MIN(Tabelle132456891011121314[[#This Row],[Jira Story Points]],Tabelle132456891011121314[[#This Row],[Carry-over]]),0)</f>
        <v>3</v>
      </c>
      <c r="N104" s="209">
        <f>MIN(Tabelle132456891011121314[[#This Row],[Jira Story Points]],Tabelle132456891011121314[[#This Row],[Carry-over]])-Tabelle132456891011121314[[#This Row],[SP Initially Planned (COS)]]</f>
        <v>0</v>
      </c>
      <c r="O104"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104" s="211">
        <f>IFERROR(IF(Tabelle132456891011121314[[#This Row],[Status]]=$J$5,MIN(Tabelle132456891011121314[[#This Row],[Jira Story Points]],Tabelle132456891011121314[[#This Row],[Carry-over]]),0),0)</f>
        <v>0</v>
      </c>
      <c r="Q104" s="211">
        <f>IFERROR(IF(Tabelle132456891011121314[[#This Row],[Status]]=$J$5,0,MIN(Tabelle132456891011121314[[#This Row],[Jira Story Points]],Tabelle132456891011121314[[#This Row],[Carry-over]])-Tabelle132456891011121314[[#This Row],[SP Completed (COS &amp; SOS)]]),0)</f>
        <v>0</v>
      </c>
    </row>
    <row r="105" spans="1:17" ht="13.5" hidden="1" customHeight="1">
      <c r="A105" s="251" t="s">
        <v>1612</v>
      </c>
      <c r="B105" s="251" t="s">
        <v>1613</v>
      </c>
      <c r="C105" s="203" t="s">
        <v>372</v>
      </c>
      <c r="D105" s="203">
        <v>3</v>
      </c>
      <c r="E105" s="203" t="s">
        <v>278</v>
      </c>
      <c r="F105" s="204">
        <v>1</v>
      </c>
      <c r="G105" s="201" t="s">
        <v>24</v>
      </c>
      <c r="H105" s="205" t="s">
        <v>209</v>
      </c>
      <c r="I105" s="206"/>
      <c r="J105" s="203" t="s">
        <v>125</v>
      </c>
      <c r="K105" s="204"/>
      <c r="L105" s="204"/>
      <c r="M105" s="208">
        <f>IF(Tabelle132456891011121314[[#This Row],[Pulled after Start]]="",MIN(Tabelle132456891011121314[[#This Row],[Jira Story Points]],Tabelle132456891011121314[[#This Row],[Carry-over]]),0)</f>
        <v>0</v>
      </c>
      <c r="N105" s="209">
        <f>MIN(Tabelle132456891011121314[[#This Row],[Jira Story Points]],Tabelle132456891011121314[[#This Row],[Carry-over]])-Tabelle132456891011121314[[#This Row],[SP Initially Planned (COS)]]</f>
        <v>1</v>
      </c>
      <c r="O105"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v>
      </c>
      <c r="P105" s="211">
        <f>IFERROR(IF(Tabelle132456891011121314[[#This Row],[Status]]=$J$5,MIN(Tabelle132456891011121314[[#This Row],[Jira Story Points]],Tabelle132456891011121314[[#This Row],[Carry-over]]),0),0)</f>
        <v>0</v>
      </c>
      <c r="Q105" s="211">
        <f>IFERROR(IF(Tabelle132456891011121314[[#This Row],[Status]]=$J$5,0,MIN(Tabelle132456891011121314[[#This Row],[Jira Story Points]],Tabelle132456891011121314[[#This Row],[Carry-over]])-Tabelle132456891011121314[[#This Row],[SP Completed (COS &amp; SOS)]]),0)</f>
        <v>0</v>
      </c>
    </row>
    <row r="106" spans="1:17" ht="13.5" hidden="1" customHeight="1">
      <c r="A106" s="251" t="s">
        <v>1418</v>
      </c>
      <c r="B106" s="251" t="s">
        <v>1419</v>
      </c>
      <c r="C106" s="203" t="s">
        <v>372</v>
      </c>
      <c r="D106" s="203">
        <v>3</v>
      </c>
      <c r="E106" s="203" t="s">
        <v>278</v>
      </c>
      <c r="F106" s="204">
        <v>3</v>
      </c>
      <c r="G106" s="201" t="s">
        <v>24</v>
      </c>
      <c r="H106" s="205" t="s">
        <v>209</v>
      </c>
      <c r="I106" s="206"/>
      <c r="J106" s="203" t="s">
        <v>125</v>
      </c>
      <c r="K106" s="204"/>
      <c r="L106" s="204"/>
      <c r="M106" s="208">
        <f>IF(Tabelle132456891011121314[[#This Row],[Pulled after Start]]="",MIN(Tabelle132456891011121314[[#This Row],[Jira Story Points]],Tabelle132456891011121314[[#This Row],[Carry-over]]),0)</f>
        <v>0</v>
      </c>
      <c r="N106" s="209">
        <f>MIN(Tabelle132456891011121314[[#This Row],[Jira Story Points]],Tabelle132456891011121314[[#This Row],[Carry-over]])-Tabelle132456891011121314[[#This Row],[SP Initially Planned (COS)]]</f>
        <v>3</v>
      </c>
      <c r="O106"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106" s="211">
        <f>IFERROR(IF(Tabelle132456891011121314[[#This Row],[Status]]=$J$5,MIN(Tabelle132456891011121314[[#This Row],[Jira Story Points]],Tabelle132456891011121314[[#This Row],[Carry-over]]),0),0)</f>
        <v>0</v>
      </c>
      <c r="Q106" s="211">
        <f>IFERROR(IF(Tabelle132456891011121314[[#This Row],[Status]]=$J$5,0,MIN(Tabelle132456891011121314[[#This Row],[Jira Story Points]],Tabelle132456891011121314[[#This Row],[Carry-over]])-Tabelle132456891011121314[[#This Row],[SP Completed (COS &amp; SOS)]]),0)</f>
        <v>0</v>
      </c>
    </row>
    <row r="107" spans="1:17" ht="13.5" hidden="1" customHeight="1">
      <c r="A107" s="251" t="s">
        <v>1187</v>
      </c>
      <c r="B107" s="251" t="s">
        <v>1188</v>
      </c>
      <c r="C107" s="203" t="s">
        <v>372</v>
      </c>
      <c r="D107" s="203">
        <v>3</v>
      </c>
      <c r="E107" s="203" t="s">
        <v>288</v>
      </c>
      <c r="F107" s="204">
        <v>3</v>
      </c>
      <c r="G107" s="201" t="s">
        <v>24</v>
      </c>
      <c r="H107" s="205" t="s">
        <v>209</v>
      </c>
      <c r="I107" s="206"/>
      <c r="J107" s="203" t="s">
        <v>127</v>
      </c>
      <c r="K107" s="204"/>
      <c r="L107" s="204"/>
      <c r="M107" s="208">
        <f>IF(Tabelle132456891011121314[[#This Row],[Pulled after Start]]="",MIN(Tabelle132456891011121314[[#This Row],[Jira Story Points]],Tabelle132456891011121314[[#This Row],[Carry-over]]),0)</f>
        <v>0</v>
      </c>
      <c r="N107" s="209">
        <f>MIN(Tabelle132456891011121314[[#This Row],[Jira Story Points]],Tabelle132456891011121314[[#This Row],[Carry-over]])-Tabelle132456891011121314[[#This Row],[SP Initially Planned (COS)]]</f>
        <v>3</v>
      </c>
      <c r="O107"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07" s="211">
        <f>IFERROR(IF(Tabelle132456891011121314[[#This Row],[Status]]=$J$5,MIN(Tabelle132456891011121314[[#This Row],[Jira Story Points]],Tabelle132456891011121314[[#This Row],[Carry-over]]),0),0)</f>
        <v>0</v>
      </c>
      <c r="Q107" s="211">
        <f>IFERROR(IF(Tabelle132456891011121314[[#This Row],[Status]]=$J$5,0,MIN(Tabelle132456891011121314[[#This Row],[Jira Story Points]],Tabelle132456891011121314[[#This Row],[Carry-over]])-Tabelle132456891011121314[[#This Row],[SP Completed (COS &amp; SOS)]]),0)</f>
        <v>3</v>
      </c>
    </row>
    <row r="108" spans="1:17" ht="13.5" hidden="1" customHeight="1">
      <c r="A108" s="214" t="s">
        <v>1614</v>
      </c>
      <c r="B108" s="47" t="s">
        <v>1615</v>
      </c>
      <c r="C108" s="203" t="s">
        <v>372</v>
      </c>
      <c r="D108" s="203">
        <v>3</v>
      </c>
      <c r="E108" s="203" t="s">
        <v>324</v>
      </c>
      <c r="F108" s="204">
        <v>3</v>
      </c>
      <c r="G108" s="201" t="s">
        <v>32</v>
      </c>
      <c r="H108" s="205"/>
      <c r="I108" s="206"/>
      <c r="J108" s="203" t="s">
        <v>125</v>
      </c>
      <c r="K108" s="204"/>
      <c r="L108" s="204"/>
      <c r="M108" s="208">
        <f>IF(Tabelle132456891011121314[[#This Row],[Pulled after Start]]="",MIN(Tabelle132456891011121314[[#This Row],[Jira Story Points]],Tabelle132456891011121314[[#This Row],[Carry-over]]),0)</f>
        <v>3</v>
      </c>
      <c r="N108" s="209">
        <f>MIN(Tabelle132456891011121314[[#This Row],[Jira Story Points]],Tabelle132456891011121314[[#This Row],[Carry-over]])-Tabelle132456891011121314[[#This Row],[SP Initially Planned (COS)]]</f>
        <v>0</v>
      </c>
      <c r="O108"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108" s="211">
        <f>IFERROR(IF(Tabelle132456891011121314[[#This Row],[Status]]=$J$5,MIN(Tabelle132456891011121314[[#This Row],[Jira Story Points]],Tabelle132456891011121314[[#This Row],[Carry-over]]),0),0)</f>
        <v>0</v>
      </c>
      <c r="Q108" s="211">
        <f>IFERROR(IF(Tabelle132456891011121314[[#This Row],[Status]]=$J$5,0,MIN(Tabelle132456891011121314[[#This Row],[Jira Story Points]],Tabelle132456891011121314[[#This Row],[Carry-over]])-Tabelle132456891011121314[[#This Row],[SP Completed (COS &amp; SOS)]]),0)</f>
        <v>0</v>
      </c>
    </row>
    <row r="109" spans="1:17" ht="13.5" hidden="1" customHeight="1">
      <c r="A109" s="214" t="s">
        <v>1616</v>
      </c>
      <c r="B109" s="47" t="s">
        <v>1617</v>
      </c>
      <c r="C109" s="203" t="s">
        <v>372</v>
      </c>
      <c r="D109" s="203">
        <v>3</v>
      </c>
      <c r="E109" s="203" t="s">
        <v>324</v>
      </c>
      <c r="F109" s="204">
        <v>5</v>
      </c>
      <c r="G109" s="201" t="s">
        <v>32</v>
      </c>
      <c r="H109" s="205"/>
      <c r="I109" s="206"/>
      <c r="J109" s="203" t="s">
        <v>125</v>
      </c>
      <c r="K109" s="204">
        <v>2</v>
      </c>
      <c r="L109" s="204"/>
      <c r="M109" s="208">
        <f>IF(Tabelle132456891011121314[[#This Row],[Pulled after Start]]="",MIN(Tabelle132456891011121314[[#This Row],[Jira Story Points]],Tabelle132456891011121314[[#This Row],[Carry-over]]),0)</f>
        <v>2</v>
      </c>
      <c r="N109" s="209">
        <f>MIN(Tabelle132456891011121314[[#This Row],[Jira Story Points]],Tabelle132456891011121314[[#This Row],[Carry-over]])-Tabelle132456891011121314[[#This Row],[SP Initially Planned (COS)]]</f>
        <v>0</v>
      </c>
      <c r="O109"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2</v>
      </c>
      <c r="P109" s="211">
        <f>IFERROR(IF(Tabelle132456891011121314[[#This Row],[Status]]=$J$5,MIN(Tabelle132456891011121314[[#This Row],[Jira Story Points]],Tabelle132456891011121314[[#This Row],[Carry-over]]),0),0)</f>
        <v>0</v>
      </c>
      <c r="Q109" s="211">
        <f>IFERROR(IF(Tabelle132456891011121314[[#This Row],[Status]]=$J$5,0,MIN(Tabelle132456891011121314[[#This Row],[Jira Story Points]],Tabelle132456891011121314[[#This Row],[Carry-over]])-Tabelle132456891011121314[[#This Row],[SP Completed (COS &amp; SOS)]]),0)</f>
        <v>0</v>
      </c>
    </row>
    <row r="110" spans="1:17" ht="13.5" hidden="1" customHeight="1">
      <c r="A110" s="214" t="s">
        <v>1618</v>
      </c>
      <c r="B110" s="47" t="s">
        <v>1619</v>
      </c>
      <c r="C110" s="203" t="s">
        <v>372</v>
      </c>
      <c r="D110" s="203">
        <v>3</v>
      </c>
      <c r="E110" s="203" t="s">
        <v>324</v>
      </c>
      <c r="F110" s="204">
        <v>3</v>
      </c>
      <c r="G110" s="201" t="s">
        <v>32</v>
      </c>
      <c r="H110" s="205"/>
      <c r="I110" s="206"/>
      <c r="J110" s="203" t="s">
        <v>125</v>
      </c>
      <c r="K110" s="204">
        <v>1</v>
      </c>
      <c r="L110" s="204"/>
      <c r="M110" s="208">
        <f>IF(Tabelle132456891011121314[[#This Row],[Pulled after Start]]="",MIN(Tabelle132456891011121314[[#This Row],[Jira Story Points]],Tabelle132456891011121314[[#This Row],[Carry-over]]),0)</f>
        <v>1</v>
      </c>
      <c r="N110" s="209">
        <f>MIN(Tabelle132456891011121314[[#This Row],[Jira Story Points]],Tabelle132456891011121314[[#This Row],[Carry-over]])-Tabelle132456891011121314[[#This Row],[SP Initially Planned (COS)]]</f>
        <v>0</v>
      </c>
      <c r="O110"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v>
      </c>
      <c r="P110" s="211">
        <f>IFERROR(IF(Tabelle132456891011121314[[#This Row],[Status]]=$J$5,MIN(Tabelle132456891011121314[[#This Row],[Jira Story Points]],Tabelle132456891011121314[[#This Row],[Carry-over]]),0),0)</f>
        <v>0</v>
      </c>
      <c r="Q110" s="211">
        <f>IFERROR(IF(Tabelle132456891011121314[[#This Row],[Status]]=$J$5,0,MIN(Tabelle132456891011121314[[#This Row],[Jira Story Points]],Tabelle132456891011121314[[#This Row],[Carry-over]])-Tabelle132456891011121314[[#This Row],[SP Completed (COS &amp; SOS)]]),0)</f>
        <v>0</v>
      </c>
    </row>
    <row r="111" spans="1:17" ht="13.5" hidden="1" customHeight="1">
      <c r="A111" s="214" t="s">
        <v>1620</v>
      </c>
      <c r="B111" s="47" t="s">
        <v>1621</v>
      </c>
      <c r="C111" s="203" t="s">
        <v>372</v>
      </c>
      <c r="D111" s="203">
        <v>3</v>
      </c>
      <c r="E111" s="203" t="s">
        <v>324</v>
      </c>
      <c r="F111" s="204">
        <v>5</v>
      </c>
      <c r="G111" s="201" t="s">
        <v>32</v>
      </c>
      <c r="H111" s="205"/>
      <c r="I111" s="206"/>
      <c r="J111" s="203" t="s">
        <v>125</v>
      </c>
      <c r="K111" s="204">
        <v>1</v>
      </c>
      <c r="L111" s="204"/>
      <c r="M111" s="208">
        <f>IF(Tabelle132456891011121314[[#This Row],[Pulled after Start]]="",MIN(Tabelle132456891011121314[[#This Row],[Jira Story Points]],Tabelle132456891011121314[[#This Row],[Carry-over]]),0)</f>
        <v>1</v>
      </c>
      <c r="N111" s="209">
        <f>MIN(Tabelle132456891011121314[[#This Row],[Jira Story Points]],Tabelle132456891011121314[[#This Row],[Carry-over]])-Tabelle132456891011121314[[#This Row],[SP Initially Planned (COS)]]</f>
        <v>0</v>
      </c>
      <c r="O111"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v>
      </c>
      <c r="P111" s="211">
        <f>IFERROR(IF(Tabelle132456891011121314[[#This Row],[Status]]=$J$5,MIN(Tabelle132456891011121314[[#This Row],[Jira Story Points]],Tabelle132456891011121314[[#This Row],[Carry-over]]),0),0)</f>
        <v>0</v>
      </c>
      <c r="Q111" s="211">
        <f>IFERROR(IF(Tabelle132456891011121314[[#This Row],[Status]]=$J$5,0,MIN(Tabelle132456891011121314[[#This Row],[Jira Story Points]],Tabelle132456891011121314[[#This Row],[Carry-over]])-Tabelle132456891011121314[[#This Row],[SP Completed (COS &amp; SOS)]]),0)</f>
        <v>0</v>
      </c>
    </row>
    <row r="112" spans="1:17" ht="13.5" hidden="1" customHeight="1">
      <c r="A112" s="214" t="s">
        <v>1622</v>
      </c>
      <c r="B112" s="47" t="s">
        <v>1623</v>
      </c>
      <c r="C112" s="203" t="s">
        <v>375</v>
      </c>
      <c r="D112" s="203">
        <v>3</v>
      </c>
      <c r="E112" s="203" t="s">
        <v>324</v>
      </c>
      <c r="F112" s="204">
        <v>3</v>
      </c>
      <c r="G112" s="201" t="s">
        <v>32</v>
      </c>
      <c r="H112" s="205"/>
      <c r="I112" s="206"/>
      <c r="J112" s="203" t="s">
        <v>125</v>
      </c>
      <c r="K112" s="204">
        <v>1</v>
      </c>
      <c r="L112" s="204"/>
      <c r="M112" s="208">
        <f>IF(Tabelle132456891011121314[[#This Row],[Pulled after Start]]="",MIN(Tabelle132456891011121314[[#This Row],[Jira Story Points]],Tabelle132456891011121314[[#This Row],[Carry-over]]),0)</f>
        <v>1</v>
      </c>
      <c r="N112" s="209">
        <f>MIN(Tabelle132456891011121314[[#This Row],[Jira Story Points]],Tabelle132456891011121314[[#This Row],[Carry-over]])-Tabelle132456891011121314[[#This Row],[SP Initially Planned (COS)]]</f>
        <v>0</v>
      </c>
      <c r="O112"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v>
      </c>
      <c r="P112" s="211">
        <f>IFERROR(IF(Tabelle132456891011121314[[#This Row],[Status]]=$J$5,MIN(Tabelle132456891011121314[[#This Row],[Jira Story Points]],Tabelle132456891011121314[[#This Row],[Carry-over]]),0),0)</f>
        <v>0</v>
      </c>
      <c r="Q112" s="211">
        <f>IFERROR(IF(Tabelle132456891011121314[[#This Row],[Status]]=$J$5,0,MIN(Tabelle132456891011121314[[#This Row],[Jira Story Points]],Tabelle132456891011121314[[#This Row],[Carry-over]])-Tabelle132456891011121314[[#This Row],[SP Completed (COS &amp; SOS)]]),0)</f>
        <v>0</v>
      </c>
    </row>
    <row r="113" spans="1:17" ht="13.5" hidden="1" customHeight="1">
      <c r="A113" s="214" t="s">
        <v>347</v>
      </c>
      <c r="B113" s="47" t="s">
        <v>1429</v>
      </c>
      <c r="C113" s="203" t="s">
        <v>375</v>
      </c>
      <c r="D113" s="203">
        <v>3</v>
      </c>
      <c r="E113" s="203" t="s">
        <v>327</v>
      </c>
      <c r="F113" s="204">
        <v>1</v>
      </c>
      <c r="G113" s="201" t="s">
        <v>32</v>
      </c>
      <c r="H113" s="205"/>
      <c r="I113" s="206" t="s">
        <v>1624</v>
      </c>
      <c r="J113" s="203" t="s">
        <v>127</v>
      </c>
      <c r="K113" s="204"/>
      <c r="L113" s="204">
        <v>5</v>
      </c>
      <c r="M113" s="208">
        <f>IF(Tabelle132456891011121314[[#This Row],[Pulled after Start]]="",MIN(Tabelle132456891011121314[[#This Row],[Jira Story Points]],Tabelle132456891011121314[[#This Row],[Carry-over]]),0)</f>
        <v>1</v>
      </c>
      <c r="N113" s="209">
        <f>MIN(Tabelle132456891011121314[[#This Row],[Jira Story Points]],Tabelle132456891011121314[[#This Row],[Carry-over]])-Tabelle132456891011121314[[#This Row],[SP Initially Planned (COS)]]</f>
        <v>0</v>
      </c>
      <c r="O113"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-4</v>
      </c>
      <c r="P113" s="211">
        <f>IFERROR(IF(Tabelle132456891011121314[[#This Row],[Status]]=$J$5,MIN(Tabelle132456891011121314[[#This Row],[Jira Story Points]],Tabelle132456891011121314[[#This Row],[Carry-over]]),0),0)</f>
        <v>0</v>
      </c>
      <c r="Q113" s="211">
        <f>IFERROR(IF(Tabelle132456891011121314[[#This Row],[Status]]=$J$5,0,MIN(Tabelle132456891011121314[[#This Row],[Jira Story Points]],Tabelle132456891011121314[[#This Row],[Carry-over]])-Tabelle132456891011121314[[#This Row],[SP Completed (COS &amp; SOS)]]),0)</f>
        <v>5</v>
      </c>
    </row>
    <row r="114" spans="1:17" ht="13.5" hidden="1" customHeight="1">
      <c r="A114" s="214" t="s">
        <v>1625</v>
      </c>
      <c r="B114" s="47" t="s">
        <v>1626</v>
      </c>
      <c r="C114" s="203" t="s">
        <v>372</v>
      </c>
      <c r="D114" s="203">
        <v>3</v>
      </c>
      <c r="E114" s="203" t="s">
        <v>324</v>
      </c>
      <c r="F114" s="204">
        <v>3</v>
      </c>
      <c r="G114" s="201" t="s">
        <v>32</v>
      </c>
      <c r="H114" s="205"/>
      <c r="I114" s="206"/>
      <c r="J114" s="203" t="s">
        <v>125</v>
      </c>
      <c r="K114" s="204"/>
      <c r="L114" s="204"/>
      <c r="M114" s="208">
        <f>IF(Tabelle132456891011121314[[#This Row],[Pulled after Start]]="",MIN(Tabelle132456891011121314[[#This Row],[Jira Story Points]],Tabelle132456891011121314[[#This Row],[Carry-over]]),0)</f>
        <v>3</v>
      </c>
      <c r="N114" s="209">
        <f>MIN(Tabelle132456891011121314[[#This Row],[Jira Story Points]],Tabelle132456891011121314[[#This Row],[Carry-over]])-Tabelle132456891011121314[[#This Row],[SP Initially Planned (COS)]]</f>
        <v>0</v>
      </c>
      <c r="O114"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114" s="211">
        <f>IFERROR(IF(Tabelle132456891011121314[[#This Row],[Status]]=$J$5,MIN(Tabelle132456891011121314[[#This Row],[Jira Story Points]],Tabelle132456891011121314[[#This Row],[Carry-over]]),0),0)</f>
        <v>0</v>
      </c>
      <c r="Q114" s="211">
        <f>IFERROR(IF(Tabelle132456891011121314[[#This Row],[Status]]=$J$5,0,MIN(Tabelle132456891011121314[[#This Row],[Jira Story Points]],Tabelle132456891011121314[[#This Row],[Carry-over]])-Tabelle132456891011121314[[#This Row],[SP Completed (COS &amp; SOS)]]),0)</f>
        <v>0</v>
      </c>
    </row>
    <row r="115" spans="1:17" ht="13.5" hidden="1" customHeight="1">
      <c r="A115" s="214" t="s">
        <v>1435</v>
      </c>
      <c r="B115" s="47" t="s">
        <v>1436</v>
      </c>
      <c r="C115" s="203" t="s">
        <v>372</v>
      </c>
      <c r="D115" s="203">
        <v>3</v>
      </c>
      <c r="E115" s="203" t="s">
        <v>324</v>
      </c>
      <c r="F115" s="204">
        <v>3</v>
      </c>
      <c r="G115" s="201" t="s">
        <v>32</v>
      </c>
      <c r="H115" s="205"/>
      <c r="I115" s="206"/>
      <c r="J115" s="203" t="s">
        <v>125</v>
      </c>
      <c r="K115" s="204"/>
      <c r="L115" s="204"/>
      <c r="M115" s="208">
        <f>IF(Tabelle132456891011121314[[#This Row],[Pulled after Start]]="",MIN(Tabelle132456891011121314[[#This Row],[Jira Story Points]],Tabelle132456891011121314[[#This Row],[Carry-over]]),0)</f>
        <v>3</v>
      </c>
      <c r="N115" s="209">
        <f>MIN(Tabelle132456891011121314[[#This Row],[Jira Story Points]],Tabelle132456891011121314[[#This Row],[Carry-over]])-Tabelle132456891011121314[[#This Row],[SP Initially Planned (COS)]]</f>
        <v>0</v>
      </c>
      <c r="O115"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115" s="211">
        <f>IFERROR(IF(Tabelle132456891011121314[[#This Row],[Status]]=$J$5,MIN(Tabelle132456891011121314[[#This Row],[Jira Story Points]],Tabelle132456891011121314[[#This Row],[Carry-over]]),0),0)</f>
        <v>0</v>
      </c>
      <c r="Q115" s="211">
        <f>IFERROR(IF(Tabelle132456891011121314[[#This Row],[Status]]=$J$5,0,MIN(Tabelle132456891011121314[[#This Row],[Jira Story Points]],Tabelle132456891011121314[[#This Row],[Carry-over]])-Tabelle132456891011121314[[#This Row],[SP Completed (COS &amp; SOS)]]),0)</f>
        <v>0</v>
      </c>
    </row>
    <row r="116" spans="1:17" ht="13.5" hidden="1" customHeight="1">
      <c r="A116" s="214" t="s">
        <v>1433</v>
      </c>
      <c r="B116" s="47" t="s">
        <v>1434</v>
      </c>
      <c r="C116" s="203" t="s">
        <v>375</v>
      </c>
      <c r="D116" s="203">
        <v>3</v>
      </c>
      <c r="E116" s="203" t="s">
        <v>327</v>
      </c>
      <c r="F116" s="204">
        <v>3</v>
      </c>
      <c r="G116" s="201" t="s">
        <v>32</v>
      </c>
      <c r="H116" s="205" t="s">
        <v>209</v>
      </c>
      <c r="I116" s="206"/>
      <c r="J116" s="203" t="s">
        <v>127</v>
      </c>
      <c r="K116" s="204"/>
      <c r="L116" s="204">
        <v>2</v>
      </c>
      <c r="M116" s="208">
        <f>IF(Tabelle132456891011121314[[#This Row],[Pulled after Start]]="",MIN(Tabelle132456891011121314[[#This Row],[Jira Story Points]],Tabelle132456891011121314[[#This Row],[Carry-over]]),0)</f>
        <v>0</v>
      </c>
      <c r="N116" s="209">
        <f>MIN(Tabelle132456891011121314[[#This Row],[Jira Story Points]],Tabelle132456891011121314[[#This Row],[Carry-over]])-Tabelle132456891011121314[[#This Row],[SP Initially Planned (COS)]]</f>
        <v>3</v>
      </c>
      <c r="O116"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v>
      </c>
      <c r="P116" s="211">
        <f>IFERROR(IF(Tabelle132456891011121314[[#This Row],[Status]]=$J$5,MIN(Tabelle132456891011121314[[#This Row],[Jira Story Points]],Tabelle132456891011121314[[#This Row],[Carry-over]]),0),0)</f>
        <v>0</v>
      </c>
      <c r="Q116" s="211">
        <f>IFERROR(IF(Tabelle132456891011121314[[#This Row],[Status]]=$J$5,0,MIN(Tabelle132456891011121314[[#This Row],[Jira Story Points]],Tabelle132456891011121314[[#This Row],[Carry-over]])-Tabelle132456891011121314[[#This Row],[SP Completed (COS &amp; SOS)]]),0)</f>
        <v>2</v>
      </c>
    </row>
    <row r="117" spans="1:17" ht="13.5" hidden="1" customHeight="1">
      <c r="A117" s="214" t="s">
        <v>1437</v>
      </c>
      <c r="B117" s="47" t="s">
        <v>1438</v>
      </c>
      <c r="C117" s="203" t="s">
        <v>372</v>
      </c>
      <c r="D117" s="203">
        <v>3</v>
      </c>
      <c r="E117" s="203" t="s">
        <v>327</v>
      </c>
      <c r="F117" s="204">
        <v>2</v>
      </c>
      <c r="G117" s="201" t="s">
        <v>32</v>
      </c>
      <c r="H117" s="205" t="s">
        <v>209</v>
      </c>
      <c r="I117" s="206"/>
      <c r="J117" s="203" t="s">
        <v>127</v>
      </c>
      <c r="K117" s="204"/>
      <c r="L117" s="204">
        <v>1</v>
      </c>
      <c r="M117" s="208">
        <f>IF(Tabelle132456891011121314[[#This Row],[Pulled after Start]]="",MIN(Tabelle132456891011121314[[#This Row],[Jira Story Points]],Tabelle132456891011121314[[#This Row],[Carry-over]]),0)</f>
        <v>0</v>
      </c>
      <c r="N117" s="209">
        <f>MIN(Tabelle132456891011121314[[#This Row],[Jira Story Points]],Tabelle132456891011121314[[#This Row],[Carry-over]])-Tabelle132456891011121314[[#This Row],[SP Initially Planned (COS)]]</f>
        <v>2</v>
      </c>
      <c r="O117"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v>
      </c>
      <c r="P117" s="211">
        <f>IFERROR(IF(Tabelle132456891011121314[[#This Row],[Status]]=$J$5,MIN(Tabelle132456891011121314[[#This Row],[Jira Story Points]],Tabelle132456891011121314[[#This Row],[Carry-over]]),0),0)</f>
        <v>0</v>
      </c>
      <c r="Q117" s="211">
        <f>IFERROR(IF(Tabelle132456891011121314[[#This Row],[Status]]=$J$5,0,MIN(Tabelle132456891011121314[[#This Row],[Jira Story Points]],Tabelle132456891011121314[[#This Row],[Carry-over]])-Tabelle132456891011121314[[#This Row],[SP Completed (COS &amp; SOS)]]),0)</f>
        <v>1</v>
      </c>
    </row>
    <row r="118" spans="1:17" ht="13.5" hidden="1" customHeight="1">
      <c r="A118" s="250" t="s">
        <v>1439</v>
      </c>
      <c r="B118" s="47" t="s">
        <v>1440</v>
      </c>
      <c r="C118" s="203" t="s">
        <v>375</v>
      </c>
      <c r="D118" s="203">
        <v>3</v>
      </c>
      <c r="E118" s="203" t="s">
        <v>238</v>
      </c>
      <c r="F118" s="204">
        <v>3</v>
      </c>
      <c r="G118" s="201" t="s">
        <v>32</v>
      </c>
      <c r="H118" s="205" t="s">
        <v>209</v>
      </c>
      <c r="I118" s="206"/>
      <c r="J118" s="203" t="s">
        <v>127</v>
      </c>
      <c r="K118" s="204"/>
      <c r="L118" s="204">
        <v>2</v>
      </c>
      <c r="M118" s="208">
        <f>IF(Tabelle132456891011121314[[#This Row],[Pulled after Start]]="",MIN(Tabelle132456891011121314[[#This Row],[Jira Story Points]],Tabelle132456891011121314[[#This Row],[Carry-over]]),0)</f>
        <v>0</v>
      </c>
      <c r="N118" s="209">
        <f>MIN(Tabelle132456891011121314[[#This Row],[Jira Story Points]],Tabelle132456891011121314[[#This Row],[Carry-over]])-Tabelle132456891011121314[[#This Row],[SP Initially Planned (COS)]]</f>
        <v>3</v>
      </c>
      <c r="O118"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v>
      </c>
      <c r="P118" s="211">
        <f>IFERROR(IF(Tabelle132456891011121314[[#This Row],[Status]]=$J$5,MIN(Tabelle132456891011121314[[#This Row],[Jira Story Points]],Tabelle132456891011121314[[#This Row],[Carry-over]]),0),0)</f>
        <v>0</v>
      </c>
      <c r="Q118" s="211">
        <f>IFERROR(IF(Tabelle132456891011121314[[#This Row],[Status]]=$J$5,0,MIN(Tabelle132456891011121314[[#This Row],[Jira Story Points]],Tabelle132456891011121314[[#This Row],[Carry-over]])-Tabelle132456891011121314[[#This Row],[SP Completed (COS &amp; SOS)]]),0)</f>
        <v>2</v>
      </c>
    </row>
    <row r="119" spans="1:17" ht="13.5" hidden="1" customHeight="1">
      <c r="A119" s="214" t="s">
        <v>1627</v>
      </c>
      <c r="B119" s="47" t="s">
        <v>1628</v>
      </c>
      <c r="C119" s="203" t="s">
        <v>372</v>
      </c>
      <c r="D119" s="203">
        <v>3</v>
      </c>
      <c r="E119" s="203" t="s">
        <v>324</v>
      </c>
      <c r="F119" s="204">
        <v>13</v>
      </c>
      <c r="G119" s="203" t="s">
        <v>5</v>
      </c>
      <c r="H119" s="205"/>
      <c r="I119" s="206" t="s">
        <v>1629</v>
      </c>
      <c r="J119" s="203" t="s">
        <v>125</v>
      </c>
      <c r="K119" s="204">
        <v>3</v>
      </c>
      <c r="L119" s="204"/>
      <c r="M119" s="208">
        <f>IF(Tabelle132456891011121314[[#This Row],[Pulled after Start]]="",MIN(Tabelle132456891011121314[[#This Row],[Jira Story Points]],Tabelle132456891011121314[[#This Row],[Carry-over]]),0)</f>
        <v>3</v>
      </c>
      <c r="N119" s="209">
        <f>MIN(Tabelle132456891011121314[[#This Row],[Jira Story Points]],Tabelle132456891011121314[[#This Row],[Carry-over]])-Tabelle132456891011121314[[#This Row],[SP Initially Planned (COS)]]</f>
        <v>0</v>
      </c>
      <c r="O119"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119" s="211">
        <f>IFERROR(IF(Tabelle132456891011121314[[#This Row],[Status]]=$J$5,MIN(Tabelle132456891011121314[[#This Row],[Jira Story Points]],Tabelle132456891011121314[[#This Row],[Carry-over]]),0),0)</f>
        <v>0</v>
      </c>
      <c r="Q119" s="211">
        <f>IFERROR(IF(Tabelle132456891011121314[[#This Row],[Status]]=$J$5,0,MIN(Tabelle132456891011121314[[#This Row],[Jira Story Points]],Tabelle132456891011121314[[#This Row],[Carry-over]])-Tabelle132456891011121314[[#This Row],[SP Completed (COS &amp; SOS)]]),0)</f>
        <v>0</v>
      </c>
    </row>
    <row r="120" spans="1:17" ht="13.5" hidden="1" customHeight="1">
      <c r="A120" s="214" t="s">
        <v>1630</v>
      </c>
      <c r="B120" s="47" t="s">
        <v>1631</v>
      </c>
      <c r="C120" s="203" t="s">
        <v>372</v>
      </c>
      <c r="D120" s="203">
        <v>2</v>
      </c>
      <c r="E120" s="203" t="s">
        <v>324</v>
      </c>
      <c r="F120" s="204">
        <v>3</v>
      </c>
      <c r="G120" s="203" t="s">
        <v>5</v>
      </c>
      <c r="H120" s="205"/>
      <c r="I120" s="206"/>
      <c r="J120" s="203" t="s">
        <v>125</v>
      </c>
      <c r="K120" s="204"/>
      <c r="L120" s="204"/>
      <c r="M120" s="208">
        <f>IF(Tabelle132456891011121314[[#This Row],[Pulled after Start]]="",MIN(Tabelle132456891011121314[[#This Row],[Jira Story Points]],Tabelle132456891011121314[[#This Row],[Carry-over]]),0)</f>
        <v>3</v>
      </c>
      <c r="N120" s="209">
        <f>MIN(Tabelle132456891011121314[[#This Row],[Jira Story Points]],Tabelle132456891011121314[[#This Row],[Carry-over]])-Tabelle132456891011121314[[#This Row],[SP Initially Planned (COS)]]</f>
        <v>0</v>
      </c>
      <c r="O120"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120" s="211">
        <f>IFERROR(IF(Tabelle132456891011121314[[#This Row],[Status]]=$J$5,MIN(Tabelle132456891011121314[[#This Row],[Jira Story Points]],Tabelle132456891011121314[[#This Row],[Carry-over]]),0),0)</f>
        <v>0</v>
      </c>
      <c r="Q120" s="211">
        <f>IFERROR(IF(Tabelle132456891011121314[[#This Row],[Status]]=$J$5,0,MIN(Tabelle132456891011121314[[#This Row],[Jira Story Points]],Tabelle132456891011121314[[#This Row],[Carry-over]])-Tabelle132456891011121314[[#This Row],[SP Completed (COS &amp; SOS)]]),0)</f>
        <v>0</v>
      </c>
    </row>
    <row r="121" spans="1:17" ht="13.5" hidden="1" customHeight="1">
      <c r="A121" s="214" t="s">
        <v>1632</v>
      </c>
      <c r="B121" s="47" t="s">
        <v>1633</v>
      </c>
      <c r="C121" s="203" t="s">
        <v>372</v>
      </c>
      <c r="D121" s="203">
        <v>3</v>
      </c>
      <c r="E121" s="203" t="s">
        <v>324</v>
      </c>
      <c r="F121" s="204">
        <v>3</v>
      </c>
      <c r="G121" s="203" t="s">
        <v>5</v>
      </c>
      <c r="H121" s="205"/>
      <c r="I121" s="206"/>
      <c r="J121" s="203" t="s">
        <v>125</v>
      </c>
      <c r="K121" s="204">
        <v>3</v>
      </c>
      <c r="L121" s="204"/>
      <c r="M121" s="208">
        <f>IF(Tabelle132456891011121314[[#This Row],[Pulled after Start]]="",MIN(Tabelle132456891011121314[[#This Row],[Jira Story Points]],Tabelle132456891011121314[[#This Row],[Carry-over]]),0)</f>
        <v>3</v>
      </c>
      <c r="N121" s="209">
        <f>MIN(Tabelle132456891011121314[[#This Row],[Jira Story Points]],Tabelle132456891011121314[[#This Row],[Carry-over]])-Tabelle132456891011121314[[#This Row],[SP Initially Planned (COS)]]</f>
        <v>0</v>
      </c>
      <c r="O121"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121" s="211">
        <f>IFERROR(IF(Tabelle132456891011121314[[#This Row],[Status]]=$J$5,MIN(Tabelle132456891011121314[[#This Row],[Jira Story Points]],Tabelle132456891011121314[[#This Row],[Carry-over]]),0),0)</f>
        <v>0</v>
      </c>
      <c r="Q121" s="211">
        <f>IFERROR(IF(Tabelle132456891011121314[[#This Row],[Status]]=$J$5,0,MIN(Tabelle132456891011121314[[#This Row],[Jira Story Points]],Tabelle132456891011121314[[#This Row],[Carry-over]])-Tabelle132456891011121314[[#This Row],[SP Completed (COS &amp; SOS)]]),0)</f>
        <v>0</v>
      </c>
    </row>
    <row r="122" spans="1:17" ht="13.5" hidden="1" customHeight="1">
      <c r="A122" s="214" t="s">
        <v>1634</v>
      </c>
      <c r="B122" s="47" t="s">
        <v>1635</v>
      </c>
      <c r="C122" s="203" t="s">
        <v>372</v>
      </c>
      <c r="D122" s="203">
        <v>2</v>
      </c>
      <c r="E122" s="203" t="s">
        <v>324</v>
      </c>
      <c r="F122" s="204">
        <v>3</v>
      </c>
      <c r="G122" s="203" t="s">
        <v>5</v>
      </c>
      <c r="H122" s="205"/>
      <c r="I122" s="206"/>
      <c r="J122" s="203" t="s">
        <v>125</v>
      </c>
      <c r="K122" s="204"/>
      <c r="L122" s="204"/>
      <c r="M122" s="208">
        <f>IF(Tabelle132456891011121314[[#This Row],[Pulled after Start]]="",MIN(Tabelle132456891011121314[[#This Row],[Jira Story Points]],Tabelle132456891011121314[[#This Row],[Carry-over]]),0)</f>
        <v>3</v>
      </c>
      <c r="N122" s="209">
        <f>MIN(Tabelle132456891011121314[[#This Row],[Jira Story Points]],Tabelle132456891011121314[[#This Row],[Carry-over]])-Tabelle132456891011121314[[#This Row],[SP Initially Planned (COS)]]</f>
        <v>0</v>
      </c>
      <c r="O122"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122" s="211">
        <f>IFERROR(IF(Tabelle132456891011121314[[#This Row],[Status]]=$J$5,MIN(Tabelle132456891011121314[[#This Row],[Jira Story Points]],Tabelle132456891011121314[[#This Row],[Carry-over]]),0),0)</f>
        <v>0</v>
      </c>
      <c r="Q122" s="211">
        <f>IFERROR(IF(Tabelle132456891011121314[[#This Row],[Status]]=$J$5,0,MIN(Tabelle132456891011121314[[#This Row],[Jira Story Points]],Tabelle132456891011121314[[#This Row],[Carry-over]])-Tabelle132456891011121314[[#This Row],[SP Completed (COS &amp; SOS)]]),0)</f>
        <v>0</v>
      </c>
    </row>
    <row r="123" spans="1:17" ht="13.5" hidden="1" customHeight="1">
      <c r="A123" s="214" t="s">
        <v>1636</v>
      </c>
      <c r="B123" s="47" t="s">
        <v>1637</v>
      </c>
      <c r="C123" s="203" t="s">
        <v>372</v>
      </c>
      <c r="D123" s="203">
        <v>3</v>
      </c>
      <c r="E123" s="203" t="s">
        <v>324</v>
      </c>
      <c r="F123" s="204">
        <v>3</v>
      </c>
      <c r="G123" s="203" t="s">
        <v>5</v>
      </c>
      <c r="H123" s="205" t="s">
        <v>209</v>
      </c>
      <c r="I123" s="206"/>
      <c r="J123" s="203" t="s">
        <v>125</v>
      </c>
      <c r="K123" s="204"/>
      <c r="L123" s="204"/>
      <c r="M123" s="208">
        <f>IF(Tabelle132456891011121314[[#This Row],[Pulled after Start]]="",MIN(Tabelle132456891011121314[[#This Row],[Jira Story Points]],Tabelle132456891011121314[[#This Row],[Carry-over]]),0)</f>
        <v>0</v>
      </c>
      <c r="N123" s="209">
        <f>MIN(Tabelle132456891011121314[[#This Row],[Jira Story Points]],Tabelle132456891011121314[[#This Row],[Carry-over]])-Tabelle132456891011121314[[#This Row],[SP Initially Planned (COS)]]</f>
        <v>3</v>
      </c>
      <c r="O123"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123" s="211">
        <f>IFERROR(IF(Tabelle132456891011121314[[#This Row],[Status]]=$J$5,MIN(Tabelle132456891011121314[[#This Row],[Jira Story Points]],Tabelle132456891011121314[[#This Row],[Carry-over]]),0),0)</f>
        <v>0</v>
      </c>
      <c r="Q123" s="211">
        <f>IFERROR(IF(Tabelle132456891011121314[[#This Row],[Status]]=$J$5,0,MIN(Tabelle132456891011121314[[#This Row],[Jira Story Points]],Tabelle132456891011121314[[#This Row],[Carry-over]])-Tabelle132456891011121314[[#This Row],[SP Completed (COS &amp; SOS)]]),0)</f>
        <v>0</v>
      </c>
    </row>
    <row r="124" spans="1:17" ht="13.5" hidden="1" customHeight="1">
      <c r="A124" s="214" t="s">
        <v>1638</v>
      </c>
      <c r="B124" s="47" t="s">
        <v>1639</v>
      </c>
      <c r="C124" s="203" t="s">
        <v>372</v>
      </c>
      <c r="D124" s="203">
        <v>3</v>
      </c>
      <c r="E124" s="203" t="s">
        <v>324</v>
      </c>
      <c r="F124" s="204">
        <v>1</v>
      </c>
      <c r="G124" s="203" t="s">
        <v>5</v>
      </c>
      <c r="H124" s="205" t="s">
        <v>209</v>
      </c>
      <c r="I124" s="206"/>
      <c r="J124" s="203" t="s">
        <v>125</v>
      </c>
      <c r="K124" s="204"/>
      <c r="L124" s="204"/>
      <c r="M124" s="208">
        <f>IF(Tabelle132456891011121314[[#This Row],[Pulled after Start]]="",MIN(Tabelle132456891011121314[[#This Row],[Jira Story Points]],Tabelle132456891011121314[[#This Row],[Carry-over]]),0)</f>
        <v>0</v>
      </c>
      <c r="N124" s="209">
        <f>MIN(Tabelle132456891011121314[[#This Row],[Jira Story Points]],Tabelle132456891011121314[[#This Row],[Carry-over]])-Tabelle132456891011121314[[#This Row],[SP Initially Planned (COS)]]</f>
        <v>1</v>
      </c>
      <c r="O124"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v>
      </c>
      <c r="P124" s="211">
        <f>IFERROR(IF(Tabelle132456891011121314[[#This Row],[Status]]=$J$5,MIN(Tabelle132456891011121314[[#This Row],[Jira Story Points]],Tabelle132456891011121314[[#This Row],[Carry-over]]),0),0)</f>
        <v>0</v>
      </c>
      <c r="Q124" s="211">
        <f>IFERROR(IF(Tabelle132456891011121314[[#This Row],[Status]]=$J$5,0,MIN(Tabelle132456891011121314[[#This Row],[Jira Story Points]],Tabelle132456891011121314[[#This Row],[Carry-over]])-Tabelle132456891011121314[[#This Row],[SP Completed (COS &amp; SOS)]]),0)</f>
        <v>0</v>
      </c>
    </row>
    <row r="125" spans="1:17" ht="13.5" hidden="1" customHeight="1">
      <c r="A125" s="214" t="s">
        <v>1640</v>
      </c>
      <c r="B125" s="47" t="s">
        <v>1641</v>
      </c>
      <c r="C125" s="203" t="s">
        <v>372</v>
      </c>
      <c r="D125" s="203">
        <v>3</v>
      </c>
      <c r="E125" s="203" t="s">
        <v>327</v>
      </c>
      <c r="F125" s="204">
        <v>3</v>
      </c>
      <c r="G125" s="203" t="s">
        <v>5</v>
      </c>
      <c r="H125" s="205"/>
      <c r="I125" s="206"/>
      <c r="J125" s="203" t="s">
        <v>125</v>
      </c>
      <c r="K125" s="204">
        <v>2</v>
      </c>
      <c r="L125" s="204"/>
      <c r="M125" s="208">
        <f>IF(Tabelle132456891011121314[[#This Row],[Pulled after Start]]="",MIN(Tabelle132456891011121314[[#This Row],[Jira Story Points]],Tabelle132456891011121314[[#This Row],[Carry-over]]),0)</f>
        <v>2</v>
      </c>
      <c r="N125" s="209">
        <f>MIN(Tabelle132456891011121314[[#This Row],[Jira Story Points]],Tabelle132456891011121314[[#This Row],[Carry-over]])-Tabelle132456891011121314[[#This Row],[SP Initially Planned (COS)]]</f>
        <v>0</v>
      </c>
      <c r="O125"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2</v>
      </c>
      <c r="P125" s="211">
        <f>IFERROR(IF(Tabelle132456891011121314[[#This Row],[Status]]=$J$5,MIN(Tabelle132456891011121314[[#This Row],[Jira Story Points]],Tabelle132456891011121314[[#This Row],[Carry-over]]),0),0)</f>
        <v>0</v>
      </c>
      <c r="Q125" s="211">
        <f>IFERROR(IF(Tabelle132456891011121314[[#This Row],[Status]]=$J$5,0,MIN(Tabelle132456891011121314[[#This Row],[Jira Story Points]],Tabelle132456891011121314[[#This Row],[Carry-over]])-Tabelle132456891011121314[[#This Row],[SP Completed (COS &amp; SOS)]]),0)</f>
        <v>0</v>
      </c>
    </row>
    <row r="126" spans="1:17" ht="13.5" hidden="1" customHeight="1">
      <c r="A126" s="214" t="s">
        <v>1642</v>
      </c>
      <c r="B126" s="47" t="s">
        <v>1643</v>
      </c>
      <c r="C126" s="203" t="s">
        <v>372</v>
      </c>
      <c r="D126" s="203">
        <v>3</v>
      </c>
      <c r="E126" s="203" t="s">
        <v>327</v>
      </c>
      <c r="F126" s="204">
        <v>8</v>
      </c>
      <c r="G126" s="203" t="s">
        <v>5</v>
      </c>
      <c r="H126" s="205"/>
      <c r="I126" s="206"/>
      <c r="J126" s="203" t="s">
        <v>125</v>
      </c>
      <c r="K126" s="204"/>
      <c r="L126" s="204"/>
      <c r="M126" s="208">
        <f>IF(Tabelle132456891011121314[[#This Row],[Pulled after Start]]="",MIN(Tabelle132456891011121314[[#This Row],[Jira Story Points]],Tabelle132456891011121314[[#This Row],[Carry-over]]),0)</f>
        <v>8</v>
      </c>
      <c r="N126" s="209">
        <f>MIN(Tabelle132456891011121314[[#This Row],[Jira Story Points]],Tabelle132456891011121314[[#This Row],[Carry-over]])-Tabelle132456891011121314[[#This Row],[SP Initially Planned (COS)]]</f>
        <v>0</v>
      </c>
      <c r="O126"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8</v>
      </c>
      <c r="P126" s="211">
        <f>IFERROR(IF(Tabelle132456891011121314[[#This Row],[Status]]=$J$5,MIN(Tabelle132456891011121314[[#This Row],[Jira Story Points]],Tabelle132456891011121314[[#This Row],[Carry-over]]),0),0)</f>
        <v>0</v>
      </c>
      <c r="Q126" s="211">
        <f>IFERROR(IF(Tabelle132456891011121314[[#This Row],[Status]]=$J$5,0,MIN(Tabelle132456891011121314[[#This Row],[Jira Story Points]],Tabelle132456891011121314[[#This Row],[Carry-over]])-Tabelle132456891011121314[[#This Row],[SP Completed (COS &amp; SOS)]]),0)</f>
        <v>0</v>
      </c>
    </row>
    <row r="127" spans="1:17" ht="13.5" hidden="1" customHeight="1">
      <c r="A127" s="214" t="s">
        <v>1451</v>
      </c>
      <c r="B127" s="47" t="s">
        <v>1289</v>
      </c>
      <c r="C127" s="203" t="s">
        <v>372</v>
      </c>
      <c r="D127" s="203">
        <v>3</v>
      </c>
      <c r="E127" s="203" t="s">
        <v>327</v>
      </c>
      <c r="F127" s="204">
        <v>13</v>
      </c>
      <c r="G127" s="203" t="s">
        <v>5</v>
      </c>
      <c r="H127" s="205"/>
      <c r="I127" s="206" t="s">
        <v>1629</v>
      </c>
      <c r="J127" s="203" t="s">
        <v>127</v>
      </c>
      <c r="K127" s="204"/>
      <c r="L127" s="204">
        <v>8</v>
      </c>
      <c r="M127" s="208">
        <f>IF(Tabelle132456891011121314[[#This Row],[Pulled after Start]]="",MIN(Tabelle132456891011121314[[#This Row],[Jira Story Points]],Tabelle132456891011121314[[#This Row],[Carry-over]]),0)</f>
        <v>13</v>
      </c>
      <c r="N127" s="209">
        <f>MIN(Tabelle132456891011121314[[#This Row],[Jira Story Points]],Tabelle132456891011121314[[#This Row],[Carry-over]])-Tabelle132456891011121314[[#This Row],[SP Initially Planned (COS)]]</f>
        <v>0</v>
      </c>
      <c r="O127"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5</v>
      </c>
      <c r="P127" s="211">
        <f>IFERROR(IF(Tabelle132456891011121314[[#This Row],[Status]]=$J$5,MIN(Tabelle132456891011121314[[#This Row],[Jira Story Points]],Tabelle132456891011121314[[#This Row],[Carry-over]]),0),0)</f>
        <v>0</v>
      </c>
      <c r="Q127" s="211">
        <f>IFERROR(IF(Tabelle132456891011121314[[#This Row],[Status]]=$J$5,0,MIN(Tabelle132456891011121314[[#This Row],[Jira Story Points]],Tabelle132456891011121314[[#This Row],[Carry-over]])-Tabelle132456891011121314[[#This Row],[SP Completed (COS &amp; SOS)]]),0)</f>
        <v>8</v>
      </c>
    </row>
    <row r="128" spans="1:17" ht="13.5" hidden="1" customHeight="1">
      <c r="A128" s="214" t="s">
        <v>1644</v>
      </c>
      <c r="B128" s="47" t="s">
        <v>1645</v>
      </c>
      <c r="C128" s="203" t="s">
        <v>372</v>
      </c>
      <c r="D128" s="203">
        <v>3</v>
      </c>
      <c r="E128" s="203" t="s">
        <v>327</v>
      </c>
      <c r="F128" s="204">
        <v>1</v>
      </c>
      <c r="G128" s="203" t="s">
        <v>5</v>
      </c>
      <c r="H128" s="205"/>
      <c r="I128" s="206"/>
      <c r="J128" s="203" t="s">
        <v>125</v>
      </c>
      <c r="K128" s="204"/>
      <c r="L128" s="204"/>
      <c r="M128" s="208">
        <f>IF(Tabelle132456891011121314[[#This Row],[Pulled after Start]]="",MIN(Tabelle132456891011121314[[#This Row],[Jira Story Points]],Tabelle132456891011121314[[#This Row],[Carry-over]]),0)</f>
        <v>1</v>
      </c>
      <c r="N128" s="209">
        <f>MIN(Tabelle132456891011121314[[#This Row],[Jira Story Points]],Tabelle132456891011121314[[#This Row],[Carry-over]])-Tabelle132456891011121314[[#This Row],[SP Initially Planned (COS)]]</f>
        <v>0</v>
      </c>
      <c r="O128"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1</v>
      </c>
      <c r="P128" s="211">
        <f>IFERROR(IF(Tabelle132456891011121314[[#This Row],[Status]]=$J$5,MIN(Tabelle132456891011121314[[#This Row],[Jira Story Points]],Tabelle132456891011121314[[#This Row],[Carry-over]]),0),0)</f>
        <v>0</v>
      </c>
      <c r="Q128" s="211">
        <f>IFERROR(IF(Tabelle132456891011121314[[#This Row],[Status]]=$J$5,0,MIN(Tabelle132456891011121314[[#This Row],[Jira Story Points]],Tabelle132456891011121314[[#This Row],[Carry-over]])-Tabelle132456891011121314[[#This Row],[SP Completed (COS &amp; SOS)]]),0)</f>
        <v>0</v>
      </c>
    </row>
    <row r="129" spans="1:39" ht="13.5" hidden="1" customHeight="1">
      <c r="A129" s="214" t="s">
        <v>1262</v>
      </c>
      <c r="B129" s="47" t="s">
        <v>1263</v>
      </c>
      <c r="C129" s="203" t="s">
        <v>372</v>
      </c>
      <c r="D129" s="203">
        <v>3</v>
      </c>
      <c r="E129" s="203" t="s">
        <v>327</v>
      </c>
      <c r="F129" s="204">
        <v>5</v>
      </c>
      <c r="G129" s="203" t="s">
        <v>5</v>
      </c>
      <c r="H129" s="205" t="s">
        <v>209</v>
      </c>
      <c r="I129" s="206"/>
      <c r="J129" s="203" t="s">
        <v>127</v>
      </c>
      <c r="K129" s="204"/>
      <c r="L129" s="204">
        <v>3</v>
      </c>
      <c r="M129" s="208">
        <f>IF(Tabelle132456891011121314[[#This Row],[Pulled after Start]]="",MIN(Tabelle132456891011121314[[#This Row],[Jira Story Points]],Tabelle132456891011121314[[#This Row],[Carry-over]]),0)</f>
        <v>0</v>
      </c>
      <c r="N129" s="209">
        <f>MIN(Tabelle132456891011121314[[#This Row],[Jira Story Points]],Tabelle132456891011121314[[#This Row],[Carry-over]])-Tabelle132456891011121314[[#This Row],[SP Initially Planned (COS)]]</f>
        <v>5</v>
      </c>
      <c r="O129"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2</v>
      </c>
      <c r="P129" s="211">
        <f>IFERROR(IF(Tabelle132456891011121314[[#This Row],[Status]]=$J$5,MIN(Tabelle132456891011121314[[#This Row],[Jira Story Points]],Tabelle132456891011121314[[#This Row],[Carry-over]]),0),0)</f>
        <v>0</v>
      </c>
      <c r="Q129" s="211">
        <f>IFERROR(IF(Tabelle132456891011121314[[#This Row],[Status]]=$J$5,0,MIN(Tabelle132456891011121314[[#This Row],[Jira Story Points]],Tabelle132456891011121314[[#This Row],[Carry-over]])-Tabelle132456891011121314[[#This Row],[SP Completed (COS &amp; SOS)]]),0)</f>
        <v>3</v>
      </c>
    </row>
    <row r="130" spans="1:39" ht="13.5" hidden="1" customHeight="1">
      <c r="A130" s="214" t="s">
        <v>1264</v>
      </c>
      <c r="B130" s="47" t="s">
        <v>1265</v>
      </c>
      <c r="C130" s="203" t="s">
        <v>372</v>
      </c>
      <c r="D130" s="203">
        <v>2</v>
      </c>
      <c r="E130" s="203" t="s">
        <v>327</v>
      </c>
      <c r="F130" s="204">
        <v>3</v>
      </c>
      <c r="G130" s="203" t="s">
        <v>5</v>
      </c>
      <c r="H130" s="205" t="s">
        <v>209</v>
      </c>
      <c r="I130" s="206"/>
      <c r="J130" s="203" t="s">
        <v>125</v>
      </c>
      <c r="K130" s="204"/>
      <c r="L130" s="204"/>
      <c r="M130" s="208">
        <f>IF(Tabelle132456891011121314[[#This Row],[Pulled after Start]]="",MIN(Tabelle132456891011121314[[#This Row],[Jira Story Points]],Tabelle132456891011121314[[#This Row],[Carry-over]]),0)</f>
        <v>0</v>
      </c>
      <c r="N130" s="209">
        <f>MIN(Tabelle132456891011121314[[#This Row],[Jira Story Points]],Tabelle132456891011121314[[#This Row],[Carry-over]])-Tabelle132456891011121314[[#This Row],[SP Initially Planned (COS)]]</f>
        <v>3</v>
      </c>
      <c r="O130"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130" s="211">
        <f>IFERROR(IF(Tabelle132456891011121314[[#This Row],[Status]]=$J$5,MIN(Tabelle132456891011121314[[#This Row],[Jira Story Points]],Tabelle132456891011121314[[#This Row],[Carry-over]]),0),0)</f>
        <v>0</v>
      </c>
      <c r="Q130" s="211">
        <f>IFERROR(IF(Tabelle132456891011121314[[#This Row],[Status]]=$J$5,0,MIN(Tabelle132456891011121314[[#This Row],[Jira Story Points]],Tabelle132456891011121314[[#This Row],[Carry-over]])-Tabelle132456891011121314[[#This Row],[SP Completed (COS &amp; SOS)]]),0)</f>
        <v>0</v>
      </c>
    </row>
    <row r="131" spans="1:39" ht="13.5" hidden="1" customHeight="1">
      <c r="A131" s="214" t="s">
        <v>1646</v>
      </c>
      <c r="B131" s="47" t="s">
        <v>1647</v>
      </c>
      <c r="C131" s="203" t="s">
        <v>372</v>
      </c>
      <c r="D131" s="203">
        <v>3</v>
      </c>
      <c r="E131" s="203" t="s">
        <v>327</v>
      </c>
      <c r="F131" s="204">
        <v>3</v>
      </c>
      <c r="G131" s="203" t="s">
        <v>5</v>
      </c>
      <c r="H131" s="205" t="s">
        <v>209</v>
      </c>
      <c r="I131" s="206"/>
      <c r="J131" s="203" t="s">
        <v>125</v>
      </c>
      <c r="K131" s="204"/>
      <c r="L131" s="204"/>
      <c r="M131" s="208">
        <f>IF(Tabelle132456891011121314[[#This Row],[Pulled after Start]]="",MIN(Tabelle132456891011121314[[#This Row],[Jira Story Points]],Tabelle132456891011121314[[#This Row],[Carry-over]]),0)</f>
        <v>0</v>
      </c>
      <c r="N131" s="209">
        <f>MIN(Tabelle132456891011121314[[#This Row],[Jira Story Points]],Tabelle132456891011121314[[#This Row],[Carry-over]])-Tabelle132456891011121314[[#This Row],[SP Initially Planned (COS)]]</f>
        <v>3</v>
      </c>
      <c r="O131"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131" s="211">
        <f>IFERROR(IF(Tabelle132456891011121314[[#This Row],[Status]]=$J$5,MIN(Tabelle132456891011121314[[#This Row],[Jira Story Points]],Tabelle132456891011121314[[#This Row],[Carry-over]]),0),0)</f>
        <v>0</v>
      </c>
      <c r="Q131" s="211">
        <f>IFERROR(IF(Tabelle132456891011121314[[#This Row],[Status]]=$J$5,0,MIN(Tabelle132456891011121314[[#This Row],[Jira Story Points]],Tabelle132456891011121314[[#This Row],[Carry-over]])-Tabelle132456891011121314[[#This Row],[SP Completed (COS &amp; SOS)]]),0)</f>
        <v>0</v>
      </c>
    </row>
    <row r="132" spans="1:39" ht="13.5" hidden="1" customHeight="1">
      <c r="A132" s="215" t="s">
        <v>899</v>
      </c>
      <c r="B132" s="47" t="s">
        <v>900</v>
      </c>
      <c r="C132" s="203" t="s">
        <v>372</v>
      </c>
      <c r="D132" s="203">
        <v>3</v>
      </c>
      <c r="E132" s="203" t="s">
        <v>327</v>
      </c>
      <c r="F132" s="204">
        <v>5</v>
      </c>
      <c r="G132" s="203" t="s">
        <v>9</v>
      </c>
      <c r="H132" s="205"/>
      <c r="I132" s="206" t="s">
        <v>1648</v>
      </c>
      <c r="J132" s="203" t="s">
        <v>928</v>
      </c>
      <c r="K132" s="204">
        <v>1</v>
      </c>
      <c r="L132" s="204">
        <v>1</v>
      </c>
      <c r="M132" s="208">
        <f>IF(Tabelle132456891011121314[[#This Row],[Pulled after Start]]="",MIN(Tabelle132456891011121314[[#This Row],[Jira Story Points]],Tabelle132456891011121314[[#This Row],[Carry-over]]),0)</f>
        <v>1</v>
      </c>
      <c r="N132" s="209">
        <f>MIN(Tabelle132456891011121314[[#This Row],[Jira Story Points]],Tabelle132456891011121314[[#This Row],[Carry-over]])-Tabelle132456891011121314[[#This Row],[SP Initially Planned (COS)]]</f>
        <v>0</v>
      </c>
      <c r="O132"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32" s="211">
        <f>IFERROR(IF(Tabelle132456891011121314[[#This Row],[Status]]=$J$5,MIN(Tabelle132456891011121314[[#This Row],[Jira Story Points]],Tabelle132456891011121314[[#This Row],[Carry-over]]),0),0)</f>
        <v>0</v>
      </c>
      <c r="Q132" s="211">
        <f>IFERROR(IF(Tabelle132456891011121314[[#This Row],[Status]]=$J$5,0,MIN(Tabelle132456891011121314[[#This Row],[Jira Story Points]],Tabelle132456891011121314[[#This Row],[Carry-over]])-Tabelle132456891011121314[[#This Row],[SP Completed (COS &amp; SOS)]]),0)</f>
        <v>1</v>
      </c>
    </row>
    <row r="133" spans="1:39" ht="13.5" hidden="1" customHeight="1">
      <c r="A133" s="215" t="s">
        <v>1649</v>
      </c>
      <c r="B133" s="47" t="s">
        <v>1468</v>
      </c>
      <c r="C133" s="203" t="s">
        <v>372</v>
      </c>
      <c r="D133" s="203">
        <v>3</v>
      </c>
      <c r="E133" s="203" t="s">
        <v>327</v>
      </c>
      <c r="F133" s="204">
        <v>2</v>
      </c>
      <c r="G133" s="203" t="s">
        <v>9</v>
      </c>
      <c r="H133" s="205" t="s">
        <v>209</v>
      </c>
      <c r="I133" s="206" t="s">
        <v>1650</v>
      </c>
      <c r="J133" s="203" t="s">
        <v>928</v>
      </c>
      <c r="K133" s="204"/>
      <c r="L133" s="204" t="s">
        <v>931</v>
      </c>
      <c r="M133" s="208">
        <f>IF(Tabelle132456891011121314[[#This Row],[Pulled after Start]]="",MIN(Tabelle132456891011121314[[#This Row],[Jira Story Points]],Tabelle132456891011121314[[#This Row],[Carry-over]]),0)</f>
        <v>0</v>
      </c>
      <c r="N133" s="209">
        <f>MIN(Tabelle132456891011121314[[#This Row],[Jira Story Points]],Tabelle132456891011121314[[#This Row],[Carry-over]])-Tabelle132456891011121314[[#This Row],[SP Initially Planned (COS)]]</f>
        <v>2</v>
      </c>
      <c r="O133" s="210" t="str">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v>
      </c>
      <c r="P133" s="211">
        <f>IFERROR(IF(Tabelle132456891011121314[[#This Row],[Status]]=$J$5,MIN(Tabelle132456891011121314[[#This Row],[Jira Story Points]],Tabelle132456891011121314[[#This Row],[Carry-over]]),0),0)</f>
        <v>0</v>
      </c>
      <c r="Q133" s="211">
        <f>IFERROR(IF(Tabelle132456891011121314[[#This Row],[Status]]=$J$5,0,MIN(Tabelle132456891011121314[[#This Row],[Jira Story Points]],Tabelle132456891011121314[[#This Row],[Carry-over]])-Tabelle132456891011121314[[#This Row],[SP Completed (COS &amp; SOS)]]),0)</f>
        <v>0</v>
      </c>
    </row>
    <row r="134" spans="1:39" ht="13.5" hidden="1" customHeight="1">
      <c r="A134" s="215" t="s">
        <v>1651</v>
      </c>
      <c r="B134" s="47" t="s">
        <v>903</v>
      </c>
      <c r="C134" s="203" t="s">
        <v>372</v>
      </c>
      <c r="D134" s="203">
        <v>3</v>
      </c>
      <c r="E134" s="203" t="s">
        <v>327</v>
      </c>
      <c r="F134" s="204">
        <v>8</v>
      </c>
      <c r="G134" s="203" t="s">
        <v>9</v>
      </c>
      <c r="H134" s="205" t="s">
        <v>209</v>
      </c>
      <c r="I134" s="206" t="s">
        <v>1652</v>
      </c>
      <c r="J134" s="203" t="s">
        <v>928</v>
      </c>
      <c r="K134" s="204"/>
      <c r="L134" s="204">
        <v>1</v>
      </c>
      <c r="M134" s="208">
        <f>IF(Tabelle132456891011121314[[#This Row],[Pulled after Start]]="",MIN(Tabelle132456891011121314[[#This Row],[Jira Story Points]],Tabelle132456891011121314[[#This Row],[Carry-over]]),0)</f>
        <v>0</v>
      </c>
      <c r="N134" s="209">
        <f>MIN(Tabelle132456891011121314[[#This Row],[Jira Story Points]],Tabelle132456891011121314[[#This Row],[Carry-over]])-Tabelle132456891011121314[[#This Row],[SP Initially Planned (COS)]]</f>
        <v>8</v>
      </c>
      <c r="O134"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7</v>
      </c>
      <c r="P134" s="211">
        <f>IFERROR(IF(Tabelle132456891011121314[[#This Row],[Status]]=$J$5,MIN(Tabelle132456891011121314[[#This Row],[Jira Story Points]],Tabelle132456891011121314[[#This Row],[Carry-over]]),0),0)</f>
        <v>0</v>
      </c>
      <c r="Q134" s="211">
        <f>IFERROR(IF(Tabelle132456891011121314[[#This Row],[Status]]=$J$5,0,MIN(Tabelle132456891011121314[[#This Row],[Jira Story Points]],Tabelle132456891011121314[[#This Row],[Carry-over]])-Tabelle132456891011121314[[#This Row],[SP Completed (COS &amp; SOS)]]),0)</f>
        <v>1</v>
      </c>
    </row>
    <row r="135" spans="1:39" ht="13.5" hidden="1" customHeight="1">
      <c r="A135" s="215" t="s">
        <v>1653</v>
      </c>
      <c r="B135" s="47" t="s">
        <v>1470</v>
      </c>
      <c r="C135" s="203" t="s">
        <v>372</v>
      </c>
      <c r="D135" s="203">
        <v>3</v>
      </c>
      <c r="E135" s="203" t="s">
        <v>327</v>
      </c>
      <c r="F135" s="204">
        <v>3</v>
      </c>
      <c r="G135" s="203" t="s">
        <v>9</v>
      </c>
      <c r="H135" s="205" t="s">
        <v>209</v>
      </c>
      <c r="I135" s="206" t="s">
        <v>1654</v>
      </c>
      <c r="J135" s="203" t="s">
        <v>928</v>
      </c>
      <c r="K135" s="204"/>
      <c r="L135" s="204">
        <v>3</v>
      </c>
      <c r="M135" s="208">
        <f>IF(Tabelle132456891011121314[[#This Row],[Pulled after Start]]="",MIN(Tabelle132456891011121314[[#This Row],[Jira Story Points]],Tabelle132456891011121314[[#This Row],[Carry-over]]),0)</f>
        <v>0</v>
      </c>
      <c r="N135" s="209">
        <f>MIN(Tabelle132456891011121314[[#This Row],[Jira Story Points]],Tabelle132456891011121314[[#This Row],[Carry-over]])-Tabelle132456891011121314[[#This Row],[SP Initially Planned (COS)]]</f>
        <v>3</v>
      </c>
      <c r="O135"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35" s="211">
        <f>IFERROR(IF(Tabelle132456891011121314[[#This Row],[Status]]=$J$5,MIN(Tabelle132456891011121314[[#This Row],[Jira Story Points]],Tabelle132456891011121314[[#This Row],[Carry-over]]),0),0)</f>
        <v>0</v>
      </c>
      <c r="Q135" s="211">
        <f>IFERROR(IF(Tabelle132456891011121314[[#This Row],[Status]]=$J$5,0,MIN(Tabelle132456891011121314[[#This Row],[Jira Story Points]],Tabelle132456891011121314[[#This Row],[Carry-over]])-Tabelle132456891011121314[[#This Row],[SP Completed (COS &amp; SOS)]]),0)</f>
        <v>3</v>
      </c>
    </row>
    <row r="136" spans="1:39" s="252" customFormat="1" ht="13.5" hidden="1" customHeight="1">
      <c r="A136" s="215" t="s">
        <v>1224</v>
      </c>
      <c r="B136" s="47" t="s">
        <v>1225</v>
      </c>
      <c r="C136" s="203" t="s">
        <v>382</v>
      </c>
      <c r="D136" s="203">
        <v>3</v>
      </c>
      <c r="E136" s="203" t="s">
        <v>330</v>
      </c>
      <c r="F136" s="204">
        <v>8</v>
      </c>
      <c r="G136" s="203" t="s">
        <v>9</v>
      </c>
      <c r="H136" s="205"/>
      <c r="I136" s="206" t="s">
        <v>1655</v>
      </c>
      <c r="J136" s="203" t="s">
        <v>928</v>
      </c>
      <c r="K136" s="204">
        <v>5</v>
      </c>
      <c r="L136" s="204">
        <v>7</v>
      </c>
      <c r="M136" s="208">
        <f>IF(Tabelle132456891011121314[[#This Row],[Pulled after Start]]="",MIN(Tabelle132456891011121314[[#This Row],[Jira Story Points]],Tabelle132456891011121314[[#This Row],[Carry-over]]),0)</f>
        <v>5</v>
      </c>
      <c r="N136" s="209">
        <f>MIN(Tabelle132456891011121314[[#This Row],[Jira Story Points]],Tabelle132456891011121314[[#This Row],[Carry-over]])-Tabelle132456891011121314[[#This Row],[SP Initially Planned (COS)]]</f>
        <v>0</v>
      </c>
      <c r="O136"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-2</v>
      </c>
      <c r="P136" s="211">
        <f>IFERROR(IF(Tabelle132456891011121314[[#This Row],[Status]]=$J$5,MIN(Tabelle132456891011121314[[#This Row],[Jira Story Points]],Tabelle132456891011121314[[#This Row],[Carry-over]]),0),0)</f>
        <v>0</v>
      </c>
      <c r="Q136" s="211">
        <f>IFERROR(IF(Tabelle132456891011121314[[#This Row],[Status]]=$J$5,0,MIN(Tabelle132456891011121314[[#This Row],[Jira Story Points]],Tabelle132456891011121314[[#This Row],[Carry-over]])-Tabelle132456891011121314[[#This Row],[SP Completed (COS &amp; SOS)]]),0)</f>
        <v>7</v>
      </c>
      <c r="R136" s="1"/>
      <c r="S136" s="1"/>
      <c r="T136" s="1"/>
      <c r="U136" s="1"/>
      <c r="V136" s="1"/>
      <c r="W136" s="1"/>
      <c r="X136" s="1"/>
      <c r="Y136" s="1"/>
      <c r="Z136" s="1"/>
      <c r="AA136" s="1"/>
      <c r="AB136" s="1"/>
      <c r="AC136" s="1"/>
      <c r="AD136" s="1"/>
      <c r="AE136" s="1"/>
      <c r="AF136" s="1"/>
      <c r="AG136" s="1"/>
      <c r="AH136" s="1"/>
      <c r="AI136" s="1"/>
      <c r="AJ136" s="1"/>
      <c r="AK136" s="1"/>
      <c r="AL136" s="1"/>
      <c r="AM136" s="1"/>
    </row>
    <row r="137" spans="1:39" s="252" customFormat="1" ht="13.5" hidden="1" customHeight="1">
      <c r="A137" s="215" t="s">
        <v>1493</v>
      </c>
      <c r="B137" s="47" t="s">
        <v>1494</v>
      </c>
      <c r="C137" s="203" t="s">
        <v>372</v>
      </c>
      <c r="D137" s="203">
        <v>3</v>
      </c>
      <c r="E137" s="203" t="s">
        <v>327</v>
      </c>
      <c r="F137" s="204">
        <v>8</v>
      </c>
      <c r="G137" s="203" t="s">
        <v>9</v>
      </c>
      <c r="H137" s="205"/>
      <c r="I137" s="206"/>
      <c r="J137" s="203" t="s">
        <v>928</v>
      </c>
      <c r="K137" s="204">
        <v>8</v>
      </c>
      <c r="L137" s="298">
        <v>0.5</v>
      </c>
      <c r="M137" s="208">
        <f>IF(Tabelle132456891011121314[[#This Row],[Pulled after Start]]="",MIN(Tabelle132456891011121314[[#This Row],[Jira Story Points]],Tabelle132456891011121314[[#This Row],[Carry-over]]),0)</f>
        <v>8</v>
      </c>
      <c r="N137" s="209">
        <f>MIN(Tabelle132456891011121314[[#This Row],[Jira Story Points]],Tabelle132456891011121314[[#This Row],[Carry-over]])-Tabelle132456891011121314[[#This Row],[SP Initially Planned (COS)]]</f>
        <v>0</v>
      </c>
      <c r="O137"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7.5</v>
      </c>
      <c r="P137" s="211">
        <f>IFERROR(IF(Tabelle132456891011121314[[#This Row],[Status]]=$J$5,MIN(Tabelle132456891011121314[[#This Row],[Jira Story Points]],Tabelle132456891011121314[[#This Row],[Carry-over]]),0),0)</f>
        <v>0</v>
      </c>
      <c r="Q137" s="211">
        <f>IFERROR(IF(Tabelle132456891011121314[[#This Row],[Status]]=$J$5,0,MIN(Tabelle132456891011121314[[#This Row],[Jira Story Points]],Tabelle132456891011121314[[#This Row],[Carry-over]])-Tabelle132456891011121314[[#This Row],[SP Completed (COS &amp; SOS)]]),0)</f>
        <v>0.5</v>
      </c>
      <c r="R137" s="1"/>
      <c r="S137" s="1"/>
      <c r="T137" s="1"/>
      <c r="U137" s="1"/>
      <c r="V137" s="1"/>
      <c r="W137" s="1"/>
      <c r="X137" s="1"/>
      <c r="Y137" s="1"/>
      <c r="Z137" s="1"/>
      <c r="AA137" s="1"/>
      <c r="AB137" s="1"/>
      <c r="AC137" s="1"/>
      <c r="AD137" s="1"/>
      <c r="AE137" s="1"/>
      <c r="AF137" s="1"/>
      <c r="AG137" s="1"/>
      <c r="AH137" s="1"/>
      <c r="AI137" s="1"/>
      <c r="AJ137" s="1"/>
      <c r="AK137" s="1"/>
      <c r="AL137" s="1"/>
      <c r="AM137" s="1"/>
    </row>
    <row r="138" spans="1:39" ht="13.5" hidden="1" customHeight="1">
      <c r="A138" s="215" t="s">
        <v>1656</v>
      </c>
      <c r="B138" s="47" t="s">
        <v>1657</v>
      </c>
      <c r="C138" s="203" t="s">
        <v>372</v>
      </c>
      <c r="D138" s="203">
        <v>3</v>
      </c>
      <c r="E138" s="203" t="s">
        <v>324</v>
      </c>
      <c r="F138" s="204">
        <v>5</v>
      </c>
      <c r="G138" s="203" t="s">
        <v>9</v>
      </c>
      <c r="H138" s="205"/>
      <c r="I138" s="206"/>
      <c r="J138" s="203" t="s">
        <v>901</v>
      </c>
      <c r="K138" s="204"/>
      <c r="L138" s="204">
        <v>0</v>
      </c>
      <c r="M138" s="208">
        <f>IF(Tabelle132456891011121314[[#This Row],[Pulled after Start]]="",MIN(Tabelle132456891011121314[[#This Row],[Jira Story Points]],Tabelle132456891011121314[[#This Row],[Carry-over]]),0)</f>
        <v>5</v>
      </c>
      <c r="N138" s="209">
        <f>MIN(Tabelle132456891011121314[[#This Row],[Jira Story Points]],Tabelle132456891011121314[[#This Row],[Carry-over]])-Tabelle132456891011121314[[#This Row],[SP Initially Planned (COS)]]</f>
        <v>0</v>
      </c>
      <c r="O138"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5</v>
      </c>
      <c r="P138" s="211">
        <f>IFERROR(IF(Tabelle132456891011121314[[#This Row],[Status]]=$J$5,MIN(Tabelle132456891011121314[[#This Row],[Jira Story Points]],Tabelle132456891011121314[[#This Row],[Carry-over]]),0),0)</f>
        <v>0</v>
      </c>
      <c r="Q138" s="211">
        <f>IFERROR(IF(Tabelle132456891011121314[[#This Row],[Status]]=$J$5,0,MIN(Tabelle132456891011121314[[#This Row],[Jira Story Points]],Tabelle132456891011121314[[#This Row],[Carry-over]])-Tabelle132456891011121314[[#This Row],[SP Completed (COS &amp; SOS)]]),0)</f>
        <v>0</v>
      </c>
    </row>
    <row r="139" spans="1:39" ht="13.5" hidden="1" customHeight="1">
      <c r="A139" s="215" t="s">
        <v>1658</v>
      </c>
      <c r="B139" s="47" t="s">
        <v>1659</v>
      </c>
      <c r="C139" s="203" t="s">
        <v>372</v>
      </c>
      <c r="D139" s="203">
        <v>3</v>
      </c>
      <c r="E139" s="203" t="s">
        <v>324</v>
      </c>
      <c r="F139" s="204">
        <v>5</v>
      </c>
      <c r="G139" s="203" t="s">
        <v>9</v>
      </c>
      <c r="H139" s="205"/>
      <c r="I139" s="206"/>
      <c r="J139" s="203" t="s">
        <v>901</v>
      </c>
      <c r="K139" s="204"/>
      <c r="L139" s="204">
        <v>0</v>
      </c>
      <c r="M139" s="208">
        <f>IF(Tabelle132456891011121314[[#This Row],[Pulled after Start]]="",MIN(Tabelle132456891011121314[[#This Row],[Jira Story Points]],Tabelle132456891011121314[[#This Row],[Carry-over]]),0)</f>
        <v>5</v>
      </c>
      <c r="N139" s="209">
        <f>MIN(Tabelle132456891011121314[[#This Row],[Jira Story Points]],Tabelle132456891011121314[[#This Row],[Carry-over]])-Tabelle132456891011121314[[#This Row],[SP Initially Planned (COS)]]</f>
        <v>0</v>
      </c>
      <c r="O139"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5</v>
      </c>
      <c r="P139" s="211">
        <f>IFERROR(IF(Tabelle132456891011121314[[#This Row],[Status]]=$J$5,MIN(Tabelle132456891011121314[[#This Row],[Jira Story Points]],Tabelle132456891011121314[[#This Row],[Carry-over]]),0),0)</f>
        <v>0</v>
      </c>
      <c r="Q139" s="211">
        <f>IFERROR(IF(Tabelle132456891011121314[[#This Row],[Status]]=$J$5,0,MIN(Tabelle132456891011121314[[#This Row],[Jira Story Points]],Tabelle132456891011121314[[#This Row],[Carry-over]])-Tabelle132456891011121314[[#This Row],[SP Completed (COS &amp; SOS)]]),0)</f>
        <v>0</v>
      </c>
    </row>
    <row r="140" spans="1:39" ht="13.5" hidden="1" customHeight="1">
      <c r="A140" s="215" t="s">
        <v>1660</v>
      </c>
      <c r="B140" s="47" t="s">
        <v>1661</v>
      </c>
      <c r="C140" s="203" t="s">
        <v>372</v>
      </c>
      <c r="D140" s="203">
        <v>3</v>
      </c>
      <c r="E140" s="203" t="s">
        <v>324</v>
      </c>
      <c r="F140" s="204">
        <v>5</v>
      </c>
      <c r="G140" s="203" t="s">
        <v>9</v>
      </c>
      <c r="H140" s="205"/>
      <c r="I140" s="206"/>
      <c r="J140" s="203" t="s">
        <v>901</v>
      </c>
      <c r="K140" s="204"/>
      <c r="L140" s="204">
        <v>0</v>
      </c>
      <c r="M140" s="208">
        <f>IF(Tabelle132456891011121314[[#This Row],[Pulled after Start]]="",MIN(Tabelle132456891011121314[[#This Row],[Jira Story Points]],Tabelle132456891011121314[[#This Row],[Carry-over]]),0)</f>
        <v>5</v>
      </c>
      <c r="N140" s="209">
        <f>MIN(Tabelle132456891011121314[[#This Row],[Jira Story Points]],Tabelle132456891011121314[[#This Row],[Carry-over]])-Tabelle132456891011121314[[#This Row],[SP Initially Planned (COS)]]</f>
        <v>0</v>
      </c>
      <c r="O140"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5</v>
      </c>
      <c r="P140" s="211">
        <f>IFERROR(IF(Tabelle132456891011121314[[#This Row],[Status]]=$J$5,MIN(Tabelle132456891011121314[[#This Row],[Jira Story Points]],Tabelle132456891011121314[[#This Row],[Carry-over]]),0),0)</f>
        <v>0</v>
      </c>
      <c r="Q140" s="211">
        <f>IFERROR(IF(Tabelle132456891011121314[[#This Row],[Status]]=$J$5,0,MIN(Tabelle132456891011121314[[#This Row],[Jira Story Points]],Tabelle132456891011121314[[#This Row],[Carry-over]])-Tabelle132456891011121314[[#This Row],[SP Completed (COS &amp; SOS)]]),0)</f>
        <v>0</v>
      </c>
    </row>
    <row r="141" spans="1:39" ht="13.5" hidden="1" customHeight="1">
      <c r="A141" s="215" t="s">
        <v>1662</v>
      </c>
      <c r="B141" s="47" t="s">
        <v>1663</v>
      </c>
      <c r="C141" s="203" t="s">
        <v>372</v>
      </c>
      <c r="D141" s="203">
        <v>3</v>
      </c>
      <c r="E141" s="203" t="s">
        <v>324</v>
      </c>
      <c r="F141" s="204">
        <v>3</v>
      </c>
      <c r="G141" s="203" t="s">
        <v>9</v>
      </c>
      <c r="H141" s="205"/>
      <c r="I141" s="206"/>
      <c r="J141" s="203" t="s">
        <v>901</v>
      </c>
      <c r="K141" s="204"/>
      <c r="L141" s="204">
        <v>0</v>
      </c>
      <c r="M141" s="208">
        <f>IF(Tabelle132456891011121314[[#This Row],[Pulled after Start]]="",MIN(Tabelle132456891011121314[[#This Row],[Jira Story Points]],Tabelle132456891011121314[[#This Row],[Carry-over]]),0)</f>
        <v>3</v>
      </c>
      <c r="N141" s="209">
        <f>MIN(Tabelle132456891011121314[[#This Row],[Jira Story Points]],Tabelle132456891011121314[[#This Row],[Carry-over]])-Tabelle132456891011121314[[#This Row],[SP Initially Planned (COS)]]</f>
        <v>0</v>
      </c>
      <c r="O141"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141" s="211">
        <f>IFERROR(IF(Tabelle132456891011121314[[#This Row],[Status]]=$J$5,MIN(Tabelle132456891011121314[[#This Row],[Jira Story Points]],Tabelle132456891011121314[[#This Row],[Carry-over]]),0),0)</f>
        <v>0</v>
      </c>
      <c r="Q141" s="211">
        <f>IFERROR(IF(Tabelle132456891011121314[[#This Row],[Status]]=$J$5,0,MIN(Tabelle132456891011121314[[#This Row],[Jira Story Points]],Tabelle132456891011121314[[#This Row],[Carry-over]])-Tabelle132456891011121314[[#This Row],[SP Completed (COS &amp; SOS)]]),0)</f>
        <v>0</v>
      </c>
    </row>
    <row r="142" spans="1:39" ht="13.5" hidden="1" customHeight="1">
      <c r="A142" s="215" t="s">
        <v>1664</v>
      </c>
      <c r="B142" s="47" t="s">
        <v>1665</v>
      </c>
      <c r="C142" s="203" t="s">
        <v>372</v>
      </c>
      <c r="D142" s="203">
        <v>3</v>
      </c>
      <c r="E142" s="203" t="s">
        <v>324</v>
      </c>
      <c r="F142" s="204">
        <v>3</v>
      </c>
      <c r="G142" s="203" t="s">
        <v>9</v>
      </c>
      <c r="H142" s="205"/>
      <c r="I142" s="206"/>
      <c r="J142" s="203" t="s">
        <v>901</v>
      </c>
      <c r="K142" s="204"/>
      <c r="L142" s="204">
        <v>0</v>
      </c>
      <c r="M142" s="208">
        <f>IF(Tabelle132456891011121314[[#This Row],[Pulled after Start]]="",MIN(Tabelle132456891011121314[[#This Row],[Jira Story Points]],Tabelle132456891011121314[[#This Row],[Carry-over]]),0)</f>
        <v>3</v>
      </c>
      <c r="N142" s="209">
        <f>MIN(Tabelle132456891011121314[[#This Row],[Jira Story Points]],Tabelle132456891011121314[[#This Row],[Carry-over]])-Tabelle132456891011121314[[#This Row],[SP Initially Planned (COS)]]</f>
        <v>0</v>
      </c>
      <c r="O142"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142" s="211">
        <f>IFERROR(IF(Tabelle132456891011121314[[#This Row],[Status]]=$J$5,MIN(Tabelle132456891011121314[[#This Row],[Jira Story Points]],Tabelle132456891011121314[[#This Row],[Carry-over]]),0),0)</f>
        <v>0</v>
      </c>
      <c r="Q142" s="211">
        <f>IFERROR(IF(Tabelle132456891011121314[[#This Row],[Status]]=$J$5,0,MIN(Tabelle132456891011121314[[#This Row],[Jira Story Points]],Tabelle132456891011121314[[#This Row],[Carry-over]])-Tabelle132456891011121314[[#This Row],[SP Completed (COS &amp; SOS)]]),0)</f>
        <v>0</v>
      </c>
    </row>
    <row r="143" spans="1:39" ht="13.5" hidden="1" customHeight="1">
      <c r="A143" s="215" t="s">
        <v>1666</v>
      </c>
      <c r="B143" s="47" t="s">
        <v>1667</v>
      </c>
      <c r="C143" s="203" t="s">
        <v>372</v>
      </c>
      <c r="D143" s="203">
        <v>3</v>
      </c>
      <c r="E143" s="203" t="s">
        <v>324</v>
      </c>
      <c r="F143" s="298">
        <v>0.5</v>
      </c>
      <c r="G143" s="203" t="s">
        <v>9</v>
      </c>
      <c r="H143" s="205"/>
      <c r="I143" s="206"/>
      <c r="J143" s="203" t="s">
        <v>901</v>
      </c>
      <c r="K143" s="204"/>
      <c r="L143" s="204">
        <v>0</v>
      </c>
      <c r="M143" s="208">
        <f>IF(Tabelle132456891011121314[[#This Row],[Pulled after Start]]="",MIN(Tabelle132456891011121314[[#This Row],[Jira Story Points]],Tabelle132456891011121314[[#This Row],[Carry-over]]),0)</f>
        <v>0.5</v>
      </c>
      <c r="N143" s="209">
        <f>MIN(Tabelle132456891011121314[[#This Row],[Jira Story Points]],Tabelle132456891011121314[[#This Row],[Carry-over]])-Tabelle132456891011121314[[#This Row],[SP Initially Planned (COS)]]</f>
        <v>0</v>
      </c>
      <c r="O143"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0.5</v>
      </c>
      <c r="P143" s="211">
        <f>IFERROR(IF(Tabelle132456891011121314[[#This Row],[Status]]=$J$5,MIN(Tabelle132456891011121314[[#This Row],[Jira Story Points]],Tabelle132456891011121314[[#This Row],[Carry-over]]),0),0)</f>
        <v>0</v>
      </c>
      <c r="Q143" s="211">
        <f>IFERROR(IF(Tabelle132456891011121314[[#This Row],[Status]]=$J$5,0,MIN(Tabelle132456891011121314[[#This Row],[Jira Story Points]],Tabelle132456891011121314[[#This Row],[Carry-over]])-Tabelle132456891011121314[[#This Row],[SP Completed (COS &amp; SOS)]]),0)</f>
        <v>0</v>
      </c>
    </row>
    <row r="144" spans="1:39" ht="13.5" hidden="1" customHeight="1">
      <c r="A144" s="215" t="s">
        <v>1668</v>
      </c>
      <c r="B144" s="47" t="s">
        <v>1669</v>
      </c>
      <c r="C144" s="203" t="s">
        <v>372</v>
      </c>
      <c r="D144" s="203">
        <v>3</v>
      </c>
      <c r="E144" s="203" t="s">
        <v>324</v>
      </c>
      <c r="F144" s="204">
        <v>3</v>
      </c>
      <c r="G144" s="203" t="s">
        <v>9</v>
      </c>
      <c r="H144" s="205"/>
      <c r="I144" s="206"/>
      <c r="J144" s="203" t="s">
        <v>901</v>
      </c>
      <c r="K144" s="204"/>
      <c r="L144" s="204">
        <v>0</v>
      </c>
      <c r="M144" s="208">
        <f>IF(Tabelle132456891011121314[[#This Row],[Pulled after Start]]="",MIN(Tabelle132456891011121314[[#This Row],[Jira Story Points]],Tabelle132456891011121314[[#This Row],[Carry-over]]),0)</f>
        <v>3</v>
      </c>
      <c r="N144" s="209">
        <f>MIN(Tabelle132456891011121314[[#This Row],[Jira Story Points]],Tabelle132456891011121314[[#This Row],[Carry-over]])-Tabelle132456891011121314[[#This Row],[SP Initially Planned (COS)]]</f>
        <v>0</v>
      </c>
      <c r="O144"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3</v>
      </c>
      <c r="P144" s="211">
        <f>IFERROR(IF(Tabelle132456891011121314[[#This Row],[Status]]=$J$5,MIN(Tabelle132456891011121314[[#This Row],[Jira Story Points]],Tabelle132456891011121314[[#This Row],[Carry-over]]),0),0)</f>
        <v>0</v>
      </c>
      <c r="Q144" s="211">
        <f>IFERROR(IF(Tabelle132456891011121314[[#This Row],[Status]]=$J$5,0,MIN(Tabelle132456891011121314[[#This Row],[Jira Story Points]],Tabelle132456891011121314[[#This Row],[Carry-over]])-Tabelle132456891011121314[[#This Row],[SP Completed (COS &amp; SOS)]]),0)</f>
        <v>0</v>
      </c>
    </row>
    <row r="145" spans="1:17" ht="13.5" hidden="1" customHeight="1">
      <c r="A145" s="215" t="s">
        <v>1670</v>
      </c>
      <c r="B145" s="47" t="s">
        <v>1671</v>
      </c>
      <c r="C145" s="203" t="s">
        <v>372</v>
      </c>
      <c r="D145" s="203">
        <v>3</v>
      </c>
      <c r="E145" s="203" t="s">
        <v>324</v>
      </c>
      <c r="F145" s="204">
        <v>0.5</v>
      </c>
      <c r="G145" s="203" t="s">
        <v>9</v>
      </c>
      <c r="H145" s="205"/>
      <c r="I145" s="206"/>
      <c r="J145" s="203" t="s">
        <v>901</v>
      </c>
      <c r="K145" s="204"/>
      <c r="L145" s="204">
        <v>0</v>
      </c>
      <c r="M145" s="208">
        <f>IF(Tabelle132456891011121314[[#This Row],[Pulled after Start]]="",MIN(Tabelle132456891011121314[[#This Row],[Jira Story Points]],Tabelle132456891011121314[[#This Row],[Carry-over]]),0)</f>
        <v>0.5</v>
      </c>
      <c r="N145" s="209">
        <f>MIN(Tabelle132456891011121314[[#This Row],[Jira Story Points]],Tabelle132456891011121314[[#This Row],[Carry-over]])-Tabelle132456891011121314[[#This Row],[SP Initially Planned (COS)]]</f>
        <v>0</v>
      </c>
      <c r="O145"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0.5</v>
      </c>
      <c r="P145" s="211">
        <f>IFERROR(IF(Tabelle132456891011121314[[#This Row],[Status]]=$J$5,MIN(Tabelle132456891011121314[[#This Row],[Jira Story Points]],Tabelle132456891011121314[[#This Row],[Carry-over]]),0),0)</f>
        <v>0</v>
      </c>
      <c r="Q145" s="211">
        <f>IFERROR(IF(Tabelle132456891011121314[[#This Row],[Status]]=$J$5,0,MIN(Tabelle132456891011121314[[#This Row],[Jira Story Points]],Tabelle132456891011121314[[#This Row],[Carry-over]])-Tabelle132456891011121314[[#This Row],[SP Completed (COS &amp; SOS)]]),0)</f>
        <v>0</v>
      </c>
    </row>
    <row r="146" spans="1:17" ht="13.5" hidden="1" customHeight="1">
      <c r="A146" s="215" t="s">
        <v>1672</v>
      </c>
      <c r="B146" s="47" t="s">
        <v>1673</v>
      </c>
      <c r="C146" s="203" t="s">
        <v>382</v>
      </c>
      <c r="D146" s="203">
        <v>3</v>
      </c>
      <c r="E146" s="203" t="s">
        <v>324</v>
      </c>
      <c r="F146" s="204">
        <v>2</v>
      </c>
      <c r="G146" s="203" t="s">
        <v>9</v>
      </c>
      <c r="H146" s="205"/>
      <c r="I146" s="206"/>
      <c r="J146" s="203" t="s">
        <v>901</v>
      </c>
      <c r="K146" s="204"/>
      <c r="L146" s="204">
        <v>0</v>
      </c>
      <c r="M146" s="208">
        <f>IF(Tabelle132456891011121314[[#This Row],[Pulled after Start]]="",MIN(Tabelle132456891011121314[[#This Row],[Jira Story Points]],Tabelle132456891011121314[[#This Row],[Carry-over]]),0)</f>
        <v>2</v>
      </c>
      <c r="N146" s="209">
        <f>MIN(Tabelle132456891011121314[[#This Row],[Jira Story Points]],Tabelle132456891011121314[[#This Row],[Carry-over]])-Tabelle132456891011121314[[#This Row],[SP Initially Planned (COS)]]</f>
        <v>0</v>
      </c>
      <c r="O146"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2</v>
      </c>
      <c r="P146" s="211">
        <f>IFERROR(IF(Tabelle132456891011121314[[#This Row],[Status]]=$J$5,MIN(Tabelle132456891011121314[[#This Row],[Jira Story Points]],Tabelle132456891011121314[[#This Row],[Carry-over]]),0),0)</f>
        <v>0</v>
      </c>
      <c r="Q146" s="211">
        <f>IFERROR(IF(Tabelle132456891011121314[[#This Row],[Status]]=$J$5,0,MIN(Tabelle132456891011121314[[#This Row],[Jira Story Points]],Tabelle132456891011121314[[#This Row],[Carry-over]])-Tabelle132456891011121314[[#This Row],[SP Completed (COS &amp; SOS)]]),0)</f>
        <v>0</v>
      </c>
    </row>
    <row r="147" spans="1:17" ht="13.5" hidden="1" customHeight="1">
      <c r="A147" s="215" t="s">
        <v>1674</v>
      </c>
      <c r="B147" s="47" t="s">
        <v>1675</v>
      </c>
      <c r="C147" s="203" t="s">
        <v>375</v>
      </c>
      <c r="D147" s="203">
        <v>1</v>
      </c>
      <c r="E147" s="203" t="s">
        <v>324</v>
      </c>
      <c r="F147" s="204">
        <v>2</v>
      </c>
      <c r="G147" s="203" t="s">
        <v>9</v>
      </c>
      <c r="H147" s="205" t="s">
        <v>209</v>
      </c>
      <c r="I147" s="206"/>
      <c r="J147" s="203" t="s">
        <v>901</v>
      </c>
      <c r="K147" s="204"/>
      <c r="L147" s="204">
        <v>0</v>
      </c>
      <c r="M147" s="208">
        <f>IF(Tabelle132456891011121314[[#This Row],[Pulled after Start]]="",MIN(Tabelle132456891011121314[[#This Row],[Jira Story Points]],Tabelle132456891011121314[[#This Row],[Carry-over]]),0)</f>
        <v>0</v>
      </c>
      <c r="N147" s="209">
        <f>MIN(Tabelle132456891011121314[[#This Row],[Jira Story Points]],Tabelle132456891011121314[[#This Row],[Carry-over]])-Tabelle132456891011121314[[#This Row],[SP Initially Planned (COS)]]</f>
        <v>2</v>
      </c>
      <c r="O147"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2</v>
      </c>
      <c r="P147" s="211">
        <f>IFERROR(IF(Tabelle132456891011121314[[#This Row],[Status]]=$J$5,MIN(Tabelle132456891011121314[[#This Row],[Jira Story Points]],Tabelle132456891011121314[[#This Row],[Carry-over]]),0),0)</f>
        <v>0</v>
      </c>
      <c r="Q147" s="211">
        <f>IFERROR(IF(Tabelle132456891011121314[[#This Row],[Status]]=$J$5,0,MIN(Tabelle132456891011121314[[#This Row],[Jira Story Points]],Tabelle132456891011121314[[#This Row],[Carry-over]])-Tabelle132456891011121314[[#This Row],[SP Completed (COS &amp; SOS)]]),0)</f>
        <v>0</v>
      </c>
    </row>
    <row r="148" spans="1:17" ht="13.5" hidden="1" customHeight="1">
      <c r="A148" s="214"/>
      <c r="B148" s="47"/>
      <c r="C148" s="203"/>
      <c r="D148" s="203"/>
      <c r="E148" s="203"/>
      <c r="F148" s="204"/>
      <c r="G148" s="203"/>
      <c r="H148" s="205"/>
      <c r="I148" s="206"/>
      <c r="J148" s="203"/>
      <c r="K148" s="204"/>
      <c r="L148" s="204"/>
      <c r="M148" s="208">
        <f>IF(Tabelle132456891011121314[[#This Row],[Pulled after Start]]="",MIN(Tabelle132456891011121314[[#This Row],[Jira Story Points]],Tabelle132456891011121314[[#This Row],[Carry-over]]),0)</f>
        <v>0</v>
      </c>
      <c r="N148" s="209">
        <f>MIN(Tabelle132456891011121314[[#This Row],[Jira Story Points]],Tabelle132456891011121314[[#This Row],[Carry-over]])-Tabelle132456891011121314[[#This Row],[SP Initially Planned (COS)]]</f>
        <v>0</v>
      </c>
      <c r="O148"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48" s="211">
        <f>IFERROR(IF(Tabelle132456891011121314[[#This Row],[Status]]=$J$5,MIN(Tabelle132456891011121314[[#This Row],[Jira Story Points]],Tabelle132456891011121314[[#This Row],[Carry-over]]),0),0)</f>
        <v>0</v>
      </c>
      <c r="Q148" s="211">
        <f>IFERROR(IF(Tabelle132456891011121314[[#This Row],[Status]]=$J$5,0,MIN(Tabelle132456891011121314[[#This Row],[Jira Story Points]],Tabelle132456891011121314[[#This Row],[Carry-over]])-Tabelle132456891011121314[[#This Row],[SP Completed (COS &amp; SOS)]]),0)</f>
        <v>0</v>
      </c>
    </row>
    <row r="149" spans="1:17" ht="13.5" hidden="1" customHeight="1">
      <c r="A149" s="214"/>
      <c r="B149" s="47"/>
      <c r="C149" s="203"/>
      <c r="D149" s="203"/>
      <c r="E149" s="203"/>
      <c r="F149" s="204"/>
      <c r="G149" s="203"/>
      <c r="H149" s="205"/>
      <c r="I149" s="206"/>
      <c r="J149" s="203"/>
      <c r="K149" s="204"/>
      <c r="L149" s="204"/>
      <c r="M149" s="208">
        <f>IF(Tabelle132456891011121314[[#This Row],[Pulled after Start]]="",MIN(Tabelle132456891011121314[[#This Row],[Jira Story Points]],Tabelle132456891011121314[[#This Row],[Carry-over]]),0)</f>
        <v>0</v>
      </c>
      <c r="N149" s="209">
        <f>MIN(Tabelle132456891011121314[[#This Row],[Jira Story Points]],Tabelle132456891011121314[[#This Row],[Carry-over]])-Tabelle132456891011121314[[#This Row],[SP Initially Planned (COS)]]</f>
        <v>0</v>
      </c>
      <c r="O149"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49" s="211">
        <f>IFERROR(IF(Tabelle132456891011121314[[#This Row],[Status]]=$J$5,MIN(Tabelle132456891011121314[[#This Row],[Jira Story Points]],Tabelle132456891011121314[[#This Row],[Carry-over]]),0),0)</f>
        <v>0</v>
      </c>
      <c r="Q149" s="211">
        <f>IFERROR(IF(Tabelle132456891011121314[[#This Row],[Status]]=$J$5,0,MIN(Tabelle132456891011121314[[#This Row],[Jira Story Points]],Tabelle132456891011121314[[#This Row],[Carry-over]])-Tabelle132456891011121314[[#This Row],[SP Completed (COS &amp; SOS)]]),0)</f>
        <v>0</v>
      </c>
    </row>
    <row r="150" spans="1:17" ht="13.5" hidden="1" customHeight="1">
      <c r="A150" s="214"/>
      <c r="B150" s="47"/>
      <c r="C150" s="203"/>
      <c r="D150" s="203"/>
      <c r="E150" s="203"/>
      <c r="F150" s="204"/>
      <c r="G150" s="203"/>
      <c r="H150" s="205"/>
      <c r="I150" s="206"/>
      <c r="J150" s="203"/>
      <c r="K150" s="204"/>
      <c r="L150" s="204"/>
      <c r="M150" s="208">
        <f>IF(Tabelle132456891011121314[[#This Row],[Pulled after Start]]="",MIN(Tabelle132456891011121314[[#This Row],[Jira Story Points]],Tabelle132456891011121314[[#This Row],[Carry-over]]),0)</f>
        <v>0</v>
      </c>
      <c r="N150" s="209">
        <f>MIN(Tabelle132456891011121314[[#This Row],[Jira Story Points]],Tabelle132456891011121314[[#This Row],[Carry-over]])-Tabelle132456891011121314[[#This Row],[SP Initially Planned (COS)]]</f>
        <v>0</v>
      </c>
      <c r="O150"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50" s="211">
        <f>IFERROR(IF(Tabelle132456891011121314[[#This Row],[Status]]=$J$5,MIN(Tabelle132456891011121314[[#This Row],[Jira Story Points]],Tabelle132456891011121314[[#This Row],[Carry-over]]),0),0)</f>
        <v>0</v>
      </c>
      <c r="Q150" s="211">
        <f>IFERROR(IF(Tabelle132456891011121314[[#This Row],[Status]]=$J$5,0,MIN(Tabelle132456891011121314[[#This Row],[Jira Story Points]],Tabelle132456891011121314[[#This Row],[Carry-over]])-Tabelle132456891011121314[[#This Row],[SP Completed (COS &amp; SOS)]]),0)</f>
        <v>0</v>
      </c>
    </row>
    <row r="151" spans="1:17" ht="13.5" hidden="1" customHeight="1">
      <c r="A151" s="214"/>
      <c r="B151" s="47"/>
      <c r="C151" s="203"/>
      <c r="D151" s="203"/>
      <c r="E151" s="203"/>
      <c r="F151" s="204"/>
      <c r="G151" s="203"/>
      <c r="H151" s="205"/>
      <c r="I151" s="206"/>
      <c r="J151" s="203"/>
      <c r="K151" s="204"/>
      <c r="L151" s="204"/>
      <c r="M151" s="208">
        <f>IF(Tabelle132456891011121314[[#This Row],[Pulled after Start]]="",MIN(Tabelle132456891011121314[[#This Row],[Jira Story Points]],Tabelle132456891011121314[[#This Row],[Carry-over]]),0)</f>
        <v>0</v>
      </c>
      <c r="N151" s="209">
        <f>MIN(Tabelle132456891011121314[[#This Row],[Jira Story Points]],Tabelle132456891011121314[[#This Row],[Carry-over]])-Tabelle132456891011121314[[#This Row],[SP Initially Planned (COS)]]</f>
        <v>0</v>
      </c>
      <c r="O151"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51" s="211">
        <f>IFERROR(IF(Tabelle132456891011121314[[#This Row],[Status]]=$J$5,MIN(Tabelle132456891011121314[[#This Row],[Jira Story Points]],Tabelle132456891011121314[[#This Row],[Carry-over]]),0),0)</f>
        <v>0</v>
      </c>
      <c r="Q151" s="211">
        <f>IFERROR(IF(Tabelle132456891011121314[[#This Row],[Status]]=$J$5,0,MIN(Tabelle132456891011121314[[#This Row],[Jira Story Points]],Tabelle132456891011121314[[#This Row],[Carry-over]])-Tabelle132456891011121314[[#This Row],[SP Completed (COS &amp; SOS)]]),0)</f>
        <v>0</v>
      </c>
    </row>
    <row r="152" spans="1:17" ht="13.5" hidden="1" customHeight="1">
      <c r="A152" s="214"/>
      <c r="B152" s="47"/>
      <c r="C152" s="203"/>
      <c r="D152" s="203"/>
      <c r="E152" s="203"/>
      <c r="F152" s="204"/>
      <c r="G152" s="203"/>
      <c r="H152" s="205"/>
      <c r="I152" s="206"/>
      <c r="J152" s="203"/>
      <c r="K152" s="204"/>
      <c r="L152" s="204"/>
      <c r="M152" s="208">
        <f>IF(Tabelle132456891011121314[[#This Row],[Pulled after Start]]="",MIN(Tabelle132456891011121314[[#This Row],[Jira Story Points]],Tabelle132456891011121314[[#This Row],[Carry-over]]),0)</f>
        <v>0</v>
      </c>
      <c r="N152" s="209">
        <f>MIN(Tabelle132456891011121314[[#This Row],[Jira Story Points]],Tabelle132456891011121314[[#This Row],[Carry-over]])-Tabelle132456891011121314[[#This Row],[SP Initially Planned (COS)]]</f>
        <v>0</v>
      </c>
      <c r="O152"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52" s="211">
        <f>IFERROR(IF(Tabelle132456891011121314[[#This Row],[Status]]=$J$5,MIN(Tabelle132456891011121314[[#This Row],[Jira Story Points]],Tabelle132456891011121314[[#This Row],[Carry-over]]),0),0)</f>
        <v>0</v>
      </c>
      <c r="Q152" s="211">
        <f>IFERROR(IF(Tabelle132456891011121314[[#This Row],[Status]]=$J$5,0,MIN(Tabelle132456891011121314[[#This Row],[Jira Story Points]],Tabelle132456891011121314[[#This Row],[Carry-over]])-Tabelle132456891011121314[[#This Row],[SP Completed (COS &amp; SOS)]]),0)</f>
        <v>0</v>
      </c>
    </row>
    <row r="153" spans="1:17" ht="13.5" hidden="1" customHeight="1">
      <c r="A153" s="214"/>
      <c r="B153" s="47"/>
      <c r="C153" s="203"/>
      <c r="D153" s="203"/>
      <c r="E153" s="203"/>
      <c r="F153" s="204"/>
      <c r="G153" s="203"/>
      <c r="H153" s="205"/>
      <c r="I153" s="206"/>
      <c r="J153" s="203"/>
      <c r="K153" s="204"/>
      <c r="L153" s="204"/>
      <c r="M153" s="208">
        <f>IF(Tabelle132456891011121314[[#This Row],[Pulled after Start]]="",MIN(Tabelle132456891011121314[[#This Row],[Jira Story Points]],Tabelle132456891011121314[[#This Row],[Carry-over]]),0)</f>
        <v>0</v>
      </c>
      <c r="N153" s="209">
        <f>MIN(Tabelle132456891011121314[[#This Row],[Jira Story Points]],Tabelle132456891011121314[[#This Row],[Carry-over]])-Tabelle132456891011121314[[#This Row],[SP Initially Planned (COS)]]</f>
        <v>0</v>
      </c>
      <c r="O153"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53" s="211">
        <f>IFERROR(IF(Tabelle132456891011121314[[#This Row],[Status]]=$J$5,MIN(Tabelle132456891011121314[[#This Row],[Jira Story Points]],Tabelle132456891011121314[[#This Row],[Carry-over]]),0),0)</f>
        <v>0</v>
      </c>
      <c r="Q153" s="211">
        <f>IFERROR(IF(Tabelle132456891011121314[[#This Row],[Status]]=$J$5,0,MIN(Tabelle132456891011121314[[#This Row],[Jira Story Points]],Tabelle132456891011121314[[#This Row],[Carry-over]])-Tabelle132456891011121314[[#This Row],[SP Completed (COS &amp; SOS)]]),0)</f>
        <v>0</v>
      </c>
    </row>
    <row r="154" spans="1:17" ht="13.5" hidden="1" customHeight="1">
      <c r="A154" s="214"/>
      <c r="B154" s="47"/>
      <c r="C154" s="203"/>
      <c r="D154" s="203"/>
      <c r="E154" s="203"/>
      <c r="F154" s="204"/>
      <c r="G154" s="203"/>
      <c r="H154" s="205"/>
      <c r="I154" s="206"/>
      <c r="J154" s="203"/>
      <c r="K154" s="204"/>
      <c r="L154" s="204"/>
      <c r="M154" s="208">
        <f>IF(Tabelle132456891011121314[[#This Row],[Pulled after Start]]="",MIN(Tabelle132456891011121314[[#This Row],[Jira Story Points]],Tabelle132456891011121314[[#This Row],[Carry-over]]),0)</f>
        <v>0</v>
      </c>
      <c r="N154" s="209">
        <f>MIN(Tabelle132456891011121314[[#This Row],[Jira Story Points]],Tabelle132456891011121314[[#This Row],[Carry-over]])-Tabelle132456891011121314[[#This Row],[SP Initially Planned (COS)]]</f>
        <v>0</v>
      </c>
      <c r="O154"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54" s="211">
        <f>IFERROR(IF(Tabelle132456891011121314[[#This Row],[Status]]=$J$5,MIN(Tabelle132456891011121314[[#This Row],[Jira Story Points]],Tabelle132456891011121314[[#This Row],[Carry-over]]),0),0)</f>
        <v>0</v>
      </c>
      <c r="Q154" s="211">
        <f>IFERROR(IF(Tabelle132456891011121314[[#This Row],[Status]]=$J$5,0,MIN(Tabelle132456891011121314[[#This Row],[Jira Story Points]],Tabelle132456891011121314[[#This Row],[Carry-over]])-Tabelle132456891011121314[[#This Row],[SP Completed (COS &amp; SOS)]]),0)</f>
        <v>0</v>
      </c>
    </row>
    <row r="155" spans="1:17" ht="13.5" hidden="1" customHeight="1">
      <c r="A155" s="214"/>
      <c r="B155" s="47"/>
      <c r="C155" s="203"/>
      <c r="D155" s="203"/>
      <c r="E155" s="203"/>
      <c r="F155" s="204"/>
      <c r="G155" s="203"/>
      <c r="H155" s="205"/>
      <c r="I155" s="206"/>
      <c r="J155" s="203"/>
      <c r="K155" s="204"/>
      <c r="L155" s="204"/>
      <c r="M155" s="208">
        <f>IF(Tabelle132456891011121314[[#This Row],[Pulled after Start]]="",MIN(Tabelle132456891011121314[[#This Row],[Jira Story Points]],Tabelle132456891011121314[[#This Row],[Carry-over]]),0)</f>
        <v>0</v>
      </c>
      <c r="N155" s="209">
        <f>MIN(Tabelle132456891011121314[[#This Row],[Jira Story Points]],Tabelle132456891011121314[[#This Row],[Carry-over]])-Tabelle132456891011121314[[#This Row],[SP Initially Planned (COS)]]</f>
        <v>0</v>
      </c>
      <c r="O155"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55" s="211">
        <f>IFERROR(IF(Tabelle132456891011121314[[#This Row],[Status]]=$J$5,MIN(Tabelle132456891011121314[[#This Row],[Jira Story Points]],Tabelle132456891011121314[[#This Row],[Carry-over]]),0),0)</f>
        <v>0</v>
      </c>
      <c r="Q155" s="211">
        <f>IFERROR(IF(Tabelle132456891011121314[[#This Row],[Status]]=$J$5,0,MIN(Tabelle132456891011121314[[#This Row],[Jira Story Points]],Tabelle132456891011121314[[#This Row],[Carry-over]])-Tabelle132456891011121314[[#This Row],[SP Completed (COS &amp; SOS)]]),0)</f>
        <v>0</v>
      </c>
    </row>
    <row r="156" spans="1:17" ht="13.5" hidden="1" customHeight="1">
      <c r="A156" s="214"/>
      <c r="B156" s="47"/>
      <c r="C156" s="203"/>
      <c r="D156" s="203"/>
      <c r="E156" s="203"/>
      <c r="F156" s="204"/>
      <c r="G156" s="203"/>
      <c r="H156" s="205"/>
      <c r="I156" s="206"/>
      <c r="J156" s="203"/>
      <c r="K156" s="204"/>
      <c r="L156" s="204"/>
      <c r="M156" s="208">
        <f>IF(Tabelle132456891011121314[[#This Row],[Pulled after Start]]="",MIN(Tabelle132456891011121314[[#This Row],[Jira Story Points]],Tabelle132456891011121314[[#This Row],[Carry-over]]),0)</f>
        <v>0</v>
      </c>
      <c r="N156" s="209">
        <f>MIN(Tabelle132456891011121314[[#This Row],[Jira Story Points]],Tabelle132456891011121314[[#This Row],[Carry-over]])-Tabelle132456891011121314[[#This Row],[SP Initially Planned (COS)]]</f>
        <v>0</v>
      </c>
      <c r="O156"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56" s="211">
        <f>IFERROR(IF(Tabelle132456891011121314[[#This Row],[Status]]=$J$5,MIN(Tabelle132456891011121314[[#This Row],[Jira Story Points]],Tabelle132456891011121314[[#This Row],[Carry-over]]),0),0)</f>
        <v>0</v>
      </c>
      <c r="Q156" s="211">
        <f>IFERROR(IF(Tabelle132456891011121314[[#This Row],[Status]]=$J$5,0,MIN(Tabelle132456891011121314[[#This Row],[Jira Story Points]],Tabelle132456891011121314[[#This Row],[Carry-over]])-Tabelle132456891011121314[[#This Row],[SP Completed (COS &amp; SOS)]]),0)</f>
        <v>0</v>
      </c>
    </row>
    <row r="157" spans="1:17" ht="13.5" hidden="1" customHeight="1">
      <c r="A157" s="214"/>
      <c r="B157" s="47"/>
      <c r="C157" s="203"/>
      <c r="D157" s="203"/>
      <c r="E157" s="203"/>
      <c r="F157" s="204"/>
      <c r="G157" s="203"/>
      <c r="H157" s="205"/>
      <c r="I157" s="206"/>
      <c r="J157" s="203"/>
      <c r="K157" s="204"/>
      <c r="L157" s="204"/>
      <c r="M157" s="208">
        <f>IF(Tabelle132456891011121314[[#This Row],[Pulled after Start]]="",MIN(Tabelle132456891011121314[[#This Row],[Jira Story Points]],Tabelle132456891011121314[[#This Row],[Carry-over]]),0)</f>
        <v>0</v>
      </c>
      <c r="N157" s="209">
        <f>MIN(Tabelle132456891011121314[[#This Row],[Jira Story Points]],Tabelle132456891011121314[[#This Row],[Carry-over]])-Tabelle132456891011121314[[#This Row],[SP Initially Planned (COS)]]</f>
        <v>0</v>
      </c>
      <c r="O157"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57" s="211">
        <f>IFERROR(IF(Tabelle132456891011121314[[#This Row],[Status]]=$J$5,MIN(Tabelle132456891011121314[[#This Row],[Jira Story Points]],Tabelle132456891011121314[[#This Row],[Carry-over]]),0),0)</f>
        <v>0</v>
      </c>
      <c r="Q157" s="211">
        <f>IFERROR(IF(Tabelle132456891011121314[[#This Row],[Status]]=$J$5,0,MIN(Tabelle132456891011121314[[#This Row],[Jira Story Points]],Tabelle132456891011121314[[#This Row],[Carry-over]])-Tabelle132456891011121314[[#This Row],[SP Completed (COS &amp; SOS)]]),0)</f>
        <v>0</v>
      </c>
    </row>
    <row r="158" spans="1:17" ht="13.5" hidden="1" customHeight="1">
      <c r="A158" s="214"/>
      <c r="B158" s="47"/>
      <c r="C158" s="203"/>
      <c r="D158" s="203"/>
      <c r="E158" s="203"/>
      <c r="F158" s="204"/>
      <c r="G158" s="203"/>
      <c r="H158" s="205"/>
      <c r="I158" s="206"/>
      <c r="J158" s="203"/>
      <c r="K158" s="204"/>
      <c r="L158" s="204"/>
      <c r="M158" s="208">
        <f>IF(Tabelle132456891011121314[[#This Row],[Pulled after Start]]="",MIN(Tabelle132456891011121314[[#This Row],[Jira Story Points]],Tabelle132456891011121314[[#This Row],[Carry-over]]),0)</f>
        <v>0</v>
      </c>
      <c r="N158" s="209">
        <f>MIN(Tabelle132456891011121314[[#This Row],[Jira Story Points]],Tabelle132456891011121314[[#This Row],[Carry-over]])-Tabelle132456891011121314[[#This Row],[SP Initially Planned (COS)]]</f>
        <v>0</v>
      </c>
      <c r="O158"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58" s="211">
        <f>IFERROR(IF(Tabelle132456891011121314[[#This Row],[Status]]=$J$5,MIN(Tabelle132456891011121314[[#This Row],[Jira Story Points]],Tabelle132456891011121314[[#This Row],[Carry-over]]),0),0)</f>
        <v>0</v>
      </c>
      <c r="Q158" s="211">
        <f>IFERROR(IF(Tabelle132456891011121314[[#This Row],[Status]]=$J$5,0,MIN(Tabelle132456891011121314[[#This Row],[Jira Story Points]],Tabelle132456891011121314[[#This Row],[Carry-over]])-Tabelle132456891011121314[[#This Row],[SP Completed (COS &amp; SOS)]]),0)</f>
        <v>0</v>
      </c>
    </row>
    <row r="159" spans="1:17" ht="13.5" hidden="1" customHeight="1">
      <c r="A159" s="214"/>
      <c r="B159" s="47"/>
      <c r="C159" s="203"/>
      <c r="D159" s="203"/>
      <c r="E159" s="203"/>
      <c r="F159" s="204"/>
      <c r="G159" s="203"/>
      <c r="H159" s="205"/>
      <c r="I159" s="206"/>
      <c r="J159" s="203"/>
      <c r="K159" s="204"/>
      <c r="L159" s="204"/>
      <c r="M159" s="208">
        <f>IF(Tabelle132456891011121314[[#This Row],[Pulled after Start]]="",MIN(Tabelle132456891011121314[[#This Row],[Jira Story Points]],Tabelle132456891011121314[[#This Row],[Carry-over]]),0)</f>
        <v>0</v>
      </c>
      <c r="N159" s="209">
        <f>MIN(Tabelle132456891011121314[[#This Row],[Jira Story Points]],Tabelle132456891011121314[[#This Row],[Carry-over]])-Tabelle132456891011121314[[#This Row],[SP Initially Planned (COS)]]</f>
        <v>0</v>
      </c>
      <c r="O159"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59" s="211">
        <f>IFERROR(IF(Tabelle132456891011121314[[#This Row],[Status]]=$J$5,MIN(Tabelle132456891011121314[[#This Row],[Jira Story Points]],Tabelle132456891011121314[[#This Row],[Carry-over]]),0),0)</f>
        <v>0</v>
      </c>
      <c r="Q159" s="211">
        <f>IFERROR(IF(Tabelle132456891011121314[[#This Row],[Status]]=$J$5,0,MIN(Tabelle132456891011121314[[#This Row],[Jira Story Points]],Tabelle132456891011121314[[#This Row],[Carry-over]])-Tabelle132456891011121314[[#This Row],[SP Completed (COS &amp; SOS)]]),0)</f>
        <v>0</v>
      </c>
    </row>
    <row r="160" spans="1:17" ht="13.5" hidden="1" customHeight="1">
      <c r="A160" s="214"/>
      <c r="B160" s="47"/>
      <c r="C160" s="203"/>
      <c r="D160" s="203"/>
      <c r="E160" s="203"/>
      <c r="F160" s="204"/>
      <c r="G160" s="203"/>
      <c r="H160" s="205"/>
      <c r="I160" s="206"/>
      <c r="J160" s="203"/>
      <c r="K160" s="204"/>
      <c r="L160" s="204"/>
      <c r="M160" s="208">
        <f>IF(Tabelle132456891011121314[[#This Row],[Pulled after Start]]="",MIN(Tabelle132456891011121314[[#This Row],[Jira Story Points]],Tabelle132456891011121314[[#This Row],[Carry-over]]),0)</f>
        <v>0</v>
      </c>
      <c r="N160" s="209">
        <f>MIN(Tabelle132456891011121314[[#This Row],[Jira Story Points]],Tabelle132456891011121314[[#This Row],[Carry-over]])-Tabelle132456891011121314[[#This Row],[SP Initially Planned (COS)]]</f>
        <v>0</v>
      </c>
      <c r="O160"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60" s="211">
        <f>IFERROR(IF(Tabelle132456891011121314[[#This Row],[Status]]=$J$5,MIN(Tabelle132456891011121314[[#This Row],[Jira Story Points]],Tabelle132456891011121314[[#This Row],[Carry-over]]),0),0)</f>
        <v>0</v>
      </c>
      <c r="Q160" s="211">
        <f>IFERROR(IF(Tabelle132456891011121314[[#This Row],[Status]]=$J$5,0,MIN(Tabelle132456891011121314[[#This Row],[Jira Story Points]],Tabelle132456891011121314[[#This Row],[Carry-over]])-Tabelle132456891011121314[[#This Row],[SP Completed (COS &amp; SOS)]]),0)</f>
        <v>0</v>
      </c>
    </row>
    <row r="161" spans="1:17" ht="13.5" hidden="1" customHeight="1">
      <c r="A161" s="214"/>
      <c r="B161" s="47"/>
      <c r="C161" s="203"/>
      <c r="D161" s="203"/>
      <c r="E161" s="203"/>
      <c r="F161" s="204"/>
      <c r="G161" s="203"/>
      <c r="H161" s="205"/>
      <c r="I161" s="206"/>
      <c r="J161" s="203"/>
      <c r="K161" s="204"/>
      <c r="L161" s="204"/>
      <c r="M161" s="208">
        <f>IF(Tabelle132456891011121314[[#This Row],[Pulled after Start]]="",MIN(Tabelle132456891011121314[[#This Row],[Jira Story Points]],Tabelle132456891011121314[[#This Row],[Carry-over]]),0)</f>
        <v>0</v>
      </c>
      <c r="N161" s="209">
        <f>MIN(Tabelle132456891011121314[[#This Row],[Jira Story Points]],Tabelle132456891011121314[[#This Row],[Carry-over]])-Tabelle132456891011121314[[#This Row],[SP Initially Planned (COS)]]</f>
        <v>0</v>
      </c>
      <c r="O161"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61" s="211">
        <f>IFERROR(IF(Tabelle132456891011121314[[#This Row],[Status]]=$J$5,MIN(Tabelle132456891011121314[[#This Row],[Jira Story Points]],Tabelle132456891011121314[[#This Row],[Carry-over]]),0),0)</f>
        <v>0</v>
      </c>
      <c r="Q161" s="211">
        <f>IFERROR(IF(Tabelle132456891011121314[[#This Row],[Status]]=$J$5,0,MIN(Tabelle132456891011121314[[#This Row],[Jira Story Points]],Tabelle132456891011121314[[#This Row],[Carry-over]])-Tabelle132456891011121314[[#This Row],[SP Completed (COS &amp; SOS)]]),0)</f>
        <v>0</v>
      </c>
    </row>
    <row r="162" spans="1:17" ht="13.5" hidden="1" customHeight="1">
      <c r="A162" s="214"/>
      <c r="B162" s="47"/>
      <c r="C162" s="203"/>
      <c r="D162" s="203"/>
      <c r="E162" s="203"/>
      <c r="F162" s="204"/>
      <c r="G162" s="203"/>
      <c r="H162" s="205"/>
      <c r="I162" s="206"/>
      <c r="J162" s="203"/>
      <c r="K162" s="204"/>
      <c r="L162" s="204"/>
      <c r="M162" s="208">
        <f>IF(Tabelle132456891011121314[[#This Row],[Pulled after Start]]="",MIN(Tabelle132456891011121314[[#This Row],[Jira Story Points]],Tabelle132456891011121314[[#This Row],[Carry-over]]),0)</f>
        <v>0</v>
      </c>
      <c r="N162" s="209">
        <f>MIN(Tabelle132456891011121314[[#This Row],[Jira Story Points]],Tabelle132456891011121314[[#This Row],[Carry-over]])-Tabelle132456891011121314[[#This Row],[SP Initially Planned (COS)]]</f>
        <v>0</v>
      </c>
      <c r="O162"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62" s="211">
        <f>IFERROR(IF(Tabelle132456891011121314[[#This Row],[Status]]=$J$5,MIN(Tabelle132456891011121314[[#This Row],[Jira Story Points]],Tabelle132456891011121314[[#This Row],[Carry-over]]),0),0)</f>
        <v>0</v>
      </c>
      <c r="Q162" s="211">
        <f>IFERROR(IF(Tabelle132456891011121314[[#This Row],[Status]]=$J$5,0,MIN(Tabelle132456891011121314[[#This Row],[Jira Story Points]],Tabelle132456891011121314[[#This Row],[Carry-over]])-Tabelle132456891011121314[[#This Row],[SP Completed (COS &amp; SOS)]]),0)</f>
        <v>0</v>
      </c>
    </row>
    <row r="163" spans="1:17" ht="13.5" hidden="1" customHeight="1">
      <c r="A163" s="214"/>
      <c r="B163" s="47"/>
      <c r="C163" s="203"/>
      <c r="D163" s="203"/>
      <c r="E163" s="203"/>
      <c r="F163" s="204"/>
      <c r="G163" s="203"/>
      <c r="H163" s="205"/>
      <c r="I163" s="206"/>
      <c r="J163" s="203"/>
      <c r="K163" s="204"/>
      <c r="L163" s="204"/>
      <c r="M163" s="208">
        <f>IF(Tabelle132456891011121314[[#This Row],[Pulled after Start]]="",MIN(Tabelle132456891011121314[[#This Row],[Jira Story Points]],Tabelle132456891011121314[[#This Row],[Carry-over]]),0)</f>
        <v>0</v>
      </c>
      <c r="N163" s="209">
        <f>MIN(Tabelle132456891011121314[[#This Row],[Jira Story Points]],Tabelle132456891011121314[[#This Row],[Carry-over]])-Tabelle132456891011121314[[#This Row],[SP Initially Planned (COS)]]</f>
        <v>0</v>
      </c>
      <c r="O163"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63" s="211">
        <f>IFERROR(IF(Tabelle132456891011121314[[#This Row],[Status]]=$J$5,MIN(Tabelle132456891011121314[[#This Row],[Jira Story Points]],Tabelle132456891011121314[[#This Row],[Carry-over]]),0),0)</f>
        <v>0</v>
      </c>
      <c r="Q163" s="211">
        <f>IFERROR(IF(Tabelle132456891011121314[[#This Row],[Status]]=$J$5,0,MIN(Tabelle132456891011121314[[#This Row],[Jira Story Points]],Tabelle132456891011121314[[#This Row],[Carry-over]])-Tabelle132456891011121314[[#This Row],[SP Completed (COS &amp; SOS)]]),0)</f>
        <v>0</v>
      </c>
    </row>
    <row r="164" spans="1:17" ht="13.5" hidden="1" customHeight="1">
      <c r="A164" s="214"/>
      <c r="B164" s="47"/>
      <c r="C164" s="203"/>
      <c r="D164" s="203"/>
      <c r="E164" s="203"/>
      <c r="F164" s="204"/>
      <c r="G164" s="203"/>
      <c r="H164" s="205"/>
      <c r="I164" s="206"/>
      <c r="J164" s="203"/>
      <c r="K164" s="204"/>
      <c r="L164" s="204"/>
      <c r="M164" s="208">
        <f>IF(Tabelle132456891011121314[[#This Row],[Pulled after Start]]="",MIN(Tabelle132456891011121314[[#This Row],[Jira Story Points]],Tabelle132456891011121314[[#This Row],[Carry-over]]),0)</f>
        <v>0</v>
      </c>
      <c r="N164" s="209">
        <f>MIN(Tabelle132456891011121314[[#This Row],[Jira Story Points]],Tabelle132456891011121314[[#This Row],[Carry-over]])-Tabelle132456891011121314[[#This Row],[SP Initially Planned (COS)]]</f>
        <v>0</v>
      </c>
      <c r="O164"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64" s="211">
        <f>IFERROR(IF(Tabelle132456891011121314[[#This Row],[Status]]=$J$5,MIN(Tabelle132456891011121314[[#This Row],[Jira Story Points]],Tabelle132456891011121314[[#This Row],[Carry-over]]),0),0)</f>
        <v>0</v>
      </c>
      <c r="Q164" s="211">
        <f>IFERROR(IF(Tabelle132456891011121314[[#This Row],[Status]]=$J$5,0,MIN(Tabelle132456891011121314[[#This Row],[Jira Story Points]],Tabelle132456891011121314[[#This Row],[Carry-over]])-Tabelle132456891011121314[[#This Row],[SP Completed (COS &amp; SOS)]]),0)</f>
        <v>0</v>
      </c>
    </row>
    <row r="165" spans="1:17" ht="13.5" hidden="1" customHeight="1">
      <c r="A165" s="214"/>
      <c r="B165" s="47"/>
      <c r="C165" s="203"/>
      <c r="D165" s="203"/>
      <c r="E165" s="203"/>
      <c r="F165" s="204"/>
      <c r="G165" s="203"/>
      <c r="H165" s="205"/>
      <c r="I165" s="206"/>
      <c r="J165" s="203"/>
      <c r="K165" s="204"/>
      <c r="L165" s="204"/>
      <c r="M165" s="208">
        <f>IF(Tabelle132456891011121314[[#This Row],[Pulled after Start]]="",MIN(Tabelle132456891011121314[[#This Row],[Jira Story Points]],Tabelle132456891011121314[[#This Row],[Carry-over]]),0)</f>
        <v>0</v>
      </c>
      <c r="N165" s="209">
        <f>MIN(Tabelle132456891011121314[[#This Row],[Jira Story Points]],Tabelle132456891011121314[[#This Row],[Carry-over]])-Tabelle132456891011121314[[#This Row],[SP Initially Planned (COS)]]</f>
        <v>0</v>
      </c>
      <c r="O165"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65" s="211">
        <f>IFERROR(IF(Tabelle132456891011121314[[#This Row],[Status]]=$J$5,MIN(Tabelle132456891011121314[[#This Row],[Jira Story Points]],Tabelle132456891011121314[[#This Row],[Carry-over]]),0),0)</f>
        <v>0</v>
      </c>
      <c r="Q165" s="211">
        <f>IFERROR(IF(Tabelle132456891011121314[[#This Row],[Status]]=$J$5,0,MIN(Tabelle132456891011121314[[#This Row],[Jira Story Points]],Tabelle132456891011121314[[#This Row],[Carry-over]])-Tabelle132456891011121314[[#This Row],[SP Completed (COS &amp; SOS)]]),0)</f>
        <v>0</v>
      </c>
    </row>
    <row r="166" spans="1:17" ht="13.5" hidden="1" customHeight="1">
      <c r="A166" s="214"/>
      <c r="B166" s="47"/>
      <c r="C166" s="203"/>
      <c r="D166" s="203"/>
      <c r="E166" s="203"/>
      <c r="F166" s="204"/>
      <c r="G166" s="203"/>
      <c r="H166" s="205"/>
      <c r="I166" s="206"/>
      <c r="J166" s="203"/>
      <c r="K166" s="204"/>
      <c r="L166" s="204"/>
      <c r="M166" s="208">
        <f>IF(Tabelle132456891011121314[[#This Row],[Pulled after Start]]="",MIN(Tabelle132456891011121314[[#This Row],[Jira Story Points]],Tabelle132456891011121314[[#This Row],[Carry-over]]),0)</f>
        <v>0</v>
      </c>
      <c r="N166" s="209">
        <f>MIN(Tabelle132456891011121314[[#This Row],[Jira Story Points]],Tabelle132456891011121314[[#This Row],[Carry-over]])-Tabelle132456891011121314[[#This Row],[SP Initially Planned (COS)]]</f>
        <v>0</v>
      </c>
      <c r="O166"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66" s="211">
        <f>IFERROR(IF(Tabelle132456891011121314[[#This Row],[Status]]=$J$5,MIN(Tabelle132456891011121314[[#This Row],[Jira Story Points]],Tabelle132456891011121314[[#This Row],[Carry-over]]),0),0)</f>
        <v>0</v>
      </c>
      <c r="Q166" s="211">
        <f>IFERROR(IF(Tabelle132456891011121314[[#This Row],[Status]]=$J$5,0,MIN(Tabelle132456891011121314[[#This Row],[Jira Story Points]],Tabelle132456891011121314[[#This Row],[Carry-over]])-Tabelle132456891011121314[[#This Row],[SP Completed (COS &amp; SOS)]]),0)</f>
        <v>0</v>
      </c>
    </row>
    <row r="167" spans="1:17" ht="13.5" hidden="1" customHeight="1">
      <c r="A167" s="214"/>
      <c r="B167" s="47"/>
      <c r="C167" s="203"/>
      <c r="D167" s="203"/>
      <c r="E167" s="203"/>
      <c r="F167" s="204"/>
      <c r="G167" s="203"/>
      <c r="H167" s="205"/>
      <c r="I167" s="206"/>
      <c r="J167" s="203"/>
      <c r="K167" s="204"/>
      <c r="L167" s="204"/>
      <c r="M167" s="208">
        <f>IF(Tabelle132456891011121314[[#This Row],[Pulled after Start]]="",MIN(Tabelle132456891011121314[[#This Row],[Jira Story Points]],Tabelle132456891011121314[[#This Row],[Carry-over]]),0)</f>
        <v>0</v>
      </c>
      <c r="N167" s="209">
        <f>MIN(Tabelle132456891011121314[[#This Row],[Jira Story Points]],Tabelle132456891011121314[[#This Row],[Carry-over]])-Tabelle132456891011121314[[#This Row],[SP Initially Planned (COS)]]</f>
        <v>0</v>
      </c>
      <c r="O167"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67" s="211">
        <f>IFERROR(IF(Tabelle132456891011121314[[#This Row],[Status]]=$J$5,MIN(Tabelle132456891011121314[[#This Row],[Jira Story Points]],Tabelle132456891011121314[[#This Row],[Carry-over]]),0),0)</f>
        <v>0</v>
      </c>
      <c r="Q167" s="211">
        <f>IFERROR(IF(Tabelle132456891011121314[[#This Row],[Status]]=$J$5,0,MIN(Tabelle132456891011121314[[#This Row],[Jira Story Points]],Tabelle132456891011121314[[#This Row],[Carry-over]])-Tabelle132456891011121314[[#This Row],[SP Completed (COS &amp; SOS)]]),0)</f>
        <v>0</v>
      </c>
    </row>
    <row r="168" spans="1:17" ht="13.5" hidden="1" customHeight="1">
      <c r="A168" s="214"/>
      <c r="B168" s="47"/>
      <c r="C168" s="203"/>
      <c r="D168" s="203"/>
      <c r="E168" s="203"/>
      <c r="F168" s="204"/>
      <c r="G168" s="203"/>
      <c r="H168" s="205"/>
      <c r="I168" s="206"/>
      <c r="J168" s="203"/>
      <c r="K168" s="204"/>
      <c r="L168" s="204"/>
      <c r="M168" s="208">
        <f>IF(Tabelle132456891011121314[[#This Row],[Pulled after Start]]="",MIN(Tabelle132456891011121314[[#This Row],[Jira Story Points]],Tabelle132456891011121314[[#This Row],[Carry-over]]),0)</f>
        <v>0</v>
      </c>
      <c r="N168" s="209">
        <f>MIN(Tabelle132456891011121314[[#This Row],[Jira Story Points]],Tabelle132456891011121314[[#This Row],[Carry-over]])-Tabelle132456891011121314[[#This Row],[SP Initially Planned (COS)]]</f>
        <v>0</v>
      </c>
      <c r="O168"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68" s="211">
        <f>IFERROR(IF(Tabelle132456891011121314[[#This Row],[Status]]=$J$5,MIN(Tabelle132456891011121314[[#This Row],[Jira Story Points]],Tabelle132456891011121314[[#This Row],[Carry-over]]),0),0)</f>
        <v>0</v>
      </c>
      <c r="Q168" s="211">
        <f>IFERROR(IF(Tabelle132456891011121314[[#This Row],[Status]]=$J$5,0,MIN(Tabelle132456891011121314[[#This Row],[Jira Story Points]],Tabelle132456891011121314[[#This Row],[Carry-over]])-Tabelle132456891011121314[[#This Row],[SP Completed (COS &amp; SOS)]]),0)</f>
        <v>0</v>
      </c>
    </row>
    <row r="169" spans="1:17" ht="13.5" hidden="1" customHeight="1">
      <c r="A169" s="214"/>
      <c r="B169" s="47"/>
      <c r="C169" s="203"/>
      <c r="D169" s="203"/>
      <c r="E169" s="203"/>
      <c r="F169" s="204"/>
      <c r="G169" s="203"/>
      <c r="H169" s="205"/>
      <c r="I169" s="206"/>
      <c r="J169" s="203"/>
      <c r="K169" s="204"/>
      <c r="L169" s="204"/>
      <c r="M169" s="208">
        <f>IF(Tabelle132456891011121314[[#This Row],[Pulled after Start]]="",MIN(Tabelle132456891011121314[[#This Row],[Jira Story Points]],Tabelle132456891011121314[[#This Row],[Carry-over]]),0)</f>
        <v>0</v>
      </c>
      <c r="N169" s="209">
        <f>MIN(Tabelle132456891011121314[[#This Row],[Jira Story Points]],Tabelle132456891011121314[[#This Row],[Carry-over]])-Tabelle132456891011121314[[#This Row],[SP Initially Planned (COS)]]</f>
        <v>0</v>
      </c>
      <c r="O169"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69" s="211">
        <f>IFERROR(IF(Tabelle132456891011121314[[#This Row],[Status]]=$J$5,MIN(Tabelle132456891011121314[[#This Row],[Jira Story Points]],Tabelle132456891011121314[[#This Row],[Carry-over]]),0),0)</f>
        <v>0</v>
      </c>
      <c r="Q169" s="211">
        <f>IFERROR(IF(Tabelle132456891011121314[[#This Row],[Status]]=$J$5,0,MIN(Tabelle132456891011121314[[#This Row],[Jira Story Points]],Tabelle132456891011121314[[#This Row],[Carry-over]])-Tabelle132456891011121314[[#This Row],[SP Completed (COS &amp; SOS)]]),0)</f>
        <v>0</v>
      </c>
    </row>
    <row r="170" spans="1:17" ht="13.5" hidden="1" customHeight="1">
      <c r="A170" s="214"/>
      <c r="B170" s="47"/>
      <c r="C170" s="203"/>
      <c r="D170" s="203"/>
      <c r="E170" s="203"/>
      <c r="F170" s="204"/>
      <c r="G170" s="203"/>
      <c r="H170" s="205"/>
      <c r="I170" s="206"/>
      <c r="J170" s="203"/>
      <c r="K170" s="204"/>
      <c r="L170" s="204"/>
      <c r="M170" s="208">
        <f>IF(Tabelle132456891011121314[[#This Row],[Pulled after Start]]="",MIN(Tabelle132456891011121314[[#This Row],[Jira Story Points]],Tabelle132456891011121314[[#This Row],[Carry-over]]),0)</f>
        <v>0</v>
      </c>
      <c r="N170" s="209">
        <f>MIN(Tabelle132456891011121314[[#This Row],[Jira Story Points]],Tabelle132456891011121314[[#This Row],[Carry-over]])-Tabelle132456891011121314[[#This Row],[SP Initially Planned (COS)]]</f>
        <v>0</v>
      </c>
      <c r="O170"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70" s="211">
        <f>IFERROR(IF(Tabelle132456891011121314[[#This Row],[Status]]=$J$5,MIN(Tabelle132456891011121314[[#This Row],[Jira Story Points]],Tabelle132456891011121314[[#This Row],[Carry-over]]),0),0)</f>
        <v>0</v>
      </c>
      <c r="Q170" s="211">
        <f>IFERROR(IF(Tabelle132456891011121314[[#This Row],[Status]]=$J$5,0,MIN(Tabelle132456891011121314[[#This Row],[Jira Story Points]],Tabelle132456891011121314[[#This Row],[Carry-over]])-Tabelle132456891011121314[[#This Row],[SP Completed (COS &amp; SOS)]]),0)</f>
        <v>0</v>
      </c>
    </row>
    <row r="171" spans="1:17" ht="13.5" hidden="1" customHeight="1">
      <c r="A171" s="214"/>
      <c r="B171" s="47"/>
      <c r="C171" s="203"/>
      <c r="D171" s="203"/>
      <c r="E171" s="203"/>
      <c r="F171" s="204"/>
      <c r="G171" s="203"/>
      <c r="H171" s="205"/>
      <c r="I171" s="206"/>
      <c r="J171" s="203"/>
      <c r="K171" s="204"/>
      <c r="L171" s="204"/>
      <c r="M171" s="208">
        <f>IF(Tabelle132456891011121314[[#This Row],[Pulled after Start]]="",MIN(Tabelle132456891011121314[[#This Row],[Jira Story Points]],Tabelle132456891011121314[[#This Row],[Carry-over]]),0)</f>
        <v>0</v>
      </c>
      <c r="N171" s="209">
        <f>MIN(Tabelle132456891011121314[[#This Row],[Jira Story Points]],Tabelle132456891011121314[[#This Row],[Carry-over]])-Tabelle132456891011121314[[#This Row],[SP Initially Planned (COS)]]</f>
        <v>0</v>
      </c>
      <c r="O171"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71" s="211">
        <f>IFERROR(IF(Tabelle132456891011121314[[#This Row],[Status]]=$J$5,MIN(Tabelle132456891011121314[[#This Row],[Jira Story Points]],Tabelle132456891011121314[[#This Row],[Carry-over]]),0),0)</f>
        <v>0</v>
      </c>
      <c r="Q171" s="211">
        <f>IFERROR(IF(Tabelle132456891011121314[[#This Row],[Status]]=$J$5,0,MIN(Tabelle132456891011121314[[#This Row],[Jira Story Points]],Tabelle132456891011121314[[#This Row],[Carry-over]])-Tabelle132456891011121314[[#This Row],[SP Completed (COS &amp; SOS)]]),0)</f>
        <v>0</v>
      </c>
    </row>
    <row r="172" spans="1:17" ht="13.5" hidden="1" customHeight="1">
      <c r="A172" s="214"/>
      <c r="B172" s="47"/>
      <c r="C172" s="203"/>
      <c r="D172" s="203"/>
      <c r="E172" s="203"/>
      <c r="F172" s="204"/>
      <c r="G172" s="203"/>
      <c r="H172" s="205"/>
      <c r="I172" s="206"/>
      <c r="J172" s="203"/>
      <c r="K172" s="204"/>
      <c r="L172" s="204"/>
      <c r="M172" s="208">
        <f>IF(Tabelle132456891011121314[[#This Row],[Pulled after Start]]="",MIN(Tabelle132456891011121314[[#This Row],[Jira Story Points]],Tabelle132456891011121314[[#This Row],[Carry-over]]),0)</f>
        <v>0</v>
      </c>
      <c r="N172" s="209">
        <f>MIN(Tabelle132456891011121314[[#This Row],[Jira Story Points]],Tabelle132456891011121314[[#This Row],[Carry-over]])-Tabelle132456891011121314[[#This Row],[SP Initially Planned (COS)]]</f>
        <v>0</v>
      </c>
      <c r="O172"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72" s="211">
        <f>IFERROR(IF(Tabelle132456891011121314[[#This Row],[Status]]=$J$5,MIN(Tabelle132456891011121314[[#This Row],[Jira Story Points]],Tabelle132456891011121314[[#This Row],[Carry-over]]),0),0)</f>
        <v>0</v>
      </c>
      <c r="Q172" s="211">
        <f>IFERROR(IF(Tabelle132456891011121314[[#This Row],[Status]]=$J$5,0,MIN(Tabelle132456891011121314[[#This Row],[Jira Story Points]],Tabelle132456891011121314[[#This Row],[Carry-over]])-Tabelle132456891011121314[[#This Row],[SP Completed (COS &amp; SOS)]]),0)</f>
        <v>0</v>
      </c>
    </row>
    <row r="173" spans="1:17" ht="13.5" hidden="1" customHeight="1">
      <c r="A173" s="214"/>
      <c r="B173" s="47"/>
      <c r="C173" s="203"/>
      <c r="D173" s="203"/>
      <c r="E173" s="203"/>
      <c r="F173" s="204"/>
      <c r="G173" s="203"/>
      <c r="H173" s="205"/>
      <c r="I173" s="206"/>
      <c r="J173" s="203"/>
      <c r="K173" s="204"/>
      <c r="L173" s="204"/>
      <c r="M173" s="208">
        <f>IF(Tabelle132456891011121314[[#This Row],[Pulled after Start]]="",MIN(Tabelle132456891011121314[[#This Row],[Jira Story Points]],Tabelle132456891011121314[[#This Row],[Carry-over]]),0)</f>
        <v>0</v>
      </c>
      <c r="N173" s="209">
        <f>MIN(Tabelle132456891011121314[[#This Row],[Jira Story Points]],Tabelle132456891011121314[[#This Row],[Carry-over]])-Tabelle132456891011121314[[#This Row],[SP Initially Planned (COS)]]</f>
        <v>0</v>
      </c>
      <c r="O173"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73" s="211">
        <f>IFERROR(IF(Tabelle132456891011121314[[#This Row],[Status]]=$J$5,MIN(Tabelle132456891011121314[[#This Row],[Jira Story Points]],Tabelle132456891011121314[[#This Row],[Carry-over]]),0),0)</f>
        <v>0</v>
      </c>
      <c r="Q173" s="211">
        <f>IFERROR(IF(Tabelle132456891011121314[[#This Row],[Status]]=$J$5,0,MIN(Tabelle132456891011121314[[#This Row],[Jira Story Points]],Tabelle132456891011121314[[#This Row],[Carry-over]])-Tabelle132456891011121314[[#This Row],[SP Completed (COS &amp; SOS)]]),0)</f>
        <v>0</v>
      </c>
    </row>
    <row r="174" spans="1:17" ht="13.5" hidden="1" customHeight="1">
      <c r="A174" s="214"/>
      <c r="B174" s="47"/>
      <c r="C174" s="203"/>
      <c r="D174" s="203"/>
      <c r="E174" s="203"/>
      <c r="F174" s="204"/>
      <c r="G174" s="203"/>
      <c r="H174" s="205"/>
      <c r="I174" s="206"/>
      <c r="J174" s="203"/>
      <c r="K174" s="204"/>
      <c r="L174" s="204"/>
      <c r="M174" s="208">
        <f>IF(Tabelle132456891011121314[[#This Row],[Pulled after Start]]="",MIN(Tabelle132456891011121314[[#This Row],[Jira Story Points]],Tabelle132456891011121314[[#This Row],[Carry-over]]),0)</f>
        <v>0</v>
      </c>
      <c r="N174" s="209">
        <f>MIN(Tabelle132456891011121314[[#This Row],[Jira Story Points]],Tabelle132456891011121314[[#This Row],[Carry-over]])-Tabelle132456891011121314[[#This Row],[SP Initially Planned (COS)]]</f>
        <v>0</v>
      </c>
      <c r="O174"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74" s="211">
        <f>IFERROR(IF(Tabelle132456891011121314[[#This Row],[Status]]=$J$5,MIN(Tabelle132456891011121314[[#This Row],[Jira Story Points]],Tabelle132456891011121314[[#This Row],[Carry-over]]),0),0)</f>
        <v>0</v>
      </c>
      <c r="Q174" s="211">
        <f>IFERROR(IF(Tabelle132456891011121314[[#This Row],[Status]]=$J$5,0,MIN(Tabelle132456891011121314[[#This Row],[Jira Story Points]],Tabelle132456891011121314[[#This Row],[Carry-over]])-Tabelle132456891011121314[[#This Row],[SP Completed (COS &amp; SOS)]]),0)</f>
        <v>0</v>
      </c>
    </row>
    <row r="175" spans="1:17" ht="13.5" hidden="1" customHeight="1">
      <c r="A175" s="214"/>
      <c r="B175" s="47"/>
      <c r="C175" s="203"/>
      <c r="D175" s="203"/>
      <c r="E175" s="203"/>
      <c r="F175" s="204"/>
      <c r="G175" s="203"/>
      <c r="H175" s="205"/>
      <c r="I175" s="206"/>
      <c r="J175" s="203"/>
      <c r="K175" s="204"/>
      <c r="L175" s="204"/>
      <c r="M175" s="208">
        <f>IF(Tabelle132456891011121314[[#This Row],[Pulled after Start]]="",MIN(Tabelle132456891011121314[[#This Row],[Jira Story Points]],Tabelle132456891011121314[[#This Row],[Carry-over]]),0)</f>
        <v>0</v>
      </c>
      <c r="N175" s="209">
        <f>MIN(Tabelle132456891011121314[[#This Row],[Jira Story Points]],Tabelle132456891011121314[[#This Row],[Carry-over]])-Tabelle132456891011121314[[#This Row],[SP Initially Planned (COS)]]</f>
        <v>0</v>
      </c>
      <c r="O175"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75" s="211">
        <f>IFERROR(IF(Tabelle132456891011121314[[#This Row],[Status]]=$J$5,MIN(Tabelle132456891011121314[[#This Row],[Jira Story Points]],Tabelle132456891011121314[[#This Row],[Carry-over]]),0),0)</f>
        <v>0</v>
      </c>
      <c r="Q175" s="211">
        <f>IFERROR(IF(Tabelle132456891011121314[[#This Row],[Status]]=$J$5,0,MIN(Tabelle132456891011121314[[#This Row],[Jira Story Points]],Tabelle132456891011121314[[#This Row],[Carry-over]])-Tabelle132456891011121314[[#This Row],[SP Completed (COS &amp; SOS)]]),0)</f>
        <v>0</v>
      </c>
    </row>
    <row r="176" spans="1:17" ht="13.5" hidden="1" customHeight="1">
      <c r="A176" s="214"/>
      <c r="B176" s="47"/>
      <c r="C176" s="203"/>
      <c r="D176" s="203"/>
      <c r="E176" s="203"/>
      <c r="F176" s="204"/>
      <c r="G176" s="203"/>
      <c r="H176" s="205"/>
      <c r="I176" s="206"/>
      <c r="J176" s="203"/>
      <c r="K176" s="204"/>
      <c r="L176" s="204"/>
      <c r="M176" s="208">
        <f>IF(Tabelle132456891011121314[[#This Row],[Pulled after Start]]="",MIN(Tabelle132456891011121314[[#This Row],[Jira Story Points]],Tabelle132456891011121314[[#This Row],[Carry-over]]),0)</f>
        <v>0</v>
      </c>
      <c r="N176" s="209">
        <f>MIN(Tabelle132456891011121314[[#This Row],[Jira Story Points]],Tabelle132456891011121314[[#This Row],[Carry-over]])-Tabelle132456891011121314[[#This Row],[SP Initially Planned (COS)]]</f>
        <v>0</v>
      </c>
      <c r="O176"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76" s="211">
        <f>IFERROR(IF(Tabelle132456891011121314[[#This Row],[Status]]=$J$5,MIN(Tabelle132456891011121314[[#This Row],[Jira Story Points]],Tabelle132456891011121314[[#This Row],[Carry-over]]),0),0)</f>
        <v>0</v>
      </c>
      <c r="Q176" s="211">
        <f>IFERROR(IF(Tabelle132456891011121314[[#This Row],[Status]]=$J$5,0,MIN(Tabelle132456891011121314[[#This Row],[Jira Story Points]],Tabelle132456891011121314[[#This Row],[Carry-over]])-Tabelle132456891011121314[[#This Row],[SP Completed (COS &amp; SOS)]]),0)</f>
        <v>0</v>
      </c>
    </row>
    <row r="177" spans="1:17" ht="13.5" hidden="1" customHeight="1">
      <c r="A177" s="214"/>
      <c r="B177" s="47"/>
      <c r="C177" s="203"/>
      <c r="D177" s="203"/>
      <c r="E177" s="203"/>
      <c r="F177" s="204"/>
      <c r="G177" s="203"/>
      <c r="H177" s="205"/>
      <c r="I177" s="206"/>
      <c r="J177" s="203"/>
      <c r="K177" s="204"/>
      <c r="L177" s="204"/>
      <c r="M177" s="208">
        <f>IF(Tabelle132456891011121314[[#This Row],[Pulled after Start]]="",MIN(Tabelle132456891011121314[[#This Row],[Jira Story Points]],Tabelle132456891011121314[[#This Row],[Carry-over]]),0)</f>
        <v>0</v>
      </c>
      <c r="N177" s="209">
        <f>MIN(Tabelle132456891011121314[[#This Row],[Jira Story Points]],Tabelle132456891011121314[[#This Row],[Carry-over]])-Tabelle132456891011121314[[#This Row],[SP Initially Planned (COS)]]</f>
        <v>0</v>
      </c>
      <c r="O177"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77" s="211">
        <f>IFERROR(IF(Tabelle132456891011121314[[#This Row],[Status]]=$J$5,MIN(Tabelle132456891011121314[[#This Row],[Jira Story Points]],Tabelle132456891011121314[[#This Row],[Carry-over]]),0),0)</f>
        <v>0</v>
      </c>
      <c r="Q177" s="211">
        <f>IFERROR(IF(Tabelle132456891011121314[[#This Row],[Status]]=$J$5,0,MIN(Tabelle132456891011121314[[#This Row],[Jira Story Points]],Tabelle132456891011121314[[#This Row],[Carry-over]])-Tabelle132456891011121314[[#This Row],[SP Completed (COS &amp; SOS)]]),0)</f>
        <v>0</v>
      </c>
    </row>
    <row r="178" spans="1:17" ht="13.5" hidden="1" customHeight="1">
      <c r="A178" s="214"/>
      <c r="B178" s="47"/>
      <c r="C178" s="203"/>
      <c r="D178" s="203"/>
      <c r="E178" s="203"/>
      <c r="F178" s="204"/>
      <c r="G178" s="203"/>
      <c r="H178" s="205"/>
      <c r="I178" s="206"/>
      <c r="J178" s="203"/>
      <c r="K178" s="204"/>
      <c r="L178" s="204"/>
      <c r="M178" s="208">
        <f>IF(Tabelle132456891011121314[[#This Row],[Pulled after Start]]="",MIN(Tabelle132456891011121314[[#This Row],[Jira Story Points]],Tabelle132456891011121314[[#This Row],[Carry-over]]),0)</f>
        <v>0</v>
      </c>
      <c r="N178" s="209">
        <f>MIN(Tabelle132456891011121314[[#This Row],[Jira Story Points]],Tabelle132456891011121314[[#This Row],[Carry-over]])-Tabelle132456891011121314[[#This Row],[SP Initially Planned (COS)]]</f>
        <v>0</v>
      </c>
      <c r="O178"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78" s="211">
        <f>IFERROR(IF(Tabelle132456891011121314[[#This Row],[Status]]=$J$5,MIN(Tabelle132456891011121314[[#This Row],[Jira Story Points]],Tabelle132456891011121314[[#This Row],[Carry-over]]),0),0)</f>
        <v>0</v>
      </c>
      <c r="Q178" s="211">
        <f>IFERROR(IF(Tabelle132456891011121314[[#This Row],[Status]]=$J$5,0,MIN(Tabelle132456891011121314[[#This Row],[Jira Story Points]],Tabelle132456891011121314[[#This Row],[Carry-over]])-Tabelle132456891011121314[[#This Row],[SP Completed (COS &amp; SOS)]]),0)</f>
        <v>0</v>
      </c>
    </row>
    <row r="179" spans="1:17" ht="13.5" hidden="1" customHeight="1">
      <c r="A179" s="214"/>
      <c r="B179" s="47"/>
      <c r="C179" s="203"/>
      <c r="D179" s="203"/>
      <c r="E179" s="203"/>
      <c r="F179" s="204"/>
      <c r="G179" s="203"/>
      <c r="H179" s="205"/>
      <c r="I179" s="206"/>
      <c r="J179" s="203"/>
      <c r="K179" s="204"/>
      <c r="L179" s="204"/>
      <c r="M179" s="208">
        <f>IF(Tabelle132456891011121314[[#This Row],[Pulled after Start]]="",MIN(Tabelle132456891011121314[[#This Row],[Jira Story Points]],Tabelle132456891011121314[[#This Row],[Carry-over]]),0)</f>
        <v>0</v>
      </c>
      <c r="N179" s="209">
        <f>MIN(Tabelle132456891011121314[[#This Row],[Jira Story Points]],Tabelle132456891011121314[[#This Row],[Carry-over]])-Tabelle132456891011121314[[#This Row],[SP Initially Planned (COS)]]</f>
        <v>0</v>
      </c>
      <c r="O179"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79" s="211">
        <f>IFERROR(IF(Tabelle132456891011121314[[#This Row],[Status]]=$J$5,MIN(Tabelle132456891011121314[[#This Row],[Jira Story Points]],Tabelle132456891011121314[[#This Row],[Carry-over]]),0),0)</f>
        <v>0</v>
      </c>
      <c r="Q179" s="211">
        <f>IFERROR(IF(Tabelle132456891011121314[[#This Row],[Status]]=$J$5,0,MIN(Tabelle132456891011121314[[#This Row],[Jira Story Points]],Tabelle132456891011121314[[#This Row],[Carry-over]])-Tabelle132456891011121314[[#This Row],[SP Completed (COS &amp; SOS)]]),0)</f>
        <v>0</v>
      </c>
    </row>
    <row r="180" spans="1:17" ht="13.5" hidden="1" customHeight="1">
      <c r="A180" s="214"/>
      <c r="B180" s="47"/>
      <c r="C180" s="203"/>
      <c r="D180" s="203"/>
      <c r="E180" s="203"/>
      <c r="F180" s="204"/>
      <c r="G180" s="203"/>
      <c r="H180" s="205"/>
      <c r="I180" s="206"/>
      <c r="J180" s="203"/>
      <c r="K180" s="204"/>
      <c r="L180" s="204"/>
      <c r="M180" s="208">
        <f>IF(Tabelle132456891011121314[[#This Row],[Pulled after Start]]="",MIN(Tabelle132456891011121314[[#This Row],[Jira Story Points]],Tabelle132456891011121314[[#This Row],[Carry-over]]),0)</f>
        <v>0</v>
      </c>
      <c r="N180" s="209">
        <f>MIN(Tabelle132456891011121314[[#This Row],[Jira Story Points]],Tabelle132456891011121314[[#This Row],[Carry-over]])-Tabelle132456891011121314[[#This Row],[SP Initially Planned (COS)]]</f>
        <v>0</v>
      </c>
      <c r="O180"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80" s="211">
        <f>IFERROR(IF(Tabelle132456891011121314[[#This Row],[Status]]=$J$5,MIN(Tabelle132456891011121314[[#This Row],[Jira Story Points]],Tabelle132456891011121314[[#This Row],[Carry-over]]),0),0)</f>
        <v>0</v>
      </c>
      <c r="Q180" s="211">
        <f>IFERROR(IF(Tabelle132456891011121314[[#This Row],[Status]]=$J$5,0,MIN(Tabelle132456891011121314[[#This Row],[Jira Story Points]],Tabelle132456891011121314[[#This Row],[Carry-over]])-Tabelle132456891011121314[[#This Row],[SP Completed (COS &amp; SOS)]]),0)</f>
        <v>0</v>
      </c>
    </row>
    <row r="181" spans="1:17" ht="13.5" hidden="1" customHeight="1">
      <c r="A181" s="214"/>
      <c r="B181" s="47"/>
      <c r="C181" s="203"/>
      <c r="D181" s="203"/>
      <c r="E181" s="203"/>
      <c r="F181" s="204"/>
      <c r="G181" s="203"/>
      <c r="H181" s="205"/>
      <c r="I181" s="206"/>
      <c r="J181" s="203"/>
      <c r="K181" s="204"/>
      <c r="L181" s="204"/>
      <c r="M181" s="208">
        <f>IF(Tabelle132456891011121314[[#This Row],[Pulled after Start]]="",MIN(Tabelle132456891011121314[[#This Row],[Jira Story Points]],Tabelle132456891011121314[[#This Row],[Carry-over]]),0)</f>
        <v>0</v>
      </c>
      <c r="N181" s="209">
        <f>MIN(Tabelle132456891011121314[[#This Row],[Jira Story Points]],Tabelle132456891011121314[[#This Row],[Carry-over]])-Tabelle132456891011121314[[#This Row],[SP Initially Planned (COS)]]</f>
        <v>0</v>
      </c>
      <c r="O181"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81" s="211">
        <f>IFERROR(IF(Tabelle132456891011121314[[#This Row],[Status]]=$J$5,MIN(Tabelle132456891011121314[[#This Row],[Jira Story Points]],Tabelle132456891011121314[[#This Row],[Carry-over]]),0),0)</f>
        <v>0</v>
      </c>
      <c r="Q181" s="211">
        <f>IFERROR(IF(Tabelle132456891011121314[[#This Row],[Status]]=$J$5,0,MIN(Tabelle132456891011121314[[#This Row],[Jira Story Points]],Tabelle132456891011121314[[#This Row],[Carry-over]])-Tabelle132456891011121314[[#This Row],[SP Completed (COS &amp; SOS)]]),0)</f>
        <v>0</v>
      </c>
    </row>
    <row r="182" spans="1:17" ht="13.5" hidden="1" customHeight="1">
      <c r="A182" s="214"/>
      <c r="B182" s="47"/>
      <c r="C182" s="203"/>
      <c r="D182" s="203"/>
      <c r="E182" s="203"/>
      <c r="F182" s="204"/>
      <c r="G182" s="203"/>
      <c r="H182" s="205"/>
      <c r="I182" s="206"/>
      <c r="J182" s="203"/>
      <c r="K182" s="204"/>
      <c r="L182" s="204"/>
      <c r="M182" s="208">
        <f>IF(Tabelle132456891011121314[[#This Row],[Pulled after Start]]="",MIN(Tabelle132456891011121314[[#This Row],[Jira Story Points]],Tabelle132456891011121314[[#This Row],[Carry-over]]),0)</f>
        <v>0</v>
      </c>
      <c r="N182" s="209">
        <f>MIN(Tabelle132456891011121314[[#This Row],[Jira Story Points]],Tabelle132456891011121314[[#This Row],[Carry-over]])-Tabelle132456891011121314[[#This Row],[SP Initially Planned (COS)]]</f>
        <v>0</v>
      </c>
      <c r="O182"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82" s="211">
        <f>IFERROR(IF(Tabelle132456891011121314[[#This Row],[Status]]=$J$5,MIN(Tabelle132456891011121314[[#This Row],[Jira Story Points]],Tabelle132456891011121314[[#This Row],[Carry-over]]),0),0)</f>
        <v>0</v>
      </c>
      <c r="Q182" s="211">
        <f>IFERROR(IF(Tabelle132456891011121314[[#This Row],[Status]]=$J$5,0,MIN(Tabelle132456891011121314[[#This Row],[Jira Story Points]],Tabelle132456891011121314[[#This Row],[Carry-over]])-Tabelle132456891011121314[[#This Row],[SP Completed (COS &amp; SOS)]]),0)</f>
        <v>0</v>
      </c>
    </row>
    <row r="183" spans="1:17" ht="13.5" hidden="1" customHeight="1">
      <c r="A183" s="214"/>
      <c r="B183" s="47"/>
      <c r="C183" s="203"/>
      <c r="D183" s="203"/>
      <c r="E183" s="203"/>
      <c r="F183" s="204"/>
      <c r="G183" s="203"/>
      <c r="H183" s="205"/>
      <c r="I183" s="206"/>
      <c r="J183" s="203"/>
      <c r="K183" s="204"/>
      <c r="L183" s="204"/>
      <c r="M183" s="208">
        <f>IF(Tabelle132456891011121314[[#This Row],[Pulled after Start]]="",MIN(Tabelle132456891011121314[[#This Row],[Jira Story Points]],Tabelle132456891011121314[[#This Row],[Carry-over]]),0)</f>
        <v>0</v>
      </c>
      <c r="N183" s="209">
        <f>MIN(Tabelle132456891011121314[[#This Row],[Jira Story Points]],Tabelle132456891011121314[[#This Row],[Carry-over]])-Tabelle132456891011121314[[#This Row],[SP Initially Planned (COS)]]</f>
        <v>0</v>
      </c>
      <c r="O183"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83" s="211">
        <f>IFERROR(IF(Tabelle132456891011121314[[#This Row],[Status]]=$J$5,MIN(Tabelle132456891011121314[[#This Row],[Jira Story Points]],Tabelle132456891011121314[[#This Row],[Carry-over]]),0),0)</f>
        <v>0</v>
      </c>
      <c r="Q183" s="211">
        <f>IFERROR(IF(Tabelle132456891011121314[[#This Row],[Status]]=$J$5,0,MIN(Tabelle132456891011121314[[#This Row],[Jira Story Points]],Tabelle132456891011121314[[#This Row],[Carry-over]])-Tabelle132456891011121314[[#This Row],[SP Completed (COS &amp; SOS)]]),0)</f>
        <v>0</v>
      </c>
    </row>
    <row r="184" spans="1:17" ht="13.5" hidden="1" customHeight="1">
      <c r="A184" s="214"/>
      <c r="B184" s="47"/>
      <c r="C184" s="203"/>
      <c r="D184" s="203"/>
      <c r="E184" s="203"/>
      <c r="F184" s="204"/>
      <c r="G184" s="203"/>
      <c r="H184" s="205"/>
      <c r="I184" s="206"/>
      <c r="J184" s="203"/>
      <c r="K184" s="204"/>
      <c r="L184" s="204"/>
      <c r="M184" s="208">
        <f>IF(Tabelle132456891011121314[[#This Row],[Pulled after Start]]="",MIN(Tabelle132456891011121314[[#This Row],[Jira Story Points]],Tabelle132456891011121314[[#This Row],[Carry-over]]),0)</f>
        <v>0</v>
      </c>
      <c r="N184" s="209">
        <f>MIN(Tabelle132456891011121314[[#This Row],[Jira Story Points]],Tabelle132456891011121314[[#This Row],[Carry-over]])-Tabelle132456891011121314[[#This Row],[SP Initially Planned (COS)]]</f>
        <v>0</v>
      </c>
      <c r="O184"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84" s="211">
        <f>IFERROR(IF(Tabelle132456891011121314[[#This Row],[Status]]=$J$5,MIN(Tabelle132456891011121314[[#This Row],[Jira Story Points]],Tabelle132456891011121314[[#This Row],[Carry-over]]),0),0)</f>
        <v>0</v>
      </c>
      <c r="Q184" s="211">
        <f>IFERROR(IF(Tabelle132456891011121314[[#This Row],[Status]]=$J$5,0,MIN(Tabelle132456891011121314[[#This Row],[Jira Story Points]],Tabelle132456891011121314[[#This Row],[Carry-over]])-Tabelle132456891011121314[[#This Row],[SP Completed (COS &amp; SOS)]]),0)</f>
        <v>0</v>
      </c>
    </row>
    <row r="185" spans="1:17" ht="13.5" hidden="1" customHeight="1">
      <c r="A185" s="214"/>
      <c r="B185" s="47"/>
      <c r="C185" s="203"/>
      <c r="D185" s="203"/>
      <c r="E185" s="203"/>
      <c r="F185" s="204"/>
      <c r="G185" s="203"/>
      <c r="H185" s="205"/>
      <c r="I185" s="206"/>
      <c r="J185" s="203"/>
      <c r="K185" s="204"/>
      <c r="L185" s="204"/>
      <c r="M185" s="208">
        <f>IF(Tabelle132456891011121314[[#This Row],[Pulled after Start]]="",MIN(Tabelle132456891011121314[[#This Row],[Jira Story Points]],Tabelle132456891011121314[[#This Row],[Carry-over]]),0)</f>
        <v>0</v>
      </c>
      <c r="N185" s="209">
        <f>MIN(Tabelle132456891011121314[[#This Row],[Jira Story Points]],Tabelle132456891011121314[[#This Row],[Carry-over]])-Tabelle132456891011121314[[#This Row],[SP Initially Planned (COS)]]</f>
        <v>0</v>
      </c>
      <c r="O185"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85" s="211">
        <f>IFERROR(IF(Tabelle132456891011121314[[#This Row],[Status]]=$J$5,MIN(Tabelle132456891011121314[[#This Row],[Jira Story Points]],Tabelle132456891011121314[[#This Row],[Carry-over]]),0),0)</f>
        <v>0</v>
      </c>
      <c r="Q185" s="211">
        <f>IFERROR(IF(Tabelle132456891011121314[[#This Row],[Status]]=$J$5,0,MIN(Tabelle132456891011121314[[#This Row],[Jira Story Points]],Tabelle132456891011121314[[#This Row],[Carry-over]])-Tabelle132456891011121314[[#This Row],[SP Completed (COS &amp; SOS)]]),0)</f>
        <v>0</v>
      </c>
    </row>
    <row r="186" spans="1:17" ht="13.5" hidden="1" customHeight="1">
      <c r="A186" s="214"/>
      <c r="B186" s="47"/>
      <c r="C186" s="203"/>
      <c r="D186" s="203"/>
      <c r="E186" s="203"/>
      <c r="F186" s="204"/>
      <c r="G186" s="203"/>
      <c r="H186" s="205"/>
      <c r="I186" s="206"/>
      <c r="J186" s="203"/>
      <c r="K186" s="204"/>
      <c r="L186" s="204"/>
      <c r="M186" s="208">
        <f>IF(Tabelle132456891011121314[[#This Row],[Pulled after Start]]="",MIN(Tabelle132456891011121314[[#This Row],[Jira Story Points]],Tabelle132456891011121314[[#This Row],[Carry-over]]),0)</f>
        <v>0</v>
      </c>
      <c r="N186" s="209">
        <f>MIN(Tabelle132456891011121314[[#This Row],[Jira Story Points]],Tabelle132456891011121314[[#This Row],[Carry-over]])-Tabelle132456891011121314[[#This Row],[SP Initially Planned (COS)]]</f>
        <v>0</v>
      </c>
      <c r="O186"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86" s="211">
        <f>IFERROR(IF(Tabelle132456891011121314[[#This Row],[Status]]=$J$5,MIN(Tabelle132456891011121314[[#This Row],[Jira Story Points]],Tabelle132456891011121314[[#This Row],[Carry-over]]),0),0)</f>
        <v>0</v>
      </c>
      <c r="Q186" s="211">
        <f>IFERROR(IF(Tabelle132456891011121314[[#This Row],[Status]]=$J$5,0,MIN(Tabelle132456891011121314[[#This Row],[Jira Story Points]],Tabelle132456891011121314[[#This Row],[Carry-over]])-Tabelle132456891011121314[[#This Row],[SP Completed (COS &amp; SOS)]]),0)</f>
        <v>0</v>
      </c>
    </row>
    <row r="187" spans="1:17" ht="13.5" hidden="1" customHeight="1">
      <c r="A187" s="214"/>
      <c r="B187" s="47"/>
      <c r="C187" s="203"/>
      <c r="D187" s="203"/>
      <c r="E187" s="203"/>
      <c r="F187" s="204"/>
      <c r="G187" s="203"/>
      <c r="H187" s="205"/>
      <c r="I187" s="206"/>
      <c r="J187" s="203"/>
      <c r="K187" s="204"/>
      <c r="L187" s="204"/>
      <c r="M187" s="208">
        <f>IF(Tabelle132456891011121314[[#This Row],[Pulled after Start]]="",MIN(Tabelle132456891011121314[[#This Row],[Jira Story Points]],Tabelle132456891011121314[[#This Row],[Carry-over]]),0)</f>
        <v>0</v>
      </c>
      <c r="N187" s="209">
        <f>MIN(Tabelle132456891011121314[[#This Row],[Jira Story Points]],Tabelle132456891011121314[[#This Row],[Carry-over]])-Tabelle132456891011121314[[#This Row],[SP Initially Planned (COS)]]</f>
        <v>0</v>
      </c>
      <c r="O187"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87" s="211">
        <f>IFERROR(IF(Tabelle132456891011121314[[#This Row],[Status]]=$J$5,MIN(Tabelle132456891011121314[[#This Row],[Jira Story Points]],Tabelle132456891011121314[[#This Row],[Carry-over]]),0),0)</f>
        <v>0</v>
      </c>
      <c r="Q187" s="211">
        <f>IFERROR(IF(Tabelle132456891011121314[[#This Row],[Status]]=$J$5,0,MIN(Tabelle132456891011121314[[#This Row],[Jira Story Points]],Tabelle132456891011121314[[#This Row],[Carry-over]])-Tabelle132456891011121314[[#This Row],[SP Completed (COS &amp; SOS)]]),0)</f>
        <v>0</v>
      </c>
    </row>
    <row r="188" spans="1:17" ht="13.5" hidden="1" customHeight="1">
      <c r="A188" s="214"/>
      <c r="B188" s="47"/>
      <c r="C188" s="203"/>
      <c r="D188" s="203"/>
      <c r="E188" s="203"/>
      <c r="F188" s="204"/>
      <c r="G188" s="203"/>
      <c r="H188" s="205"/>
      <c r="I188" s="206"/>
      <c r="J188" s="203"/>
      <c r="K188" s="204"/>
      <c r="L188" s="204"/>
      <c r="M188" s="208">
        <f>IF(Tabelle132456891011121314[[#This Row],[Pulled after Start]]="",MIN(Tabelle132456891011121314[[#This Row],[Jira Story Points]],Tabelle132456891011121314[[#This Row],[Carry-over]]),0)</f>
        <v>0</v>
      </c>
      <c r="N188" s="209">
        <f>MIN(Tabelle132456891011121314[[#This Row],[Jira Story Points]],Tabelle132456891011121314[[#This Row],[Carry-over]])-Tabelle132456891011121314[[#This Row],[SP Initially Planned (COS)]]</f>
        <v>0</v>
      </c>
      <c r="O188"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88" s="211">
        <f>IFERROR(IF(Tabelle132456891011121314[[#This Row],[Status]]=$J$5,MIN(Tabelle132456891011121314[[#This Row],[Jira Story Points]],Tabelle132456891011121314[[#This Row],[Carry-over]]),0),0)</f>
        <v>0</v>
      </c>
      <c r="Q188" s="211">
        <f>IFERROR(IF(Tabelle132456891011121314[[#This Row],[Status]]=$J$5,0,MIN(Tabelle132456891011121314[[#This Row],[Jira Story Points]],Tabelle132456891011121314[[#This Row],[Carry-over]])-Tabelle132456891011121314[[#This Row],[SP Completed (COS &amp; SOS)]]),0)</f>
        <v>0</v>
      </c>
    </row>
    <row r="189" spans="1:17" ht="13.5" hidden="1" customHeight="1">
      <c r="A189" s="214"/>
      <c r="B189" s="47"/>
      <c r="C189" s="203"/>
      <c r="D189" s="203"/>
      <c r="E189" s="203"/>
      <c r="F189" s="204"/>
      <c r="G189" s="203"/>
      <c r="H189" s="205"/>
      <c r="I189" s="206"/>
      <c r="J189" s="203"/>
      <c r="K189" s="204"/>
      <c r="L189" s="204"/>
      <c r="M189" s="208">
        <f>IF(Tabelle132456891011121314[[#This Row],[Pulled after Start]]="",MIN(Tabelle132456891011121314[[#This Row],[Jira Story Points]],Tabelle132456891011121314[[#This Row],[Carry-over]]),0)</f>
        <v>0</v>
      </c>
      <c r="N189" s="209">
        <f>MIN(Tabelle132456891011121314[[#This Row],[Jira Story Points]],Tabelle132456891011121314[[#This Row],[Carry-over]])-Tabelle132456891011121314[[#This Row],[SP Initially Planned (COS)]]</f>
        <v>0</v>
      </c>
      <c r="O189"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89" s="211">
        <f>IFERROR(IF(Tabelle132456891011121314[[#This Row],[Status]]=$J$5,MIN(Tabelle132456891011121314[[#This Row],[Jira Story Points]],Tabelle132456891011121314[[#This Row],[Carry-over]]),0),0)</f>
        <v>0</v>
      </c>
      <c r="Q189" s="211">
        <f>IFERROR(IF(Tabelle132456891011121314[[#This Row],[Status]]=$J$5,0,MIN(Tabelle132456891011121314[[#This Row],[Jira Story Points]],Tabelle132456891011121314[[#This Row],[Carry-over]])-Tabelle132456891011121314[[#This Row],[SP Completed (COS &amp; SOS)]]),0)</f>
        <v>0</v>
      </c>
    </row>
    <row r="190" spans="1:17" ht="13.5" hidden="1" customHeight="1">
      <c r="A190" s="214"/>
      <c r="B190" s="47"/>
      <c r="C190" s="203"/>
      <c r="D190" s="203"/>
      <c r="E190" s="203"/>
      <c r="F190" s="204"/>
      <c r="G190" s="203"/>
      <c r="H190" s="205"/>
      <c r="I190" s="206"/>
      <c r="J190" s="203"/>
      <c r="K190" s="204"/>
      <c r="L190" s="204"/>
      <c r="M190" s="208">
        <f>IF(Tabelle132456891011121314[[#This Row],[Pulled after Start]]="",MIN(Tabelle132456891011121314[[#This Row],[Jira Story Points]],Tabelle132456891011121314[[#This Row],[Carry-over]]),0)</f>
        <v>0</v>
      </c>
      <c r="N190" s="209">
        <f>MIN(Tabelle132456891011121314[[#This Row],[Jira Story Points]],Tabelle132456891011121314[[#This Row],[Carry-over]])-Tabelle132456891011121314[[#This Row],[SP Initially Planned (COS)]]</f>
        <v>0</v>
      </c>
      <c r="O190"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90" s="211">
        <f>IFERROR(IF(Tabelle132456891011121314[[#This Row],[Status]]=$J$5,MIN(Tabelle132456891011121314[[#This Row],[Jira Story Points]],Tabelle132456891011121314[[#This Row],[Carry-over]]),0),0)</f>
        <v>0</v>
      </c>
      <c r="Q190" s="211">
        <f>IFERROR(IF(Tabelle132456891011121314[[#This Row],[Status]]=$J$5,0,MIN(Tabelle132456891011121314[[#This Row],[Jira Story Points]],Tabelle132456891011121314[[#This Row],[Carry-over]])-Tabelle132456891011121314[[#This Row],[SP Completed (COS &amp; SOS)]]),0)</f>
        <v>0</v>
      </c>
    </row>
    <row r="191" spans="1:17" ht="13.5" hidden="1" customHeight="1">
      <c r="A191" s="214"/>
      <c r="B191" s="47"/>
      <c r="C191" s="203"/>
      <c r="D191" s="203"/>
      <c r="E191" s="203"/>
      <c r="F191" s="204"/>
      <c r="G191" s="203"/>
      <c r="H191" s="205"/>
      <c r="I191" s="206"/>
      <c r="J191" s="203"/>
      <c r="K191" s="204"/>
      <c r="L191" s="204"/>
      <c r="M191" s="208">
        <f>IF(Tabelle132456891011121314[[#This Row],[Pulled after Start]]="",MIN(Tabelle132456891011121314[[#This Row],[Jira Story Points]],Tabelle132456891011121314[[#This Row],[Carry-over]]),0)</f>
        <v>0</v>
      </c>
      <c r="N191" s="209">
        <f>MIN(Tabelle132456891011121314[[#This Row],[Jira Story Points]],Tabelle132456891011121314[[#This Row],[Carry-over]])-Tabelle132456891011121314[[#This Row],[SP Initially Planned (COS)]]</f>
        <v>0</v>
      </c>
      <c r="O191"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91" s="211">
        <f>IFERROR(IF(Tabelle132456891011121314[[#This Row],[Status]]=$J$5,MIN(Tabelle132456891011121314[[#This Row],[Jira Story Points]],Tabelle132456891011121314[[#This Row],[Carry-over]]),0),0)</f>
        <v>0</v>
      </c>
      <c r="Q191" s="211">
        <f>IFERROR(IF(Tabelle132456891011121314[[#This Row],[Status]]=$J$5,0,MIN(Tabelle132456891011121314[[#This Row],[Jira Story Points]],Tabelle132456891011121314[[#This Row],[Carry-over]])-Tabelle132456891011121314[[#This Row],[SP Completed (COS &amp; SOS)]]),0)</f>
        <v>0</v>
      </c>
    </row>
    <row r="192" spans="1:17" ht="13.5" hidden="1" customHeight="1">
      <c r="A192" s="214"/>
      <c r="B192" s="47"/>
      <c r="C192" s="203"/>
      <c r="D192" s="203"/>
      <c r="E192" s="203"/>
      <c r="F192" s="204"/>
      <c r="G192" s="203"/>
      <c r="H192" s="205"/>
      <c r="I192" s="206"/>
      <c r="J192" s="203"/>
      <c r="K192" s="204"/>
      <c r="L192" s="204"/>
      <c r="M192" s="208">
        <f>IF(Tabelle132456891011121314[[#This Row],[Pulled after Start]]="",MIN(Tabelle132456891011121314[[#This Row],[Jira Story Points]],Tabelle132456891011121314[[#This Row],[Carry-over]]),0)</f>
        <v>0</v>
      </c>
      <c r="N192" s="209">
        <f>MIN(Tabelle132456891011121314[[#This Row],[Jira Story Points]],Tabelle132456891011121314[[#This Row],[Carry-over]])-Tabelle132456891011121314[[#This Row],[SP Initially Planned (COS)]]</f>
        <v>0</v>
      </c>
      <c r="O192"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92" s="211">
        <f>IFERROR(IF(Tabelle132456891011121314[[#This Row],[Status]]=$J$5,MIN(Tabelle132456891011121314[[#This Row],[Jira Story Points]],Tabelle132456891011121314[[#This Row],[Carry-over]]),0),0)</f>
        <v>0</v>
      </c>
      <c r="Q192" s="211">
        <f>IFERROR(IF(Tabelle132456891011121314[[#This Row],[Status]]=$J$5,0,MIN(Tabelle132456891011121314[[#This Row],[Jira Story Points]],Tabelle132456891011121314[[#This Row],[Carry-over]])-Tabelle132456891011121314[[#This Row],[SP Completed (COS &amp; SOS)]]),0)</f>
        <v>0</v>
      </c>
    </row>
    <row r="193" spans="1:17" ht="13.5" hidden="1" customHeight="1">
      <c r="A193" s="214"/>
      <c r="B193" s="47"/>
      <c r="C193" s="203"/>
      <c r="D193" s="203"/>
      <c r="E193" s="203"/>
      <c r="F193" s="204"/>
      <c r="G193" s="203"/>
      <c r="H193" s="205"/>
      <c r="I193" s="206"/>
      <c r="J193" s="203"/>
      <c r="K193" s="204"/>
      <c r="L193" s="204"/>
      <c r="M193" s="208">
        <f>IF(Tabelle132456891011121314[[#This Row],[Pulled after Start]]="",MIN(Tabelle132456891011121314[[#This Row],[Jira Story Points]],Tabelle132456891011121314[[#This Row],[Carry-over]]),0)</f>
        <v>0</v>
      </c>
      <c r="N193" s="209">
        <f>MIN(Tabelle132456891011121314[[#This Row],[Jira Story Points]],Tabelle132456891011121314[[#This Row],[Carry-over]])-Tabelle132456891011121314[[#This Row],[SP Initially Planned (COS)]]</f>
        <v>0</v>
      </c>
      <c r="O193"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93" s="211">
        <f>IFERROR(IF(Tabelle132456891011121314[[#This Row],[Status]]=$J$5,MIN(Tabelle132456891011121314[[#This Row],[Jira Story Points]],Tabelle132456891011121314[[#This Row],[Carry-over]]),0),0)</f>
        <v>0</v>
      </c>
      <c r="Q193" s="211">
        <f>IFERROR(IF(Tabelle132456891011121314[[#This Row],[Status]]=$J$5,0,MIN(Tabelle132456891011121314[[#This Row],[Jira Story Points]],Tabelle132456891011121314[[#This Row],[Carry-over]])-Tabelle132456891011121314[[#This Row],[SP Completed (COS &amp; SOS)]]),0)</f>
        <v>0</v>
      </c>
    </row>
    <row r="194" spans="1:17" ht="13.5" hidden="1" customHeight="1">
      <c r="A194" s="214"/>
      <c r="B194" s="47"/>
      <c r="C194" s="203"/>
      <c r="D194" s="203"/>
      <c r="E194" s="203"/>
      <c r="F194" s="204"/>
      <c r="G194" s="203"/>
      <c r="H194" s="205"/>
      <c r="I194" s="206"/>
      <c r="J194" s="203"/>
      <c r="K194" s="204"/>
      <c r="L194" s="204"/>
      <c r="M194" s="208">
        <f>IF(Tabelle132456891011121314[[#This Row],[Pulled after Start]]="",MIN(Tabelle132456891011121314[[#This Row],[Jira Story Points]],Tabelle132456891011121314[[#This Row],[Carry-over]]),0)</f>
        <v>0</v>
      </c>
      <c r="N194" s="209">
        <f>MIN(Tabelle132456891011121314[[#This Row],[Jira Story Points]],Tabelle132456891011121314[[#This Row],[Carry-over]])-Tabelle132456891011121314[[#This Row],[SP Initially Planned (COS)]]</f>
        <v>0</v>
      </c>
      <c r="O194"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94" s="211">
        <f>IFERROR(IF(Tabelle132456891011121314[[#This Row],[Status]]=$J$5,MIN(Tabelle132456891011121314[[#This Row],[Jira Story Points]],Tabelle132456891011121314[[#This Row],[Carry-over]]),0),0)</f>
        <v>0</v>
      </c>
      <c r="Q194" s="211">
        <f>IFERROR(IF(Tabelle132456891011121314[[#This Row],[Status]]=$J$5,0,MIN(Tabelle132456891011121314[[#This Row],[Jira Story Points]],Tabelle132456891011121314[[#This Row],[Carry-over]])-Tabelle132456891011121314[[#This Row],[SP Completed (COS &amp; SOS)]]),0)</f>
        <v>0</v>
      </c>
    </row>
    <row r="195" spans="1:17" ht="13.5" hidden="1" customHeight="1">
      <c r="A195" s="214"/>
      <c r="B195" s="47"/>
      <c r="C195" s="203"/>
      <c r="D195" s="203"/>
      <c r="E195" s="203"/>
      <c r="F195" s="204"/>
      <c r="G195" s="203"/>
      <c r="H195" s="205"/>
      <c r="I195" s="206"/>
      <c r="J195" s="203"/>
      <c r="K195" s="204"/>
      <c r="L195" s="204"/>
      <c r="M195" s="208">
        <f>IF(Tabelle132456891011121314[[#This Row],[Pulled after Start]]="",MIN(Tabelle132456891011121314[[#This Row],[Jira Story Points]],Tabelle132456891011121314[[#This Row],[Carry-over]]),0)</f>
        <v>0</v>
      </c>
      <c r="N195" s="209">
        <f>MIN(Tabelle132456891011121314[[#This Row],[Jira Story Points]],Tabelle132456891011121314[[#This Row],[Carry-over]])-Tabelle132456891011121314[[#This Row],[SP Initially Planned (COS)]]</f>
        <v>0</v>
      </c>
      <c r="O195"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95" s="211">
        <f>IFERROR(IF(Tabelle132456891011121314[[#This Row],[Status]]=$J$5,MIN(Tabelle132456891011121314[[#This Row],[Jira Story Points]],Tabelle132456891011121314[[#This Row],[Carry-over]]),0),0)</f>
        <v>0</v>
      </c>
      <c r="Q195" s="211">
        <f>IFERROR(IF(Tabelle132456891011121314[[#This Row],[Status]]=$J$5,0,MIN(Tabelle132456891011121314[[#This Row],[Jira Story Points]],Tabelle132456891011121314[[#This Row],[Carry-over]])-Tabelle132456891011121314[[#This Row],[SP Completed (COS &amp; SOS)]]),0)</f>
        <v>0</v>
      </c>
    </row>
    <row r="196" spans="1:17" ht="13.5" hidden="1" customHeight="1">
      <c r="A196" s="214"/>
      <c r="B196" s="47"/>
      <c r="C196" s="203"/>
      <c r="D196" s="203"/>
      <c r="E196" s="203"/>
      <c r="F196" s="204"/>
      <c r="G196" s="203"/>
      <c r="H196" s="205"/>
      <c r="I196" s="206"/>
      <c r="J196" s="203"/>
      <c r="K196" s="204"/>
      <c r="L196" s="204"/>
      <c r="M196" s="208">
        <f>IF(Tabelle132456891011121314[[#This Row],[Pulled after Start]]="",MIN(Tabelle132456891011121314[[#This Row],[Jira Story Points]],Tabelle132456891011121314[[#This Row],[Carry-over]]),0)</f>
        <v>0</v>
      </c>
      <c r="N196" s="209">
        <f>MIN(Tabelle132456891011121314[[#This Row],[Jira Story Points]],Tabelle132456891011121314[[#This Row],[Carry-over]])-Tabelle132456891011121314[[#This Row],[SP Initially Planned (COS)]]</f>
        <v>0</v>
      </c>
      <c r="O196"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96" s="211">
        <f>IFERROR(IF(Tabelle132456891011121314[[#This Row],[Status]]=$J$5,MIN(Tabelle132456891011121314[[#This Row],[Jira Story Points]],Tabelle132456891011121314[[#This Row],[Carry-over]]),0),0)</f>
        <v>0</v>
      </c>
      <c r="Q196" s="211">
        <f>IFERROR(IF(Tabelle132456891011121314[[#This Row],[Status]]=$J$5,0,MIN(Tabelle132456891011121314[[#This Row],[Jira Story Points]],Tabelle132456891011121314[[#This Row],[Carry-over]])-Tabelle132456891011121314[[#This Row],[SP Completed (COS &amp; SOS)]]),0)</f>
        <v>0</v>
      </c>
    </row>
    <row r="197" spans="1:17" ht="13.5" hidden="1" customHeight="1">
      <c r="A197" s="214"/>
      <c r="B197" s="47"/>
      <c r="C197" s="203"/>
      <c r="D197" s="203"/>
      <c r="E197" s="203"/>
      <c r="F197" s="204"/>
      <c r="G197" s="203"/>
      <c r="H197" s="205"/>
      <c r="I197" s="206"/>
      <c r="J197" s="203"/>
      <c r="K197" s="204"/>
      <c r="L197" s="204"/>
      <c r="M197" s="208">
        <f>IF(Tabelle132456891011121314[[#This Row],[Pulled after Start]]="",MIN(Tabelle132456891011121314[[#This Row],[Jira Story Points]],Tabelle132456891011121314[[#This Row],[Carry-over]]),0)</f>
        <v>0</v>
      </c>
      <c r="N197" s="209">
        <f>MIN(Tabelle132456891011121314[[#This Row],[Jira Story Points]],Tabelle132456891011121314[[#This Row],[Carry-over]])-Tabelle132456891011121314[[#This Row],[SP Initially Planned (COS)]]</f>
        <v>0</v>
      </c>
      <c r="O197"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97" s="211">
        <f>IFERROR(IF(Tabelle132456891011121314[[#This Row],[Status]]=$J$5,MIN(Tabelle132456891011121314[[#This Row],[Jira Story Points]],Tabelle132456891011121314[[#This Row],[Carry-over]]),0),0)</f>
        <v>0</v>
      </c>
      <c r="Q197" s="211">
        <f>IFERROR(IF(Tabelle132456891011121314[[#This Row],[Status]]=$J$5,0,MIN(Tabelle132456891011121314[[#This Row],[Jira Story Points]],Tabelle132456891011121314[[#This Row],[Carry-over]])-Tabelle132456891011121314[[#This Row],[SP Completed (COS &amp; SOS)]]),0)</f>
        <v>0</v>
      </c>
    </row>
    <row r="198" spans="1:17" ht="13.5" hidden="1" customHeight="1">
      <c r="A198" s="214"/>
      <c r="B198" s="47"/>
      <c r="C198" s="203"/>
      <c r="D198" s="203"/>
      <c r="E198" s="203"/>
      <c r="F198" s="204"/>
      <c r="G198" s="203"/>
      <c r="H198" s="205"/>
      <c r="I198" s="206"/>
      <c r="J198" s="203"/>
      <c r="K198" s="204"/>
      <c r="L198" s="204"/>
      <c r="M198" s="208">
        <f>IF(Tabelle132456891011121314[[#This Row],[Pulled after Start]]="",MIN(Tabelle132456891011121314[[#This Row],[Jira Story Points]],Tabelle132456891011121314[[#This Row],[Carry-over]]),0)</f>
        <v>0</v>
      </c>
      <c r="N198" s="209">
        <f>MIN(Tabelle132456891011121314[[#This Row],[Jira Story Points]],Tabelle132456891011121314[[#This Row],[Carry-over]])-Tabelle132456891011121314[[#This Row],[SP Initially Planned (COS)]]</f>
        <v>0</v>
      </c>
      <c r="O198"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98" s="211">
        <f>IFERROR(IF(Tabelle132456891011121314[[#This Row],[Status]]=$J$5,MIN(Tabelle132456891011121314[[#This Row],[Jira Story Points]],Tabelle132456891011121314[[#This Row],[Carry-over]]),0),0)</f>
        <v>0</v>
      </c>
      <c r="Q198" s="211">
        <f>IFERROR(IF(Tabelle132456891011121314[[#This Row],[Status]]=$J$5,0,MIN(Tabelle132456891011121314[[#This Row],[Jira Story Points]],Tabelle132456891011121314[[#This Row],[Carry-over]])-Tabelle132456891011121314[[#This Row],[SP Completed (COS &amp; SOS)]]),0)</f>
        <v>0</v>
      </c>
    </row>
    <row r="199" spans="1:17" ht="13.5" hidden="1" customHeight="1">
      <c r="A199" s="214"/>
      <c r="B199" s="47"/>
      <c r="C199" s="203"/>
      <c r="D199" s="203"/>
      <c r="E199" s="203"/>
      <c r="F199" s="204"/>
      <c r="G199" s="203"/>
      <c r="H199" s="205"/>
      <c r="I199" s="206"/>
      <c r="J199" s="203"/>
      <c r="K199" s="204"/>
      <c r="L199" s="204"/>
      <c r="M199" s="208">
        <f>IF(Tabelle132456891011121314[[#This Row],[Pulled after Start]]="",MIN(Tabelle132456891011121314[[#This Row],[Jira Story Points]],Tabelle132456891011121314[[#This Row],[Carry-over]]),0)</f>
        <v>0</v>
      </c>
      <c r="N199" s="209">
        <f>MIN(Tabelle132456891011121314[[#This Row],[Jira Story Points]],Tabelle132456891011121314[[#This Row],[Carry-over]])-Tabelle132456891011121314[[#This Row],[SP Initially Planned (COS)]]</f>
        <v>0</v>
      </c>
      <c r="O199"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199" s="211">
        <f>IFERROR(IF(Tabelle132456891011121314[[#This Row],[Status]]=$J$5,MIN(Tabelle132456891011121314[[#This Row],[Jira Story Points]],Tabelle132456891011121314[[#This Row],[Carry-over]]),0),0)</f>
        <v>0</v>
      </c>
      <c r="Q199" s="211">
        <f>IFERROR(IF(Tabelle132456891011121314[[#This Row],[Status]]=$J$5,0,MIN(Tabelle132456891011121314[[#This Row],[Jira Story Points]],Tabelle132456891011121314[[#This Row],[Carry-over]])-Tabelle132456891011121314[[#This Row],[SP Completed (COS &amp; SOS)]]),0)</f>
        <v>0</v>
      </c>
    </row>
    <row r="200" spans="1:17" ht="13.5" hidden="1" customHeight="1">
      <c r="A200" s="214"/>
      <c r="B200" s="47"/>
      <c r="C200" s="203"/>
      <c r="D200" s="203"/>
      <c r="E200" s="203"/>
      <c r="F200" s="204"/>
      <c r="G200" s="203"/>
      <c r="H200" s="205"/>
      <c r="I200" s="206"/>
      <c r="J200" s="203"/>
      <c r="K200" s="204"/>
      <c r="L200" s="204"/>
      <c r="M200" s="208">
        <f>IF(Tabelle132456891011121314[[#This Row],[Pulled after Start]]="",MIN(Tabelle132456891011121314[[#This Row],[Jira Story Points]],Tabelle132456891011121314[[#This Row],[Carry-over]]),0)</f>
        <v>0</v>
      </c>
      <c r="N200" s="209">
        <f>MIN(Tabelle132456891011121314[[#This Row],[Jira Story Points]],Tabelle132456891011121314[[#This Row],[Carry-over]])-Tabelle132456891011121314[[#This Row],[SP Initially Planned (COS)]]</f>
        <v>0</v>
      </c>
      <c r="O200"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200" s="211">
        <f>IFERROR(IF(Tabelle132456891011121314[[#This Row],[Status]]=$J$5,MIN(Tabelle132456891011121314[[#This Row],[Jira Story Points]],Tabelle132456891011121314[[#This Row],[Carry-over]]),0),0)</f>
        <v>0</v>
      </c>
      <c r="Q200" s="211">
        <f>IFERROR(IF(Tabelle132456891011121314[[#This Row],[Status]]=$J$5,0,MIN(Tabelle132456891011121314[[#This Row],[Jira Story Points]],Tabelle132456891011121314[[#This Row],[Carry-over]])-Tabelle132456891011121314[[#This Row],[SP Completed (COS &amp; SOS)]]),0)</f>
        <v>0</v>
      </c>
    </row>
    <row r="201" spans="1:17" ht="13.5" hidden="1" customHeight="1">
      <c r="A201" s="214"/>
      <c r="B201" s="47"/>
      <c r="C201" s="203"/>
      <c r="D201" s="203"/>
      <c r="E201" s="203"/>
      <c r="F201" s="204"/>
      <c r="G201" s="203"/>
      <c r="H201" s="205"/>
      <c r="I201" s="206"/>
      <c r="J201" s="203"/>
      <c r="K201" s="204"/>
      <c r="L201" s="204"/>
      <c r="M201" s="208">
        <f>IF(Tabelle132456891011121314[[#This Row],[Pulled after Start]]="",MIN(Tabelle132456891011121314[[#This Row],[Jira Story Points]],Tabelle132456891011121314[[#This Row],[Carry-over]]),0)</f>
        <v>0</v>
      </c>
      <c r="N201" s="209">
        <f>MIN(Tabelle132456891011121314[[#This Row],[Jira Story Points]],Tabelle132456891011121314[[#This Row],[Carry-over]])-Tabelle132456891011121314[[#This Row],[SP Initially Planned (COS)]]</f>
        <v>0</v>
      </c>
      <c r="O201" s="210">
        <f>IFERROR(IF(OR(Tabelle132456891011121314[[#This Row],[Status]]=$J$5,ISBLANK(Tabelle132456891011121314[[#This Row],[Status]])),0,IF(AND(Tabelle132456891011121314[[#This Row],[Status]]=$I$5,ISBLANK(Tabelle132456891011121314[[#This Row],[Spill-over]])),0,IF(NOT(ISBLANK(Tabelle132456891011121314[[#This Row],[Carry-over]])),Tabelle132456891011121314[[#This Row],[Carry-over]]-Tabelle132456891011121314[[#This Row],[Spill-over]],Tabelle132456891011121314[[#This Row],[Jira Story Points]]-Tabelle132456891011121314[[#This Row],[Spill-over]]))),"-")</f>
        <v>0</v>
      </c>
      <c r="P201" s="211">
        <f>IFERROR(IF(Tabelle132456891011121314[[#This Row],[Status]]=$J$5,MIN(Tabelle132456891011121314[[#This Row],[Jira Story Points]],Tabelle132456891011121314[[#This Row],[Carry-over]]),0),0)</f>
        <v>0</v>
      </c>
      <c r="Q201" s="211">
        <f>IFERROR(IF(Tabelle132456891011121314[[#This Row],[Status]]=$J$5,0,MIN(Tabelle132456891011121314[[#This Row],[Jira Story Points]],Tabelle132456891011121314[[#This Row],[Carry-over]])-Tabelle132456891011121314[[#This Row],[SP Completed (COS &amp; SOS)]]),0)</f>
        <v>0</v>
      </c>
    </row>
    <row r="220" spans="12:12" ht="13.5" customHeight="1">
      <c r="L220" s="253"/>
    </row>
  </sheetData>
  <mergeCells count="12">
    <mergeCell ref="B6:B15"/>
    <mergeCell ref="N22:O22"/>
    <mergeCell ref="C1:J1"/>
    <mergeCell ref="H3:J3"/>
    <mergeCell ref="D4:E4"/>
    <mergeCell ref="F4:K4"/>
    <mergeCell ref="M4:R4"/>
    <mergeCell ref="D22:E22"/>
    <mergeCell ref="F22:G22"/>
    <mergeCell ref="H22:I22"/>
    <mergeCell ref="J22:K22"/>
    <mergeCell ref="L22:M22"/>
  </mergeCells>
  <dataValidations count="4">
    <dataValidation type="list" allowBlank="1" showErrorMessage="1" sqref="J32:J201" xr:uid="{36881FF3-2B86-488C-AA53-AB3A2E260053}">
      <formula1>$H$5:$J$5</formula1>
    </dataValidation>
    <dataValidation type="list" allowBlank="1" showErrorMessage="1" sqref="H97:H101 H89:H90 H32:H87" xr:uid="{F9FA8158-5AF1-4798-B7CC-E2C219E0493D}">
      <formula1>"yes"</formula1>
    </dataValidation>
    <dataValidation allowBlank="1" showInputMessage="1" showErrorMessage="1" sqref="K33:K37 L38:L42" xr:uid="{185274BA-CE76-4B2B-AA41-EA2F7CCC5928}"/>
    <dataValidation type="list" allowBlank="1" showErrorMessage="1" sqref="G32:G42 G88:G97 G53:G76" xr:uid="{E11FFFEB-7D18-4469-91DD-FBAF93C715EE}">
      <formula1>$C$6:$C$15</formula1>
    </dataValidation>
  </dataValidations>
  <hyperlinks>
    <hyperlink ref="A53" r:id="rId1" display="[ANP-26411] CHOP AT | receipt signature timestamp not considered as leading ordering data in DEP - Jira" xr:uid="{CDE88BE3-6184-41D0-ADFC-526F4A28DC9C}"/>
    <hyperlink ref="A54" r:id="rId2" display="[ANP-26447] Pick Tickets for Releases 4.7.6 and 4.7.7 - Jira" xr:uid="{11BFC14C-E3FC-48CF-B418-9F16D8DAEE78}"/>
    <hyperlink ref="A55" r:id="rId3" display="[ANP-26109] Build MCO part of NEWPOSS release 4.7.6 - Jira" xr:uid="{0836DFAB-6239-48C2-921B-BD76663A7233}"/>
    <hyperlink ref="A56" r:id="rId4" display="[ANP-25421] EFT - Foreign cards transactions (Carrefour France, Ukraine) were not successful according to cash register, but charged to customer - Jira" xr:uid="{F3796A76-D5B2-45DE-A1B4-BE55A5E8B085}"/>
    <hyperlink ref="A57" r:id="rId5" display="[ANP-26500] Clean stale branches - Jira" xr:uid="{1E567DB1-BCE3-4D39-9106-E65C06BF4C9E}"/>
    <hyperlink ref="A59" r:id="rId6" display="[ANP-25479] [CHOP] 97+CODE does not trigger the print of the dayend receipt - Jira" xr:uid="{57F300B0-263A-471D-9268-5D27F3BFC076}"/>
    <hyperlink ref="A60" r:id="rId7" display="[ANP-26506] Analysis of ANP-25572: [CHOP] Incorrect POS display message during Cashback - Jira" xr:uid="{E678A317-61FD-487F-A0A0-56D1A28B11DF}"/>
    <hyperlink ref="A61" r:id="rId8" display="[ANP-26507] Analysis of ANP-25544: [CHOP] Main printer does not indicate empty paper roll - Jira" xr:uid="{A379879D-AAEF-4970-9FC5-A00E3768A1D6}"/>
    <hyperlink ref="A87" r:id="rId9" xr:uid="{3D48A872-956F-455D-A9BF-F798E00E4021}"/>
    <hyperlink ref="B87" r:id="rId10" xr:uid="{9057FCA2-F940-410C-A14C-4D76EA1C5E24}"/>
    <hyperlink ref="A88" r:id="rId11" xr:uid="{53CEC643-7848-42C6-8837-0AB2B0C45B98}"/>
    <hyperlink ref="B88" r:id="rId12" xr:uid="{3A5B6997-8018-4444-98DA-C142322795A5}"/>
    <hyperlink ref="A89" r:id="rId13" xr:uid="{0C541AD4-B49C-459E-B7A4-F4B007445C3F}"/>
    <hyperlink ref="B89" r:id="rId14" xr:uid="{38EBA90C-CECB-4098-8762-60DB40672F32}"/>
    <hyperlink ref="A90" r:id="rId15" xr:uid="{0142E786-4DDE-451F-B7A6-275A120CC516}"/>
    <hyperlink ref="B90" r:id="rId16" xr:uid="{C60E1F69-CC17-4714-BC41-90936463952A}"/>
    <hyperlink ref="A91" r:id="rId17" xr:uid="{8A44753F-42F7-485E-ACA5-555F22DA7123}"/>
    <hyperlink ref="B91" r:id="rId18" xr:uid="{21BAD555-D579-4668-AAEF-C2AF354AB396}"/>
    <hyperlink ref="A92" r:id="rId19" xr:uid="{8649DB97-380C-4E67-8BFD-650BEE79D847}"/>
    <hyperlink ref="A93" r:id="rId20" xr:uid="{4D358993-7EAB-4EF0-B313-37E602B76B3D}"/>
    <hyperlink ref="B93" r:id="rId21" xr:uid="{DCB2A96C-28A2-430D-92A3-055200D376C3}"/>
    <hyperlink ref="A94" r:id="rId22" xr:uid="{7D15AAF2-FBC9-45B4-991E-7BF42F7CB3C5}"/>
    <hyperlink ref="B94" r:id="rId23" xr:uid="{315B198B-4FDF-413B-8809-32BCD76476DF}"/>
    <hyperlink ref="A95" r:id="rId24" xr:uid="{291BE85C-58FD-4859-AF59-C2EFDBC426A0}"/>
    <hyperlink ref="B95" r:id="rId25" xr:uid="{D2A57EDB-24C4-4FA3-937C-2B8ECFC926D8}"/>
    <hyperlink ref="A96" r:id="rId26" xr:uid="{CAA1B2BA-4961-4444-BA3A-98CAC90C3D3D}"/>
    <hyperlink ref="B96" r:id="rId27" xr:uid="{0A8862D1-A401-4E18-B7EB-7F6BBA397259}"/>
    <hyperlink ref="A58" r:id="rId28" display="[ANP-25572] [CHOP] Incorrect POS display message during Cashback - Jira" xr:uid="{110D5EF0-A080-4F54-B5A3-9B8A09320059}"/>
    <hyperlink ref="A62" r:id="rId29" display="[ANP-26613] Analysis of ANP-25567: [CHOP] Lane status do not show &quot;Low Paper&quot; Warning - Jira" xr:uid="{B76C19ED-0789-41FE-AB38-A0A9F56000F7}"/>
    <hyperlink ref="A74" r:id="rId30" xr:uid="{6546FC90-0A9A-4008-8E87-5E0CBD0A1164}"/>
    <hyperlink ref="A75" r:id="rId31" xr:uid="{2835A448-4FD2-4F4D-AEBC-70A60C099739}"/>
    <hyperlink ref="A76" r:id="rId32" xr:uid="{727742E7-F3D4-4C80-9D37-5D2BB3D8CB26}"/>
    <hyperlink ref="A77" r:id="rId33" xr:uid="{AF780B03-0039-478C-888D-6F46AB570D4D}"/>
    <hyperlink ref="A78" r:id="rId34" xr:uid="{51D0820F-883C-4549-A412-733E0E72550E}"/>
    <hyperlink ref="A79" r:id="rId35" xr:uid="{B268A909-53C6-4AA5-8D54-A985BB109472}"/>
    <hyperlink ref="A80" r:id="rId36" xr:uid="{66EBC2FE-5180-43F8-8473-C4A1C292A7AE}"/>
    <hyperlink ref="A81" r:id="rId37" xr:uid="{A5605319-ED8A-4534-90E2-6E5D63E394C1}"/>
    <hyperlink ref="A82" r:id="rId38" xr:uid="{B591A60F-E8D1-4858-B5FA-B0279424D4A8}"/>
    <hyperlink ref="A83" r:id="rId39" xr:uid="{8957AAC9-3606-4E27-BD6B-76EBF6C3ED93}"/>
    <hyperlink ref="A84" r:id="rId40" xr:uid="{EEFD7E5F-2ED7-4FBF-AF49-955F3A7AD65A}"/>
    <hyperlink ref="A85" r:id="rId41" xr:uid="{27F2BBE2-F15D-4342-8609-B9F5A1E7D3D0}"/>
    <hyperlink ref="A86" r:id="rId42" xr:uid="{61F96D25-2DB7-4AD3-A7D5-6D52AB9BE5DF}"/>
    <hyperlink ref="A118" r:id="rId43" xr:uid="{695768E0-D22C-4F27-935D-1D142D10C380}"/>
    <hyperlink ref="A97" r:id="rId44" display="https://aldi-sued.atlassian.net/browse/NPSCO-19497" xr:uid="{2D446E88-977A-4BF4-B14C-E36677A05732}"/>
    <hyperlink ref="B97" r:id="rId45" display="https://aldi-sued.atlassian.net/browse/NPSCO-19497" xr:uid="{63F15C1A-B1A5-43B0-BE5A-08231422E44F}"/>
    <hyperlink ref="A98" r:id="rId46" display="https://aldi-sued.atlassian.net/browse/NPSCO-19400" xr:uid="{E8A87975-E117-42BB-9D6E-995B2F619CA0}"/>
    <hyperlink ref="B98" r:id="rId47" display="https://aldi-sued.atlassian.net/browse/NPSCO-19400" xr:uid="{0E54A1CA-F7B4-46AB-A610-1F67C3436B69}"/>
    <hyperlink ref="A99" r:id="rId48" display="https://aldi-sued.atlassian.net/browse/NPSCO-19730" xr:uid="{39ED2FBA-CB4F-4DC9-A027-E709CC7175E6}"/>
    <hyperlink ref="B99" r:id="rId49" display="https://aldi-sued.atlassian.net/browse/NPSCO-19730" xr:uid="{854F7147-83D7-4CCA-97DD-851B8BF3D5AA}"/>
    <hyperlink ref="A100" r:id="rId50" display="https://aldi-sued.atlassian.net/browse/NPSCO-19395" xr:uid="{E2C1C31E-72D8-4B30-8D60-93FEE760F967}"/>
    <hyperlink ref="B100" r:id="rId51" display="https://aldi-sued.atlassian.net/browse/NPSCO-19395" xr:uid="{B830D4E9-2088-4887-9116-EB60555CB1C9}"/>
    <hyperlink ref="A101" r:id="rId52" display="https://aldi-sued.atlassian.net/browse/NPSCO-17533" xr:uid="{957CF93A-D660-4C8F-8ABB-B44C81431607}"/>
    <hyperlink ref="B101" r:id="rId53" display="https://aldi-sued.atlassian.net/browse/NPSCO-17533" xr:uid="{F3AD2A5E-EB84-4D1A-8630-32998347C9CB}"/>
    <hyperlink ref="A102" r:id="rId54" display="https://aldi-sued.atlassian.net/browse/NPSCO-19714" xr:uid="{AE060F48-41EC-4556-B6A0-D54E1D5C20CA}"/>
    <hyperlink ref="B102" r:id="rId55" display="https://aldi-sued.atlassian.net/browse/NPSCO-19714" xr:uid="{DDD6BBB0-AA7B-4870-8FC1-F24F066EC335}"/>
    <hyperlink ref="A103" r:id="rId56" display="https://aldi-sued.atlassian.net/browse/NPSCO-19873" xr:uid="{9CCABABA-03F5-4A7F-BFDE-DB765534C780}"/>
    <hyperlink ref="B103" r:id="rId57" display="https://aldi-sued.atlassian.net/browse/NPSCO-19873" xr:uid="{171AE31C-E110-4CF1-8678-C58467C1B459}"/>
    <hyperlink ref="A104" r:id="rId58" display="https://aldi-sued.atlassian.net/browse/NPSCO-19913" xr:uid="{4011F519-F593-4657-AEA1-6951DB2EA408}"/>
    <hyperlink ref="B104" r:id="rId59" display="https://aldi-sued.atlassian.net/browse/NPSCO-19913" xr:uid="{3047717A-67B9-4488-9A0A-4998DB224C5A}"/>
    <hyperlink ref="A105" r:id="rId60" display="https://aldi-sued.atlassian.net/browse/NPSCO-20042" xr:uid="{4F97AFFB-357F-4C1A-BF56-961BE124AFA7}"/>
    <hyperlink ref="B105" r:id="rId61" display="https://aldi-sued.atlassian.net/browse/NPSCO-20042" xr:uid="{9F034291-D611-48F0-9516-863DA8915249}"/>
    <hyperlink ref="A106" r:id="rId62" display="https://aldi-sued.atlassian.net/browse/NPSCO-20078" xr:uid="{C29DA08E-2DB6-43AD-BCBA-6BE457712A35}"/>
    <hyperlink ref="B106" r:id="rId63" display="https://aldi-sued.atlassian.net/browse/NPSCO-20078" xr:uid="{E59BC1FE-F201-47FA-9BED-E0F27E859782}"/>
    <hyperlink ref="A107" r:id="rId64" display="https://aldi-sued.atlassian.net/browse/NPSCO-17559" xr:uid="{40491C81-EBD5-4487-8A34-371C7E780CDE}"/>
    <hyperlink ref="B107" r:id="rId65" display="https://aldi-sued.atlassian.net/browse/NPSCO-17559" xr:uid="{EC1CCB64-14A7-4B64-9642-B3A81A1370D6}"/>
    <hyperlink ref="A64" r:id="rId66" display="https://aldi-sued.atlassian.net/browse/ANP-26379" xr:uid="{F921091A-D5E9-4FAD-9389-0620B862BFD3}"/>
    <hyperlink ref="B64" r:id="rId67" display="https://aldi-sued.atlassian.net/browse/ANP-26379" xr:uid="{F6FF10BC-F3D8-4349-8599-A2B334172A46}"/>
    <hyperlink ref="A65" r:id="rId68" display="https://aldi-sued.atlassian.net/browse/ANP-26612" xr:uid="{1404349F-80C2-4042-A238-E8D0BA158454}"/>
    <hyperlink ref="B65" r:id="rId69" display="https://aldi-sued.atlassian.net/browse/ANP-26612" xr:uid="{0CE93A97-3956-4981-806B-EB7FCAB15548}"/>
    <hyperlink ref="A66" r:id="rId70" display="https://aldi-sued.atlassian.net/browse/ANP-26717" xr:uid="{47274A0F-2E90-4F43-B046-8310F52A4332}"/>
    <hyperlink ref="B66" r:id="rId71" display="https://aldi-sued.atlassian.net/browse/ANP-26717" xr:uid="{C5831478-41A7-4291-AF2F-2118AF0A3D8F}"/>
    <hyperlink ref="A67" r:id="rId72" display="https://aldi-sued.atlassian.net/browse/ANP-26456" xr:uid="{A78056FE-FF03-4D15-81D5-6B4DF98F5FDB}"/>
    <hyperlink ref="B67" r:id="rId73" display="https://aldi-sued.atlassian.net/browse/ANP-26456" xr:uid="{CE2DA015-3E54-4DFA-88D2-392FE8357C60}"/>
    <hyperlink ref="A68" r:id="rId74" display="https://aldi-sued.atlassian.net/browse/ANP-26458" xr:uid="{9FCB3DD4-8B53-4029-8BB9-FDCB2FA68F41}"/>
    <hyperlink ref="B68" r:id="rId75" display="https://aldi-sued.atlassian.net/browse/ANP-26458" xr:uid="{EDE58297-28E5-4287-85F7-1F5601BEE398}"/>
    <hyperlink ref="A69" r:id="rId76" display="https://aldi-sued.atlassian.net/browse/ANP-26340" xr:uid="{A874BB64-B304-410A-AF7A-C8070B850B95}"/>
    <hyperlink ref="B69" r:id="rId77" display="https://aldi-sued.atlassian.net/browse/ANP-26340" xr:uid="{8F045581-6530-43C6-B7E5-D4E74CE86DF1}"/>
    <hyperlink ref="A70" r:id="rId78" display="https://aldi-sued.atlassian.net/browse/ANP-26056" xr:uid="{1BD93814-0BAC-48FE-AB6B-137A37BF396E}"/>
    <hyperlink ref="B70" r:id="rId79" display="https://aldi-sued.atlassian.net/browse/ANP-26056" xr:uid="{EF1420E0-0524-4FAB-8849-D39009096768}"/>
    <hyperlink ref="A71" r:id="rId80" display="https://aldi-sued.atlassian.net/browse/ANP-26448" xr:uid="{3D03493C-BBBC-4A3D-A85C-5F8382823E63}"/>
    <hyperlink ref="B71" r:id="rId81" display="https://aldi-sued.atlassian.net/browse/ANP-26448" xr:uid="{FEC6B1EF-D58B-4266-882B-8C6A72FFEAB7}"/>
    <hyperlink ref="A72" r:id="rId82" display="https://aldi-sued.atlassian.net/browse/ANP-12281" xr:uid="{3969EC87-BF94-4DE5-A9EC-EE5597066268}"/>
    <hyperlink ref="B72" r:id="rId83" display="https://aldi-sued.atlassian.net/browse/ANP-12281" xr:uid="{B9B1D5BD-CA6D-4772-B7F6-09996A0499D3}"/>
    <hyperlink ref="A73" r:id="rId84" display="https://aldi-sued.atlassian.net/browse/ANP-26870" xr:uid="{7798B769-4AD1-43D9-80B7-DBDE146A637D}"/>
    <hyperlink ref="B73" r:id="rId85" display="https://aldi-sued.atlassian.net/browse/ANP-26870" xr:uid="{664CB189-AE08-4198-866C-7C862E3443DF}"/>
    <hyperlink ref="B92" r:id="rId86" xr:uid="{D656684F-2FAF-4B2E-97DF-59FE5BF77DFC}"/>
    <hyperlink ref="A63" r:id="rId87" display="[ANP-26869] Analysis of ANP-26718: [1] Main Driver: Conduction of RCA for &quot;no printer&quot; - Jira" xr:uid="{48471AAE-4116-414D-9128-F4AB62B2EB0C}"/>
    <hyperlink ref="A132" r:id="rId88" display="https://aldi-sued.atlassian.net/browse/BF-507" xr:uid="{A3FF631C-D399-488A-8CB7-4FD2BB2526A9}"/>
    <hyperlink ref="A133" r:id="rId89" display="https://aldi-sued.atlassian.net/browse/BF-1409" xr:uid="{67C59AB5-44BE-452A-ABDF-D73B15F9BE31}"/>
    <hyperlink ref="A134" r:id="rId90" display="https://aldi-sued.atlassian.net/browse/BF-1412" xr:uid="{5DB17F17-E3C4-4946-81A8-5316F2B3743D}"/>
    <hyperlink ref="A135" r:id="rId91" display="https://aldi-sued.atlassian.net/browse/BF-1419" xr:uid="{42B5D5EA-98D4-4304-910B-DEE467BD675F}"/>
    <hyperlink ref="A136" r:id="rId92" display="https://aldi-sued.atlassian.net/browse/NPSCO-19363" xr:uid="{8671C4CA-59EC-45B7-A6E4-A95CD1EF03A2}"/>
    <hyperlink ref="A137" r:id="rId93" display="https://aldi-sued.atlassian.net/browse/NPSCO-20021" xr:uid="{EF759CC4-77D3-41A8-8158-79929771ECE4}"/>
    <hyperlink ref="A138" r:id="rId94" display="https://aldi-sued.atlassian.net/browse/BF-511" xr:uid="{9A18F19C-5348-4706-9678-A4F6F47A68F5}"/>
    <hyperlink ref="A139" r:id="rId95" display="https://aldi-sued.atlassian.net/browse/BF-1159" xr:uid="{CC0204DD-D71F-4FFD-B8A6-5C154365EF42}"/>
    <hyperlink ref="A140" r:id="rId96" display="https://aldi-sued.atlassian.net/browse/BF-1316" xr:uid="{3EF9D88F-0060-4B5B-9F37-2D028EB394BC}"/>
    <hyperlink ref="A141" r:id="rId97" display="https://aldi-sued.atlassian.net/browse/BF-1317" xr:uid="{D88CF6AB-F836-4D98-AA42-6D102AA5B6BB}"/>
    <hyperlink ref="A142" r:id="rId98" display="https://aldi-sued.atlassian.net/browse/BF-1318" xr:uid="{4A744824-AEAB-4090-8A51-DAF8D44D6664}"/>
    <hyperlink ref="A143" r:id="rId99" display="https://aldi-sued.atlassian.net/browse/BF-1378" xr:uid="{BA3D01EE-7146-467B-95EB-7D48A90B6BC9}"/>
    <hyperlink ref="A144" r:id="rId100" display="https://aldi-sued.atlassian.net/browse/BF-1379" xr:uid="{EE8B7B45-D061-4324-8DDA-699CEFABBA77}"/>
    <hyperlink ref="A145" r:id="rId101" display="https://aldi-sued.atlassian.net/browse/BF-1380" xr:uid="{83BBB35A-0A59-4AD5-A7BF-0DC0FFC31A0F}"/>
    <hyperlink ref="A146" r:id="rId102" display="https://aldi-sued.atlassian.net/browse/NPSCO-18816" xr:uid="{1428D376-D604-452D-B3FF-5CCF01E7D215}"/>
    <hyperlink ref="A147" r:id="rId103" display="https://aldi-sued.atlassian.net/browse/NPSCO-20174" xr:uid="{FEBF48EC-50C4-4F66-AD94-F7F499E841D5}"/>
  </hyperlinks>
  <pageMargins left="0.23622047244094491" right="0.23622047244094491" top="0.35433070866141736" bottom="0.35433070866141736" header="0" footer="0"/>
  <pageSetup paperSize="9" scale="88" fitToHeight="0" orientation="landscape" r:id="rId104"/>
  <headerFooter>
    <oddFooter>&amp;CS. &amp;P / &amp;N</oddFooter>
  </headerFooter>
  <tableParts count="1">
    <tablePart r:id="rId10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13D42-02D3-4375-BB2E-E04B224751B6}">
  <sheetPr>
    <outlinePr summaryBelow="0" summaryRight="0"/>
    <pageSetUpPr fitToPage="1"/>
  </sheetPr>
  <dimension ref="A1:AM171"/>
  <sheetViews>
    <sheetView zoomScale="90" zoomScaleNormal="90" workbookViewId="0"/>
  </sheetViews>
  <sheetFormatPr baseColWidth="10" defaultColWidth="8.85546875" defaultRowHeight="13.5" customHeight="1"/>
  <cols>
    <col min="1" max="1" width="16" style="27" customWidth="1"/>
    <col min="2" max="2" width="72.85546875" style="27" customWidth="1"/>
    <col min="3" max="8" width="15.42578125" style="28" customWidth="1"/>
    <col min="9" max="9" width="19" style="29" customWidth="1"/>
    <col min="10" max="11" width="15.42578125" style="29" customWidth="1"/>
    <col min="12" max="12" width="15.42578125" style="30" customWidth="1"/>
    <col min="13" max="13" width="15.42578125" style="28" customWidth="1"/>
    <col min="14" max="18" width="15.42578125" style="1" customWidth="1"/>
    <col min="19" max="28" width="10.42578125" style="1" customWidth="1"/>
    <col min="29" max="34" width="8.42578125" style="1" customWidth="1"/>
    <col min="35" max="35" width="3.42578125" style="1" customWidth="1"/>
    <col min="36" max="36" width="8.42578125" style="1" customWidth="1"/>
    <col min="37" max="16384" width="8.85546875" style="1"/>
  </cols>
  <sheetData>
    <row r="1" spans="2:22" ht="13.5" customHeight="1">
      <c r="C1" s="417" t="s">
        <v>1676</v>
      </c>
      <c r="D1" s="417"/>
      <c r="E1" s="417"/>
      <c r="F1" s="417"/>
      <c r="G1" s="417"/>
      <c r="H1" s="417"/>
      <c r="I1" s="417"/>
      <c r="J1" s="417"/>
      <c r="K1" s="2"/>
      <c r="L1" s="2"/>
      <c r="M1" s="2"/>
    </row>
    <row r="2" spans="2:22" ht="13.5" customHeight="1">
      <c r="C2" s="1"/>
      <c r="D2" s="1"/>
      <c r="E2" s="2"/>
      <c r="F2" s="2"/>
      <c r="G2" s="2"/>
      <c r="H2" s="2"/>
      <c r="I2" s="2"/>
      <c r="J2" s="1"/>
      <c r="K2" s="2"/>
      <c r="L2" s="2"/>
      <c r="M2" s="1"/>
    </row>
    <row r="3" spans="2:22" ht="13.5" customHeight="1" thickBot="1">
      <c r="C3" s="3" t="s">
        <v>162</v>
      </c>
      <c r="D3" s="66"/>
      <c r="E3" s="10"/>
      <c r="F3" s="10"/>
      <c r="H3" s="418" t="s">
        <v>163</v>
      </c>
      <c r="I3" s="418"/>
      <c r="J3" s="418"/>
      <c r="K3" s="4"/>
      <c r="L3" s="4"/>
      <c r="M3" s="2"/>
    </row>
    <row r="4" spans="2:22" ht="13.5" customHeight="1">
      <c r="C4" s="10"/>
      <c r="D4" s="419" t="s">
        <v>164</v>
      </c>
      <c r="E4" s="420"/>
      <c r="F4" s="421" t="s">
        <v>165</v>
      </c>
      <c r="G4" s="422"/>
      <c r="H4" s="422"/>
      <c r="I4" s="422"/>
      <c r="J4" s="422"/>
      <c r="K4" s="423"/>
      <c r="M4" s="424" t="s">
        <v>1303</v>
      </c>
      <c r="N4" s="424"/>
      <c r="O4" s="424"/>
      <c r="P4" s="424"/>
      <c r="Q4" s="424"/>
      <c r="R4" s="424"/>
    </row>
    <row r="5" spans="2:22" ht="27" customHeight="1">
      <c r="C5" s="63" t="s">
        <v>167</v>
      </c>
      <c r="D5" s="60" t="s">
        <v>171</v>
      </c>
      <c r="E5" s="73" t="str">
        <f>H5</f>
        <v>Completed</v>
      </c>
      <c r="F5" s="60" t="s">
        <v>105</v>
      </c>
      <c r="G5" s="21" t="s">
        <v>106</v>
      </c>
      <c r="H5" s="20" t="s">
        <v>125</v>
      </c>
      <c r="I5" s="20" t="s">
        <v>127</v>
      </c>
      <c r="J5" s="20" t="s">
        <v>126</v>
      </c>
      <c r="K5" s="67" t="s">
        <v>172</v>
      </c>
      <c r="M5" s="21" t="s">
        <v>105</v>
      </c>
      <c r="N5" s="21" t="s">
        <v>106</v>
      </c>
      <c r="O5" s="31" t="s">
        <v>125</v>
      </c>
      <c r="P5" s="31" t="str">
        <f>J5</f>
        <v>Removed</v>
      </c>
      <c r="Q5" s="31" t="s">
        <v>127</v>
      </c>
      <c r="R5" s="39" t="s">
        <v>173</v>
      </c>
    </row>
    <row r="6" spans="2:22" ht="13.5" customHeight="1">
      <c r="B6" s="415" t="s">
        <v>174</v>
      </c>
      <c r="C6" s="59" t="s">
        <v>35</v>
      </c>
      <c r="D6" s="61">
        <f>COUNTIFS(Tabelle1324568910111213[Team],$C6)</f>
        <v>25</v>
      </c>
      <c r="E6" s="74">
        <f>COUNTIFS(Tabelle1324568910111213[Team],$C6,Tabelle1324568910111213[Status],$E$5)</f>
        <v>19</v>
      </c>
      <c r="F6" s="68">
        <f>SUMIFS(Tabelle1324568910111213[Jira Story Points],Tabelle1324568910111213[Pulled after Start],"",Tabelle1324568910111213[Team],$C6)</f>
        <v>66</v>
      </c>
      <c r="G6" s="6">
        <f>SUMIFS(Tabelle1324568910111213[Jira Story Points],Tabelle1324568910111213[Pulled after Start],"yes",Tabelle1324568910111213[Team],$C6)</f>
        <v>16</v>
      </c>
      <c r="H6" s="7">
        <f>SUMIFS(Tabelle1324568910111213[Jira Story Points],Tabelle1324568910111213[Status],$H$5,Tabelle1324568910111213[Team],$C6)</f>
        <v>68</v>
      </c>
      <c r="I6" s="6">
        <f>SUMIFS(Tabelle1324568910111213[Jira Story Points],Tabelle1324568910111213[Status],$I$5,Tabelle1324568910111213[Team],$C6)</f>
        <v>14</v>
      </c>
      <c r="J6" s="6">
        <f>SUMIFS(Tabelle1324568910111213[Jira Story Points],Tabelle1324568910111213[Status],$J$5,Tabelle1324568910111213[Team],$C6)</f>
        <v>0</v>
      </c>
      <c r="K6" s="69">
        <f>SUMIFS(Tabelle1324568910111213[Jira Story Points],Tabelle1324568910111213[Team],$C6)</f>
        <v>82</v>
      </c>
      <c r="M6" s="6">
        <f>SUMIFS(Tabelle1324568910111213[SP Initially Planned (COS)],Tabelle1324568910111213[Pulled after Start],"",Tabelle1324568910111213[Team],$C6)</f>
        <v>66</v>
      </c>
      <c r="N6" s="6">
        <f>SUMIFS(Tabelle1324568910111213[SP Pulled after Start (COS)],Tabelle1324568910111213[Team],$C6)</f>
        <v>16</v>
      </c>
      <c r="O6" s="25">
        <f>SUMIFS(Tabelle1324568910111213[SP Completed (COS &amp; SOS)],Tabelle1324568910111213[Team],$C6)</f>
        <v>68</v>
      </c>
      <c r="P6" s="25">
        <f>SUMIFS(Tabelle1324568910111213[SP Removed (COS &amp; SOS)],Tabelle1324568910111213[Team],$C6)</f>
        <v>0</v>
      </c>
      <c r="Q6" s="41">
        <f>SUMIFS(Tabelle1324568910111213[SP Not Completed (COS &amp; SOS)],Tabelle1324568910111213[Team],$C6)</f>
        <v>14</v>
      </c>
      <c r="R6" s="40">
        <f t="shared" ref="R6:R15" si="0">IFERROR(O6/$M6," ")</f>
        <v>1.0303030303030303</v>
      </c>
      <c r="T6" s="43"/>
    </row>
    <row r="7" spans="2:22" ht="13.5" customHeight="1">
      <c r="B7" s="415"/>
      <c r="C7" s="59" t="s">
        <v>12</v>
      </c>
      <c r="D7" s="61">
        <f>COUNTIFS(Tabelle1324568910111213[Team],$C7)</f>
        <v>13</v>
      </c>
      <c r="E7" s="74">
        <f>COUNTIFS(Tabelle1324568910111213[Team],$C7,Tabelle1324568910111213[Status],$E$5)</f>
        <v>11</v>
      </c>
      <c r="F7" s="68">
        <f>SUMIFS(Tabelle1324568910111213[Jira Story Points],Tabelle1324568910111213[Pulled after Start],"",Tabelle1324568910111213[Team],$C7)</f>
        <v>36</v>
      </c>
      <c r="G7" s="6">
        <f>SUMIFS(Tabelle1324568910111213[Jira Story Points],Tabelle1324568910111213[Pulled after Start],"yes",Tabelle1324568910111213[Team],$C7)</f>
        <v>9</v>
      </c>
      <c r="H7" s="7">
        <f>SUMIFS(Tabelle1324568910111213[Jira Story Points],Tabelle1324568910111213[Status],$H$5,Tabelle1324568910111213[Team],$C7)</f>
        <v>39</v>
      </c>
      <c r="I7" s="6">
        <f>SUMIFS(Tabelle1324568910111213[Jira Story Points],Tabelle1324568910111213[Status],$I$5,Tabelle1324568910111213[Team],$C7)</f>
        <v>6</v>
      </c>
      <c r="J7" s="6">
        <f>SUMIFS(Tabelle1324568910111213[Jira Story Points],Tabelle1324568910111213[Status],$J$5,Tabelle1324568910111213[Team],$C7)</f>
        <v>0</v>
      </c>
      <c r="K7" s="69">
        <f>SUMIFS(Tabelle1324568910111213[Jira Story Points],Tabelle1324568910111213[Team],$C7)</f>
        <v>45</v>
      </c>
      <c r="M7" s="6">
        <f>SUMIFS(Tabelle1324568910111213[SP Initially Planned (COS)],Tabelle1324568910111213[Pulled after Start],"",Tabelle1324568910111213[Team],$C7)</f>
        <v>15</v>
      </c>
      <c r="N7" s="6">
        <f>SUMIFS(Tabelle1324568910111213[SP Pulled after Start (COS)],Tabelle1324568910111213[Team],$C7)</f>
        <v>9</v>
      </c>
      <c r="O7" s="25">
        <f>SUMIFS(Tabelle1324568910111213[SP Completed (COS &amp; SOS)],Tabelle1324568910111213[Team],$C7)</f>
        <v>18</v>
      </c>
      <c r="P7" s="25">
        <f>SUMIFS(Tabelle1324568910111213[SP Removed (COS &amp; SOS)],Tabelle1324568910111213[Team],$C7)</f>
        <v>0</v>
      </c>
      <c r="Q7" s="41">
        <f>SUMIFS(Tabelle1324568910111213[SP Not Completed (COS &amp; SOS)],Tabelle1324568910111213[Team],$C7)</f>
        <v>6</v>
      </c>
      <c r="R7" s="40">
        <f t="shared" si="0"/>
        <v>1.2</v>
      </c>
      <c r="T7" s="43"/>
    </row>
    <row r="8" spans="2:22" ht="13.5" customHeight="1">
      <c r="B8" s="415"/>
      <c r="C8" s="59" t="s">
        <v>27</v>
      </c>
      <c r="D8" s="61">
        <f>COUNTIFS(Tabelle1324568910111213[Team],$C8)</f>
        <v>16</v>
      </c>
      <c r="E8" s="74">
        <f>COUNTIFS(Tabelle1324568910111213[Team],$C8,Tabelle1324568910111213[Status],$E$5)</f>
        <v>15</v>
      </c>
      <c r="F8" s="68">
        <f>SUMIFS(Tabelle1324568910111213[Jira Story Points],Tabelle1324568910111213[Pulled after Start],"",Tabelle1324568910111213[Team],$C8)</f>
        <v>37</v>
      </c>
      <c r="G8" s="6">
        <f>SUMIFS(Tabelle1324568910111213[Jira Story Points],Tabelle1324568910111213[Pulled after Start],"yes",Tabelle1324568910111213[Team],$C8)</f>
        <v>19</v>
      </c>
      <c r="H8" s="7">
        <f>SUMIFS(Tabelle1324568910111213[Jira Story Points],Tabelle1324568910111213[Status],$H$5,Tabelle1324568910111213[Team],$C8)</f>
        <v>48</v>
      </c>
      <c r="I8" s="6">
        <f>SUMIFS(Tabelle1324568910111213[Jira Story Points],Tabelle1324568910111213[Status],$I$5,Tabelle1324568910111213[Team],$C8)</f>
        <v>8</v>
      </c>
      <c r="J8" s="6">
        <f>SUMIFS(Tabelle1324568910111213[Jira Story Points],Tabelle1324568910111213[Status],$J$5,Tabelle1324568910111213[Team],$C8)</f>
        <v>0</v>
      </c>
      <c r="K8" s="69">
        <f>SUMIFS(Tabelle1324568910111213[Jira Story Points],Tabelle1324568910111213[Team],$C8)</f>
        <v>56</v>
      </c>
      <c r="M8" s="6">
        <f>SUMIFS(Tabelle1324568910111213[SP Initially Planned (COS)],Tabelle1324568910111213[Pulled after Start],"",Tabelle1324568910111213[Team],$C8)</f>
        <v>33</v>
      </c>
      <c r="N8" s="6">
        <f>SUMIFS(Tabelle1324568910111213[SP Pulled after Start (COS)],Tabelle1324568910111213[Team],$C8)</f>
        <v>19</v>
      </c>
      <c r="O8" s="25">
        <f>SUMIFS(Tabelle1324568910111213[SP Completed (COS &amp; SOS)],Tabelle1324568910111213[Team],$C8)</f>
        <v>47</v>
      </c>
      <c r="P8" s="25">
        <f>SUMIFS(Tabelle1324568910111213[SP Removed (COS &amp; SOS)],Tabelle1324568910111213[Team],$C8)</f>
        <v>0</v>
      </c>
      <c r="Q8" s="41">
        <f>SUMIFS(Tabelle1324568910111213[SP Not Completed (COS &amp; SOS)],Tabelle1324568910111213[Team],$C8)</f>
        <v>5</v>
      </c>
      <c r="R8" s="40">
        <f t="shared" si="0"/>
        <v>1.4242424242424243</v>
      </c>
      <c r="T8" s="43"/>
    </row>
    <row r="9" spans="2:22" ht="13.5" customHeight="1">
      <c r="B9" s="415"/>
      <c r="C9" s="59" t="s">
        <v>5</v>
      </c>
      <c r="D9" s="61">
        <f>COUNTIFS(Tabelle1324568910111213[Team],$C9)</f>
        <v>11</v>
      </c>
      <c r="E9" s="74">
        <f>COUNTIFS(Tabelle1324568910111213[Team],$C9,Tabelle1324568910111213[Status],$E$5)</f>
        <v>8</v>
      </c>
      <c r="F9" s="68">
        <f>SUMIFS(Tabelle1324568910111213[Jira Story Points],Tabelle1324568910111213[Pulled after Start],"",Tabelle1324568910111213[Team],$C9)</f>
        <v>40</v>
      </c>
      <c r="G9" s="6">
        <f>SUMIFS(Tabelle1324568910111213[Jira Story Points],Tabelle1324568910111213[Pulled after Start],"yes",Tabelle1324568910111213[Team],$C9)</f>
        <v>6</v>
      </c>
      <c r="H9" s="7">
        <f>SUMIFS(Tabelle1324568910111213[Jira Story Points],Tabelle1324568910111213[Status],$H$5,Tabelle1324568910111213[Team],$C9)</f>
        <v>32</v>
      </c>
      <c r="I9" s="6">
        <f>SUMIFS(Tabelle1324568910111213[Jira Story Points],Tabelle1324568910111213[Status],$I$5,Tabelle1324568910111213[Team],$C9)</f>
        <v>14</v>
      </c>
      <c r="J9" s="6">
        <f>SUMIFS(Tabelle1324568910111213[Jira Story Points],Tabelle1324568910111213[Status],$J$5,Tabelle1324568910111213[Team],$C9)</f>
        <v>0</v>
      </c>
      <c r="K9" s="69">
        <f>SUMIFS(Tabelle1324568910111213[Jira Story Points],Tabelle1324568910111213[Team],$C9)</f>
        <v>46</v>
      </c>
      <c r="M9" s="6">
        <f>SUMIFS(Tabelle1324568910111213[SP Initially Planned (COS)],Tabelle1324568910111213[Pulled after Start],"",Tabelle1324568910111213[Team],$C9)</f>
        <v>29</v>
      </c>
      <c r="N9" s="6">
        <f>SUMIFS(Tabelle1324568910111213[SP Pulled after Start (COS)],Tabelle1324568910111213[Team],$C9)</f>
        <v>6</v>
      </c>
      <c r="O9" s="25">
        <f>SUMIFS(Tabelle1324568910111213[SP Completed (COS &amp; SOS)],Tabelle1324568910111213[Team],$C9)</f>
        <v>28</v>
      </c>
      <c r="P9" s="25">
        <f>SUMIFS(Tabelle1324568910111213[SP Removed (COS &amp; SOS)],Tabelle1324568910111213[Team],$C9)</f>
        <v>0</v>
      </c>
      <c r="Q9" s="41">
        <f>SUMIFS(Tabelle1324568910111213[SP Not Completed (COS &amp; SOS)],Tabelle1324568910111213[Team],$C9)</f>
        <v>7</v>
      </c>
      <c r="R9" s="40">
        <f t="shared" si="0"/>
        <v>0.96551724137931039</v>
      </c>
      <c r="T9" s="43"/>
    </row>
    <row r="10" spans="2:22" ht="13.5" customHeight="1">
      <c r="B10" s="415"/>
      <c r="C10" s="59" t="s">
        <v>32</v>
      </c>
      <c r="D10" s="61">
        <f>COUNTIFS(Tabelle1324568910111213[Team],$C10)</f>
        <v>13</v>
      </c>
      <c r="E10" s="74">
        <f>COUNTIFS(Tabelle1324568910111213[Team],$C10,Tabelle1324568910111213[Status],$E$5)</f>
        <v>9</v>
      </c>
      <c r="F10" s="68">
        <f>SUMIFS(Tabelle1324568910111213[Jira Story Points],Tabelle1324568910111213[Pulled after Start],"",Tabelle1324568910111213[Team],$C10)</f>
        <v>46</v>
      </c>
      <c r="G10" s="6">
        <f>SUMIFS(Tabelle1324568910111213[Jira Story Points],Tabelle1324568910111213[Pulled after Start],"yes",Tabelle1324568910111213[Team],$C10)</f>
        <v>6</v>
      </c>
      <c r="H10" s="7">
        <f>SUMIFS(Tabelle1324568910111213[Jira Story Points],Tabelle1324568910111213[Status],$H$5,Tabelle1324568910111213[Team],$C10)</f>
        <v>26</v>
      </c>
      <c r="I10" s="6">
        <f>SUMIFS(Tabelle1324568910111213[Jira Story Points],Tabelle1324568910111213[Status],$I$5,Tabelle1324568910111213[Team],$C10)</f>
        <v>26</v>
      </c>
      <c r="J10" s="6">
        <f>SUMIFS(Tabelle1324568910111213[Jira Story Points],Tabelle1324568910111213[Status],$J$5,Tabelle1324568910111213[Team],$C10)</f>
        <v>0</v>
      </c>
      <c r="K10" s="69">
        <f>SUMIFS(Tabelle1324568910111213[Jira Story Points],Tabelle1324568910111213[Team],$C10)</f>
        <v>52</v>
      </c>
      <c r="M10" s="6">
        <f>SUMIFS(Tabelle1324568910111213[SP Initially Planned (COS)],Tabelle1324568910111213[Pulled after Start],"",Tabelle1324568910111213[Team],$C10)</f>
        <v>31</v>
      </c>
      <c r="N10" s="6">
        <f>SUMIFS(Tabelle1324568910111213[SP Pulled after Start (COS)],Tabelle1324568910111213[Team],$C10)</f>
        <v>6</v>
      </c>
      <c r="O10" s="25">
        <f>SUMIFS(Tabelle1324568910111213[SP Completed (COS &amp; SOS)],Tabelle1324568910111213[Team],$C10)</f>
        <v>32</v>
      </c>
      <c r="P10" s="25">
        <f>SUMIFS(Tabelle1324568910111213[SP Removed (COS &amp; SOS)],Tabelle1324568910111213[Team],$C10)</f>
        <v>0</v>
      </c>
      <c r="Q10" s="41">
        <f>SUMIFS(Tabelle1324568910111213[SP Not Completed (COS &amp; SOS)],Tabelle1324568910111213[Team],$C10)</f>
        <v>5</v>
      </c>
      <c r="R10" s="40">
        <f>IFERROR(O10/$M10," ")</f>
        <v>1.032258064516129</v>
      </c>
      <c r="T10" s="43"/>
    </row>
    <row r="11" spans="2:22" ht="13.5" customHeight="1">
      <c r="B11" s="415"/>
      <c r="C11" s="59" t="s">
        <v>24</v>
      </c>
      <c r="D11" s="61">
        <f>COUNTIFS(Tabelle1324568910111213[Team],$C11)</f>
        <v>16</v>
      </c>
      <c r="E11" s="74">
        <f>COUNTIFS(Tabelle1324568910111213[Team],$C11,Tabelle1324568910111213[Status],$E$5)</f>
        <v>10</v>
      </c>
      <c r="F11" s="68">
        <f>SUMIFS(Tabelle1324568910111213[Jira Story Points],Tabelle1324568910111213[Pulled after Start],"",Tabelle1324568910111213[Team],$C11)</f>
        <v>36</v>
      </c>
      <c r="G11" s="6">
        <f>SUMIFS(Tabelle1324568910111213[Jira Story Points],Tabelle1324568910111213[Pulled after Start],"yes",Tabelle1324568910111213[Team],$C11)</f>
        <v>20</v>
      </c>
      <c r="H11" s="7">
        <f>SUMIFS(Tabelle1324568910111213[Jira Story Points],Tabelle1324568910111213[Status],$H$5,Tabelle1324568910111213[Team],$C11)</f>
        <v>31</v>
      </c>
      <c r="I11" s="6">
        <f>SUMIFS(Tabelle1324568910111213[Jira Story Points],Tabelle1324568910111213[Status],$I$5,Tabelle1324568910111213[Team],$C11)</f>
        <v>25</v>
      </c>
      <c r="J11" s="6">
        <f>SUMIFS(Tabelle1324568910111213[Jira Story Points],Tabelle1324568910111213[Status],$J$5,Tabelle1324568910111213[Team],$C11)</f>
        <v>0</v>
      </c>
      <c r="K11" s="69">
        <f>SUMIFS(Tabelle1324568910111213[Jira Story Points],Tabelle1324568910111213[Team],$C11)</f>
        <v>56</v>
      </c>
      <c r="M11" s="6">
        <f>SUMIFS(Tabelle1324568910111213[SP Initially Planned (COS)],Tabelle1324568910111213[Pulled after Start],"",Tabelle1324568910111213[Team],$C11)</f>
        <v>36</v>
      </c>
      <c r="N11" s="6">
        <f>SUMIFS(Tabelle1324568910111213[SP Pulled after Start (COS)],Tabelle1324568910111213[Team],$C11)</f>
        <v>20</v>
      </c>
      <c r="O11" s="25">
        <f>SUMIFS(Tabelle1324568910111213[SP Completed (COS &amp; SOS)],Tabelle1324568910111213[Team],$C11)</f>
        <v>31</v>
      </c>
      <c r="P11" s="25">
        <f>SUMIFS(Tabelle1324568910111213[SP Removed (COS &amp; SOS)],Tabelle1324568910111213[Team],$C11)</f>
        <v>0</v>
      </c>
      <c r="Q11" s="41">
        <f>SUMIFS(Tabelle1324568910111213[SP Not Completed (COS &amp; SOS)],Tabelle1324568910111213[Team],$C11)</f>
        <v>25</v>
      </c>
      <c r="R11" s="40">
        <f t="shared" si="0"/>
        <v>0.86111111111111116</v>
      </c>
      <c r="T11" s="43"/>
    </row>
    <row r="12" spans="2:22" ht="13.5" customHeight="1">
      <c r="B12" s="415"/>
      <c r="C12" s="59" t="s">
        <v>17</v>
      </c>
      <c r="D12" s="61">
        <f>COUNTIFS(Tabelle1324568910111213[Team],$C12)</f>
        <v>10</v>
      </c>
      <c r="E12" s="74">
        <f>COUNTIFS(Tabelle1324568910111213[Team],$C12,Tabelle1324568910111213[Status],$E$5)</f>
        <v>8</v>
      </c>
      <c r="F12" s="68">
        <f>SUMIFS(Tabelle1324568910111213[Jira Story Points],Tabelle1324568910111213[Pulled after Start],"",Tabelle1324568910111213[Team],$C12)</f>
        <v>23</v>
      </c>
      <c r="G12" s="6">
        <f>SUMIFS(Tabelle1324568910111213[Jira Story Points],Tabelle1324568910111213[Pulled after Start],"yes",Tabelle1324568910111213[Team],$C12)</f>
        <v>3</v>
      </c>
      <c r="H12" s="7">
        <f>SUMIFS(Tabelle1324568910111213[Jira Story Points],Tabelle1324568910111213[Status],$H$5,Tabelle1324568910111213[Team],$C12)</f>
        <v>18</v>
      </c>
      <c r="I12" s="6">
        <f>SUMIFS(Tabelle1324568910111213[Jira Story Points],Tabelle1324568910111213[Status],$I$5,Tabelle1324568910111213[Team],$C12)</f>
        <v>8</v>
      </c>
      <c r="J12" s="6">
        <f>SUMIFS(Tabelle1324568910111213[Jira Story Points],Tabelle1324568910111213[Status],$J$5,Tabelle1324568910111213[Team],$C12)</f>
        <v>0</v>
      </c>
      <c r="K12" s="69">
        <f>SUMIFS(Tabelle1324568910111213[Jira Story Points],Tabelle1324568910111213[Team],$C12)</f>
        <v>26</v>
      </c>
      <c r="M12" s="6">
        <f>SUMIFS(Tabelle1324568910111213[SP Initially Planned (COS)],Tabelle1324568910111213[Pulled after Start],"",Tabelle1324568910111213[Team],$C12)</f>
        <v>21</v>
      </c>
      <c r="N12" s="6">
        <f>SUMIFS(Tabelle1324568910111213[SP Pulled after Start (COS)],Tabelle1324568910111213[Team],$C12)</f>
        <v>3</v>
      </c>
      <c r="O12" s="25">
        <f>SUMIFS(Tabelle1324568910111213[SP Completed (COS &amp; SOS)],Tabelle1324568910111213[Team],$C12)</f>
        <v>19</v>
      </c>
      <c r="P12" s="25">
        <f>SUMIFS(Tabelle1324568910111213[SP Removed (COS &amp; SOS)],Tabelle1324568910111213[Team],$C12)</f>
        <v>0</v>
      </c>
      <c r="Q12" s="41">
        <f>SUMIFS(Tabelle1324568910111213[SP Not Completed (COS &amp; SOS)],Tabelle1324568910111213[Team],$C12)</f>
        <v>5</v>
      </c>
      <c r="R12" s="40">
        <f t="shared" si="0"/>
        <v>0.90476190476190477</v>
      </c>
      <c r="T12" s="43"/>
    </row>
    <row r="13" spans="2:22" ht="13.5" customHeight="1">
      <c r="B13" s="415"/>
      <c r="C13" s="64" t="s">
        <v>107</v>
      </c>
      <c r="D13" s="61">
        <f>COUNTIFS(Tabelle1324568910111213[Team],$C13)</f>
        <v>0</v>
      </c>
      <c r="E13" s="74">
        <f>COUNTIFS(Tabelle1324568910111213[Team],$C13,Tabelle1324568910111213[Status],$E$5)</f>
        <v>0</v>
      </c>
      <c r="F13" s="68">
        <f>SUMIFS(Tabelle1324568910111213[Jira Story Points],Tabelle1324568910111213[Pulled after Start],"",Tabelle1324568910111213[Team],$C13)</f>
        <v>0</v>
      </c>
      <c r="G13" s="6">
        <f>SUMIFS(Tabelle1324568910111213[Jira Story Points],Tabelle1324568910111213[Pulled after Start],"yes",Tabelle1324568910111213[Team],$C13)</f>
        <v>0</v>
      </c>
      <c r="H13" s="7">
        <f>SUMIFS(Tabelle1324568910111213[Jira Story Points],Tabelle1324568910111213[Status],$H$5,Tabelle1324568910111213[Team],$C13)</f>
        <v>0</v>
      </c>
      <c r="I13" s="6">
        <f>SUMIFS(Tabelle1324568910111213[Jira Story Points],Tabelle1324568910111213[Status],$I$5,Tabelle1324568910111213[Team],$C13)</f>
        <v>0</v>
      </c>
      <c r="J13" s="6">
        <f>SUMIFS(Tabelle1324568910111213[Jira Story Points],Tabelle1324568910111213[Status],$J$5,Tabelle1324568910111213[Team],$C13)</f>
        <v>0</v>
      </c>
      <c r="K13" s="69">
        <f>SUMIFS(Tabelle1324568910111213[Jira Story Points],Tabelle1324568910111213[Team],$C13)</f>
        <v>0</v>
      </c>
      <c r="M13" s="6">
        <f>SUMIFS(Tabelle1324568910111213[SP Initially Planned (COS)],Tabelle1324568910111213[Pulled after Start],"",Tabelle1324568910111213[Team],$C13)</f>
        <v>0</v>
      </c>
      <c r="N13" s="6">
        <f>SUMIFS(Tabelle1324568910111213[SP Pulled after Start (COS)],Tabelle1324568910111213[Team],$C13)</f>
        <v>0</v>
      </c>
      <c r="O13" s="25">
        <f>SUMIFS(Tabelle1324568910111213[SP Completed (COS &amp; SOS)],Tabelle1324568910111213[Team],$C13)</f>
        <v>0</v>
      </c>
      <c r="P13" s="25">
        <f>SUMIFS(Tabelle1324568910111213[SP Removed (COS &amp; SOS)],Tabelle1324568910111213[Team],$C13)</f>
        <v>0</v>
      </c>
      <c r="Q13" s="41">
        <f>SUMIFS(Tabelle1324568910111213[SP Not Completed (COS &amp; SOS)],Tabelle1324568910111213[Team],$C13)</f>
        <v>0</v>
      </c>
      <c r="R13" s="40" t="str">
        <f t="shared" si="0"/>
        <v xml:space="preserve"> </v>
      </c>
      <c r="T13" s="43"/>
    </row>
    <row r="14" spans="2:22" ht="13.5" customHeight="1">
      <c r="B14" s="415"/>
      <c r="C14" s="41" t="s">
        <v>21</v>
      </c>
      <c r="D14" s="61">
        <f>COUNTIFS(Tabelle1324568910111213[Team],$C14)</f>
        <v>14</v>
      </c>
      <c r="E14" s="74">
        <f>COUNTIFS(Tabelle1324568910111213[Team],$C14,Tabelle1324568910111213[Status],$E$5)</f>
        <v>12</v>
      </c>
      <c r="F14" s="68">
        <f>SUMIFS(Tabelle1324568910111213[Jira Story Points],Tabelle1324568910111213[Pulled after Start],"",Tabelle1324568910111213[Team],$C14)</f>
        <v>37</v>
      </c>
      <c r="G14" s="6">
        <f>SUMIFS(Tabelle1324568910111213[Jira Story Points],Tabelle1324568910111213[Pulled after Start],"yes",Tabelle1324568910111213[Team],$C14)</f>
        <v>5</v>
      </c>
      <c r="H14" s="7">
        <f>SUMIFS(Tabelle1324568910111213[Jira Story Points],Tabelle1324568910111213[Status],$H$5,Tabelle1324568910111213[Team],$C14)</f>
        <v>36</v>
      </c>
      <c r="I14" s="6">
        <f>SUMIFS(Tabelle1324568910111213[Jira Story Points],Tabelle1324568910111213[Status],$I$5,Tabelle1324568910111213[Team],$C14)</f>
        <v>6</v>
      </c>
      <c r="J14" s="6">
        <f>SUMIFS(Tabelle1324568910111213[Jira Story Points],Tabelle1324568910111213[Status],$J$5,Tabelle1324568910111213[Team],$C14)</f>
        <v>0</v>
      </c>
      <c r="K14" s="69">
        <f>SUMIFS(Tabelle1324568910111213[Jira Story Points],Tabelle1324568910111213[Team],$C14)</f>
        <v>42</v>
      </c>
      <c r="M14" s="6">
        <f>SUMIFS(Tabelle1324568910111213[SP Initially Planned (COS)],Tabelle1324568910111213[Pulled after Start],"",Tabelle1324568910111213[Team],$C14)</f>
        <v>36</v>
      </c>
      <c r="N14" s="6">
        <f>SUMIFS(Tabelle1324568910111213[SP Pulled after Start (COS)],Tabelle1324568910111213[Team],$C14)</f>
        <v>5</v>
      </c>
      <c r="O14" s="25">
        <f>SUMIFS(Tabelle1324568910111213[SP Completed (COS &amp; SOS)],Tabelle1324568910111213[Team],$C14)</f>
        <v>36</v>
      </c>
      <c r="P14" s="25">
        <f>SUMIFS(Tabelle1324568910111213[SP Removed (COS &amp; SOS)],Tabelle1324568910111213[Team],$C14)</f>
        <v>0</v>
      </c>
      <c r="Q14" s="41">
        <f>SUMIFS(Tabelle1324568910111213[SP Not Completed (COS &amp; SOS)],Tabelle1324568910111213[Team],$C14)</f>
        <v>5</v>
      </c>
      <c r="R14" s="40">
        <f t="shared" si="0"/>
        <v>1</v>
      </c>
      <c r="T14" s="43"/>
    </row>
    <row r="15" spans="2:22" ht="13.5" customHeight="1">
      <c r="B15" s="415"/>
      <c r="C15" s="41" t="s">
        <v>9</v>
      </c>
      <c r="D15" s="61">
        <f>COUNTIFS(Tabelle1324568910111213[Team],$C15)</f>
        <v>22</v>
      </c>
      <c r="E15" s="74">
        <f>COUNTIFS(Tabelle1324568910111213[Team],$C15,Tabelle1324568910111213[Status],$E$5)</f>
        <v>16</v>
      </c>
      <c r="F15" s="68">
        <f>SUMIFS(Tabelle1324568910111213[Jira Story Points],Tabelle1324568910111213[Pulled after Start],"",Tabelle1324568910111213[Team],$C15)</f>
        <v>31</v>
      </c>
      <c r="G15" s="6">
        <f>SUMIFS(Tabelle1324568910111213[Jira Story Points],Tabelle1324568910111213[Pulled after Start],"yes",Tabelle1324568910111213[Team],$C15)</f>
        <v>28.5</v>
      </c>
      <c r="H15" s="7">
        <f>SUMIFS(Tabelle1324568910111213[Jira Story Points],Tabelle1324568910111213[Status],$H$5,Tabelle1324568910111213[Team],$C15)</f>
        <v>51</v>
      </c>
      <c r="I15" s="6">
        <f>SUMIFS(Tabelle1324568910111213[Jira Story Points],Tabelle1324568910111213[Status],$I$5,Tabelle1324568910111213[Team],$C15)</f>
        <v>21</v>
      </c>
      <c r="J15" s="6">
        <f>SUMIFS(Tabelle1324568910111213[Jira Story Points],Tabelle1324568910111213[Status],$J$5,Tabelle1324568910111213[Team],$C15)</f>
        <v>0</v>
      </c>
      <c r="K15" s="69">
        <f>SUMIFS(Tabelle1324568910111213[Jira Story Points],Tabelle1324568910111213[Team],$C15)</f>
        <v>77</v>
      </c>
      <c r="M15" s="6">
        <f>SUMIFS(Tabelle1324568910111213[SP Initially Planned (COS)],Tabelle1324568910111213[Pulled after Start],"",Tabelle1324568910111213[Team],$C15)</f>
        <v>21</v>
      </c>
      <c r="N15" s="6">
        <f>SUMIFS(Tabelle1324568910111213[SP Pulled after Start (COS)],Tabelle1324568910111213[Team],$C15)</f>
        <v>46</v>
      </c>
      <c r="O15" s="25">
        <f>SUMIFS(Tabelle1324568910111213[SP Completed (COS &amp; SOS)],Tabelle1324568910111213[Team],$C15)</f>
        <v>55</v>
      </c>
      <c r="P15" s="25">
        <f>SUMIFS(Tabelle1324568910111213[SP Removed (COS &amp; SOS)],Tabelle1324568910111213[Team],$C15)</f>
        <v>0</v>
      </c>
      <c r="Q15" s="41">
        <f>SUMIFS(Tabelle1324568910111213[SP Not Completed (COS &amp; SOS)],Tabelle1324568910111213[Team],$C15)</f>
        <v>12</v>
      </c>
      <c r="R15" s="40">
        <f t="shared" si="0"/>
        <v>2.6190476190476191</v>
      </c>
      <c r="T15" s="43"/>
    </row>
    <row r="16" spans="2:22" ht="13.5" customHeight="1" thickBot="1">
      <c r="C16" s="65" t="s">
        <v>172</v>
      </c>
      <c r="D16" s="62">
        <f t="shared" ref="D16:K16" si="1">SUM(D6:D13)</f>
        <v>104</v>
      </c>
      <c r="E16" s="75">
        <f t="shared" si="1"/>
        <v>80</v>
      </c>
      <c r="F16" s="62">
        <f t="shared" si="1"/>
        <v>284</v>
      </c>
      <c r="G16" s="70">
        <f t="shared" si="1"/>
        <v>79</v>
      </c>
      <c r="H16" s="71">
        <f t="shared" si="1"/>
        <v>262</v>
      </c>
      <c r="I16" s="71">
        <f t="shared" si="1"/>
        <v>101</v>
      </c>
      <c r="J16" s="71">
        <f t="shared" si="1"/>
        <v>0</v>
      </c>
      <c r="K16" s="72">
        <f t="shared" si="1"/>
        <v>363</v>
      </c>
      <c r="M16" s="23">
        <f t="shared" ref="M16:N16" si="2">SUM(M6:M13)</f>
        <v>231</v>
      </c>
      <c r="N16" s="21">
        <f t="shared" si="2"/>
        <v>79</v>
      </c>
      <c r="O16" s="31">
        <f>SUM(O6:O13)</f>
        <v>243</v>
      </c>
      <c r="P16" s="31">
        <f>SUM(P6:P13)</f>
        <v>0</v>
      </c>
      <c r="Q16" s="22">
        <f>SUM(Q6:Q13)</f>
        <v>67</v>
      </c>
      <c r="R16" s="38" t="s">
        <v>185</v>
      </c>
      <c r="T16" s="42"/>
      <c r="U16" s="42"/>
      <c r="V16" s="42"/>
    </row>
    <row r="17" spans="1:22" ht="13.5" customHeight="1">
      <c r="T17" s="5"/>
      <c r="U17" s="5"/>
      <c r="V17" s="5"/>
    </row>
    <row r="18" spans="1:22" ht="13.5" customHeight="1">
      <c r="T18" s="5"/>
      <c r="U18" s="5"/>
      <c r="V18" s="5"/>
    </row>
    <row r="19" spans="1:22" ht="13.5" customHeight="1">
      <c r="T19" s="5"/>
      <c r="U19" s="5"/>
      <c r="V19" s="5"/>
    </row>
    <row r="20" spans="1:22" ht="13.5" customHeight="1">
      <c r="T20" s="5"/>
      <c r="U20" s="5"/>
      <c r="V20" s="5"/>
    </row>
    <row r="21" spans="1:22" ht="13.5" customHeight="1">
      <c r="C21" s="33" t="s">
        <v>186</v>
      </c>
      <c r="D21" s="9"/>
      <c r="E21" s="9"/>
      <c r="F21" s="9"/>
      <c r="G21" s="9"/>
      <c r="H21" s="9"/>
      <c r="I21" s="9"/>
      <c r="J21" s="9"/>
      <c r="K21" s="9"/>
      <c r="L21" s="9"/>
      <c r="M21" s="9"/>
      <c r="N21" s="9"/>
      <c r="O21" s="9"/>
      <c r="T21" s="5"/>
      <c r="U21" s="5"/>
      <c r="V21" s="5"/>
    </row>
    <row r="22" spans="1:22" ht="13.5" customHeight="1">
      <c r="C22" s="10"/>
      <c r="D22" s="425" t="s">
        <v>187</v>
      </c>
      <c r="E22" s="425"/>
      <c r="F22" s="425" t="s">
        <v>106</v>
      </c>
      <c r="G22" s="425"/>
      <c r="H22" s="425" t="s">
        <v>172</v>
      </c>
      <c r="I22" s="425"/>
      <c r="J22" s="426" t="s">
        <v>188</v>
      </c>
      <c r="K22" s="426"/>
      <c r="L22" s="426" t="s">
        <v>189</v>
      </c>
      <c r="M22" s="426"/>
      <c r="N22" s="416" t="s">
        <v>172</v>
      </c>
      <c r="O22" s="416"/>
    </row>
    <row r="23" spans="1:22" ht="13.5" customHeight="1">
      <c r="C23" s="10"/>
      <c r="D23" s="11" t="s">
        <v>190</v>
      </c>
      <c r="E23" s="12" t="s">
        <v>191</v>
      </c>
      <c r="F23" s="11" t="s">
        <v>190</v>
      </c>
      <c r="G23" s="12" t="s">
        <v>191</v>
      </c>
      <c r="H23" s="12" t="s">
        <v>190</v>
      </c>
      <c r="I23" s="12" t="s">
        <v>191</v>
      </c>
      <c r="J23" s="34" t="s">
        <v>190</v>
      </c>
      <c r="K23" s="13" t="s">
        <v>191</v>
      </c>
      <c r="L23" s="14" t="s">
        <v>190</v>
      </c>
      <c r="M23" s="14" t="s">
        <v>191</v>
      </c>
      <c r="N23" s="14" t="s">
        <v>190</v>
      </c>
      <c r="O23" s="14" t="s">
        <v>191</v>
      </c>
    </row>
    <row r="24" spans="1:22" ht="13.5" customHeight="1">
      <c r="C24" s="15" t="s">
        <v>192</v>
      </c>
      <c r="D24" s="7">
        <f>COUNTIFS(Tabelle1324568910111213[Team],"*",Tabelle1324568910111213[Pulled after Start],"&lt;&gt;yes")</f>
        <v>100</v>
      </c>
      <c r="E24" s="7">
        <f>SUMIFS(Tabelle1324568910111213[Jira Story Points],Tabelle1324568910111213[Team],"*",Tabelle1324568910111213[Pulled after Start],"&lt;&gt;yes")+COUNTIFS(Tabelle1324568910111213[Team],"*",Tabelle1324568910111213[Jira Story Points],"-",Tabelle1324568910111213[Pulled after Start],"&lt;&gt;yes")*$M$28</f>
        <v>369.5</v>
      </c>
      <c r="F24" s="7">
        <f>COUNTIF(Tabelle1324568910111213[Pulled after Start],"yes")</f>
        <v>40</v>
      </c>
      <c r="G24" s="7">
        <f>SUMIFS(Tabelle1324568910111213[Jira Story Points],Tabelle1324568910111213[Team],"*",Tabelle1324568910111213[Pulled after Start],"yes")+COUNTIFS(Tabelle1324568910111213[Team],"*",Tabelle1324568910111213[Jira Story Points],"-",Tabelle1324568910111213[Pulled after Start],"yes")*$M$28</f>
        <v>114.5</v>
      </c>
      <c r="H24" s="7">
        <f t="shared" ref="H24:I27" si="3">D24+F24</f>
        <v>140</v>
      </c>
      <c r="I24" s="7">
        <f t="shared" si="3"/>
        <v>484</v>
      </c>
      <c r="J24" s="7">
        <f>COUNTIFS(Tabelle1324568910111213[Team],"*",Tabelle1324568910111213[Jira Story Points],"&lt;&gt;-")</f>
        <v>139</v>
      </c>
      <c r="K24" s="16">
        <f>SUMIFS(Tabelle1324568910111213[Jira Story Points],Tabelle1324568910111213[Team],"*",Tabelle1324568910111213[Jira Story Points],"&lt;&gt;-")</f>
        <v>482</v>
      </c>
      <c r="L24" s="8">
        <f>COUNTIFS(Tabelle1324568910111213[Team],"*",Tabelle1324568910111213[Jira Story Points],"-")</f>
        <v>1</v>
      </c>
      <c r="M24" s="8">
        <f>L24*$M$28</f>
        <v>2</v>
      </c>
      <c r="N24" s="35">
        <f t="shared" ref="N24:O27" si="4">J24+L24</f>
        <v>140</v>
      </c>
      <c r="O24" s="7">
        <f t="shared" si="4"/>
        <v>484</v>
      </c>
    </row>
    <row r="25" spans="1:22" ht="13.5" customHeight="1">
      <c r="C25" s="15" t="s">
        <v>125</v>
      </c>
      <c r="D25" s="7">
        <f>COUNTIFS(Tabelle1324568910111213[Team],"*",Tabelle1324568910111213[Pulled after Start],"&lt;&gt;yes",Tabelle1324568910111213[Status],H5)</f>
        <v>84</v>
      </c>
      <c r="E25" s="7">
        <f>SUMIFS(Tabelle1324568910111213[Jira Story Points],Tabelle1324568910111213[Team],"*",Tabelle1324568910111213[Pulled after Start],"&lt;&gt;yes",Tabelle1324568910111213[Status],H5)+COUNTIFS(Tabelle1324568910111213[Team],"*",Tabelle1324568910111213[Jira Story Points],"-",Tabelle1324568910111213[Pulled after Start],"&lt;&gt;yes",Tabelle1324568910111213[Status],H5)*$M$28</f>
        <v>293.5</v>
      </c>
      <c r="F25" s="7">
        <f>COUNTIFS(Tabelle1324568910111213[Pulled after Start],"yes",Tabelle1324568910111213[Status],H5)</f>
        <v>24</v>
      </c>
      <c r="G25" s="7">
        <f>SUMIFS(Tabelle1324568910111213[Jira Story Points],Tabelle1324568910111213[Team],"*",Tabelle1324568910111213[Pulled after Start],"yes",Tabelle1324568910111213[Status],H5)+COUNTIFS(Tabelle1324568910111213[Team],"*",Tabelle1324568910111213[Jira Story Points],"-",Tabelle1324568910111213[Pulled after Start],"yes",Tabelle1324568910111213[Status],H5)*$M$28</f>
        <v>57.5</v>
      </c>
      <c r="H25" s="7">
        <f t="shared" si="3"/>
        <v>108</v>
      </c>
      <c r="I25" s="7">
        <f t="shared" si="3"/>
        <v>351</v>
      </c>
      <c r="J25" s="7">
        <f>COUNTIFS(Tabelle1324568910111213[Team],"*",Tabelle1324568910111213[Jira Story Points],"&lt;&gt;-",Tabelle1324568910111213[Status],H5)</f>
        <v>107</v>
      </c>
      <c r="K25" s="7">
        <f>SUMIFS(Tabelle1324568910111213[Jira Story Points],Tabelle1324568910111213[Team],"*",Tabelle1324568910111213[Jira Story Points],"&lt;&gt;-",Tabelle1324568910111213[Status],H5)</f>
        <v>349</v>
      </c>
      <c r="L25" s="17">
        <f>COUNTIFS(Tabelle1324568910111213[Team],"*",Tabelle1324568910111213[Jira Story Points],"-",Tabelle1324568910111213[Status],H5)</f>
        <v>1</v>
      </c>
      <c r="M25" s="8">
        <f>L25*$M$28</f>
        <v>2</v>
      </c>
      <c r="N25" s="7">
        <f t="shared" si="4"/>
        <v>108</v>
      </c>
      <c r="O25" s="7">
        <f t="shared" si="4"/>
        <v>351</v>
      </c>
    </row>
    <row r="26" spans="1:22" ht="13.5" customHeight="1">
      <c r="C26" s="15" t="s">
        <v>127</v>
      </c>
      <c r="D26" s="7">
        <f>COUNTIFS(Tabelle1324568910111213[Team],"*",Tabelle1324568910111213[Pulled after Start],"&lt;&gt;yes",Tabelle1324568910111213[Status],I5)</f>
        <v>16</v>
      </c>
      <c r="E26" s="7">
        <f>SUMIFS(Tabelle1324568910111213[Jira Story Points],Tabelle1324568910111213[Team],"*",Tabelle1324568910111213[Pulled after Start],"&lt;&gt;yes",Tabelle1324568910111213[Status],I5)+COUNTIFS(Tabelle1324568910111213[Team],"*",Tabelle1324568910111213[Jira Story Points],"-",Tabelle1324568910111213[Pulled after Start],"&lt;&gt;yes",Tabelle1324568910111213[Status],I5)*$M$28</f>
        <v>76</v>
      </c>
      <c r="F26" s="7">
        <f>COUNTIFS(Tabelle1324568910111213[Pulled after Start],"yes",Tabelle1324568910111213[Status],I5)</f>
        <v>15</v>
      </c>
      <c r="G26" s="7">
        <f>SUMIFS(Tabelle1324568910111213[Jira Story Points],Tabelle1324568910111213[Team],"*",Tabelle1324568910111213[Pulled after Start],"yes",Tabelle1324568910111213[Status],I5)+COUNTIFS(Tabelle1324568910111213[Team],"*",Tabelle1324568910111213[Jira Story Points],"-",Tabelle1324568910111213[Pulled after Start],"yes",Tabelle1324568910111213[Status],I5)*$M$28</f>
        <v>52</v>
      </c>
      <c r="H26" s="7">
        <f t="shared" si="3"/>
        <v>31</v>
      </c>
      <c r="I26" s="7">
        <f t="shared" si="3"/>
        <v>128</v>
      </c>
      <c r="J26" s="7">
        <f>COUNTIFS(Tabelle1324568910111213[Team],"*",Tabelle1324568910111213[Jira Story Points],"&lt;&gt;-",Tabelle1324568910111213[Status],I5)</f>
        <v>31</v>
      </c>
      <c r="K26" s="7">
        <f>SUMIFS(Tabelle1324568910111213[Jira Story Points],Tabelle1324568910111213[Team],"*",Tabelle1324568910111213[Jira Story Points],"&lt;&gt;-",Tabelle1324568910111213[Status],I5)</f>
        <v>128</v>
      </c>
      <c r="L26" s="17">
        <f>COUNTIFS(Tabelle1324568910111213[Team],"*",Tabelle1324568910111213[Jira Story Points],"-",Tabelle1324568910111213[Status],I5)</f>
        <v>0</v>
      </c>
      <c r="M26" s="8">
        <f>L26*$M$28</f>
        <v>0</v>
      </c>
      <c r="N26" s="7">
        <f t="shared" si="4"/>
        <v>31</v>
      </c>
      <c r="O26" s="7">
        <f t="shared" si="4"/>
        <v>128</v>
      </c>
    </row>
    <row r="27" spans="1:22" ht="13.5" customHeight="1">
      <c r="C27" s="15" t="s">
        <v>126</v>
      </c>
      <c r="D27" s="7">
        <f>COUNTIFS(Tabelle1324568910111213[Team],"*",Tabelle1324568910111213[Pulled after Start],"&lt;&gt;yes",Tabelle1324568910111213[Status],J5)</f>
        <v>0</v>
      </c>
      <c r="E27" s="7">
        <f>SUMIFS(Tabelle1324568910111213[Jira Story Points],Tabelle1324568910111213[Team],"*",Tabelle1324568910111213[Pulled after Start],"&lt;&gt;yes",Tabelle1324568910111213[Status],J5)+COUNTIFS(Tabelle1324568910111213[Team],"*",Tabelle1324568910111213[Jira Story Points],"-",Tabelle1324568910111213[Pulled after Start],"&lt;&gt;yes",Tabelle1324568910111213[Status],J5)*$M$28</f>
        <v>0</v>
      </c>
      <c r="F27" s="7">
        <f>COUNTIFS(Tabelle1324568910111213[Pulled after Start],"yes",Tabelle1324568910111213[Status],J5)</f>
        <v>0</v>
      </c>
      <c r="G27" s="7">
        <f>SUMIFS(Tabelle1324568910111213[Jira Story Points],Tabelle1324568910111213[Team],"*",Tabelle1324568910111213[Pulled after Start],"yes",Tabelle1324568910111213[Status],J5)+COUNTIFS(Tabelle1324568910111213[Team],"*",Tabelle1324568910111213[Jira Story Points],"-",Tabelle1324568910111213[Pulled after Start],"yes",Tabelle1324568910111213[Status],J5)*$M$28</f>
        <v>0</v>
      </c>
      <c r="H27" s="7">
        <f t="shared" si="3"/>
        <v>0</v>
      </c>
      <c r="I27" s="7">
        <f t="shared" si="3"/>
        <v>0</v>
      </c>
      <c r="J27" s="7">
        <f>COUNTIFS(Tabelle1324568910111213[Team],"*",Tabelle1324568910111213[Jira Story Points],"&lt;&gt;-",Tabelle1324568910111213[Status],J5)</f>
        <v>0</v>
      </c>
      <c r="K27" s="7">
        <f>SUMIFS(Tabelle1324568910111213[Jira Story Points],Tabelle1324568910111213[Team],"*",Tabelle1324568910111213[Jira Story Points],"&lt;&gt;-",Tabelle1324568910111213[Status],J5)</f>
        <v>0</v>
      </c>
      <c r="L27" s="17">
        <f>COUNTIFS(Tabelle1324568910111213[Team],"*",Tabelle1324568910111213[Jira Story Points],"-",Tabelle1324568910111213[Status],J5)</f>
        <v>0</v>
      </c>
      <c r="M27" s="8">
        <f>L27*$M$28</f>
        <v>0</v>
      </c>
      <c r="N27" s="7">
        <f t="shared" si="4"/>
        <v>0</v>
      </c>
      <c r="O27" s="7">
        <f t="shared" si="4"/>
        <v>0</v>
      </c>
    </row>
    <row r="28" spans="1:22" ht="13.5" customHeight="1" thickBot="1">
      <c r="C28" s="1"/>
      <c r="D28" s="1"/>
      <c r="E28" s="1"/>
      <c r="F28" s="1"/>
      <c r="G28" s="1"/>
      <c r="H28" s="1"/>
      <c r="I28" s="1"/>
      <c r="J28" s="1"/>
      <c r="K28" s="1"/>
      <c r="L28" s="24" t="s">
        <v>193</v>
      </c>
      <c r="M28" s="45">
        <v>2</v>
      </c>
    </row>
    <row r="31" spans="1:22" s="201" customFormat="1" ht="30.75" customHeight="1">
      <c r="A31" s="197" t="s">
        <v>194</v>
      </c>
      <c r="B31" s="197" t="s">
        <v>195</v>
      </c>
      <c r="C31" s="197" t="s">
        <v>196</v>
      </c>
      <c r="D31" s="197" t="s">
        <v>197</v>
      </c>
      <c r="E31" s="197" t="s">
        <v>198</v>
      </c>
      <c r="F31" s="197" t="s">
        <v>199</v>
      </c>
      <c r="G31" s="197" t="s">
        <v>167</v>
      </c>
      <c r="H31" s="197" t="s">
        <v>106</v>
      </c>
      <c r="I31" s="197" t="s">
        <v>200</v>
      </c>
      <c r="J31" s="197" t="s">
        <v>201</v>
      </c>
      <c r="K31" s="197" t="s">
        <v>202</v>
      </c>
      <c r="L31" s="197" t="s">
        <v>203</v>
      </c>
      <c r="M31" s="198" t="s">
        <v>1304</v>
      </c>
      <c r="N31" s="199" t="s">
        <v>1305</v>
      </c>
      <c r="O31" s="199" t="s">
        <v>1306</v>
      </c>
      <c r="P31" s="200" t="s">
        <v>1307</v>
      </c>
      <c r="Q31" s="199" t="s">
        <v>1308</v>
      </c>
    </row>
    <row r="32" spans="1:22" s="201" customFormat="1" ht="15">
      <c r="A32" s="202" t="s">
        <v>1677</v>
      </c>
      <c r="B32" t="s">
        <v>1678</v>
      </c>
      <c r="C32" s="203" t="s">
        <v>375</v>
      </c>
      <c r="D32" s="203">
        <v>2</v>
      </c>
      <c r="E32" s="203" t="s">
        <v>216</v>
      </c>
      <c r="F32" s="204">
        <v>3</v>
      </c>
      <c r="G32" s="203" t="s">
        <v>12</v>
      </c>
      <c r="H32" s="205" t="s">
        <v>209</v>
      </c>
      <c r="I32" s="206" t="s">
        <v>217</v>
      </c>
      <c r="J32" s="203" t="s">
        <v>125</v>
      </c>
      <c r="K32" s="207"/>
      <c r="L32" s="204"/>
      <c r="M32" s="208">
        <f>IF(Tabelle1324568910111213[[#This Row],[Pulled after Start]]="",MIN(Tabelle1324568910111213[[#This Row],[Jira Story Points]],Tabelle1324568910111213[[#This Row],[Carry-over]]),0)</f>
        <v>0</v>
      </c>
      <c r="N32" s="209">
        <f>MIN(Tabelle1324568910111213[[#This Row],[Jira Story Points]],Tabelle1324568910111213[[#This Row],[Carry-over]])-Tabelle1324568910111213[[#This Row],[SP Initially Planned (COS)]]</f>
        <v>3</v>
      </c>
      <c r="O32"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32" s="211">
        <f>IFERROR(IF(Tabelle1324568910111213[[#This Row],[Status]]=$J$5,MIN(Tabelle1324568910111213[[#This Row],[Jira Story Points]],Tabelle1324568910111213[[#This Row],[Carry-over]]),0),0)</f>
        <v>0</v>
      </c>
      <c r="Q32" s="211">
        <f>IFERROR(IF(Tabelle1324568910111213[[#This Row],[Status]]=$J$5,0,MIN(Tabelle1324568910111213[[#This Row],[Jira Story Points]],Tabelle1324568910111213[[#This Row],[Carry-over]])-Tabelle1324568910111213[[#This Row],[SP Completed (COS &amp; SOS)]]),0)</f>
        <v>0</v>
      </c>
    </row>
    <row r="33" spans="1:39" s="213" customFormat="1" ht="15">
      <c r="A33" s="202" t="s">
        <v>1679</v>
      </c>
      <c r="B33" t="s">
        <v>1680</v>
      </c>
      <c r="C33" s="212" t="s">
        <v>372</v>
      </c>
      <c r="D33" s="212">
        <v>3</v>
      </c>
      <c r="E33" s="212" t="s">
        <v>238</v>
      </c>
      <c r="F33" s="212">
        <v>21</v>
      </c>
      <c r="G33" s="203" t="s">
        <v>12</v>
      </c>
      <c r="H33" s="205"/>
      <c r="I33" s="206" t="s">
        <v>1681</v>
      </c>
      <c r="J33" s="203" t="s">
        <v>125</v>
      </c>
      <c r="K33" s="204">
        <v>2</v>
      </c>
      <c r="L33" s="204"/>
      <c r="M33" s="208">
        <f>IF(Tabelle1324568910111213[[#This Row],[Pulled after Start]]="",MIN(Tabelle1324568910111213[[#This Row],[Jira Story Points]],Tabelle1324568910111213[[#This Row],[Carry-over]]),0)</f>
        <v>2</v>
      </c>
      <c r="N33" s="209">
        <f>MIN(Tabelle1324568910111213[[#This Row],[Jira Story Points]],Tabelle1324568910111213[[#This Row],[Carry-over]])-Tabelle1324568910111213[[#This Row],[SP Initially Planned (COS)]]</f>
        <v>0</v>
      </c>
      <c r="O33"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33" s="211">
        <f>IFERROR(IF(Tabelle1324568910111213[[#This Row],[Status]]=$J$5,MIN(Tabelle1324568910111213[[#This Row],[Jira Story Points]],Tabelle1324568910111213[[#This Row],[Carry-over]]),0),0)</f>
        <v>0</v>
      </c>
      <c r="Q33" s="211">
        <f>IFERROR(IF(Tabelle1324568910111213[[#This Row],[Status]]=$J$5,0,MIN(Tabelle1324568910111213[[#This Row],[Jira Story Points]],Tabelle1324568910111213[[#This Row],[Carry-over]])-Tabelle1324568910111213[[#This Row],[SP Completed (COS &amp; SOS)]]),0)</f>
        <v>0</v>
      </c>
      <c r="AA33" s="1"/>
      <c r="AB33" s="1"/>
      <c r="AC33" s="1"/>
      <c r="AD33" s="1"/>
      <c r="AE33" s="1"/>
      <c r="AF33" s="1"/>
      <c r="AG33" s="1"/>
      <c r="AH33" s="1"/>
      <c r="AI33" s="1"/>
      <c r="AJ33" s="1"/>
      <c r="AK33" s="1"/>
      <c r="AL33" s="1"/>
      <c r="AM33" s="1"/>
    </row>
    <row r="34" spans="1:39" s="213" customFormat="1" ht="15">
      <c r="A34" s="202" t="s">
        <v>1682</v>
      </c>
      <c r="B34" t="s">
        <v>1683</v>
      </c>
      <c r="C34" s="212" t="s">
        <v>372</v>
      </c>
      <c r="D34" s="212">
        <v>2</v>
      </c>
      <c r="E34" s="212" t="s">
        <v>216</v>
      </c>
      <c r="F34" s="212">
        <v>3</v>
      </c>
      <c r="G34" s="203" t="s">
        <v>12</v>
      </c>
      <c r="H34" s="205"/>
      <c r="I34" s="206" t="s">
        <v>227</v>
      </c>
      <c r="J34" s="203" t="s">
        <v>125</v>
      </c>
      <c r="K34" s="204">
        <v>1</v>
      </c>
      <c r="L34" s="204"/>
      <c r="M34" s="208">
        <f>IF(Tabelle1324568910111213[[#This Row],[Pulled after Start]]="",MIN(Tabelle1324568910111213[[#This Row],[Jira Story Points]],Tabelle1324568910111213[[#This Row],[Carry-over]]),0)</f>
        <v>1</v>
      </c>
      <c r="N34" s="209">
        <f>MIN(Tabelle1324568910111213[[#This Row],[Jira Story Points]],Tabelle1324568910111213[[#This Row],[Carry-over]])-Tabelle1324568910111213[[#This Row],[SP Initially Planned (COS)]]</f>
        <v>0</v>
      </c>
      <c r="O34"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34" s="211">
        <f>IFERROR(IF(Tabelle1324568910111213[[#This Row],[Status]]=$J$5,MIN(Tabelle1324568910111213[[#This Row],[Jira Story Points]],Tabelle1324568910111213[[#This Row],[Carry-over]]),0),0)</f>
        <v>0</v>
      </c>
      <c r="Q34" s="211">
        <f>IFERROR(IF(Tabelle1324568910111213[[#This Row],[Status]]=$J$5,0,MIN(Tabelle1324568910111213[[#This Row],[Jira Story Points]],Tabelle1324568910111213[[#This Row],[Carry-over]])-Tabelle1324568910111213[[#This Row],[SP Completed (COS &amp; SOS)]]),0)</f>
        <v>0</v>
      </c>
      <c r="AA34" s="1"/>
      <c r="AB34" s="1"/>
      <c r="AC34" s="1"/>
      <c r="AD34" s="1"/>
      <c r="AE34" s="1"/>
      <c r="AF34" s="1"/>
      <c r="AG34" s="1"/>
      <c r="AH34" s="1"/>
      <c r="AI34" s="1"/>
      <c r="AJ34" s="1"/>
      <c r="AK34" s="1"/>
      <c r="AL34" s="1"/>
      <c r="AM34" s="1"/>
    </row>
    <row r="35" spans="1:39" s="213" customFormat="1" ht="15">
      <c r="A35" s="202" t="s">
        <v>1684</v>
      </c>
      <c r="B35" t="s">
        <v>1685</v>
      </c>
      <c r="C35" s="212" t="s">
        <v>375</v>
      </c>
      <c r="D35" s="212">
        <v>2</v>
      </c>
      <c r="E35" s="212" t="s">
        <v>216</v>
      </c>
      <c r="F35" s="212">
        <v>3</v>
      </c>
      <c r="G35" s="203" t="s">
        <v>12</v>
      </c>
      <c r="H35" s="205"/>
      <c r="I35" s="27" t="s">
        <v>217</v>
      </c>
      <c r="J35" s="203" t="s">
        <v>125</v>
      </c>
      <c r="K35" s="28">
        <v>3</v>
      </c>
      <c r="L35" s="28"/>
      <c r="M35" s="208">
        <f>IF(Tabelle1324568910111213[[#This Row],[Pulled after Start]]="",MIN(Tabelle1324568910111213[[#This Row],[Jira Story Points]],Tabelle1324568910111213[[#This Row],[Carry-over]]),0)</f>
        <v>3</v>
      </c>
      <c r="N35" s="209">
        <f>MIN(Tabelle1324568910111213[[#This Row],[Jira Story Points]],Tabelle1324568910111213[[#This Row],[Carry-over]])-Tabelle1324568910111213[[#This Row],[SP Initially Planned (COS)]]</f>
        <v>0</v>
      </c>
      <c r="O35"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35" s="211">
        <f>IFERROR(IF(Tabelle1324568910111213[[#This Row],[Status]]=$J$5,MIN(Tabelle1324568910111213[[#This Row],[Jira Story Points]],Tabelle1324568910111213[[#This Row],[Carry-over]]),0),0)</f>
        <v>0</v>
      </c>
      <c r="Q35" s="211">
        <f>IFERROR(IF(Tabelle1324568910111213[[#This Row],[Status]]=$J$5,0,MIN(Tabelle1324568910111213[[#This Row],[Jira Story Points]],Tabelle1324568910111213[[#This Row],[Carry-over]])-Tabelle1324568910111213[[#This Row],[SP Completed (COS &amp; SOS)]]),0)</f>
        <v>0</v>
      </c>
      <c r="AA35" s="1"/>
      <c r="AB35" s="1"/>
      <c r="AC35" s="1"/>
      <c r="AD35" s="1"/>
      <c r="AE35" s="1"/>
      <c r="AF35" s="1"/>
      <c r="AG35" s="1"/>
      <c r="AH35" s="1"/>
      <c r="AI35" s="1"/>
      <c r="AJ35" s="1"/>
      <c r="AK35" s="1"/>
      <c r="AL35" s="1"/>
      <c r="AM35" s="1"/>
    </row>
    <row r="36" spans="1:39" s="213" customFormat="1" ht="15">
      <c r="A36" s="202" t="s">
        <v>1686</v>
      </c>
      <c r="B36" t="s">
        <v>1687</v>
      </c>
      <c r="C36" s="212" t="s">
        <v>372</v>
      </c>
      <c r="D36" s="212">
        <v>3</v>
      </c>
      <c r="E36" s="212" t="s">
        <v>216</v>
      </c>
      <c r="F36" s="212">
        <v>1</v>
      </c>
      <c r="G36" s="203" t="s">
        <v>12</v>
      </c>
      <c r="H36" s="205"/>
      <c r="I36" s="206" t="s">
        <v>270</v>
      </c>
      <c r="J36" s="203" t="s">
        <v>125</v>
      </c>
      <c r="K36" s="204"/>
      <c r="L36" s="204"/>
      <c r="M36" s="208">
        <f>IF(Tabelle1324568910111213[[#This Row],[Pulled after Start]]="",MIN(Tabelle1324568910111213[[#This Row],[Jira Story Points]],Tabelle1324568910111213[[#This Row],[Carry-over]]),0)</f>
        <v>1</v>
      </c>
      <c r="N36" s="209">
        <f>MIN(Tabelle1324568910111213[[#This Row],[Jira Story Points]],Tabelle1324568910111213[[#This Row],[Carry-over]])-Tabelle1324568910111213[[#This Row],[SP Initially Planned (COS)]]</f>
        <v>0</v>
      </c>
      <c r="O36"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36" s="211">
        <f>IFERROR(IF(Tabelle1324568910111213[[#This Row],[Status]]=$J$5,MIN(Tabelle1324568910111213[[#This Row],[Jira Story Points]],Tabelle1324568910111213[[#This Row],[Carry-over]]),0),0)</f>
        <v>0</v>
      </c>
      <c r="Q36" s="211">
        <f>IFERROR(IF(Tabelle1324568910111213[[#This Row],[Status]]=$J$5,0,MIN(Tabelle1324568910111213[[#This Row],[Jira Story Points]],Tabelle1324568910111213[[#This Row],[Carry-over]])-Tabelle1324568910111213[[#This Row],[SP Completed (COS &amp; SOS)]]),0)</f>
        <v>0</v>
      </c>
      <c r="AA36" s="1"/>
      <c r="AB36" s="1"/>
      <c r="AC36" s="1"/>
      <c r="AD36" s="1"/>
      <c r="AE36" s="1"/>
      <c r="AF36" s="1"/>
      <c r="AG36" s="1"/>
      <c r="AH36" s="1"/>
      <c r="AI36" s="1"/>
      <c r="AJ36" s="1"/>
      <c r="AK36" s="1"/>
      <c r="AL36" s="1"/>
      <c r="AM36" s="1"/>
    </row>
    <row r="37" spans="1:39" s="213" customFormat="1" ht="15">
      <c r="A37" s="202" t="s">
        <v>1688</v>
      </c>
      <c r="B37" t="s">
        <v>1689</v>
      </c>
      <c r="C37" s="212" t="s">
        <v>372</v>
      </c>
      <c r="D37" s="212">
        <v>2</v>
      </c>
      <c r="E37" s="212" t="s">
        <v>216</v>
      </c>
      <c r="F37" s="212">
        <v>3</v>
      </c>
      <c r="G37" s="203" t="s">
        <v>12</v>
      </c>
      <c r="H37" s="205"/>
      <c r="I37" s="206" t="s">
        <v>1690</v>
      </c>
      <c r="J37" s="203" t="s">
        <v>125</v>
      </c>
      <c r="K37" s="204"/>
      <c r="L37" s="204"/>
      <c r="M37" s="208">
        <f>IF(Tabelle1324568910111213[[#This Row],[Pulled after Start]]="",MIN(Tabelle1324568910111213[[#This Row],[Jira Story Points]],Tabelle1324568910111213[[#This Row],[Carry-over]]),0)</f>
        <v>3</v>
      </c>
      <c r="N37" s="209">
        <f>MIN(Tabelle1324568910111213[[#This Row],[Jira Story Points]],Tabelle1324568910111213[[#This Row],[Carry-over]])-Tabelle1324568910111213[[#This Row],[SP Initially Planned (COS)]]</f>
        <v>0</v>
      </c>
      <c r="O37"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37" s="211">
        <f>IFERROR(IF(Tabelle1324568910111213[[#This Row],[Status]]=$J$5,MIN(Tabelle1324568910111213[[#This Row],[Jira Story Points]],Tabelle1324568910111213[[#This Row],[Carry-over]]),0),0)</f>
        <v>0</v>
      </c>
      <c r="Q37" s="211">
        <f>IFERROR(IF(Tabelle1324568910111213[[#This Row],[Status]]=$J$5,0,MIN(Tabelle1324568910111213[[#This Row],[Jira Story Points]],Tabelle1324568910111213[[#This Row],[Carry-over]])-Tabelle1324568910111213[[#This Row],[SP Completed (COS &amp; SOS)]]),0)</f>
        <v>0</v>
      </c>
      <c r="AA37" s="2"/>
      <c r="AB37" s="2"/>
      <c r="AC37" s="2"/>
      <c r="AD37" s="2"/>
      <c r="AE37" s="2"/>
      <c r="AF37" s="2"/>
      <c r="AG37" s="2"/>
      <c r="AH37" s="2"/>
      <c r="AI37" s="2"/>
      <c r="AJ37" s="2"/>
      <c r="AK37" s="2"/>
      <c r="AL37" s="2"/>
      <c r="AM37" s="2"/>
    </row>
    <row r="38" spans="1:39" s="213" customFormat="1" ht="15">
      <c r="A38" s="202" t="s">
        <v>1540</v>
      </c>
      <c r="B38" t="s">
        <v>1541</v>
      </c>
      <c r="C38" s="212" t="s">
        <v>372</v>
      </c>
      <c r="D38" s="212">
        <v>3</v>
      </c>
      <c r="E38" s="212" t="s">
        <v>254</v>
      </c>
      <c r="F38" s="212">
        <v>3</v>
      </c>
      <c r="G38" s="203" t="s">
        <v>12</v>
      </c>
      <c r="H38" s="205"/>
      <c r="I38" s="206" t="s">
        <v>270</v>
      </c>
      <c r="J38" s="203" t="s">
        <v>127</v>
      </c>
      <c r="K38" s="204"/>
      <c r="L38" s="204"/>
      <c r="M38" s="208">
        <f>IF(Tabelle1324568910111213[[#This Row],[Pulled after Start]]="",MIN(Tabelle1324568910111213[[#This Row],[Jira Story Points]],Tabelle1324568910111213[[#This Row],[Carry-over]]),0)</f>
        <v>3</v>
      </c>
      <c r="N38" s="209">
        <f>MIN(Tabelle1324568910111213[[#This Row],[Jira Story Points]],Tabelle1324568910111213[[#This Row],[Carry-over]])-Tabelle1324568910111213[[#This Row],[SP Initially Planned (COS)]]</f>
        <v>0</v>
      </c>
      <c r="O38"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38" s="211">
        <f>IFERROR(IF(Tabelle1324568910111213[[#This Row],[Status]]=$J$5,MIN(Tabelle1324568910111213[[#This Row],[Jira Story Points]],Tabelle1324568910111213[[#This Row],[Carry-over]]),0),0)</f>
        <v>0</v>
      </c>
      <c r="Q38" s="211">
        <f>IFERROR(IF(Tabelle1324568910111213[[#This Row],[Status]]=$J$5,0,MIN(Tabelle1324568910111213[[#This Row],[Jira Story Points]],Tabelle1324568910111213[[#This Row],[Carry-over]])-Tabelle1324568910111213[[#This Row],[SP Completed (COS &amp; SOS)]]),0)</f>
        <v>3</v>
      </c>
      <c r="AA38" s="2"/>
      <c r="AB38" s="2"/>
      <c r="AC38" s="2"/>
      <c r="AD38" s="2"/>
      <c r="AE38" s="2"/>
      <c r="AF38" s="2"/>
      <c r="AG38" s="2"/>
      <c r="AH38" s="2"/>
      <c r="AI38" s="2"/>
      <c r="AJ38" s="2"/>
      <c r="AK38" s="2"/>
      <c r="AL38" s="2"/>
      <c r="AM38" s="2"/>
    </row>
    <row r="39" spans="1:39" s="213" customFormat="1" ht="15">
      <c r="A39" s="202" t="s">
        <v>1691</v>
      </c>
      <c r="B39" t="s">
        <v>1692</v>
      </c>
      <c r="C39" s="203" t="s">
        <v>382</v>
      </c>
      <c r="D39" s="203">
        <v>3</v>
      </c>
      <c r="E39" s="203" t="s">
        <v>216</v>
      </c>
      <c r="F39" s="204">
        <v>1</v>
      </c>
      <c r="G39" s="203" t="s">
        <v>12</v>
      </c>
      <c r="H39" s="205"/>
      <c r="I39" s="206" t="s">
        <v>1693</v>
      </c>
      <c r="J39" s="203" t="s">
        <v>125</v>
      </c>
      <c r="K39" s="204"/>
      <c r="L39" s="204"/>
      <c r="M39" s="208">
        <f>IF(Tabelle1324568910111213[[#This Row],[Pulled after Start]]="",MIN(Tabelle1324568910111213[[#This Row],[Jira Story Points]],Tabelle1324568910111213[[#This Row],[Carry-over]]),0)</f>
        <v>1</v>
      </c>
      <c r="N39" s="209">
        <f>MIN(Tabelle1324568910111213[[#This Row],[Jira Story Points]],Tabelle1324568910111213[[#This Row],[Carry-over]])-Tabelle1324568910111213[[#This Row],[SP Initially Planned (COS)]]</f>
        <v>0</v>
      </c>
      <c r="O39"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39" s="211">
        <f>IFERROR(IF(Tabelle1324568910111213[[#This Row],[Status]]=$J$5,MIN(Tabelle1324568910111213[[#This Row],[Jira Story Points]],Tabelle1324568910111213[[#This Row],[Carry-over]]),0),0)</f>
        <v>0</v>
      </c>
      <c r="Q39" s="211">
        <f>IFERROR(IF(Tabelle1324568910111213[[#This Row],[Status]]=$J$5,0,MIN(Tabelle1324568910111213[[#This Row],[Jira Story Points]],Tabelle1324568910111213[[#This Row],[Carry-over]])-Tabelle1324568910111213[[#This Row],[SP Completed (COS &amp; SOS)]]),0)</f>
        <v>0</v>
      </c>
      <c r="AA39" s="2"/>
      <c r="AB39" s="2"/>
      <c r="AC39" s="2"/>
      <c r="AD39" s="2"/>
      <c r="AE39" s="2"/>
      <c r="AF39" s="2"/>
      <c r="AG39" s="2"/>
      <c r="AH39" s="2"/>
      <c r="AI39" s="2"/>
      <c r="AJ39" s="2"/>
      <c r="AK39" s="2"/>
      <c r="AL39" s="2"/>
      <c r="AM39" s="2"/>
    </row>
    <row r="40" spans="1:39" ht="13.5" customHeight="1">
      <c r="A40" s="202" t="s">
        <v>1694</v>
      </c>
      <c r="B40" t="s">
        <v>1695</v>
      </c>
      <c r="C40" s="203" t="s">
        <v>382</v>
      </c>
      <c r="D40" s="203">
        <v>3</v>
      </c>
      <c r="E40" s="203" t="s">
        <v>216</v>
      </c>
      <c r="F40" s="204">
        <v>1</v>
      </c>
      <c r="G40" s="203" t="s">
        <v>12</v>
      </c>
      <c r="H40" s="205"/>
      <c r="I40" s="206" t="s">
        <v>1696</v>
      </c>
      <c r="J40" s="203" t="s">
        <v>125</v>
      </c>
      <c r="K40" s="204"/>
      <c r="L40" s="204"/>
      <c r="M40" s="208">
        <f>IF(Tabelle1324568910111213[[#This Row],[Pulled after Start]]="",MIN(Tabelle1324568910111213[[#This Row],[Jira Story Points]],Tabelle1324568910111213[[#This Row],[Carry-over]]),0)</f>
        <v>1</v>
      </c>
      <c r="N40" s="209">
        <f>MIN(Tabelle1324568910111213[[#This Row],[Jira Story Points]],Tabelle1324568910111213[[#This Row],[Carry-over]])-Tabelle1324568910111213[[#This Row],[SP Initially Planned (COS)]]</f>
        <v>0</v>
      </c>
      <c r="O40"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40" s="211">
        <f>IFERROR(IF(Tabelle1324568910111213[[#This Row],[Status]]=$J$5,MIN(Tabelle1324568910111213[[#This Row],[Jira Story Points]],Tabelle1324568910111213[[#This Row],[Carry-over]]),0),0)</f>
        <v>0</v>
      </c>
      <c r="Q40" s="211">
        <f>IFERROR(IF(Tabelle1324568910111213[[#This Row],[Status]]=$J$5,0,MIN(Tabelle1324568910111213[[#This Row],[Jira Story Points]],Tabelle1324568910111213[[#This Row],[Carry-over]])-Tabelle1324568910111213[[#This Row],[SP Completed (COS &amp; SOS)]]),0)</f>
        <v>0</v>
      </c>
    </row>
    <row r="41" spans="1:39" ht="13.5" customHeight="1">
      <c r="A41" s="202" t="s">
        <v>1697</v>
      </c>
      <c r="B41" t="s">
        <v>1698</v>
      </c>
      <c r="C41" s="203" t="s">
        <v>382</v>
      </c>
      <c r="D41" s="203">
        <v>3</v>
      </c>
      <c r="E41" s="203" t="s">
        <v>238</v>
      </c>
      <c r="F41" s="204" t="s">
        <v>210</v>
      </c>
      <c r="G41" s="203" t="s">
        <v>12</v>
      </c>
      <c r="H41" s="205" t="s">
        <v>209</v>
      </c>
      <c r="I41" s="206" t="s">
        <v>1699</v>
      </c>
      <c r="J41" s="203" t="s">
        <v>125</v>
      </c>
      <c r="K41" s="204"/>
      <c r="L41" s="204"/>
      <c r="M41" s="208">
        <f>IF(Tabelle1324568910111213[[#This Row],[Pulled after Start]]="",MIN(Tabelle1324568910111213[[#This Row],[Jira Story Points]],Tabelle1324568910111213[[#This Row],[Carry-over]]),0)</f>
        <v>0</v>
      </c>
      <c r="N41" s="209">
        <f>MIN(Tabelle1324568910111213[[#This Row],[Jira Story Points]],Tabelle1324568910111213[[#This Row],[Carry-over]])-Tabelle1324568910111213[[#This Row],[SP Initially Planned (COS)]]</f>
        <v>0</v>
      </c>
      <c r="O41" s="210" t="str">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v>
      </c>
      <c r="P41" s="211">
        <f>IFERROR(IF(Tabelle1324568910111213[[#This Row],[Status]]=$J$5,MIN(Tabelle1324568910111213[[#This Row],[Jira Story Points]],Tabelle1324568910111213[[#This Row],[Carry-over]]),0),0)</f>
        <v>0</v>
      </c>
      <c r="Q41" s="211">
        <f>IFERROR(IF(Tabelle1324568910111213[[#This Row],[Status]]=$J$5,0,MIN(Tabelle1324568910111213[[#This Row],[Jira Story Points]],Tabelle1324568910111213[[#This Row],[Carry-over]])-Tabelle1324568910111213[[#This Row],[SP Completed (COS &amp; SOS)]]),0)</f>
        <v>0</v>
      </c>
    </row>
    <row r="42" spans="1:39" ht="13.5" customHeight="1">
      <c r="A42" s="202" t="s">
        <v>1700</v>
      </c>
      <c r="B42" t="s">
        <v>1701</v>
      </c>
      <c r="C42" s="203" t="s">
        <v>372</v>
      </c>
      <c r="D42" s="203">
        <v>3</v>
      </c>
      <c r="E42" s="203" t="s">
        <v>238</v>
      </c>
      <c r="F42" s="204">
        <v>2</v>
      </c>
      <c r="G42" s="203" t="s">
        <v>12</v>
      </c>
      <c r="H42" s="205" t="s">
        <v>209</v>
      </c>
      <c r="I42" s="206" t="s">
        <v>1702</v>
      </c>
      <c r="J42" s="203" t="s">
        <v>125</v>
      </c>
      <c r="K42" s="204"/>
      <c r="L42" s="204"/>
      <c r="M42" s="208">
        <f>IF(Tabelle1324568910111213[[#This Row],[Pulled after Start]]="",MIN(Tabelle1324568910111213[[#This Row],[Jira Story Points]],Tabelle1324568910111213[[#This Row],[Carry-over]]),0)</f>
        <v>0</v>
      </c>
      <c r="N42" s="209">
        <f>MIN(Tabelle1324568910111213[[#This Row],[Jira Story Points]],Tabelle1324568910111213[[#This Row],[Carry-over]])-Tabelle1324568910111213[[#This Row],[SP Initially Planned (COS)]]</f>
        <v>2</v>
      </c>
      <c r="O42"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42" s="211">
        <f>IFERROR(IF(Tabelle1324568910111213[[#This Row],[Status]]=$J$5,MIN(Tabelle1324568910111213[[#This Row],[Jira Story Points]],Tabelle1324568910111213[[#This Row],[Carry-over]]),0),0)</f>
        <v>0</v>
      </c>
      <c r="Q42" s="211">
        <f>IFERROR(IF(Tabelle1324568910111213[[#This Row],[Status]]=$J$5,0,MIN(Tabelle1324568910111213[[#This Row],[Jira Story Points]],Tabelle1324568910111213[[#This Row],[Carry-over]])-Tabelle1324568910111213[[#This Row],[SP Completed (COS &amp; SOS)]]),0)</f>
        <v>0</v>
      </c>
    </row>
    <row r="43" spans="1:39" ht="13.5" customHeight="1">
      <c r="A43" s="202" t="s">
        <v>1703</v>
      </c>
      <c r="B43" t="s">
        <v>1704</v>
      </c>
      <c r="C43" s="203" t="s">
        <v>382</v>
      </c>
      <c r="D43" s="203">
        <v>2</v>
      </c>
      <c r="E43" s="203" t="s">
        <v>216</v>
      </c>
      <c r="F43" s="204">
        <v>1</v>
      </c>
      <c r="G43" s="203" t="s">
        <v>12</v>
      </c>
      <c r="H43" s="205" t="s">
        <v>209</v>
      </c>
      <c r="I43" s="206" t="s">
        <v>1693</v>
      </c>
      <c r="J43" s="203" t="s">
        <v>125</v>
      </c>
      <c r="K43" s="204"/>
      <c r="L43" s="204"/>
      <c r="M43" s="208">
        <f>IF(Tabelle1324568910111213[[#This Row],[Pulled after Start]]="",MIN(Tabelle1324568910111213[[#This Row],[Jira Story Points]],Tabelle1324568910111213[[#This Row],[Carry-over]]),0)</f>
        <v>0</v>
      </c>
      <c r="N43" s="209">
        <f>MIN(Tabelle1324568910111213[[#This Row],[Jira Story Points]],Tabelle1324568910111213[[#This Row],[Carry-over]])-Tabelle1324568910111213[[#This Row],[SP Initially Planned (COS)]]</f>
        <v>1</v>
      </c>
      <c r="O43"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43" s="211">
        <f>IFERROR(IF(Tabelle1324568910111213[[#This Row],[Status]]=$J$5,MIN(Tabelle1324568910111213[[#This Row],[Jira Story Points]],Tabelle1324568910111213[[#This Row],[Carry-over]]),0),0)</f>
        <v>0</v>
      </c>
      <c r="Q43" s="211">
        <f>IFERROR(IF(Tabelle1324568910111213[[#This Row],[Status]]=$J$5,0,MIN(Tabelle1324568910111213[[#This Row],[Jira Story Points]],Tabelle1324568910111213[[#This Row],[Carry-over]])-Tabelle1324568910111213[[#This Row],[SP Completed (COS &amp; SOS)]]),0)</f>
        <v>0</v>
      </c>
    </row>
    <row r="44" spans="1:39" ht="13.5" customHeight="1">
      <c r="A44" s="202" t="s">
        <v>1545</v>
      </c>
      <c r="B44" t="s">
        <v>1546</v>
      </c>
      <c r="C44" s="203" t="s">
        <v>375</v>
      </c>
      <c r="D44" s="203">
        <v>2</v>
      </c>
      <c r="E44" s="203" t="s">
        <v>976</v>
      </c>
      <c r="F44" s="204">
        <v>3</v>
      </c>
      <c r="G44" s="203" t="s">
        <v>12</v>
      </c>
      <c r="H44" s="205" t="s">
        <v>209</v>
      </c>
      <c r="I44" s="206" t="s">
        <v>217</v>
      </c>
      <c r="J44" s="203" t="s">
        <v>127</v>
      </c>
      <c r="K44" s="204"/>
      <c r="L44" s="204"/>
      <c r="M44" s="208">
        <f>IF(Tabelle1324568910111213[[#This Row],[Pulled after Start]]="",MIN(Tabelle1324568910111213[[#This Row],[Jira Story Points]],Tabelle1324568910111213[[#This Row],[Carry-over]]),0)</f>
        <v>0</v>
      </c>
      <c r="N44" s="209">
        <f>MIN(Tabelle1324568910111213[[#This Row],[Jira Story Points]],Tabelle1324568910111213[[#This Row],[Carry-over]])-Tabelle1324568910111213[[#This Row],[SP Initially Planned (COS)]]</f>
        <v>3</v>
      </c>
      <c r="O44"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44" s="211">
        <f>IFERROR(IF(Tabelle1324568910111213[[#This Row],[Status]]=$J$5,MIN(Tabelle1324568910111213[[#This Row],[Jira Story Points]],Tabelle1324568910111213[[#This Row],[Carry-over]]),0),0)</f>
        <v>0</v>
      </c>
      <c r="Q44" s="211">
        <f>IFERROR(IF(Tabelle1324568910111213[[#This Row],[Status]]=$J$5,0,MIN(Tabelle1324568910111213[[#This Row],[Jira Story Points]],Tabelle1324568910111213[[#This Row],[Carry-over]])-Tabelle1324568910111213[[#This Row],[SP Completed (COS &amp; SOS)]]),0)</f>
        <v>3</v>
      </c>
    </row>
    <row r="45" spans="1:39" ht="13.5" hidden="1" customHeight="1">
      <c r="A45" s="214" t="s">
        <v>1705</v>
      </c>
      <c r="B45" s="47" t="s">
        <v>1706</v>
      </c>
      <c r="C45" s="203" t="s">
        <v>375</v>
      </c>
      <c r="D45" s="203">
        <v>1</v>
      </c>
      <c r="E45" s="203" t="s">
        <v>324</v>
      </c>
      <c r="F45" s="204">
        <v>3</v>
      </c>
      <c r="G45" s="201" t="s">
        <v>27</v>
      </c>
      <c r="H45" s="205" t="s">
        <v>209</v>
      </c>
      <c r="I45" s="206"/>
      <c r="J45" s="203" t="s">
        <v>125</v>
      </c>
      <c r="K45" s="204"/>
      <c r="L45" s="204"/>
      <c r="M45" s="208">
        <f>IF(Tabelle1324568910111213[[#This Row],[Pulled after Start]]="",MIN(Tabelle1324568910111213[[#This Row],[Jira Story Points]],Tabelle1324568910111213[[#This Row],[Carry-over]]),0)</f>
        <v>0</v>
      </c>
      <c r="N45" s="209">
        <f>MIN(Tabelle1324568910111213[[#This Row],[Jira Story Points]],Tabelle1324568910111213[[#This Row],[Carry-over]])-Tabelle1324568910111213[[#This Row],[SP Initially Planned (COS)]]</f>
        <v>3</v>
      </c>
      <c r="O45"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45" s="211">
        <f>IFERROR(IF(Tabelle1324568910111213[[#This Row],[Status]]=$J$5,MIN(Tabelle1324568910111213[[#This Row],[Jira Story Points]],Tabelle1324568910111213[[#This Row],[Carry-over]]),0),0)</f>
        <v>0</v>
      </c>
      <c r="Q45" s="211">
        <f>IFERROR(IF(Tabelle1324568910111213[[#This Row],[Status]]=$J$5,0,MIN(Tabelle1324568910111213[[#This Row],[Jira Story Points]],Tabelle1324568910111213[[#This Row],[Carry-over]])-Tabelle1324568910111213[[#This Row],[SP Completed (COS &amp; SOS)]]),0)</f>
        <v>0</v>
      </c>
    </row>
    <row r="46" spans="1:39" ht="13.5" hidden="1" customHeight="1">
      <c r="A46" s="214" t="s">
        <v>1707</v>
      </c>
      <c r="B46" s="47" t="s">
        <v>1708</v>
      </c>
      <c r="C46" s="203" t="s">
        <v>372</v>
      </c>
      <c r="D46" s="203">
        <v>3</v>
      </c>
      <c r="E46" s="203" t="s">
        <v>324</v>
      </c>
      <c r="F46" s="204">
        <v>5</v>
      </c>
      <c r="G46" s="201" t="s">
        <v>27</v>
      </c>
      <c r="H46" s="205"/>
      <c r="I46" s="206"/>
      <c r="J46" s="203" t="s">
        <v>125</v>
      </c>
      <c r="K46" s="204">
        <v>1</v>
      </c>
      <c r="L46" s="204"/>
      <c r="M46" s="208">
        <f>IF(Tabelle1324568910111213[[#This Row],[Pulled after Start]]="",MIN(Tabelle1324568910111213[[#This Row],[Jira Story Points]],Tabelle1324568910111213[[#This Row],[Carry-over]]),0)</f>
        <v>1</v>
      </c>
      <c r="N46" s="209">
        <f>MIN(Tabelle1324568910111213[[#This Row],[Jira Story Points]],Tabelle1324568910111213[[#This Row],[Carry-over]])-Tabelle1324568910111213[[#This Row],[SP Initially Planned (COS)]]</f>
        <v>0</v>
      </c>
      <c r="O46"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46" s="211">
        <f>IFERROR(IF(Tabelle1324568910111213[[#This Row],[Status]]=$J$5,MIN(Tabelle1324568910111213[[#This Row],[Jira Story Points]],Tabelle1324568910111213[[#This Row],[Carry-over]]),0),0)</f>
        <v>0</v>
      </c>
      <c r="Q46" s="211">
        <f>IFERROR(IF(Tabelle1324568910111213[[#This Row],[Status]]=$J$5,0,MIN(Tabelle1324568910111213[[#This Row],[Jira Story Points]],Tabelle1324568910111213[[#This Row],[Carry-over]])-Tabelle1324568910111213[[#This Row],[SP Completed (COS &amp; SOS)]]),0)</f>
        <v>0</v>
      </c>
    </row>
    <row r="47" spans="1:39" ht="13.5" hidden="1" customHeight="1">
      <c r="A47" s="214" t="s">
        <v>1709</v>
      </c>
      <c r="B47" s="47" t="s">
        <v>1710</v>
      </c>
      <c r="C47" s="203" t="s">
        <v>372</v>
      </c>
      <c r="D47" s="203">
        <v>3</v>
      </c>
      <c r="E47" s="203" t="s">
        <v>327</v>
      </c>
      <c r="F47" s="204">
        <v>3</v>
      </c>
      <c r="G47" s="201" t="s">
        <v>27</v>
      </c>
      <c r="H47" s="205"/>
      <c r="I47" s="206"/>
      <c r="J47" s="203" t="s">
        <v>125</v>
      </c>
      <c r="K47" s="204"/>
      <c r="L47" s="204"/>
      <c r="M47" s="208">
        <f>IF(Tabelle1324568910111213[[#This Row],[Pulled after Start]]="",MIN(Tabelle1324568910111213[[#This Row],[Jira Story Points]],Tabelle1324568910111213[[#This Row],[Carry-over]]),0)</f>
        <v>3</v>
      </c>
      <c r="N47" s="209">
        <f>MIN(Tabelle1324568910111213[[#This Row],[Jira Story Points]],Tabelle1324568910111213[[#This Row],[Carry-over]])-Tabelle1324568910111213[[#This Row],[SP Initially Planned (COS)]]</f>
        <v>0</v>
      </c>
      <c r="O47"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47" s="211">
        <f>IFERROR(IF(Tabelle1324568910111213[[#This Row],[Status]]=$J$5,MIN(Tabelle1324568910111213[[#This Row],[Jira Story Points]],Tabelle1324568910111213[[#This Row],[Carry-over]]),0),0)</f>
        <v>0</v>
      </c>
      <c r="Q47" s="211">
        <f>IFERROR(IF(Tabelle1324568910111213[[#This Row],[Status]]=$J$5,0,MIN(Tabelle1324568910111213[[#This Row],[Jira Story Points]],Tabelle1324568910111213[[#This Row],[Carry-over]])-Tabelle1324568910111213[[#This Row],[SP Completed (COS &amp; SOS)]]),0)</f>
        <v>0</v>
      </c>
    </row>
    <row r="48" spans="1:39" ht="13.5" hidden="1" customHeight="1">
      <c r="A48" s="214" t="s">
        <v>1711</v>
      </c>
      <c r="B48" s="47" t="s">
        <v>1712</v>
      </c>
      <c r="C48" s="203" t="s">
        <v>372</v>
      </c>
      <c r="D48" s="203">
        <v>3</v>
      </c>
      <c r="E48" s="203" t="s">
        <v>324</v>
      </c>
      <c r="F48" s="204">
        <v>1</v>
      </c>
      <c r="G48" s="201" t="s">
        <v>27</v>
      </c>
      <c r="H48" s="205"/>
      <c r="I48" s="206"/>
      <c r="J48" s="203" t="s">
        <v>125</v>
      </c>
      <c r="K48" s="204"/>
      <c r="L48" s="204"/>
      <c r="M48" s="208">
        <f>IF(Tabelle1324568910111213[[#This Row],[Pulled after Start]]="",MIN(Tabelle1324568910111213[[#This Row],[Jira Story Points]],Tabelle1324568910111213[[#This Row],[Carry-over]]),0)</f>
        <v>1</v>
      </c>
      <c r="N48" s="209">
        <f>MIN(Tabelle1324568910111213[[#This Row],[Jira Story Points]],Tabelle1324568910111213[[#This Row],[Carry-over]])-Tabelle1324568910111213[[#This Row],[SP Initially Planned (COS)]]</f>
        <v>0</v>
      </c>
      <c r="O48"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48" s="211">
        <f>IFERROR(IF(Tabelle1324568910111213[[#This Row],[Status]]=$J$5,MIN(Tabelle1324568910111213[[#This Row],[Jira Story Points]],Tabelle1324568910111213[[#This Row],[Carry-over]]),0),0)</f>
        <v>0</v>
      </c>
      <c r="Q48" s="211">
        <f>IFERROR(IF(Tabelle1324568910111213[[#This Row],[Status]]=$J$5,0,MIN(Tabelle1324568910111213[[#This Row],[Jira Story Points]],Tabelle1324568910111213[[#This Row],[Carry-over]])-Tabelle1324568910111213[[#This Row],[SP Completed (COS &amp; SOS)]]),0)</f>
        <v>0</v>
      </c>
    </row>
    <row r="49" spans="1:17" ht="13.5" hidden="1" customHeight="1">
      <c r="A49" s="214" t="s">
        <v>1713</v>
      </c>
      <c r="B49" s="47" t="s">
        <v>1714</v>
      </c>
      <c r="C49" s="203" t="s">
        <v>372</v>
      </c>
      <c r="D49" s="203">
        <v>3</v>
      </c>
      <c r="E49" s="203" t="s">
        <v>324</v>
      </c>
      <c r="F49" s="204">
        <v>3</v>
      </c>
      <c r="G49" s="201" t="s">
        <v>27</v>
      </c>
      <c r="H49" s="205"/>
      <c r="I49" s="206"/>
      <c r="J49" s="203" t="s">
        <v>125</v>
      </c>
      <c r="K49" s="204"/>
      <c r="L49" s="204"/>
      <c r="M49" s="208">
        <f>IF(Tabelle1324568910111213[[#This Row],[Pulled after Start]]="",MIN(Tabelle1324568910111213[[#This Row],[Jira Story Points]],Tabelle1324568910111213[[#This Row],[Carry-over]]),0)</f>
        <v>3</v>
      </c>
      <c r="N49" s="209">
        <f>MIN(Tabelle1324568910111213[[#This Row],[Jira Story Points]],Tabelle1324568910111213[[#This Row],[Carry-over]])-Tabelle1324568910111213[[#This Row],[SP Initially Planned (COS)]]</f>
        <v>0</v>
      </c>
      <c r="O49"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49" s="211">
        <f>IFERROR(IF(Tabelle1324568910111213[[#This Row],[Status]]=$J$5,MIN(Tabelle1324568910111213[[#This Row],[Jira Story Points]],Tabelle1324568910111213[[#This Row],[Carry-over]]),0),0)</f>
        <v>0</v>
      </c>
      <c r="Q49" s="211">
        <f>IFERROR(IF(Tabelle1324568910111213[[#This Row],[Status]]=$J$5,0,MIN(Tabelle1324568910111213[[#This Row],[Jira Story Points]],Tabelle1324568910111213[[#This Row],[Carry-over]])-Tabelle1324568910111213[[#This Row],[SP Completed (COS &amp; SOS)]]),0)</f>
        <v>0</v>
      </c>
    </row>
    <row r="50" spans="1:17" ht="13.5" hidden="1" customHeight="1">
      <c r="A50" s="214" t="s">
        <v>1715</v>
      </c>
      <c r="B50" s="47" t="s">
        <v>1716</v>
      </c>
      <c r="C50" s="203" t="s">
        <v>372</v>
      </c>
      <c r="D50" s="203">
        <v>3</v>
      </c>
      <c r="E50" s="203" t="s">
        <v>327</v>
      </c>
      <c r="F50" s="204">
        <v>5</v>
      </c>
      <c r="G50" s="201" t="s">
        <v>27</v>
      </c>
      <c r="H50" s="205"/>
      <c r="I50" s="206"/>
      <c r="J50" s="203" t="s">
        <v>125</v>
      </c>
      <c r="K50" s="204"/>
      <c r="L50" s="204"/>
      <c r="M50" s="208">
        <f>IF(Tabelle1324568910111213[[#This Row],[Pulled after Start]]="",MIN(Tabelle1324568910111213[[#This Row],[Jira Story Points]],Tabelle1324568910111213[[#This Row],[Carry-over]]),0)</f>
        <v>5</v>
      </c>
      <c r="N50" s="209">
        <f>MIN(Tabelle1324568910111213[[#This Row],[Jira Story Points]],Tabelle1324568910111213[[#This Row],[Carry-over]])-Tabelle1324568910111213[[#This Row],[SP Initially Planned (COS)]]</f>
        <v>0</v>
      </c>
      <c r="O50"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5</v>
      </c>
      <c r="P50" s="211">
        <f>IFERROR(IF(Tabelle1324568910111213[[#This Row],[Status]]=$J$5,MIN(Tabelle1324568910111213[[#This Row],[Jira Story Points]],Tabelle1324568910111213[[#This Row],[Carry-over]]),0),0)</f>
        <v>0</v>
      </c>
      <c r="Q50" s="211">
        <f>IFERROR(IF(Tabelle1324568910111213[[#This Row],[Status]]=$J$5,0,MIN(Tabelle1324568910111213[[#This Row],[Jira Story Points]],Tabelle1324568910111213[[#This Row],[Carry-over]])-Tabelle1324568910111213[[#This Row],[SP Completed (COS &amp; SOS)]]),0)</f>
        <v>0</v>
      </c>
    </row>
    <row r="51" spans="1:17" ht="13.5" hidden="1" customHeight="1">
      <c r="A51" s="214" t="s">
        <v>1717</v>
      </c>
      <c r="B51" s="47" t="s">
        <v>1718</v>
      </c>
      <c r="C51" s="203" t="s">
        <v>372</v>
      </c>
      <c r="D51" s="203">
        <v>3</v>
      </c>
      <c r="E51" s="203" t="s">
        <v>324</v>
      </c>
      <c r="F51" s="204">
        <v>3</v>
      </c>
      <c r="G51" s="201" t="s">
        <v>27</v>
      </c>
      <c r="H51" s="205"/>
      <c r="I51" s="206"/>
      <c r="J51" s="203" t="s">
        <v>125</v>
      </c>
      <c r="K51" s="204"/>
      <c r="L51" s="204"/>
      <c r="M51" s="208">
        <f>IF(Tabelle1324568910111213[[#This Row],[Pulled after Start]]="",MIN(Tabelle1324568910111213[[#This Row],[Jira Story Points]],Tabelle1324568910111213[[#This Row],[Carry-over]]),0)</f>
        <v>3</v>
      </c>
      <c r="N51" s="209">
        <f>MIN(Tabelle1324568910111213[[#This Row],[Jira Story Points]],Tabelle1324568910111213[[#This Row],[Carry-over]])-Tabelle1324568910111213[[#This Row],[SP Initially Planned (COS)]]</f>
        <v>0</v>
      </c>
      <c r="O51"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51" s="211">
        <f>IFERROR(IF(Tabelle1324568910111213[[#This Row],[Status]]=$J$5,MIN(Tabelle1324568910111213[[#This Row],[Jira Story Points]],Tabelle1324568910111213[[#This Row],[Carry-over]]),0),0)</f>
        <v>0</v>
      </c>
      <c r="Q51" s="211">
        <f>IFERROR(IF(Tabelle1324568910111213[[#This Row],[Status]]=$J$5,0,MIN(Tabelle1324568910111213[[#This Row],[Jira Story Points]],Tabelle1324568910111213[[#This Row],[Carry-over]])-Tabelle1324568910111213[[#This Row],[SP Completed (COS &amp; SOS)]]),0)</f>
        <v>0</v>
      </c>
    </row>
    <row r="52" spans="1:17" ht="13.5" hidden="1" customHeight="1">
      <c r="A52" s="214" t="s">
        <v>1719</v>
      </c>
      <c r="B52" s="47" t="s">
        <v>1720</v>
      </c>
      <c r="C52" s="203" t="s">
        <v>372</v>
      </c>
      <c r="D52" s="203">
        <v>3</v>
      </c>
      <c r="E52" s="203" t="s">
        <v>327</v>
      </c>
      <c r="F52" s="204">
        <v>3</v>
      </c>
      <c r="G52" s="201" t="s">
        <v>27</v>
      </c>
      <c r="H52" s="205"/>
      <c r="I52" s="206"/>
      <c r="J52" s="203" t="s">
        <v>125</v>
      </c>
      <c r="K52" s="204"/>
      <c r="L52" s="204"/>
      <c r="M52" s="208">
        <f>IF(Tabelle1324568910111213[[#This Row],[Pulled after Start]]="",MIN(Tabelle1324568910111213[[#This Row],[Jira Story Points]],Tabelle1324568910111213[[#This Row],[Carry-over]]),0)</f>
        <v>3</v>
      </c>
      <c r="N52" s="209">
        <f>MIN(Tabelle1324568910111213[[#This Row],[Jira Story Points]],Tabelle1324568910111213[[#This Row],[Carry-over]])-Tabelle1324568910111213[[#This Row],[SP Initially Planned (COS)]]</f>
        <v>0</v>
      </c>
      <c r="O52"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52" s="211">
        <f>IFERROR(IF(Tabelle1324568910111213[[#This Row],[Status]]=$J$5,MIN(Tabelle1324568910111213[[#This Row],[Jira Story Points]],Tabelle1324568910111213[[#This Row],[Carry-over]]),0),0)</f>
        <v>0</v>
      </c>
      <c r="Q52" s="211">
        <f>IFERROR(IF(Tabelle1324568910111213[[#This Row],[Status]]=$J$5,0,MIN(Tabelle1324568910111213[[#This Row],[Jira Story Points]],Tabelle1324568910111213[[#This Row],[Carry-over]])-Tabelle1324568910111213[[#This Row],[SP Completed (COS &amp; SOS)]]),0)</f>
        <v>0</v>
      </c>
    </row>
    <row r="53" spans="1:17" ht="13.5" hidden="1" customHeight="1">
      <c r="A53" s="214" t="s">
        <v>1721</v>
      </c>
      <c r="B53" s="47" t="s">
        <v>1722</v>
      </c>
      <c r="C53" s="203" t="s">
        <v>372</v>
      </c>
      <c r="D53" s="203">
        <v>3</v>
      </c>
      <c r="E53" s="203" t="s">
        <v>327</v>
      </c>
      <c r="F53" s="204">
        <v>5</v>
      </c>
      <c r="G53" s="201" t="s">
        <v>27</v>
      </c>
      <c r="H53" s="205"/>
      <c r="I53" s="206"/>
      <c r="J53" s="203" t="s">
        <v>125</v>
      </c>
      <c r="K53" s="204"/>
      <c r="L53" s="204"/>
      <c r="M53" s="208">
        <f>IF(Tabelle1324568910111213[[#This Row],[Pulled after Start]]="",MIN(Tabelle1324568910111213[[#This Row],[Jira Story Points]],Tabelle1324568910111213[[#This Row],[Carry-over]]),0)</f>
        <v>5</v>
      </c>
      <c r="N53" s="209">
        <f>MIN(Tabelle1324568910111213[[#This Row],[Jira Story Points]],Tabelle1324568910111213[[#This Row],[Carry-over]])-Tabelle1324568910111213[[#This Row],[SP Initially Planned (COS)]]</f>
        <v>0</v>
      </c>
      <c r="O53"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5</v>
      </c>
      <c r="P53" s="211">
        <f>IFERROR(IF(Tabelle1324568910111213[[#This Row],[Status]]=$J$5,MIN(Tabelle1324568910111213[[#This Row],[Jira Story Points]],Tabelle1324568910111213[[#This Row],[Carry-over]]),0),0)</f>
        <v>0</v>
      </c>
      <c r="Q53" s="211">
        <f>IFERROR(IF(Tabelle1324568910111213[[#This Row],[Status]]=$J$5,0,MIN(Tabelle1324568910111213[[#This Row],[Jira Story Points]],Tabelle1324568910111213[[#This Row],[Carry-over]])-Tabelle1324568910111213[[#This Row],[SP Completed (COS &amp; SOS)]]),0)</f>
        <v>0</v>
      </c>
    </row>
    <row r="54" spans="1:17" ht="13.5" hidden="1" customHeight="1">
      <c r="A54" s="214" t="s">
        <v>1723</v>
      </c>
      <c r="B54" s="47" t="s">
        <v>1724</v>
      </c>
      <c r="C54" s="203" t="s">
        <v>372</v>
      </c>
      <c r="D54" s="203">
        <v>3</v>
      </c>
      <c r="E54" s="203" t="s">
        <v>324</v>
      </c>
      <c r="F54" s="204">
        <v>5</v>
      </c>
      <c r="G54" s="201" t="s">
        <v>27</v>
      </c>
      <c r="H54" s="205"/>
      <c r="I54" s="206"/>
      <c r="J54" s="203" t="s">
        <v>125</v>
      </c>
      <c r="K54" s="204"/>
      <c r="L54" s="204"/>
      <c r="M54" s="208">
        <f>IF(Tabelle1324568910111213[[#This Row],[Pulled after Start]]="",MIN(Tabelle1324568910111213[[#This Row],[Jira Story Points]],Tabelle1324568910111213[[#This Row],[Carry-over]]),0)</f>
        <v>5</v>
      </c>
      <c r="N54" s="209">
        <f>MIN(Tabelle1324568910111213[[#This Row],[Jira Story Points]],Tabelle1324568910111213[[#This Row],[Carry-over]])-Tabelle1324568910111213[[#This Row],[SP Initially Planned (COS)]]</f>
        <v>0</v>
      </c>
      <c r="O54"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5</v>
      </c>
      <c r="P54" s="211">
        <f>IFERROR(IF(Tabelle1324568910111213[[#This Row],[Status]]=$J$5,MIN(Tabelle1324568910111213[[#This Row],[Jira Story Points]],Tabelle1324568910111213[[#This Row],[Carry-over]]),0),0)</f>
        <v>0</v>
      </c>
      <c r="Q54" s="211">
        <f>IFERROR(IF(Tabelle1324568910111213[[#This Row],[Status]]=$J$5,0,MIN(Tabelle1324568910111213[[#This Row],[Jira Story Points]],Tabelle1324568910111213[[#This Row],[Carry-over]])-Tabelle1324568910111213[[#This Row],[SP Completed (COS &amp; SOS)]]),0)</f>
        <v>0</v>
      </c>
    </row>
    <row r="55" spans="1:17" ht="13.5" hidden="1" customHeight="1">
      <c r="A55" s="214" t="s">
        <v>1725</v>
      </c>
      <c r="B55" s="47" t="s">
        <v>1726</v>
      </c>
      <c r="C55" s="203" t="s">
        <v>375</v>
      </c>
      <c r="D55" s="203">
        <v>3</v>
      </c>
      <c r="E55" s="203" t="s">
        <v>324</v>
      </c>
      <c r="F55" s="204">
        <v>1</v>
      </c>
      <c r="G55" s="201" t="s">
        <v>27</v>
      </c>
      <c r="H55" s="205"/>
      <c r="I55" s="206"/>
      <c r="J55" s="203" t="s">
        <v>125</v>
      </c>
      <c r="K55" s="204"/>
      <c r="L55" s="204"/>
      <c r="M55" s="208">
        <f>IF(Tabelle1324568910111213[[#This Row],[Pulled after Start]]="",MIN(Tabelle1324568910111213[[#This Row],[Jira Story Points]],Tabelle1324568910111213[[#This Row],[Carry-over]]),0)</f>
        <v>1</v>
      </c>
      <c r="N55" s="209">
        <f>MIN(Tabelle1324568910111213[[#This Row],[Jira Story Points]],Tabelle1324568910111213[[#This Row],[Carry-over]])-Tabelle1324568910111213[[#This Row],[SP Initially Planned (COS)]]</f>
        <v>0</v>
      </c>
      <c r="O55"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55" s="211">
        <f>IFERROR(IF(Tabelle1324568910111213[[#This Row],[Status]]=$J$5,MIN(Tabelle1324568910111213[[#This Row],[Jira Story Points]],Tabelle1324568910111213[[#This Row],[Carry-over]]),0),0)</f>
        <v>0</v>
      </c>
      <c r="Q55" s="211">
        <f>IFERROR(IF(Tabelle1324568910111213[[#This Row],[Status]]=$J$5,0,MIN(Tabelle1324568910111213[[#This Row],[Jira Story Points]],Tabelle1324568910111213[[#This Row],[Carry-over]])-Tabelle1324568910111213[[#This Row],[SP Completed (COS &amp; SOS)]]),0)</f>
        <v>0</v>
      </c>
    </row>
    <row r="56" spans="1:17" ht="13.5" hidden="1" customHeight="1">
      <c r="A56" s="214" t="s">
        <v>1727</v>
      </c>
      <c r="B56" s="47" t="s">
        <v>1728</v>
      </c>
      <c r="C56" s="203" t="s">
        <v>375</v>
      </c>
      <c r="D56" s="203">
        <v>3</v>
      </c>
      <c r="E56" s="203" t="s">
        <v>324</v>
      </c>
      <c r="F56" s="204">
        <v>3</v>
      </c>
      <c r="G56" s="201" t="s">
        <v>27</v>
      </c>
      <c r="H56" s="205"/>
      <c r="I56" s="206"/>
      <c r="J56" s="203" t="s">
        <v>125</v>
      </c>
      <c r="K56" s="204"/>
      <c r="L56" s="204"/>
      <c r="M56" s="208">
        <f>IF(Tabelle1324568910111213[[#This Row],[Pulled after Start]]="",MIN(Tabelle1324568910111213[[#This Row],[Jira Story Points]],Tabelle1324568910111213[[#This Row],[Carry-over]]),0)</f>
        <v>3</v>
      </c>
      <c r="N56" s="209">
        <f>MIN(Tabelle1324568910111213[[#This Row],[Jira Story Points]],Tabelle1324568910111213[[#This Row],[Carry-over]])-Tabelle1324568910111213[[#This Row],[SP Initially Planned (COS)]]</f>
        <v>0</v>
      </c>
      <c r="O56"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56" s="211">
        <f>IFERROR(IF(Tabelle1324568910111213[[#This Row],[Status]]=$J$5,MIN(Tabelle1324568910111213[[#This Row],[Jira Story Points]],Tabelle1324568910111213[[#This Row],[Carry-over]]),0),0)</f>
        <v>0</v>
      </c>
      <c r="Q56" s="211">
        <f>IFERROR(IF(Tabelle1324568910111213[[#This Row],[Status]]=$J$5,0,MIN(Tabelle1324568910111213[[#This Row],[Jira Story Points]],Tabelle1324568910111213[[#This Row],[Carry-over]])-Tabelle1324568910111213[[#This Row],[SP Completed (COS &amp; SOS)]]),0)</f>
        <v>0</v>
      </c>
    </row>
    <row r="57" spans="1:17" ht="13.5" hidden="1" customHeight="1">
      <c r="A57" s="214" t="s">
        <v>1729</v>
      </c>
      <c r="B57" s="47" t="s">
        <v>1730</v>
      </c>
      <c r="C57" s="203" t="s">
        <v>382</v>
      </c>
      <c r="D57" s="203">
        <v>3</v>
      </c>
      <c r="E57" s="203" t="s">
        <v>324</v>
      </c>
      <c r="F57" s="204">
        <v>1</v>
      </c>
      <c r="G57" s="201" t="s">
        <v>27</v>
      </c>
      <c r="H57" s="205" t="s">
        <v>209</v>
      </c>
      <c r="I57" s="206"/>
      <c r="J57" s="203" t="s">
        <v>125</v>
      </c>
      <c r="K57" s="204"/>
      <c r="L57" s="204"/>
      <c r="M57" s="208">
        <f>IF(Tabelle1324568910111213[[#This Row],[Pulled after Start]]="",MIN(Tabelle1324568910111213[[#This Row],[Jira Story Points]],Tabelle1324568910111213[[#This Row],[Carry-over]]),0)</f>
        <v>0</v>
      </c>
      <c r="N57" s="209">
        <f>MIN(Tabelle1324568910111213[[#This Row],[Jira Story Points]],Tabelle1324568910111213[[#This Row],[Carry-over]])-Tabelle1324568910111213[[#This Row],[SP Initially Planned (COS)]]</f>
        <v>1</v>
      </c>
      <c r="O57"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57" s="211">
        <f>IFERROR(IF(Tabelle1324568910111213[[#This Row],[Status]]=$J$5,MIN(Tabelle1324568910111213[[#This Row],[Jira Story Points]],Tabelle1324568910111213[[#This Row],[Carry-over]]),0),0)</f>
        <v>0</v>
      </c>
      <c r="Q57" s="211">
        <f>IFERROR(IF(Tabelle1324568910111213[[#This Row],[Status]]=$J$5,0,MIN(Tabelle1324568910111213[[#This Row],[Jira Story Points]],Tabelle1324568910111213[[#This Row],[Carry-over]])-Tabelle1324568910111213[[#This Row],[SP Completed (COS &amp; SOS)]]),0)</f>
        <v>0</v>
      </c>
    </row>
    <row r="58" spans="1:17" ht="13.5" hidden="1" customHeight="1">
      <c r="A58" s="214" t="s">
        <v>1731</v>
      </c>
      <c r="B58" s="47" t="s">
        <v>1732</v>
      </c>
      <c r="C58" s="203" t="s">
        <v>375</v>
      </c>
      <c r="D58" s="203">
        <v>3</v>
      </c>
      <c r="E58" s="203" t="s">
        <v>324</v>
      </c>
      <c r="F58" s="204">
        <v>5</v>
      </c>
      <c r="G58" s="201" t="s">
        <v>27</v>
      </c>
      <c r="H58" s="205" t="s">
        <v>209</v>
      </c>
      <c r="I58" s="206"/>
      <c r="J58" s="203" t="s">
        <v>125</v>
      </c>
      <c r="K58" s="204"/>
      <c r="L58" s="204"/>
      <c r="M58" s="208">
        <f>IF(Tabelle1324568910111213[[#This Row],[Pulled after Start]]="",MIN(Tabelle1324568910111213[[#This Row],[Jira Story Points]],Tabelle1324568910111213[[#This Row],[Carry-over]]),0)</f>
        <v>0</v>
      </c>
      <c r="N58" s="209">
        <f>MIN(Tabelle1324568910111213[[#This Row],[Jira Story Points]],Tabelle1324568910111213[[#This Row],[Carry-over]])-Tabelle1324568910111213[[#This Row],[SP Initially Planned (COS)]]</f>
        <v>5</v>
      </c>
      <c r="O58"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5</v>
      </c>
      <c r="P58" s="211">
        <f>IFERROR(IF(Tabelle1324568910111213[[#This Row],[Status]]=$J$5,MIN(Tabelle1324568910111213[[#This Row],[Jira Story Points]],Tabelle1324568910111213[[#This Row],[Carry-over]]),0),0)</f>
        <v>0</v>
      </c>
      <c r="Q58" s="211">
        <f>IFERROR(IF(Tabelle1324568910111213[[#This Row],[Status]]=$J$5,0,MIN(Tabelle1324568910111213[[#This Row],[Jira Story Points]],Tabelle1324568910111213[[#This Row],[Carry-over]])-Tabelle1324568910111213[[#This Row],[SP Completed (COS &amp; SOS)]]),0)</f>
        <v>0</v>
      </c>
    </row>
    <row r="59" spans="1:17" ht="13.5" hidden="1" customHeight="1">
      <c r="A59" s="214" t="s">
        <v>1357</v>
      </c>
      <c r="B59" s="47" t="s">
        <v>1358</v>
      </c>
      <c r="C59" s="203" t="s">
        <v>372</v>
      </c>
      <c r="D59" s="203">
        <v>3</v>
      </c>
      <c r="E59" s="203" t="s">
        <v>327</v>
      </c>
      <c r="F59" s="204">
        <v>8</v>
      </c>
      <c r="G59" s="201" t="s">
        <v>27</v>
      </c>
      <c r="H59" s="205" t="s">
        <v>209</v>
      </c>
      <c r="I59" s="206" t="s">
        <v>1733</v>
      </c>
      <c r="J59" s="203" t="s">
        <v>127</v>
      </c>
      <c r="K59" s="204"/>
      <c r="L59" s="204">
        <v>5</v>
      </c>
      <c r="M59" s="208">
        <f>IF(Tabelle1324568910111213[[#This Row],[Pulled after Start]]="",MIN(Tabelle1324568910111213[[#This Row],[Jira Story Points]],Tabelle1324568910111213[[#This Row],[Carry-over]]),0)</f>
        <v>0</v>
      </c>
      <c r="N59" s="209">
        <f>MIN(Tabelle1324568910111213[[#This Row],[Jira Story Points]],Tabelle1324568910111213[[#This Row],[Carry-over]])-Tabelle1324568910111213[[#This Row],[SP Initially Planned (COS)]]</f>
        <v>8</v>
      </c>
      <c r="O59"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59" s="211">
        <f>IFERROR(IF(Tabelle1324568910111213[[#This Row],[Status]]=$J$5,MIN(Tabelle1324568910111213[[#This Row],[Jira Story Points]],Tabelle1324568910111213[[#This Row],[Carry-over]]),0),0)</f>
        <v>0</v>
      </c>
      <c r="Q59" s="211">
        <f>IFERROR(IF(Tabelle1324568910111213[[#This Row],[Status]]=$J$5,0,MIN(Tabelle1324568910111213[[#This Row],[Jira Story Points]],Tabelle1324568910111213[[#This Row],[Carry-over]])-Tabelle1324568910111213[[#This Row],[SP Completed (COS &amp; SOS)]]),0)</f>
        <v>5</v>
      </c>
    </row>
    <row r="60" spans="1:17" ht="13.5" hidden="1" customHeight="1">
      <c r="A60" s="214" t="s">
        <v>1734</v>
      </c>
      <c r="B60" s="47" t="s">
        <v>1735</v>
      </c>
      <c r="C60" s="203" t="s">
        <v>382</v>
      </c>
      <c r="D60" s="203">
        <v>3</v>
      </c>
      <c r="E60" s="203" t="s">
        <v>324</v>
      </c>
      <c r="F60" s="204">
        <v>2</v>
      </c>
      <c r="G60" s="201" t="s">
        <v>27</v>
      </c>
      <c r="H60" s="205" t="s">
        <v>209</v>
      </c>
      <c r="I60" s="206"/>
      <c r="J60" s="203" t="s">
        <v>125</v>
      </c>
      <c r="K60" s="204"/>
      <c r="L60" s="204"/>
      <c r="M60" s="208">
        <f>IF(Tabelle1324568910111213[[#This Row],[Pulled after Start]]="",MIN(Tabelle1324568910111213[[#This Row],[Jira Story Points]],Tabelle1324568910111213[[#This Row],[Carry-over]]),0)</f>
        <v>0</v>
      </c>
      <c r="N60" s="209">
        <f>MIN(Tabelle1324568910111213[[#This Row],[Jira Story Points]],Tabelle1324568910111213[[#This Row],[Carry-over]])-Tabelle1324568910111213[[#This Row],[SP Initially Planned (COS)]]</f>
        <v>2</v>
      </c>
      <c r="O60"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60" s="211">
        <f>IFERROR(IF(Tabelle1324568910111213[[#This Row],[Status]]=$J$5,MIN(Tabelle1324568910111213[[#This Row],[Jira Story Points]],Tabelle1324568910111213[[#This Row],[Carry-over]]),0),0)</f>
        <v>0</v>
      </c>
      <c r="Q60" s="211">
        <f>IFERROR(IF(Tabelle1324568910111213[[#This Row],[Status]]=$J$5,0,MIN(Tabelle1324568910111213[[#This Row],[Jira Story Points]],Tabelle1324568910111213[[#This Row],[Carry-over]])-Tabelle1324568910111213[[#This Row],[SP Completed (COS &amp; SOS)]]),0)</f>
        <v>0</v>
      </c>
    </row>
    <row r="61" spans="1:17" ht="13.5" hidden="1" customHeight="1">
      <c r="A61" s="215" t="s">
        <v>1736</v>
      </c>
      <c r="B61" s="47" t="s">
        <v>1737</v>
      </c>
      <c r="C61" s="203" t="s">
        <v>375</v>
      </c>
      <c r="D61" s="203">
        <v>3</v>
      </c>
      <c r="E61" s="203" t="s">
        <v>324</v>
      </c>
      <c r="F61" s="204">
        <v>3</v>
      </c>
      <c r="G61" s="203" t="s">
        <v>21</v>
      </c>
      <c r="H61" s="205"/>
      <c r="I61" s="206"/>
      <c r="J61" s="203" t="s">
        <v>125</v>
      </c>
      <c r="K61" s="204"/>
      <c r="L61" s="204"/>
      <c r="M61" s="208">
        <f>IF(Tabelle1324568910111213[[#This Row],[Pulled after Start]]="",MIN(Tabelle1324568910111213[[#This Row],[Jira Story Points]],Tabelle1324568910111213[[#This Row],[Carry-over]]),0)</f>
        <v>3</v>
      </c>
      <c r="N61" s="209">
        <f>MIN(Tabelle1324568910111213[[#This Row],[Jira Story Points]],Tabelle1324568910111213[[#This Row],[Carry-over]])-Tabelle1324568910111213[[#This Row],[SP Initially Planned (COS)]]</f>
        <v>0</v>
      </c>
      <c r="O61"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61" s="211">
        <f>IFERROR(IF(Tabelle1324568910111213[[#This Row],[Status]]=$J$5,MIN(Tabelle1324568910111213[[#This Row],[Jira Story Points]],Tabelle1324568910111213[[#This Row],[Carry-over]]),0),0)</f>
        <v>0</v>
      </c>
      <c r="Q61" s="211">
        <f>IFERROR(IF(Tabelle1324568910111213[[#This Row],[Status]]=$J$5,0,MIN(Tabelle1324568910111213[[#This Row],[Jira Story Points]],Tabelle1324568910111213[[#This Row],[Carry-over]])-Tabelle1324568910111213[[#This Row],[SP Completed (COS &amp; SOS)]]),0)</f>
        <v>0</v>
      </c>
    </row>
    <row r="62" spans="1:17" ht="13.5" hidden="1" customHeight="1">
      <c r="A62" s="215" t="s">
        <v>1738</v>
      </c>
      <c r="B62" s="47" t="s">
        <v>1739</v>
      </c>
      <c r="C62" s="203" t="s">
        <v>372</v>
      </c>
      <c r="D62" s="203">
        <v>3</v>
      </c>
      <c r="E62" s="203" t="s">
        <v>324</v>
      </c>
      <c r="F62" s="204">
        <v>2</v>
      </c>
      <c r="G62" s="203" t="s">
        <v>21</v>
      </c>
      <c r="H62" s="205"/>
      <c r="I62" s="206"/>
      <c r="J62" s="203" t="s">
        <v>125</v>
      </c>
      <c r="K62" s="204"/>
      <c r="L62" s="204"/>
      <c r="M62" s="208">
        <f>IF(Tabelle1324568910111213[[#This Row],[Pulled after Start]]="",MIN(Tabelle1324568910111213[[#This Row],[Jira Story Points]],Tabelle1324568910111213[[#This Row],[Carry-over]]),0)</f>
        <v>2</v>
      </c>
      <c r="N62" s="209">
        <f>MIN(Tabelle1324568910111213[[#This Row],[Jira Story Points]],Tabelle1324568910111213[[#This Row],[Carry-over]])-Tabelle1324568910111213[[#This Row],[SP Initially Planned (COS)]]</f>
        <v>0</v>
      </c>
      <c r="O62"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62" s="211">
        <f>IFERROR(IF(Tabelle1324568910111213[[#This Row],[Status]]=$J$5,MIN(Tabelle1324568910111213[[#This Row],[Jira Story Points]],Tabelle1324568910111213[[#This Row],[Carry-over]]),0),0)</f>
        <v>0</v>
      </c>
      <c r="Q62" s="211">
        <f>IFERROR(IF(Tabelle1324568910111213[[#This Row],[Status]]=$J$5,0,MIN(Tabelle1324568910111213[[#This Row],[Jira Story Points]],Tabelle1324568910111213[[#This Row],[Carry-over]])-Tabelle1324568910111213[[#This Row],[SP Completed (COS &amp; SOS)]]),0)</f>
        <v>0</v>
      </c>
    </row>
    <row r="63" spans="1:17" ht="13.5" hidden="1" customHeight="1">
      <c r="A63" s="215" t="s">
        <v>1740</v>
      </c>
      <c r="B63" s="47" t="s">
        <v>1741</v>
      </c>
      <c r="C63" s="203" t="s">
        <v>372</v>
      </c>
      <c r="D63" s="203">
        <v>3</v>
      </c>
      <c r="E63" s="203" t="s">
        <v>324</v>
      </c>
      <c r="F63" s="204">
        <v>2</v>
      </c>
      <c r="G63" s="203" t="s">
        <v>21</v>
      </c>
      <c r="H63" s="205"/>
      <c r="I63" s="206"/>
      <c r="J63" s="203" t="s">
        <v>125</v>
      </c>
      <c r="K63" s="204"/>
      <c r="L63" s="204"/>
      <c r="M63" s="208">
        <f>IF(Tabelle1324568910111213[[#This Row],[Pulled after Start]]="",MIN(Tabelle1324568910111213[[#This Row],[Jira Story Points]],Tabelle1324568910111213[[#This Row],[Carry-over]]),0)</f>
        <v>2</v>
      </c>
      <c r="N63" s="209">
        <f>MIN(Tabelle1324568910111213[[#This Row],[Jira Story Points]],Tabelle1324568910111213[[#This Row],[Carry-over]])-Tabelle1324568910111213[[#This Row],[SP Initially Planned (COS)]]</f>
        <v>0</v>
      </c>
      <c r="O63"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63" s="211">
        <f>IFERROR(IF(Tabelle1324568910111213[[#This Row],[Status]]=$J$5,MIN(Tabelle1324568910111213[[#This Row],[Jira Story Points]],Tabelle1324568910111213[[#This Row],[Carry-over]]),0),0)</f>
        <v>0</v>
      </c>
      <c r="Q63" s="211">
        <f>IFERROR(IF(Tabelle1324568910111213[[#This Row],[Status]]=$J$5,0,MIN(Tabelle1324568910111213[[#This Row],[Jira Story Points]],Tabelle1324568910111213[[#This Row],[Carry-over]])-Tabelle1324568910111213[[#This Row],[SP Completed (COS &amp; SOS)]]),0)</f>
        <v>0</v>
      </c>
    </row>
    <row r="64" spans="1:17" ht="13.5" hidden="1" customHeight="1">
      <c r="A64" s="215" t="s">
        <v>1742</v>
      </c>
      <c r="B64" s="47" t="s">
        <v>1743</v>
      </c>
      <c r="C64" s="203" t="s">
        <v>372</v>
      </c>
      <c r="D64" s="203">
        <v>3</v>
      </c>
      <c r="E64" s="203" t="s">
        <v>324</v>
      </c>
      <c r="F64" s="204">
        <v>3</v>
      </c>
      <c r="G64" s="203" t="s">
        <v>21</v>
      </c>
      <c r="H64" s="205"/>
      <c r="I64" s="206"/>
      <c r="J64" s="203" t="s">
        <v>125</v>
      </c>
      <c r="K64" s="204"/>
      <c r="L64" s="204"/>
      <c r="M64" s="208">
        <f>IF(Tabelle1324568910111213[[#This Row],[Pulled after Start]]="",MIN(Tabelle1324568910111213[[#This Row],[Jira Story Points]],Tabelle1324568910111213[[#This Row],[Carry-over]]),0)</f>
        <v>3</v>
      </c>
      <c r="N64" s="209">
        <f>MIN(Tabelle1324568910111213[[#This Row],[Jira Story Points]],Tabelle1324568910111213[[#This Row],[Carry-over]])-Tabelle1324568910111213[[#This Row],[SP Initially Planned (COS)]]</f>
        <v>0</v>
      </c>
      <c r="O64"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64" s="211">
        <f>IFERROR(IF(Tabelle1324568910111213[[#This Row],[Status]]=$J$5,MIN(Tabelle1324568910111213[[#This Row],[Jira Story Points]],Tabelle1324568910111213[[#This Row],[Carry-over]]),0),0)</f>
        <v>0</v>
      </c>
      <c r="Q64" s="211">
        <f>IFERROR(IF(Tabelle1324568910111213[[#This Row],[Status]]=$J$5,0,MIN(Tabelle1324568910111213[[#This Row],[Jira Story Points]],Tabelle1324568910111213[[#This Row],[Carry-over]])-Tabelle1324568910111213[[#This Row],[SP Completed (COS &amp; SOS)]]),0)</f>
        <v>0</v>
      </c>
    </row>
    <row r="65" spans="1:17" ht="13.5" hidden="1" customHeight="1">
      <c r="A65" s="215" t="s">
        <v>1744</v>
      </c>
      <c r="B65" s="47" t="s">
        <v>1745</v>
      </c>
      <c r="C65" s="203" t="s">
        <v>372</v>
      </c>
      <c r="D65" s="203">
        <v>3</v>
      </c>
      <c r="E65" s="203" t="s">
        <v>324</v>
      </c>
      <c r="F65" s="204">
        <v>8</v>
      </c>
      <c r="G65" s="203" t="s">
        <v>21</v>
      </c>
      <c r="H65" s="205"/>
      <c r="I65" s="206"/>
      <c r="J65" s="203" t="s">
        <v>125</v>
      </c>
      <c r="K65" s="204"/>
      <c r="L65" s="204"/>
      <c r="M65" s="208">
        <f>IF(Tabelle1324568910111213[[#This Row],[Pulled after Start]]="",MIN(Tabelle1324568910111213[[#This Row],[Jira Story Points]],Tabelle1324568910111213[[#This Row],[Carry-over]]),0)</f>
        <v>8</v>
      </c>
      <c r="N65" s="209">
        <f>MIN(Tabelle1324568910111213[[#This Row],[Jira Story Points]],Tabelle1324568910111213[[#This Row],[Carry-over]])-Tabelle1324568910111213[[#This Row],[SP Initially Planned (COS)]]</f>
        <v>0</v>
      </c>
      <c r="O65"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8</v>
      </c>
      <c r="P65" s="211">
        <f>IFERROR(IF(Tabelle1324568910111213[[#This Row],[Status]]=$J$5,MIN(Tabelle1324568910111213[[#This Row],[Jira Story Points]],Tabelle1324568910111213[[#This Row],[Carry-over]]),0),0)</f>
        <v>0</v>
      </c>
      <c r="Q65" s="211">
        <f>IFERROR(IF(Tabelle1324568910111213[[#This Row],[Status]]=$J$5,0,MIN(Tabelle1324568910111213[[#This Row],[Jira Story Points]],Tabelle1324568910111213[[#This Row],[Carry-over]])-Tabelle1324568910111213[[#This Row],[SP Completed (COS &amp; SOS)]]),0)</f>
        <v>0</v>
      </c>
    </row>
    <row r="66" spans="1:17" ht="13.5" hidden="1" customHeight="1">
      <c r="A66" s="215" t="s">
        <v>1746</v>
      </c>
      <c r="B66" s="47" t="s">
        <v>1747</v>
      </c>
      <c r="C66" s="203" t="s">
        <v>372</v>
      </c>
      <c r="D66" s="203">
        <v>3</v>
      </c>
      <c r="E66" s="203" t="s">
        <v>324</v>
      </c>
      <c r="F66" s="204">
        <v>2</v>
      </c>
      <c r="G66" s="203" t="s">
        <v>21</v>
      </c>
      <c r="H66" s="205"/>
      <c r="I66" s="206"/>
      <c r="J66" s="203" t="s">
        <v>125</v>
      </c>
      <c r="K66" s="204"/>
      <c r="L66" s="204"/>
      <c r="M66" s="208">
        <f>IF(Tabelle1324568910111213[[#This Row],[Pulled after Start]]="",MIN(Tabelle1324568910111213[[#This Row],[Jira Story Points]],Tabelle1324568910111213[[#This Row],[Carry-over]]),0)</f>
        <v>2</v>
      </c>
      <c r="N66" s="209">
        <f>MIN(Tabelle1324568910111213[[#This Row],[Jira Story Points]],Tabelle1324568910111213[[#This Row],[Carry-over]])-Tabelle1324568910111213[[#This Row],[SP Initially Planned (COS)]]</f>
        <v>0</v>
      </c>
      <c r="O66"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66" s="211">
        <f>IFERROR(IF(Tabelle1324568910111213[[#This Row],[Status]]=$J$5,MIN(Tabelle1324568910111213[[#This Row],[Jira Story Points]],Tabelle1324568910111213[[#This Row],[Carry-over]]),0),0)</f>
        <v>0</v>
      </c>
      <c r="Q66" s="211">
        <f>IFERROR(IF(Tabelle1324568910111213[[#This Row],[Status]]=$J$5,0,MIN(Tabelle1324568910111213[[#This Row],[Jira Story Points]],Tabelle1324568910111213[[#This Row],[Carry-over]])-Tabelle1324568910111213[[#This Row],[SP Completed (COS &amp; SOS)]]),0)</f>
        <v>0</v>
      </c>
    </row>
    <row r="67" spans="1:17" ht="13.5" hidden="1" customHeight="1">
      <c r="A67" s="215" t="s">
        <v>1748</v>
      </c>
      <c r="B67" s="47" t="s">
        <v>1749</v>
      </c>
      <c r="C67" s="203" t="s">
        <v>372</v>
      </c>
      <c r="D67" s="203">
        <v>3</v>
      </c>
      <c r="E67" s="203" t="s">
        <v>327</v>
      </c>
      <c r="F67" s="204">
        <v>5</v>
      </c>
      <c r="G67" s="203" t="s">
        <v>21</v>
      </c>
      <c r="H67" s="205"/>
      <c r="I67" s="206"/>
      <c r="J67" s="203" t="s">
        <v>125</v>
      </c>
      <c r="K67" s="204"/>
      <c r="L67" s="204"/>
      <c r="M67" s="208">
        <f>IF(Tabelle1324568910111213[[#This Row],[Pulled after Start]]="",MIN(Tabelle1324568910111213[[#This Row],[Jira Story Points]],Tabelle1324568910111213[[#This Row],[Carry-over]]),0)</f>
        <v>5</v>
      </c>
      <c r="N67" s="209">
        <f>MIN(Tabelle1324568910111213[[#This Row],[Jira Story Points]],Tabelle1324568910111213[[#This Row],[Carry-over]])-Tabelle1324568910111213[[#This Row],[SP Initially Planned (COS)]]</f>
        <v>0</v>
      </c>
      <c r="O67"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5</v>
      </c>
      <c r="P67" s="211">
        <f>IFERROR(IF(Tabelle1324568910111213[[#This Row],[Status]]=$J$5,MIN(Tabelle1324568910111213[[#This Row],[Jira Story Points]],Tabelle1324568910111213[[#This Row],[Carry-over]]),0),0)</f>
        <v>0</v>
      </c>
      <c r="Q67" s="211">
        <f>IFERROR(IF(Tabelle1324568910111213[[#This Row],[Status]]=$J$5,0,MIN(Tabelle1324568910111213[[#This Row],[Jira Story Points]],Tabelle1324568910111213[[#This Row],[Carry-over]])-Tabelle1324568910111213[[#This Row],[SP Completed (COS &amp; SOS)]]),0)</f>
        <v>0</v>
      </c>
    </row>
    <row r="68" spans="1:17" ht="13.5" hidden="1" customHeight="1">
      <c r="A68" s="215" t="s">
        <v>1750</v>
      </c>
      <c r="B68" s="47" t="s">
        <v>1751</v>
      </c>
      <c r="C68" s="203" t="s">
        <v>372</v>
      </c>
      <c r="D68" s="203">
        <v>3</v>
      </c>
      <c r="E68" s="203" t="s">
        <v>324</v>
      </c>
      <c r="F68" s="204">
        <v>3</v>
      </c>
      <c r="G68" s="203" t="s">
        <v>21</v>
      </c>
      <c r="H68" s="205"/>
      <c r="I68" s="206"/>
      <c r="J68" s="203" t="s">
        <v>125</v>
      </c>
      <c r="K68" s="204"/>
      <c r="L68" s="204"/>
      <c r="M68" s="208">
        <f>IF(Tabelle1324568910111213[[#This Row],[Pulled after Start]]="",MIN(Tabelle1324568910111213[[#This Row],[Jira Story Points]],Tabelle1324568910111213[[#This Row],[Carry-over]]),0)</f>
        <v>3</v>
      </c>
      <c r="N68" s="209">
        <f>MIN(Tabelle1324568910111213[[#This Row],[Jira Story Points]],Tabelle1324568910111213[[#This Row],[Carry-over]])-Tabelle1324568910111213[[#This Row],[SP Initially Planned (COS)]]</f>
        <v>0</v>
      </c>
      <c r="O68"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68" s="211">
        <f>IFERROR(IF(Tabelle1324568910111213[[#This Row],[Status]]=$J$5,MIN(Tabelle1324568910111213[[#This Row],[Jira Story Points]],Tabelle1324568910111213[[#This Row],[Carry-over]]),0),0)</f>
        <v>0</v>
      </c>
      <c r="Q68" s="211">
        <f>IFERROR(IF(Tabelle1324568910111213[[#This Row],[Status]]=$J$5,0,MIN(Tabelle1324568910111213[[#This Row],[Jira Story Points]],Tabelle1324568910111213[[#This Row],[Carry-over]])-Tabelle1324568910111213[[#This Row],[SP Completed (COS &amp; SOS)]]),0)</f>
        <v>0</v>
      </c>
    </row>
    <row r="69" spans="1:17" ht="13.5" hidden="1" customHeight="1">
      <c r="A69" s="215" t="s">
        <v>1583</v>
      </c>
      <c r="B69" s="47" t="s">
        <v>1584</v>
      </c>
      <c r="C69" s="203" t="s">
        <v>372</v>
      </c>
      <c r="D69" s="203">
        <v>3</v>
      </c>
      <c r="E69" s="203" t="s">
        <v>327</v>
      </c>
      <c r="F69" s="204">
        <v>3</v>
      </c>
      <c r="G69" s="203" t="s">
        <v>21</v>
      </c>
      <c r="H69" s="205"/>
      <c r="I69" s="206"/>
      <c r="J69" s="203" t="s">
        <v>127</v>
      </c>
      <c r="K69" s="204">
        <v>2</v>
      </c>
      <c r="L69" s="204"/>
      <c r="M69" s="208">
        <f>IF(Tabelle1324568910111213[[#This Row],[Pulled after Start]]="",MIN(Tabelle1324568910111213[[#This Row],[Jira Story Points]],Tabelle1324568910111213[[#This Row],[Carry-over]]),0)</f>
        <v>2</v>
      </c>
      <c r="N69" s="209">
        <f>MIN(Tabelle1324568910111213[[#This Row],[Jira Story Points]],Tabelle1324568910111213[[#This Row],[Carry-over]])-Tabelle1324568910111213[[#This Row],[SP Initially Planned (COS)]]</f>
        <v>0</v>
      </c>
      <c r="O69"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69" s="211">
        <f>IFERROR(IF(Tabelle1324568910111213[[#This Row],[Status]]=$J$5,MIN(Tabelle1324568910111213[[#This Row],[Jira Story Points]],Tabelle1324568910111213[[#This Row],[Carry-over]]),0),0)</f>
        <v>0</v>
      </c>
      <c r="Q69" s="211">
        <f>IFERROR(IF(Tabelle1324568910111213[[#This Row],[Status]]=$J$5,0,MIN(Tabelle1324568910111213[[#This Row],[Jira Story Points]],Tabelle1324568910111213[[#This Row],[Carry-over]])-Tabelle1324568910111213[[#This Row],[SP Completed (COS &amp; SOS)]]),0)</f>
        <v>2</v>
      </c>
    </row>
    <row r="70" spans="1:17" ht="13.5" hidden="1" customHeight="1">
      <c r="A70" s="215" t="s">
        <v>1752</v>
      </c>
      <c r="B70" s="47" t="s">
        <v>1753</v>
      </c>
      <c r="C70" s="203" t="s">
        <v>372</v>
      </c>
      <c r="D70" s="203">
        <v>3</v>
      </c>
      <c r="E70" s="203" t="s">
        <v>324</v>
      </c>
      <c r="F70" s="204">
        <v>3</v>
      </c>
      <c r="G70" s="203" t="s">
        <v>21</v>
      </c>
      <c r="H70" s="205"/>
      <c r="I70" s="206"/>
      <c r="J70" s="203" t="s">
        <v>125</v>
      </c>
      <c r="K70" s="204"/>
      <c r="L70" s="204"/>
      <c r="M70" s="208">
        <f>IF(Tabelle1324568910111213[[#This Row],[Pulled after Start]]="",MIN(Tabelle1324568910111213[[#This Row],[Jira Story Points]],Tabelle1324568910111213[[#This Row],[Carry-over]]),0)</f>
        <v>3</v>
      </c>
      <c r="N70" s="209">
        <f>MIN(Tabelle1324568910111213[[#This Row],[Jira Story Points]],Tabelle1324568910111213[[#This Row],[Carry-over]])-Tabelle1324568910111213[[#This Row],[SP Initially Planned (COS)]]</f>
        <v>0</v>
      </c>
      <c r="O70"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70" s="211">
        <f>IFERROR(IF(Tabelle1324568910111213[[#This Row],[Status]]=$J$5,MIN(Tabelle1324568910111213[[#This Row],[Jira Story Points]],Tabelle1324568910111213[[#This Row],[Carry-over]]),0),0)</f>
        <v>0</v>
      </c>
      <c r="Q70" s="211">
        <f>IFERROR(IF(Tabelle1324568910111213[[#This Row],[Status]]=$J$5,0,MIN(Tabelle1324568910111213[[#This Row],[Jira Story Points]],Tabelle1324568910111213[[#This Row],[Carry-over]])-Tabelle1324568910111213[[#This Row],[SP Completed (COS &amp; SOS)]]),0)</f>
        <v>0</v>
      </c>
    </row>
    <row r="71" spans="1:17" ht="13.5" hidden="1" customHeight="1">
      <c r="A71" s="215" t="s">
        <v>1754</v>
      </c>
      <c r="B71" s="47" t="s">
        <v>1755</v>
      </c>
      <c r="C71" s="203" t="s">
        <v>372</v>
      </c>
      <c r="D71" s="203">
        <v>3</v>
      </c>
      <c r="E71" s="203" t="s">
        <v>324</v>
      </c>
      <c r="F71" s="204">
        <v>3</v>
      </c>
      <c r="G71" s="203" t="s">
        <v>21</v>
      </c>
      <c r="H71" s="205"/>
      <c r="I71" s="206"/>
      <c r="J71" s="203" t="s">
        <v>125</v>
      </c>
      <c r="K71" s="204"/>
      <c r="L71" s="204"/>
      <c r="M71" s="208">
        <f>IF(Tabelle1324568910111213[[#This Row],[Pulled after Start]]="",MIN(Tabelle1324568910111213[[#This Row],[Jira Story Points]],Tabelle1324568910111213[[#This Row],[Carry-over]]),0)</f>
        <v>3</v>
      </c>
      <c r="N71" s="209">
        <f>MIN(Tabelle1324568910111213[[#This Row],[Jira Story Points]],Tabelle1324568910111213[[#This Row],[Carry-over]])-Tabelle1324568910111213[[#This Row],[SP Initially Planned (COS)]]</f>
        <v>0</v>
      </c>
      <c r="O71"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71" s="211">
        <f>IFERROR(IF(Tabelle1324568910111213[[#This Row],[Status]]=$J$5,MIN(Tabelle1324568910111213[[#This Row],[Jira Story Points]],Tabelle1324568910111213[[#This Row],[Carry-over]]),0),0)</f>
        <v>0</v>
      </c>
      <c r="Q71" s="211">
        <f>IFERROR(IF(Tabelle1324568910111213[[#This Row],[Status]]=$J$5,0,MIN(Tabelle1324568910111213[[#This Row],[Jira Story Points]],Tabelle1324568910111213[[#This Row],[Carry-over]])-Tabelle1324568910111213[[#This Row],[SP Completed (COS &amp; SOS)]]),0)</f>
        <v>0</v>
      </c>
    </row>
    <row r="72" spans="1:17" ht="13.5" hidden="1" customHeight="1">
      <c r="A72" s="215" t="s">
        <v>1756</v>
      </c>
      <c r="B72" s="47" t="s">
        <v>1757</v>
      </c>
      <c r="C72" s="203" t="s">
        <v>375</v>
      </c>
      <c r="D72" s="203">
        <v>3</v>
      </c>
      <c r="E72" s="203" t="s">
        <v>324</v>
      </c>
      <c r="F72" s="204">
        <v>1</v>
      </c>
      <c r="G72" s="203" t="s">
        <v>21</v>
      </c>
      <c r="H72" s="205" t="s">
        <v>209</v>
      </c>
      <c r="I72" s="206"/>
      <c r="J72" s="203" t="s">
        <v>125</v>
      </c>
      <c r="K72" s="204"/>
      <c r="L72" s="204"/>
      <c r="M72" s="208">
        <f>IF(Tabelle1324568910111213[[#This Row],[Pulled after Start]]="",MIN(Tabelle1324568910111213[[#This Row],[Jira Story Points]],Tabelle1324568910111213[[#This Row],[Carry-over]]),0)</f>
        <v>0</v>
      </c>
      <c r="N72" s="209">
        <f>MIN(Tabelle1324568910111213[[#This Row],[Jira Story Points]],Tabelle1324568910111213[[#This Row],[Carry-over]])-Tabelle1324568910111213[[#This Row],[SP Initially Planned (COS)]]</f>
        <v>1</v>
      </c>
      <c r="O72"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72" s="211">
        <f>IFERROR(IF(Tabelle1324568910111213[[#This Row],[Status]]=$J$5,MIN(Tabelle1324568910111213[[#This Row],[Jira Story Points]],Tabelle1324568910111213[[#This Row],[Carry-over]]),0),0)</f>
        <v>0</v>
      </c>
      <c r="Q72" s="211">
        <f>IFERROR(IF(Tabelle1324568910111213[[#This Row],[Status]]=$J$5,0,MIN(Tabelle1324568910111213[[#This Row],[Jira Story Points]],Tabelle1324568910111213[[#This Row],[Carry-over]])-Tabelle1324568910111213[[#This Row],[SP Completed (COS &amp; SOS)]]),0)</f>
        <v>0</v>
      </c>
    </row>
    <row r="73" spans="1:17" ht="13.5" hidden="1" customHeight="1">
      <c r="A73" s="214" t="s">
        <v>1758</v>
      </c>
      <c r="B73" s="47" t="s">
        <v>1759</v>
      </c>
      <c r="C73" s="203" t="s">
        <v>382</v>
      </c>
      <c r="D73" s="203">
        <v>3</v>
      </c>
      <c r="E73" s="203" t="s">
        <v>216</v>
      </c>
      <c r="F73" s="204">
        <v>1</v>
      </c>
      <c r="G73" s="201" t="s">
        <v>21</v>
      </c>
      <c r="H73" s="205" t="s">
        <v>209</v>
      </c>
      <c r="I73" s="206"/>
      <c r="J73" s="203" t="s">
        <v>125</v>
      </c>
      <c r="K73" s="204"/>
      <c r="L73" s="204"/>
      <c r="M73" s="208">
        <f>IF(Tabelle1324568910111213[[#This Row],[Pulled after Start]]="",MIN(Tabelle1324568910111213[[#This Row],[Jira Story Points]],Tabelle1324568910111213[[#This Row],[Carry-over]]),0)</f>
        <v>0</v>
      </c>
      <c r="N73" s="209">
        <f>MIN(Tabelle1324568910111213[[#This Row],[Jira Story Points]],Tabelle1324568910111213[[#This Row],[Carry-over]])-Tabelle1324568910111213[[#This Row],[SP Initially Planned (COS)]]</f>
        <v>1</v>
      </c>
      <c r="O73"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73" s="211">
        <f>IFERROR(IF(Tabelle1324568910111213[[#This Row],[Status]]=$J$5,MIN(Tabelle1324568910111213[[#This Row],[Jira Story Points]],Tabelle1324568910111213[[#This Row],[Carry-over]]),0),0)</f>
        <v>0</v>
      </c>
      <c r="Q73" s="211">
        <f>IFERROR(IF(Tabelle1324568910111213[[#This Row],[Status]]=$J$5,0,MIN(Tabelle1324568910111213[[#This Row],[Jira Story Points]],Tabelle1324568910111213[[#This Row],[Carry-over]])-Tabelle1324568910111213[[#This Row],[SP Completed (COS &amp; SOS)]]),0)</f>
        <v>0</v>
      </c>
    </row>
    <row r="74" spans="1:17" ht="13.5" hidden="1" customHeight="1">
      <c r="A74" s="215" t="s">
        <v>1587</v>
      </c>
      <c r="B74" s="47" t="s">
        <v>1588</v>
      </c>
      <c r="C74" s="203" t="s">
        <v>375</v>
      </c>
      <c r="D74" s="203">
        <v>3</v>
      </c>
      <c r="E74" s="203" t="s">
        <v>288</v>
      </c>
      <c r="F74" s="204">
        <v>5</v>
      </c>
      <c r="G74" s="201" t="s">
        <v>17</v>
      </c>
      <c r="H74" s="205"/>
      <c r="I74" s="206"/>
      <c r="J74" s="203" t="s">
        <v>127</v>
      </c>
      <c r="K74" s="204">
        <v>3</v>
      </c>
      <c r="L74" s="204">
        <v>2</v>
      </c>
      <c r="M74" s="208">
        <f>IF(Tabelle1324568910111213[[#This Row],[Pulled after Start]]="",MIN(Tabelle1324568910111213[[#This Row],[Jira Story Points]],Tabelle1324568910111213[[#This Row],[Carry-over]]),0)</f>
        <v>3</v>
      </c>
      <c r="N74" s="209">
        <f>MIN(Tabelle1324568910111213[[#This Row],[Jira Story Points]],Tabelle1324568910111213[[#This Row],[Carry-over]])-Tabelle1324568910111213[[#This Row],[SP Initially Planned (COS)]]</f>
        <v>0</v>
      </c>
      <c r="O74"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74" s="211">
        <f>IFERROR(IF(Tabelle1324568910111213[[#This Row],[Status]]=$J$5,MIN(Tabelle1324568910111213[[#This Row],[Jira Story Points]],Tabelle1324568910111213[[#This Row],[Carry-over]]),0),0)</f>
        <v>0</v>
      </c>
      <c r="Q74" s="211">
        <f>IFERROR(IF(Tabelle1324568910111213[[#This Row],[Status]]=$J$5,0,MIN(Tabelle1324568910111213[[#This Row],[Jira Story Points]],Tabelle1324568910111213[[#This Row],[Carry-over]])-Tabelle1324568910111213[[#This Row],[SP Completed (COS &amp; SOS)]]),0)</f>
        <v>2</v>
      </c>
    </row>
    <row r="75" spans="1:17" ht="13.5" hidden="1" customHeight="1">
      <c r="A75" s="215" t="s">
        <v>1760</v>
      </c>
      <c r="B75" s="47" t="s">
        <v>1761</v>
      </c>
      <c r="C75" s="203" t="s">
        <v>375</v>
      </c>
      <c r="D75" s="203">
        <v>1</v>
      </c>
      <c r="E75" s="203" t="s">
        <v>278</v>
      </c>
      <c r="F75" s="204">
        <v>1</v>
      </c>
      <c r="G75" s="201" t="s">
        <v>17</v>
      </c>
      <c r="H75" s="205"/>
      <c r="I75" s="206"/>
      <c r="J75" s="203" t="s">
        <v>125</v>
      </c>
      <c r="K75" s="204"/>
      <c r="L75" s="204"/>
      <c r="M75" s="208">
        <f>IF(Tabelle1324568910111213[[#This Row],[Pulled after Start]]="",MIN(Tabelle1324568910111213[[#This Row],[Jira Story Points]],Tabelle1324568910111213[[#This Row],[Carry-over]]),0)</f>
        <v>1</v>
      </c>
      <c r="N75" s="209">
        <f>MIN(Tabelle1324568910111213[[#This Row],[Jira Story Points]],Tabelle1324568910111213[[#This Row],[Carry-over]])-Tabelle1324568910111213[[#This Row],[SP Initially Planned (COS)]]</f>
        <v>0</v>
      </c>
      <c r="O75"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75" s="211">
        <f>IFERROR(IF(Tabelle1324568910111213[[#This Row],[Status]]=$J$5,MIN(Tabelle1324568910111213[[#This Row],[Jira Story Points]],Tabelle1324568910111213[[#This Row],[Carry-over]]),0),0)</f>
        <v>0</v>
      </c>
      <c r="Q75" s="211">
        <f>IFERROR(IF(Tabelle1324568910111213[[#This Row],[Status]]=$J$5,0,MIN(Tabelle1324568910111213[[#This Row],[Jira Story Points]],Tabelle1324568910111213[[#This Row],[Carry-over]])-Tabelle1324568910111213[[#This Row],[SP Completed (COS &amp; SOS)]]),0)</f>
        <v>0</v>
      </c>
    </row>
    <row r="76" spans="1:17" ht="13.5" hidden="1" customHeight="1">
      <c r="A76" s="215" t="s">
        <v>1589</v>
      </c>
      <c r="B76" s="47" t="s">
        <v>1590</v>
      </c>
      <c r="C76" s="203" t="s">
        <v>375</v>
      </c>
      <c r="D76" s="203">
        <v>2</v>
      </c>
      <c r="E76" s="203" t="s">
        <v>288</v>
      </c>
      <c r="F76" s="204">
        <v>3</v>
      </c>
      <c r="G76" s="201" t="s">
        <v>17</v>
      </c>
      <c r="H76" s="205"/>
      <c r="I76" s="206"/>
      <c r="J76" s="203" t="s">
        <v>127</v>
      </c>
      <c r="K76" s="204"/>
      <c r="L76" s="204">
        <v>3</v>
      </c>
      <c r="M76" s="208">
        <f>IF(Tabelle1324568910111213[[#This Row],[Pulled after Start]]="",MIN(Tabelle1324568910111213[[#This Row],[Jira Story Points]],Tabelle1324568910111213[[#This Row],[Carry-over]]),0)</f>
        <v>3</v>
      </c>
      <c r="N76" s="209">
        <f>MIN(Tabelle1324568910111213[[#This Row],[Jira Story Points]],Tabelle1324568910111213[[#This Row],[Carry-over]])-Tabelle1324568910111213[[#This Row],[SP Initially Planned (COS)]]</f>
        <v>0</v>
      </c>
      <c r="O76"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76" s="211">
        <f>IFERROR(IF(Tabelle1324568910111213[[#This Row],[Status]]=$J$5,MIN(Tabelle1324568910111213[[#This Row],[Jira Story Points]],Tabelle1324568910111213[[#This Row],[Carry-over]]),0),0)</f>
        <v>0</v>
      </c>
      <c r="Q76" s="211">
        <f>IFERROR(IF(Tabelle1324568910111213[[#This Row],[Status]]=$J$5,0,MIN(Tabelle1324568910111213[[#This Row],[Jira Story Points]],Tabelle1324568910111213[[#This Row],[Carry-over]])-Tabelle1324568910111213[[#This Row],[SP Completed (COS &amp; SOS)]]),0)</f>
        <v>3</v>
      </c>
    </row>
    <row r="77" spans="1:17" ht="13.5" hidden="1" customHeight="1">
      <c r="A77" s="215" t="s">
        <v>1762</v>
      </c>
      <c r="B77" s="47" t="s">
        <v>1763</v>
      </c>
      <c r="C77" s="203" t="s">
        <v>382</v>
      </c>
      <c r="D77" s="203">
        <v>3</v>
      </c>
      <c r="E77" s="203" t="s">
        <v>278</v>
      </c>
      <c r="F77" s="204">
        <v>2</v>
      </c>
      <c r="G77" s="201" t="s">
        <v>17</v>
      </c>
      <c r="H77" s="205"/>
      <c r="I77" s="206"/>
      <c r="J77" s="203" t="s">
        <v>125</v>
      </c>
      <c r="K77" s="204"/>
      <c r="L77" s="204"/>
      <c r="M77" s="208">
        <f>IF(Tabelle1324568910111213[[#This Row],[Pulled after Start]]="",MIN(Tabelle1324568910111213[[#This Row],[Jira Story Points]],Tabelle1324568910111213[[#This Row],[Carry-over]]),0)</f>
        <v>2</v>
      </c>
      <c r="N77" s="209">
        <f>MIN(Tabelle1324568910111213[[#This Row],[Jira Story Points]],Tabelle1324568910111213[[#This Row],[Carry-over]])-Tabelle1324568910111213[[#This Row],[SP Initially Planned (COS)]]</f>
        <v>0</v>
      </c>
      <c r="O77"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77" s="211">
        <f>IFERROR(IF(Tabelle1324568910111213[[#This Row],[Status]]=$J$5,MIN(Tabelle1324568910111213[[#This Row],[Jira Story Points]],Tabelle1324568910111213[[#This Row],[Carry-over]]),0),0)</f>
        <v>0</v>
      </c>
      <c r="Q77" s="211">
        <f>IFERROR(IF(Tabelle1324568910111213[[#This Row],[Status]]=$J$5,0,MIN(Tabelle1324568910111213[[#This Row],[Jira Story Points]],Tabelle1324568910111213[[#This Row],[Carry-over]])-Tabelle1324568910111213[[#This Row],[SP Completed (COS &amp; SOS)]]),0)</f>
        <v>0</v>
      </c>
    </row>
    <row r="78" spans="1:17" ht="13.5" hidden="1" customHeight="1">
      <c r="A78" s="215" t="s">
        <v>1764</v>
      </c>
      <c r="B78" s="47" t="s">
        <v>1765</v>
      </c>
      <c r="C78" s="203" t="s">
        <v>382</v>
      </c>
      <c r="D78" s="203">
        <v>3</v>
      </c>
      <c r="E78" s="203" t="s">
        <v>278</v>
      </c>
      <c r="F78" s="204">
        <v>2</v>
      </c>
      <c r="G78" s="201" t="s">
        <v>17</v>
      </c>
      <c r="H78" s="205"/>
      <c r="I78" s="206"/>
      <c r="J78" s="203" t="s">
        <v>125</v>
      </c>
      <c r="K78" s="204"/>
      <c r="L78" s="204"/>
      <c r="M78" s="208">
        <f>IF(Tabelle1324568910111213[[#This Row],[Pulled after Start]]="",MIN(Tabelle1324568910111213[[#This Row],[Jira Story Points]],Tabelle1324568910111213[[#This Row],[Carry-over]]),0)</f>
        <v>2</v>
      </c>
      <c r="N78" s="209">
        <f>MIN(Tabelle1324568910111213[[#This Row],[Jira Story Points]],Tabelle1324568910111213[[#This Row],[Carry-over]])-Tabelle1324568910111213[[#This Row],[SP Initially Planned (COS)]]</f>
        <v>0</v>
      </c>
      <c r="O78"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78" s="211">
        <f>IFERROR(IF(Tabelle1324568910111213[[#This Row],[Status]]=$J$5,MIN(Tabelle1324568910111213[[#This Row],[Jira Story Points]],Tabelle1324568910111213[[#This Row],[Carry-over]]),0),0)</f>
        <v>0</v>
      </c>
      <c r="Q78" s="211">
        <f>IFERROR(IF(Tabelle1324568910111213[[#This Row],[Status]]=$J$5,0,MIN(Tabelle1324568910111213[[#This Row],[Jira Story Points]],Tabelle1324568910111213[[#This Row],[Carry-over]])-Tabelle1324568910111213[[#This Row],[SP Completed (COS &amp; SOS)]]),0)</f>
        <v>0</v>
      </c>
    </row>
    <row r="79" spans="1:17" ht="13.5" hidden="1" customHeight="1">
      <c r="A79" s="215" t="s">
        <v>1766</v>
      </c>
      <c r="B79" s="47" t="s">
        <v>1767</v>
      </c>
      <c r="C79" s="203" t="s">
        <v>375</v>
      </c>
      <c r="D79" s="203">
        <v>3</v>
      </c>
      <c r="E79" s="203" t="s">
        <v>278</v>
      </c>
      <c r="F79" s="204">
        <v>3</v>
      </c>
      <c r="G79" s="201" t="s">
        <v>17</v>
      </c>
      <c r="H79" s="205"/>
      <c r="I79" s="206"/>
      <c r="J79" s="203" t="s">
        <v>125</v>
      </c>
      <c r="K79" s="204"/>
      <c r="L79" s="204"/>
      <c r="M79" s="208">
        <f>IF(Tabelle1324568910111213[[#This Row],[Pulled after Start]]="",MIN(Tabelle1324568910111213[[#This Row],[Jira Story Points]],Tabelle1324568910111213[[#This Row],[Carry-over]]),0)</f>
        <v>3</v>
      </c>
      <c r="N79" s="209">
        <f>MIN(Tabelle1324568910111213[[#This Row],[Jira Story Points]],Tabelle1324568910111213[[#This Row],[Carry-over]])-Tabelle1324568910111213[[#This Row],[SP Initially Planned (COS)]]</f>
        <v>0</v>
      </c>
      <c r="O79"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79" s="211">
        <f>IFERROR(IF(Tabelle1324568910111213[[#This Row],[Status]]=$J$5,MIN(Tabelle1324568910111213[[#This Row],[Jira Story Points]],Tabelle1324568910111213[[#This Row],[Carry-over]]),0),0)</f>
        <v>0</v>
      </c>
      <c r="Q79" s="211">
        <f>IFERROR(IF(Tabelle1324568910111213[[#This Row],[Status]]=$J$5,0,MIN(Tabelle1324568910111213[[#This Row],[Jira Story Points]],Tabelle1324568910111213[[#This Row],[Carry-over]])-Tabelle1324568910111213[[#This Row],[SP Completed (COS &amp; SOS)]]),0)</f>
        <v>0</v>
      </c>
    </row>
    <row r="80" spans="1:17" ht="13.5" hidden="1" customHeight="1">
      <c r="A80" s="215" t="s">
        <v>1768</v>
      </c>
      <c r="B80" s="47" t="s">
        <v>1769</v>
      </c>
      <c r="C80" s="203" t="s">
        <v>372</v>
      </c>
      <c r="D80" s="203">
        <v>3</v>
      </c>
      <c r="E80" s="203" t="s">
        <v>288</v>
      </c>
      <c r="F80" s="204">
        <v>3</v>
      </c>
      <c r="G80" s="201" t="s">
        <v>17</v>
      </c>
      <c r="H80" s="205"/>
      <c r="I80" s="206"/>
      <c r="J80" s="203" t="s">
        <v>125</v>
      </c>
      <c r="K80" s="204"/>
      <c r="L80" s="204"/>
      <c r="M80" s="208">
        <f>IF(Tabelle1324568910111213[[#This Row],[Pulled after Start]]="",MIN(Tabelle1324568910111213[[#This Row],[Jira Story Points]],Tabelle1324568910111213[[#This Row],[Carry-over]]),0)</f>
        <v>3</v>
      </c>
      <c r="N80" s="209">
        <f>MIN(Tabelle1324568910111213[[#This Row],[Jira Story Points]],Tabelle1324568910111213[[#This Row],[Carry-over]])-Tabelle1324568910111213[[#This Row],[SP Initially Planned (COS)]]</f>
        <v>0</v>
      </c>
      <c r="O80"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80" s="211">
        <f>IFERROR(IF(Tabelle1324568910111213[[#This Row],[Status]]=$J$5,MIN(Tabelle1324568910111213[[#This Row],[Jira Story Points]],Tabelle1324568910111213[[#This Row],[Carry-over]]),0),0)</f>
        <v>0</v>
      </c>
      <c r="Q80" s="211">
        <f>IFERROR(IF(Tabelle1324568910111213[[#This Row],[Status]]=$J$5,0,MIN(Tabelle1324568910111213[[#This Row],[Jira Story Points]],Tabelle1324568910111213[[#This Row],[Carry-over]])-Tabelle1324568910111213[[#This Row],[SP Completed (COS &amp; SOS)]]),0)</f>
        <v>0</v>
      </c>
    </row>
    <row r="81" spans="1:17" ht="13.5" hidden="1" customHeight="1">
      <c r="A81" s="215" t="s">
        <v>1770</v>
      </c>
      <c r="B81" s="47" t="s">
        <v>1771</v>
      </c>
      <c r="C81" s="203" t="s">
        <v>382</v>
      </c>
      <c r="D81" s="203">
        <v>3</v>
      </c>
      <c r="E81" s="203" t="s">
        <v>278</v>
      </c>
      <c r="F81" s="204">
        <v>3</v>
      </c>
      <c r="G81" s="201" t="s">
        <v>17</v>
      </c>
      <c r="H81" s="205"/>
      <c r="I81" s="206"/>
      <c r="J81" s="203" t="s">
        <v>125</v>
      </c>
      <c r="K81" s="204"/>
      <c r="L81" s="204"/>
      <c r="M81" s="208">
        <f>IF(Tabelle1324568910111213[[#This Row],[Pulled after Start]]="",MIN(Tabelle1324568910111213[[#This Row],[Jira Story Points]],Tabelle1324568910111213[[#This Row],[Carry-over]]),0)</f>
        <v>3</v>
      </c>
      <c r="N81" s="209">
        <f>MIN(Tabelle1324568910111213[[#This Row],[Jira Story Points]],Tabelle1324568910111213[[#This Row],[Carry-over]])-Tabelle1324568910111213[[#This Row],[SP Initially Planned (COS)]]</f>
        <v>0</v>
      </c>
      <c r="O81"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81" s="211">
        <f>IFERROR(IF(Tabelle1324568910111213[[#This Row],[Status]]=$J$5,MIN(Tabelle1324568910111213[[#This Row],[Jira Story Points]],Tabelle1324568910111213[[#This Row],[Carry-over]]),0),0)</f>
        <v>0</v>
      </c>
      <c r="Q81" s="211">
        <f>IFERROR(IF(Tabelle1324568910111213[[#This Row],[Status]]=$J$5,0,MIN(Tabelle1324568910111213[[#This Row],[Jira Story Points]],Tabelle1324568910111213[[#This Row],[Carry-over]])-Tabelle1324568910111213[[#This Row],[SP Completed (COS &amp; SOS)]]),0)</f>
        <v>0</v>
      </c>
    </row>
    <row r="82" spans="1:17" ht="13.5" hidden="1" customHeight="1">
      <c r="A82" s="215" t="s">
        <v>1772</v>
      </c>
      <c r="B82" s="47" t="s">
        <v>1773</v>
      </c>
      <c r="C82" s="203" t="s">
        <v>382</v>
      </c>
      <c r="D82" s="203">
        <v>3</v>
      </c>
      <c r="E82" s="203" t="s">
        <v>278</v>
      </c>
      <c r="F82" s="204">
        <v>1</v>
      </c>
      <c r="G82" s="201" t="s">
        <v>17</v>
      </c>
      <c r="H82" s="205"/>
      <c r="I82" s="206"/>
      <c r="J82" s="203" t="s">
        <v>125</v>
      </c>
      <c r="K82" s="204"/>
      <c r="L82" s="204"/>
      <c r="M82" s="208">
        <f>IF(Tabelle1324568910111213[[#This Row],[Pulled after Start]]="",MIN(Tabelle1324568910111213[[#This Row],[Jira Story Points]],Tabelle1324568910111213[[#This Row],[Carry-over]]),0)</f>
        <v>1</v>
      </c>
      <c r="N82" s="209">
        <f>MIN(Tabelle1324568910111213[[#This Row],[Jira Story Points]],Tabelle1324568910111213[[#This Row],[Carry-over]])-Tabelle1324568910111213[[#This Row],[SP Initially Planned (COS)]]</f>
        <v>0</v>
      </c>
      <c r="O82"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82" s="211">
        <f>IFERROR(IF(Tabelle1324568910111213[[#This Row],[Status]]=$J$5,MIN(Tabelle1324568910111213[[#This Row],[Jira Story Points]],Tabelle1324568910111213[[#This Row],[Carry-over]]),0),0)</f>
        <v>0</v>
      </c>
      <c r="Q82" s="211">
        <f>IFERROR(IF(Tabelle1324568910111213[[#This Row],[Status]]=$J$5,0,MIN(Tabelle1324568910111213[[#This Row],[Jira Story Points]],Tabelle1324568910111213[[#This Row],[Carry-over]])-Tabelle1324568910111213[[#This Row],[SP Completed (COS &amp; SOS)]]),0)</f>
        <v>0</v>
      </c>
    </row>
    <row r="83" spans="1:17" ht="13.5" hidden="1" customHeight="1">
      <c r="A83" s="215" t="s">
        <v>1774</v>
      </c>
      <c r="B83" s="47" t="s">
        <v>1775</v>
      </c>
      <c r="C83" s="203" t="s">
        <v>382</v>
      </c>
      <c r="D83" s="203">
        <v>3</v>
      </c>
      <c r="E83" s="203" t="s">
        <v>278</v>
      </c>
      <c r="F83" s="204">
        <v>3</v>
      </c>
      <c r="G83" s="201" t="s">
        <v>17</v>
      </c>
      <c r="H83" s="205" t="s">
        <v>209</v>
      </c>
      <c r="I83" s="206"/>
      <c r="J83" s="203" t="s">
        <v>125</v>
      </c>
      <c r="K83" s="204"/>
      <c r="L83" s="204"/>
      <c r="M83" s="208">
        <f>IF(Tabelle1324568910111213[[#This Row],[Pulled after Start]]="",MIN(Tabelle1324568910111213[[#This Row],[Jira Story Points]],Tabelle1324568910111213[[#This Row],[Carry-over]]),0)</f>
        <v>0</v>
      </c>
      <c r="N83" s="209">
        <f>MIN(Tabelle1324568910111213[[#This Row],[Jira Story Points]],Tabelle1324568910111213[[#This Row],[Carry-over]])-Tabelle1324568910111213[[#This Row],[SP Initially Planned (COS)]]</f>
        <v>3</v>
      </c>
      <c r="O83"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83" s="211">
        <f>IFERROR(IF(Tabelle1324568910111213[[#This Row],[Status]]=$J$5,MIN(Tabelle1324568910111213[[#This Row],[Jira Story Points]],Tabelle1324568910111213[[#This Row],[Carry-over]]),0),0)</f>
        <v>0</v>
      </c>
      <c r="Q83" s="211">
        <f>IFERROR(IF(Tabelle1324568910111213[[#This Row],[Status]]=$J$5,0,MIN(Tabelle1324568910111213[[#This Row],[Jira Story Points]],Tabelle1324568910111213[[#This Row],[Carry-over]])-Tabelle1324568910111213[[#This Row],[SP Completed (COS &amp; SOS)]]),0)</f>
        <v>0</v>
      </c>
    </row>
    <row r="84" spans="1:17" ht="13.5" hidden="1" customHeight="1">
      <c r="A84" s="214" t="s">
        <v>1600</v>
      </c>
      <c r="B84" s="47" t="s">
        <v>1601</v>
      </c>
      <c r="C84" s="203" t="s">
        <v>372</v>
      </c>
      <c r="D84" s="203">
        <v>3</v>
      </c>
      <c r="E84" s="203" t="s">
        <v>288</v>
      </c>
      <c r="F84" s="204">
        <v>8</v>
      </c>
      <c r="G84" s="201" t="s">
        <v>24</v>
      </c>
      <c r="H84" s="216"/>
      <c r="I84" s="206"/>
      <c r="J84" s="203" t="s">
        <v>127</v>
      </c>
      <c r="K84" s="204"/>
      <c r="L84" s="204"/>
      <c r="M84" s="208">
        <f>IF(Tabelle1324568910111213[[#This Row],[Pulled after Start]]="",MIN(Tabelle1324568910111213[[#This Row],[Jira Story Points]],Tabelle1324568910111213[[#This Row],[Carry-over]]),0)</f>
        <v>8</v>
      </c>
      <c r="N84" s="209">
        <f>MIN(Tabelle1324568910111213[[#This Row],[Jira Story Points]],Tabelle1324568910111213[[#This Row],[Carry-over]])-Tabelle1324568910111213[[#This Row],[SP Initially Planned (COS)]]</f>
        <v>0</v>
      </c>
      <c r="O84"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84" s="211">
        <f>IFERROR(IF(Tabelle1324568910111213[[#This Row],[Status]]=$J$5,MIN(Tabelle1324568910111213[[#This Row],[Jira Story Points]],Tabelle1324568910111213[[#This Row],[Carry-over]]),0),0)</f>
        <v>0</v>
      </c>
      <c r="Q84" s="211">
        <f>IFERROR(IF(Tabelle1324568910111213[[#This Row],[Status]]=$J$5,0,MIN(Tabelle1324568910111213[[#This Row],[Jira Story Points]],Tabelle1324568910111213[[#This Row],[Carry-over]])-Tabelle1324568910111213[[#This Row],[SP Completed (COS &amp; SOS)]]),0)</f>
        <v>8</v>
      </c>
    </row>
    <row r="85" spans="1:17" ht="13.5" hidden="1" customHeight="1">
      <c r="A85" s="214" t="s">
        <v>1776</v>
      </c>
      <c r="B85" s="47" t="s">
        <v>1777</v>
      </c>
      <c r="C85" s="203" t="s">
        <v>372</v>
      </c>
      <c r="D85" s="203">
        <v>3</v>
      </c>
      <c r="E85" s="203" t="s">
        <v>216</v>
      </c>
      <c r="F85" s="204">
        <v>8</v>
      </c>
      <c r="G85" s="201" t="s">
        <v>24</v>
      </c>
      <c r="H85" s="216"/>
      <c r="I85" s="206"/>
      <c r="J85" s="203" t="s">
        <v>125</v>
      </c>
      <c r="K85" s="204"/>
      <c r="L85" s="204"/>
      <c r="M85" s="208">
        <f>IF(Tabelle1324568910111213[[#This Row],[Pulled after Start]]="",MIN(Tabelle1324568910111213[[#This Row],[Jira Story Points]],Tabelle1324568910111213[[#This Row],[Carry-over]]),0)</f>
        <v>8</v>
      </c>
      <c r="N85" s="209">
        <f>MIN(Tabelle1324568910111213[[#This Row],[Jira Story Points]],Tabelle1324568910111213[[#This Row],[Carry-over]])-Tabelle1324568910111213[[#This Row],[SP Initially Planned (COS)]]</f>
        <v>0</v>
      </c>
      <c r="O85"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8</v>
      </c>
      <c r="P85" s="211">
        <f>IFERROR(IF(Tabelle1324568910111213[[#This Row],[Status]]=$J$5,MIN(Tabelle1324568910111213[[#This Row],[Jira Story Points]],Tabelle1324568910111213[[#This Row],[Carry-over]]),0),0)</f>
        <v>0</v>
      </c>
      <c r="Q85" s="211">
        <f>IFERROR(IF(Tabelle1324568910111213[[#This Row],[Status]]=$J$5,0,MIN(Tabelle1324568910111213[[#This Row],[Jira Story Points]],Tabelle1324568910111213[[#This Row],[Carry-over]])-Tabelle1324568910111213[[#This Row],[SP Completed (COS &amp; SOS)]]),0)</f>
        <v>0</v>
      </c>
    </row>
    <row r="86" spans="1:17" ht="13.5" hidden="1" customHeight="1">
      <c r="A86" s="214" t="s">
        <v>1778</v>
      </c>
      <c r="B86" s="47" t="s">
        <v>1779</v>
      </c>
      <c r="C86" s="203" t="s">
        <v>372</v>
      </c>
      <c r="D86" s="203">
        <v>3</v>
      </c>
      <c r="E86" s="203" t="s">
        <v>216</v>
      </c>
      <c r="F86" s="204">
        <v>2</v>
      </c>
      <c r="G86" s="201" t="s">
        <v>24</v>
      </c>
      <c r="H86" s="216"/>
      <c r="I86" s="206"/>
      <c r="J86" s="203" t="s">
        <v>125</v>
      </c>
      <c r="K86" s="204"/>
      <c r="L86" s="204"/>
      <c r="M86" s="208">
        <f>IF(Tabelle1324568910111213[[#This Row],[Pulled after Start]]="",MIN(Tabelle1324568910111213[[#This Row],[Jira Story Points]],Tabelle1324568910111213[[#This Row],[Carry-over]]),0)</f>
        <v>2</v>
      </c>
      <c r="N86" s="209">
        <f>MIN(Tabelle1324568910111213[[#This Row],[Jira Story Points]],Tabelle1324568910111213[[#This Row],[Carry-over]])-Tabelle1324568910111213[[#This Row],[SP Initially Planned (COS)]]</f>
        <v>0</v>
      </c>
      <c r="O86"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86" s="211">
        <f>IFERROR(IF(Tabelle1324568910111213[[#This Row],[Status]]=$J$5,MIN(Tabelle1324568910111213[[#This Row],[Jira Story Points]],Tabelle1324568910111213[[#This Row],[Carry-over]]),0),0)</f>
        <v>0</v>
      </c>
      <c r="Q86" s="211">
        <f>IFERROR(IF(Tabelle1324568910111213[[#This Row],[Status]]=$J$5,0,MIN(Tabelle1324568910111213[[#This Row],[Jira Story Points]],Tabelle1324568910111213[[#This Row],[Carry-over]])-Tabelle1324568910111213[[#This Row],[SP Completed (COS &amp; SOS)]]),0)</f>
        <v>0</v>
      </c>
    </row>
    <row r="87" spans="1:17" ht="13.5" hidden="1" customHeight="1">
      <c r="A87" s="214" t="s">
        <v>1780</v>
      </c>
      <c r="B87" s="47" t="s">
        <v>1781</v>
      </c>
      <c r="C87" s="203" t="s">
        <v>372</v>
      </c>
      <c r="D87" s="203">
        <v>3</v>
      </c>
      <c r="E87" s="203" t="s">
        <v>216</v>
      </c>
      <c r="F87" s="204">
        <v>2</v>
      </c>
      <c r="G87" s="201" t="s">
        <v>24</v>
      </c>
      <c r="H87" s="217"/>
      <c r="I87" s="218"/>
      <c r="J87" s="203" t="s">
        <v>125</v>
      </c>
      <c r="K87" s="204"/>
      <c r="L87" s="204"/>
      <c r="M87" s="208">
        <f>IF(Tabelle1324568910111213[[#This Row],[Pulled after Start]]="",MIN(Tabelle1324568910111213[[#This Row],[Jira Story Points]],Tabelle1324568910111213[[#This Row],[Carry-over]]),0)</f>
        <v>2</v>
      </c>
      <c r="N87" s="209">
        <f>MIN(Tabelle1324568910111213[[#This Row],[Jira Story Points]],Tabelle1324568910111213[[#This Row],[Carry-over]])-Tabelle1324568910111213[[#This Row],[SP Initially Planned (COS)]]</f>
        <v>0</v>
      </c>
      <c r="O87"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87" s="211">
        <f>IFERROR(IF(Tabelle1324568910111213[[#This Row],[Status]]=$J$5,MIN(Tabelle1324568910111213[[#This Row],[Jira Story Points]],Tabelle1324568910111213[[#This Row],[Carry-over]]),0),0)</f>
        <v>0</v>
      </c>
      <c r="Q87" s="211">
        <f>IFERROR(IF(Tabelle1324568910111213[[#This Row],[Status]]=$J$5,0,MIN(Tabelle1324568910111213[[#This Row],[Jira Story Points]],Tabelle1324568910111213[[#This Row],[Carry-over]])-Tabelle1324568910111213[[#This Row],[SP Completed (COS &amp; SOS)]]),0)</f>
        <v>0</v>
      </c>
    </row>
    <row r="88" spans="1:17" ht="13.5" hidden="1" customHeight="1">
      <c r="A88" s="214" t="s">
        <v>1782</v>
      </c>
      <c r="B88" s="47" t="s">
        <v>1783</v>
      </c>
      <c r="C88" s="203" t="s">
        <v>372</v>
      </c>
      <c r="D88" s="203">
        <v>3</v>
      </c>
      <c r="E88" s="203" t="s">
        <v>216</v>
      </c>
      <c r="F88" s="204">
        <v>3</v>
      </c>
      <c r="G88" s="201" t="s">
        <v>24</v>
      </c>
      <c r="H88" s="217"/>
      <c r="I88" s="218"/>
      <c r="J88" s="203" t="s">
        <v>125</v>
      </c>
      <c r="K88" s="204"/>
      <c r="L88" s="204"/>
      <c r="M88" s="208">
        <f>IF(Tabelle1324568910111213[[#This Row],[Pulled after Start]]="",MIN(Tabelle1324568910111213[[#This Row],[Jira Story Points]],Tabelle1324568910111213[[#This Row],[Carry-over]]),0)</f>
        <v>3</v>
      </c>
      <c r="N88" s="209">
        <f>MIN(Tabelle1324568910111213[[#This Row],[Jira Story Points]],Tabelle1324568910111213[[#This Row],[Carry-over]])-Tabelle1324568910111213[[#This Row],[SP Initially Planned (COS)]]</f>
        <v>0</v>
      </c>
      <c r="O88"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88" s="211">
        <f>IFERROR(IF(Tabelle1324568910111213[[#This Row],[Status]]=$J$5,MIN(Tabelle1324568910111213[[#This Row],[Jira Story Points]],Tabelle1324568910111213[[#This Row],[Carry-over]]),0),0)</f>
        <v>0</v>
      </c>
      <c r="Q88" s="211">
        <f>IFERROR(IF(Tabelle1324568910111213[[#This Row],[Status]]=$J$5,0,MIN(Tabelle1324568910111213[[#This Row],[Jira Story Points]],Tabelle1324568910111213[[#This Row],[Carry-over]])-Tabelle1324568910111213[[#This Row],[SP Completed (COS &amp; SOS)]]),0)</f>
        <v>0</v>
      </c>
    </row>
    <row r="89" spans="1:17" ht="13.5" hidden="1" customHeight="1">
      <c r="A89" s="214" t="s">
        <v>1784</v>
      </c>
      <c r="B89" s="47" t="s">
        <v>1785</v>
      </c>
      <c r="C89" s="203" t="s">
        <v>375</v>
      </c>
      <c r="D89" s="203">
        <v>3</v>
      </c>
      <c r="E89" s="203" t="s">
        <v>216</v>
      </c>
      <c r="F89" s="204">
        <v>3</v>
      </c>
      <c r="G89" s="201" t="s">
        <v>24</v>
      </c>
      <c r="H89" s="217"/>
      <c r="I89" s="218"/>
      <c r="J89" s="203" t="s">
        <v>125</v>
      </c>
      <c r="K89" s="204"/>
      <c r="L89" s="204"/>
      <c r="M89" s="208">
        <f>IF(Tabelle1324568910111213[[#This Row],[Pulled after Start]]="",MIN(Tabelle1324568910111213[[#This Row],[Jira Story Points]],Tabelle1324568910111213[[#This Row],[Carry-over]]),0)</f>
        <v>3</v>
      </c>
      <c r="N89" s="209">
        <f>MIN(Tabelle1324568910111213[[#This Row],[Jira Story Points]],Tabelle1324568910111213[[#This Row],[Carry-over]])-Tabelle1324568910111213[[#This Row],[SP Initially Planned (COS)]]</f>
        <v>0</v>
      </c>
      <c r="O89"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89" s="211">
        <f>IFERROR(IF(Tabelle1324568910111213[[#This Row],[Status]]=$J$5,MIN(Tabelle1324568910111213[[#This Row],[Jira Story Points]],Tabelle1324568910111213[[#This Row],[Carry-over]]),0),0)</f>
        <v>0</v>
      </c>
      <c r="Q89" s="211">
        <f>IFERROR(IF(Tabelle1324568910111213[[#This Row],[Status]]=$J$5,0,MIN(Tabelle1324568910111213[[#This Row],[Jira Story Points]],Tabelle1324568910111213[[#This Row],[Carry-over]])-Tabelle1324568910111213[[#This Row],[SP Completed (COS &amp; SOS)]]),0)</f>
        <v>0</v>
      </c>
    </row>
    <row r="90" spans="1:17" ht="13.5" hidden="1" customHeight="1">
      <c r="A90" s="214" t="s">
        <v>1786</v>
      </c>
      <c r="B90" s="47" t="s">
        <v>1787</v>
      </c>
      <c r="C90" s="203" t="s">
        <v>375</v>
      </c>
      <c r="D90" s="203">
        <v>3</v>
      </c>
      <c r="E90" s="203" t="s">
        <v>216</v>
      </c>
      <c r="F90" s="204">
        <v>3</v>
      </c>
      <c r="G90" s="201" t="s">
        <v>24</v>
      </c>
      <c r="H90" s="217"/>
      <c r="I90" s="218"/>
      <c r="J90" s="203" t="s">
        <v>125</v>
      </c>
      <c r="K90" s="204"/>
      <c r="L90" s="204"/>
      <c r="M90" s="208">
        <f>IF(Tabelle1324568910111213[[#This Row],[Pulled after Start]]="",MIN(Tabelle1324568910111213[[#This Row],[Jira Story Points]],Tabelle1324568910111213[[#This Row],[Carry-over]]),0)</f>
        <v>3</v>
      </c>
      <c r="N90" s="209">
        <f>MIN(Tabelle1324568910111213[[#This Row],[Jira Story Points]],Tabelle1324568910111213[[#This Row],[Carry-over]])-Tabelle1324568910111213[[#This Row],[SP Initially Planned (COS)]]</f>
        <v>0</v>
      </c>
      <c r="O90"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90" s="211">
        <f>IFERROR(IF(Tabelle1324568910111213[[#This Row],[Status]]=$J$5,MIN(Tabelle1324568910111213[[#This Row],[Jira Story Points]],Tabelle1324568910111213[[#This Row],[Carry-over]]),0),0)</f>
        <v>0</v>
      </c>
      <c r="Q90" s="211">
        <f>IFERROR(IF(Tabelle1324568910111213[[#This Row],[Status]]=$J$5,0,MIN(Tabelle1324568910111213[[#This Row],[Jira Story Points]],Tabelle1324568910111213[[#This Row],[Carry-over]])-Tabelle1324568910111213[[#This Row],[SP Completed (COS &amp; SOS)]]),0)</f>
        <v>0</v>
      </c>
    </row>
    <row r="91" spans="1:17" ht="13.5" hidden="1" customHeight="1">
      <c r="A91" s="214" t="s">
        <v>1788</v>
      </c>
      <c r="B91" s="47" t="s">
        <v>1789</v>
      </c>
      <c r="C91" s="203" t="s">
        <v>375</v>
      </c>
      <c r="D91" s="203">
        <v>3</v>
      </c>
      <c r="E91" s="203" t="s">
        <v>216</v>
      </c>
      <c r="F91" s="204">
        <v>3</v>
      </c>
      <c r="G91" s="201" t="s">
        <v>24</v>
      </c>
      <c r="H91" s="217"/>
      <c r="I91" s="218"/>
      <c r="J91" s="203" t="s">
        <v>125</v>
      </c>
      <c r="K91" s="204"/>
      <c r="L91" s="204"/>
      <c r="M91" s="208">
        <f>IF(Tabelle1324568910111213[[#This Row],[Pulled after Start]]="",MIN(Tabelle1324568910111213[[#This Row],[Jira Story Points]],Tabelle1324568910111213[[#This Row],[Carry-over]]),0)</f>
        <v>3</v>
      </c>
      <c r="N91" s="209">
        <f>MIN(Tabelle1324568910111213[[#This Row],[Jira Story Points]],Tabelle1324568910111213[[#This Row],[Carry-over]])-Tabelle1324568910111213[[#This Row],[SP Initially Planned (COS)]]</f>
        <v>0</v>
      </c>
      <c r="O91"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91" s="211">
        <f>IFERROR(IF(Tabelle1324568910111213[[#This Row],[Status]]=$J$5,MIN(Tabelle1324568910111213[[#This Row],[Jira Story Points]],Tabelle1324568910111213[[#This Row],[Carry-over]]),0),0)</f>
        <v>0</v>
      </c>
      <c r="Q91" s="211">
        <f>IFERROR(IF(Tabelle1324568910111213[[#This Row],[Status]]=$J$5,0,MIN(Tabelle1324568910111213[[#This Row],[Jira Story Points]],Tabelle1324568910111213[[#This Row],[Carry-over]])-Tabelle1324568910111213[[#This Row],[SP Completed (COS &amp; SOS)]]),0)</f>
        <v>0</v>
      </c>
    </row>
    <row r="92" spans="1:17" ht="13.5" hidden="1" customHeight="1">
      <c r="A92" s="214" t="s">
        <v>1602</v>
      </c>
      <c r="B92" s="47" t="s">
        <v>1603</v>
      </c>
      <c r="C92" s="203" t="s">
        <v>375</v>
      </c>
      <c r="D92" s="203">
        <v>2</v>
      </c>
      <c r="E92" s="203" t="s">
        <v>288</v>
      </c>
      <c r="F92" s="204">
        <v>3</v>
      </c>
      <c r="G92" s="201" t="s">
        <v>24</v>
      </c>
      <c r="H92" s="219" t="s">
        <v>209</v>
      </c>
      <c r="I92" s="218"/>
      <c r="J92" s="203" t="s">
        <v>127</v>
      </c>
      <c r="K92" s="204"/>
      <c r="L92" s="204"/>
      <c r="M92" s="208">
        <f>IF(Tabelle1324568910111213[[#This Row],[Pulled after Start]]="",MIN(Tabelle1324568910111213[[#This Row],[Jira Story Points]],Tabelle1324568910111213[[#This Row],[Carry-over]]),0)</f>
        <v>0</v>
      </c>
      <c r="N92" s="209">
        <f>MIN(Tabelle1324568910111213[[#This Row],[Jira Story Points]],Tabelle1324568910111213[[#This Row],[Carry-over]])-Tabelle1324568910111213[[#This Row],[SP Initially Planned (COS)]]</f>
        <v>3</v>
      </c>
      <c r="O92"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92" s="211">
        <f>IFERROR(IF(Tabelle1324568910111213[[#This Row],[Status]]=$J$5,MIN(Tabelle1324568910111213[[#This Row],[Jira Story Points]],Tabelle1324568910111213[[#This Row],[Carry-over]]),0),0)</f>
        <v>0</v>
      </c>
      <c r="Q92" s="211">
        <f>IFERROR(IF(Tabelle1324568910111213[[#This Row],[Status]]=$J$5,0,MIN(Tabelle1324568910111213[[#This Row],[Jira Story Points]],Tabelle1324568910111213[[#This Row],[Carry-over]])-Tabelle1324568910111213[[#This Row],[SP Completed (COS &amp; SOS)]]),0)</f>
        <v>3</v>
      </c>
    </row>
    <row r="93" spans="1:17" ht="13.5" hidden="1" customHeight="1">
      <c r="A93" s="214" t="s">
        <v>1768</v>
      </c>
      <c r="B93" s="47" t="s">
        <v>1790</v>
      </c>
      <c r="C93" s="203" t="s">
        <v>375</v>
      </c>
      <c r="D93" s="203">
        <v>3</v>
      </c>
      <c r="E93" s="203" t="s">
        <v>288</v>
      </c>
      <c r="F93" s="204">
        <v>3</v>
      </c>
      <c r="G93" s="201" t="s">
        <v>24</v>
      </c>
      <c r="H93" s="219" t="s">
        <v>209</v>
      </c>
      <c r="I93" s="218"/>
      <c r="J93" s="203" t="s">
        <v>127</v>
      </c>
      <c r="K93" s="204"/>
      <c r="L93" s="204"/>
      <c r="M93" s="208">
        <f>IF(Tabelle1324568910111213[[#This Row],[Pulled after Start]]="",MIN(Tabelle1324568910111213[[#This Row],[Jira Story Points]],Tabelle1324568910111213[[#This Row],[Carry-over]]),0)</f>
        <v>0</v>
      </c>
      <c r="N93" s="209">
        <f>MIN(Tabelle1324568910111213[[#This Row],[Jira Story Points]],Tabelle1324568910111213[[#This Row],[Carry-over]])-Tabelle1324568910111213[[#This Row],[SP Initially Planned (COS)]]</f>
        <v>3</v>
      </c>
      <c r="O93"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93" s="211">
        <f>IFERROR(IF(Tabelle1324568910111213[[#This Row],[Status]]=$J$5,MIN(Tabelle1324568910111213[[#This Row],[Jira Story Points]],Tabelle1324568910111213[[#This Row],[Carry-over]]),0),0)</f>
        <v>0</v>
      </c>
      <c r="Q93" s="211">
        <f>IFERROR(IF(Tabelle1324568910111213[[#This Row],[Status]]=$J$5,0,MIN(Tabelle1324568910111213[[#This Row],[Jira Story Points]],Tabelle1324568910111213[[#This Row],[Carry-over]])-Tabelle1324568910111213[[#This Row],[SP Completed (COS &amp; SOS)]]),0)</f>
        <v>3</v>
      </c>
    </row>
    <row r="94" spans="1:17" ht="13.5" hidden="1" customHeight="1">
      <c r="A94" s="214" t="s">
        <v>1604</v>
      </c>
      <c r="B94" s="47" t="s">
        <v>1605</v>
      </c>
      <c r="C94" s="203" t="s">
        <v>382</v>
      </c>
      <c r="D94" s="203">
        <v>3</v>
      </c>
      <c r="E94" s="203" t="s">
        <v>281</v>
      </c>
      <c r="F94" s="204">
        <v>5</v>
      </c>
      <c r="G94" s="201" t="s">
        <v>24</v>
      </c>
      <c r="H94" s="219" t="s">
        <v>209</v>
      </c>
      <c r="I94" s="218"/>
      <c r="J94" s="203" t="s">
        <v>127</v>
      </c>
      <c r="K94" s="204"/>
      <c r="L94" s="204"/>
      <c r="M94" s="208">
        <f>IF(Tabelle1324568910111213[[#This Row],[Pulled after Start]]="",MIN(Tabelle1324568910111213[[#This Row],[Jira Story Points]],Tabelle1324568910111213[[#This Row],[Carry-over]]),0)</f>
        <v>0</v>
      </c>
      <c r="N94" s="209">
        <f>MIN(Tabelle1324568910111213[[#This Row],[Jira Story Points]],Tabelle1324568910111213[[#This Row],[Carry-over]])-Tabelle1324568910111213[[#This Row],[SP Initially Planned (COS)]]</f>
        <v>5</v>
      </c>
      <c r="O94"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94" s="211">
        <f>IFERROR(IF(Tabelle1324568910111213[[#This Row],[Status]]=$J$5,MIN(Tabelle1324568910111213[[#This Row],[Jira Story Points]],Tabelle1324568910111213[[#This Row],[Carry-over]]),0),0)</f>
        <v>0</v>
      </c>
      <c r="Q94" s="211">
        <f>IFERROR(IF(Tabelle1324568910111213[[#This Row],[Status]]=$J$5,0,MIN(Tabelle1324568910111213[[#This Row],[Jira Story Points]],Tabelle1324568910111213[[#This Row],[Carry-over]])-Tabelle1324568910111213[[#This Row],[SP Completed (COS &amp; SOS)]]),0)</f>
        <v>5</v>
      </c>
    </row>
    <row r="95" spans="1:17" ht="13.5" hidden="1" customHeight="1">
      <c r="A95" s="214" t="s">
        <v>1791</v>
      </c>
      <c r="B95" s="47" t="s">
        <v>1792</v>
      </c>
      <c r="C95" s="203" t="s">
        <v>372</v>
      </c>
      <c r="D95" s="203">
        <v>3</v>
      </c>
      <c r="E95" s="203" t="s">
        <v>278</v>
      </c>
      <c r="F95" s="204">
        <v>3</v>
      </c>
      <c r="G95" s="201" t="s">
        <v>24</v>
      </c>
      <c r="H95" s="216"/>
      <c r="I95" s="206"/>
      <c r="J95" s="203" t="s">
        <v>125</v>
      </c>
      <c r="K95" s="204"/>
      <c r="L95" s="204"/>
      <c r="M95" s="208">
        <f>IF(Tabelle1324568910111213[[#This Row],[Pulled after Start]]="",MIN(Tabelle1324568910111213[[#This Row],[Jira Story Points]],Tabelle1324568910111213[[#This Row],[Carry-over]]),0)</f>
        <v>3</v>
      </c>
      <c r="N95" s="209">
        <f>MIN(Tabelle1324568910111213[[#This Row],[Jira Story Points]],Tabelle1324568910111213[[#This Row],[Carry-over]])-Tabelle1324568910111213[[#This Row],[SP Initially Planned (COS)]]</f>
        <v>0</v>
      </c>
      <c r="O95"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95" s="211">
        <f>IFERROR(IF(Tabelle1324568910111213[[#This Row],[Status]]=$J$5,MIN(Tabelle1324568910111213[[#This Row],[Jira Story Points]],Tabelle1324568910111213[[#This Row],[Carry-over]]),0),0)</f>
        <v>0</v>
      </c>
      <c r="Q95" s="211">
        <f>IFERROR(IF(Tabelle1324568910111213[[#This Row],[Status]]=$J$5,0,MIN(Tabelle1324568910111213[[#This Row],[Jira Story Points]],Tabelle1324568910111213[[#This Row],[Carry-over]])-Tabelle1324568910111213[[#This Row],[SP Completed (COS &amp; SOS)]]),0)</f>
        <v>0</v>
      </c>
    </row>
    <row r="96" spans="1:17" ht="13.5" hidden="1" customHeight="1">
      <c r="A96" s="214" t="s">
        <v>1610</v>
      </c>
      <c r="B96" s="47" t="s">
        <v>1611</v>
      </c>
      <c r="C96" s="203" t="s">
        <v>375</v>
      </c>
      <c r="D96" s="203">
        <v>2</v>
      </c>
      <c r="E96" s="203" t="s">
        <v>288</v>
      </c>
      <c r="F96" s="204">
        <v>3</v>
      </c>
      <c r="G96" s="201" t="s">
        <v>24</v>
      </c>
      <c r="H96" s="205" t="s">
        <v>209</v>
      </c>
      <c r="I96" s="206"/>
      <c r="J96" s="203" t="s">
        <v>127</v>
      </c>
      <c r="K96" s="204"/>
      <c r="L96" s="204"/>
      <c r="M96" s="208">
        <f>IF(Tabelle1324568910111213[[#This Row],[Pulled after Start]]="",MIN(Tabelle1324568910111213[[#This Row],[Jira Story Points]],Tabelle1324568910111213[[#This Row],[Carry-over]]),0)</f>
        <v>0</v>
      </c>
      <c r="N96" s="209">
        <f>MIN(Tabelle1324568910111213[[#This Row],[Jira Story Points]],Tabelle1324568910111213[[#This Row],[Carry-over]])-Tabelle1324568910111213[[#This Row],[SP Initially Planned (COS)]]</f>
        <v>3</v>
      </c>
      <c r="O96"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96" s="211">
        <f>IFERROR(IF(Tabelle1324568910111213[[#This Row],[Status]]=$J$5,MIN(Tabelle1324568910111213[[#This Row],[Jira Story Points]],Tabelle1324568910111213[[#This Row],[Carry-over]]),0),0)</f>
        <v>0</v>
      </c>
      <c r="Q96" s="211">
        <f>IFERROR(IF(Tabelle1324568910111213[[#This Row],[Status]]=$J$5,0,MIN(Tabelle1324568910111213[[#This Row],[Jira Story Points]],Tabelle1324568910111213[[#This Row],[Carry-over]])-Tabelle1324568910111213[[#This Row],[SP Completed (COS &amp; SOS)]]),0)</f>
        <v>3</v>
      </c>
    </row>
    <row r="97" spans="1:17" ht="13.5" hidden="1" customHeight="1">
      <c r="A97" s="214" t="s">
        <v>1793</v>
      </c>
      <c r="B97" s="47" t="s">
        <v>1794</v>
      </c>
      <c r="C97" s="203" t="s">
        <v>372</v>
      </c>
      <c r="D97" s="203">
        <v>3</v>
      </c>
      <c r="E97" s="203" t="s">
        <v>278</v>
      </c>
      <c r="F97" s="204">
        <v>1</v>
      </c>
      <c r="G97" s="201" t="s">
        <v>24</v>
      </c>
      <c r="H97" s="216"/>
      <c r="I97" s="206"/>
      <c r="J97" s="203" t="s">
        <v>125</v>
      </c>
      <c r="K97" s="204"/>
      <c r="L97" s="204"/>
      <c r="M97" s="208">
        <f>IF(Tabelle1324568910111213[[#This Row],[Pulled after Start]]="",MIN(Tabelle1324568910111213[[#This Row],[Jira Story Points]],Tabelle1324568910111213[[#This Row],[Carry-over]]),0)</f>
        <v>1</v>
      </c>
      <c r="N97" s="209">
        <f>MIN(Tabelle1324568910111213[[#This Row],[Jira Story Points]],Tabelle1324568910111213[[#This Row],[Carry-over]])-Tabelle1324568910111213[[#This Row],[SP Initially Planned (COS)]]</f>
        <v>0</v>
      </c>
      <c r="O97"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97" s="211">
        <f>IFERROR(IF(Tabelle1324568910111213[[#This Row],[Status]]=$J$5,MIN(Tabelle1324568910111213[[#This Row],[Jira Story Points]],Tabelle1324568910111213[[#This Row],[Carry-over]]),0),0)</f>
        <v>0</v>
      </c>
      <c r="Q97" s="211">
        <f>IFERROR(IF(Tabelle1324568910111213[[#This Row],[Status]]=$J$5,0,MIN(Tabelle1324568910111213[[#This Row],[Jira Story Points]],Tabelle1324568910111213[[#This Row],[Carry-over]])-Tabelle1324568910111213[[#This Row],[SP Completed (COS &amp; SOS)]]),0)</f>
        <v>0</v>
      </c>
    </row>
    <row r="98" spans="1:17" ht="13.5" hidden="1" customHeight="1">
      <c r="A98" s="214" t="s">
        <v>1795</v>
      </c>
      <c r="B98" s="47" t="s">
        <v>1796</v>
      </c>
      <c r="C98" s="203" t="s">
        <v>375</v>
      </c>
      <c r="D98" s="203">
        <v>3</v>
      </c>
      <c r="E98" s="203" t="s">
        <v>216</v>
      </c>
      <c r="F98" s="204">
        <v>3</v>
      </c>
      <c r="G98" s="201" t="s">
        <v>24</v>
      </c>
      <c r="H98" s="205" t="s">
        <v>209</v>
      </c>
      <c r="I98" s="206"/>
      <c r="J98" s="203" t="s">
        <v>125</v>
      </c>
      <c r="K98" s="204"/>
      <c r="L98" s="204"/>
      <c r="M98" s="208">
        <f>IF(Tabelle1324568910111213[[#This Row],[Pulled after Start]]="",MIN(Tabelle1324568910111213[[#This Row],[Jira Story Points]],Tabelle1324568910111213[[#This Row],[Carry-over]]),0)</f>
        <v>0</v>
      </c>
      <c r="N98" s="209">
        <f>MIN(Tabelle1324568910111213[[#This Row],[Jira Story Points]],Tabelle1324568910111213[[#This Row],[Carry-over]])-Tabelle1324568910111213[[#This Row],[SP Initially Planned (COS)]]</f>
        <v>3</v>
      </c>
      <c r="O98"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98" s="211">
        <f>IFERROR(IF(Tabelle1324568910111213[[#This Row],[Status]]=$J$5,MIN(Tabelle1324568910111213[[#This Row],[Jira Story Points]],Tabelle1324568910111213[[#This Row],[Carry-over]]),0),0)</f>
        <v>0</v>
      </c>
      <c r="Q98" s="211">
        <f>IFERROR(IF(Tabelle1324568910111213[[#This Row],[Status]]=$J$5,0,MIN(Tabelle1324568910111213[[#This Row],[Jira Story Points]],Tabelle1324568910111213[[#This Row],[Carry-over]])-Tabelle1324568910111213[[#This Row],[SP Completed (COS &amp; SOS)]]),0)</f>
        <v>0</v>
      </c>
    </row>
    <row r="99" spans="1:17" ht="13.5" hidden="1" customHeight="1">
      <c r="A99" s="214" t="s">
        <v>1416</v>
      </c>
      <c r="B99" s="47" t="s">
        <v>1417</v>
      </c>
      <c r="C99" s="203" t="s">
        <v>372</v>
      </c>
      <c r="D99" s="203">
        <v>3</v>
      </c>
      <c r="E99" s="203" t="s">
        <v>288</v>
      </c>
      <c r="F99" s="204">
        <v>3</v>
      </c>
      <c r="G99" s="201" t="s">
        <v>24</v>
      </c>
      <c r="H99" s="205" t="s">
        <v>209</v>
      </c>
      <c r="I99" s="206"/>
      <c r="J99" s="203" t="s">
        <v>127</v>
      </c>
      <c r="K99" s="204"/>
      <c r="L99" s="204"/>
      <c r="M99" s="208">
        <f>IF(Tabelle1324568910111213[[#This Row],[Pulled after Start]]="",MIN(Tabelle1324568910111213[[#This Row],[Jira Story Points]],Tabelle1324568910111213[[#This Row],[Carry-over]]),0)</f>
        <v>0</v>
      </c>
      <c r="N99" s="209">
        <f>MIN(Tabelle1324568910111213[[#This Row],[Jira Story Points]],Tabelle1324568910111213[[#This Row],[Carry-over]])-Tabelle1324568910111213[[#This Row],[SP Initially Planned (COS)]]</f>
        <v>3</v>
      </c>
      <c r="O99"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99" s="211">
        <f>IFERROR(IF(Tabelle1324568910111213[[#This Row],[Status]]=$J$5,MIN(Tabelle1324568910111213[[#This Row],[Jira Story Points]],Tabelle1324568910111213[[#This Row],[Carry-over]]),0),0)</f>
        <v>0</v>
      </c>
      <c r="Q99" s="211">
        <f>IFERROR(IF(Tabelle1324568910111213[[#This Row],[Status]]=$J$5,0,MIN(Tabelle1324568910111213[[#This Row],[Jira Story Points]],Tabelle1324568910111213[[#This Row],[Carry-over]])-Tabelle1324568910111213[[#This Row],[SP Completed (COS &amp; SOS)]]),0)</f>
        <v>3</v>
      </c>
    </row>
    <row r="100" spans="1:17" ht="13.5" hidden="1" customHeight="1">
      <c r="A100" s="214" t="s">
        <v>1797</v>
      </c>
      <c r="B100" s="47" t="s">
        <v>1798</v>
      </c>
      <c r="C100" s="203" t="s">
        <v>375</v>
      </c>
      <c r="D100" s="203">
        <v>2</v>
      </c>
      <c r="E100" s="203" t="s">
        <v>324</v>
      </c>
      <c r="F100" s="204">
        <v>5</v>
      </c>
      <c r="G100" s="203" t="s">
        <v>32</v>
      </c>
      <c r="H100" s="205"/>
      <c r="I100" s="206"/>
      <c r="J100" s="203" t="s">
        <v>125</v>
      </c>
      <c r="K100" s="204">
        <v>1</v>
      </c>
      <c r="L100" s="204"/>
      <c r="M100" s="208">
        <f>IF(Tabelle1324568910111213[[#This Row],[Pulled after Start]]="",MIN(Tabelle1324568910111213[[#This Row],[Jira Story Points]],Tabelle1324568910111213[[#This Row],[Carry-over]]),0)</f>
        <v>1</v>
      </c>
      <c r="N100" s="209">
        <f>MIN(Tabelle1324568910111213[[#This Row],[Jira Story Points]],Tabelle1324568910111213[[#This Row],[Carry-over]])-Tabelle1324568910111213[[#This Row],[SP Initially Planned (COS)]]</f>
        <v>0</v>
      </c>
      <c r="O100"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100" s="211">
        <f>IFERROR(IF(Tabelle1324568910111213[[#This Row],[Status]]=$J$5,MIN(Tabelle1324568910111213[[#This Row],[Jira Story Points]],Tabelle1324568910111213[[#This Row],[Carry-over]]),0),0)</f>
        <v>0</v>
      </c>
      <c r="Q100" s="211">
        <f>IFERROR(IF(Tabelle1324568910111213[[#This Row],[Status]]=$J$5,0,MIN(Tabelle1324568910111213[[#This Row],[Jira Story Points]],Tabelle1324568910111213[[#This Row],[Carry-over]])-Tabelle1324568910111213[[#This Row],[SP Completed (COS &amp; SOS)]]),0)</f>
        <v>0</v>
      </c>
    </row>
    <row r="101" spans="1:17" ht="13.5" hidden="1" customHeight="1">
      <c r="A101" s="214" t="s">
        <v>1799</v>
      </c>
      <c r="B101" s="47" t="s">
        <v>1800</v>
      </c>
      <c r="C101" s="203" t="s">
        <v>375</v>
      </c>
      <c r="D101" s="203">
        <v>3</v>
      </c>
      <c r="E101" s="203" t="s">
        <v>324</v>
      </c>
      <c r="F101" s="204">
        <v>3</v>
      </c>
      <c r="G101" s="203" t="s">
        <v>32</v>
      </c>
      <c r="H101" s="205" t="s">
        <v>209</v>
      </c>
      <c r="I101" s="206"/>
      <c r="J101" s="203" t="s">
        <v>125</v>
      </c>
      <c r="K101" s="204"/>
      <c r="L101" s="204"/>
      <c r="M101" s="208">
        <f>IF(Tabelle1324568910111213[[#This Row],[Pulled after Start]]="",MIN(Tabelle1324568910111213[[#This Row],[Jira Story Points]],Tabelle1324568910111213[[#This Row],[Carry-over]]),0)</f>
        <v>0</v>
      </c>
      <c r="N101" s="209">
        <f>MIN(Tabelle1324568910111213[[#This Row],[Jira Story Points]],Tabelle1324568910111213[[#This Row],[Carry-over]])-Tabelle1324568910111213[[#This Row],[SP Initially Planned (COS)]]</f>
        <v>3</v>
      </c>
      <c r="O101"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01" s="211">
        <f>IFERROR(IF(Tabelle1324568910111213[[#This Row],[Status]]=$J$5,MIN(Tabelle1324568910111213[[#This Row],[Jira Story Points]],Tabelle1324568910111213[[#This Row],[Carry-over]]),0),0)</f>
        <v>0</v>
      </c>
      <c r="Q101" s="211">
        <f>IFERROR(IF(Tabelle1324568910111213[[#This Row],[Status]]=$J$5,0,MIN(Tabelle1324568910111213[[#This Row],[Jira Story Points]],Tabelle1324568910111213[[#This Row],[Carry-over]])-Tabelle1324568910111213[[#This Row],[SP Completed (COS &amp; SOS)]]),0)</f>
        <v>0</v>
      </c>
    </row>
    <row r="102" spans="1:17" ht="13.5" hidden="1" customHeight="1">
      <c r="A102" s="214" t="s">
        <v>1801</v>
      </c>
      <c r="B102" s="47" t="s">
        <v>1802</v>
      </c>
      <c r="C102" s="203" t="s">
        <v>372</v>
      </c>
      <c r="D102" s="203">
        <v>3</v>
      </c>
      <c r="E102" s="203" t="s">
        <v>324</v>
      </c>
      <c r="F102" s="204">
        <v>3</v>
      </c>
      <c r="G102" s="203" t="s">
        <v>32</v>
      </c>
      <c r="H102" s="205"/>
      <c r="I102" s="206"/>
      <c r="J102" s="203" t="s">
        <v>125</v>
      </c>
      <c r="K102" s="204"/>
      <c r="L102" s="204"/>
      <c r="M102" s="208">
        <f>IF(Tabelle1324568910111213[[#This Row],[Pulled after Start]]="",MIN(Tabelle1324568910111213[[#This Row],[Jira Story Points]],Tabelle1324568910111213[[#This Row],[Carry-over]]),0)</f>
        <v>3</v>
      </c>
      <c r="N102" s="209">
        <f>MIN(Tabelle1324568910111213[[#This Row],[Jira Story Points]],Tabelle1324568910111213[[#This Row],[Carry-over]])-Tabelle1324568910111213[[#This Row],[SP Initially Planned (COS)]]</f>
        <v>0</v>
      </c>
      <c r="O102"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02" s="211">
        <f>IFERROR(IF(Tabelle1324568910111213[[#This Row],[Status]]=$J$5,MIN(Tabelle1324568910111213[[#This Row],[Jira Story Points]],Tabelle1324568910111213[[#This Row],[Carry-over]]),0),0)</f>
        <v>0</v>
      </c>
      <c r="Q102" s="211">
        <f>IFERROR(IF(Tabelle1324568910111213[[#This Row],[Status]]=$J$5,0,MIN(Tabelle1324568910111213[[#This Row],[Jira Story Points]],Tabelle1324568910111213[[#This Row],[Carry-over]])-Tabelle1324568910111213[[#This Row],[SP Completed (COS &amp; SOS)]]),0)</f>
        <v>0</v>
      </c>
    </row>
    <row r="103" spans="1:17" ht="13.5" hidden="1" customHeight="1">
      <c r="A103" s="214" t="s">
        <v>1803</v>
      </c>
      <c r="B103" s="47" t="s">
        <v>1804</v>
      </c>
      <c r="C103" s="203" t="s">
        <v>372</v>
      </c>
      <c r="D103" s="203">
        <v>3</v>
      </c>
      <c r="E103" s="203" t="s">
        <v>324</v>
      </c>
      <c r="F103" s="204">
        <v>3</v>
      </c>
      <c r="G103" s="203" t="s">
        <v>32</v>
      </c>
      <c r="H103" s="205"/>
      <c r="I103" s="206"/>
      <c r="J103" s="203" t="s">
        <v>125</v>
      </c>
      <c r="K103" s="204"/>
      <c r="L103" s="204"/>
      <c r="M103" s="208">
        <f>IF(Tabelle1324568910111213[[#This Row],[Pulled after Start]]="",MIN(Tabelle1324568910111213[[#This Row],[Jira Story Points]],Tabelle1324568910111213[[#This Row],[Carry-over]]),0)</f>
        <v>3</v>
      </c>
      <c r="N103" s="209">
        <f>MIN(Tabelle1324568910111213[[#This Row],[Jira Story Points]],Tabelle1324568910111213[[#This Row],[Carry-over]])-Tabelle1324568910111213[[#This Row],[SP Initially Planned (COS)]]</f>
        <v>0</v>
      </c>
      <c r="O103"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03" s="211">
        <f>IFERROR(IF(Tabelle1324568910111213[[#This Row],[Status]]=$J$5,MIN(Tabelle1324568910111213[[#This Row],[Jira Story Points]],Tabelle1324568910111213[[#This Row],[Carry-over]]),0),0)</f>
        <v>0</v>
      </c>
      <c r="Q103" s="211">
        <f>IFERROR(IF(Tabelle1324568910111213[[#This Row],[Status]]=$J$5,0,MIN(Tabelle1324568910111213[[#This Row],[Jira Story Points]],Tabelle1324568910111213[[#This Row],[Carry-over]])-Tabelle1324568910111213[[#This Row],[SP Completed (COS &amp; SOS)]]),0)</f>
        <v>0</v>
      </c>
    </row>
    <row r="104" spans="1:17" ht="13.5" hidden="1" customHeight="1">
      <c r="A104" s="214" t="s">
        <v>1805</v>
      </c>
      <c r="B104" s="47" t="s">
        <v>1806</v>
      </c>
      <c r="C104" s="203" t="s">
        <v>372</v>
      </c>
      <c r="D104" s="203">
        <v>3</v>
      </c>
      <c r="E104" s="203" t="s">
        <v>324</v>
      </c>
      <c r="F104" s="204">
        <v>3</v>
      </c>
      <c r="G104" s="203" t="s">
        <v>32</v>
      </c>
      <c r="H104" s="205"/>
      <c r="I104" s="206"/>
      <c r="J104" s="203" t="s">
        <v>125</v>
      </c>
      <c r="K104" s="204"/>
      <c r="L104" s="204"/>
      <c r="M104" s="208">
        <f>IF(Tabelle1324568910111213[[#This Row],[Pulled after Start]]="",MIN(Tabelle1324568910111213[[#This Row],[Jira Story Points]],Tabelle1324568910111213[[#This Row],[Carry-over]]),0)</f>
        <v>3</v>
      </c>
      <c r="N104" s="209">
        <f>MIN(Tabelle1324568910111213[[#This Row],[Jira Story Points]],Tabelle1324568910111213[[#This Row],[Carry-over]])-Tabelle1324568910111213[[#This Row],[SP Initially Planned (COS)]]</f>
        <v>0</v>
      </c>
      <c r="O104"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04" s="211">
        <f>IFERROR(IF(Tabelle1324568910111213[[#This Row],[Status]]=$J$5,MIN(Tabelle1324568910111213[[#This Row],[Jira Story Points]],Tabelle1324568910111213[[#This Row],[Carry-over]]),0),0)</f>
        <v>0</v>
      </c>
      <c r="Q104" s="211">
        <f>IFERROR(IF(Tabelle1324568910111213[[#This Row],[Status]]=$J$5,0,MIN(Tabelle1324568910111213[[#This Row],[Jira Story Points]],Tabelle1324568910111213[[#This Row],[Carry-over]])-Tabelle1324568910111213[[#This Row],[SP Completed (COS &amp; SOS)]]),0)</f>
        <v>0</v>
      </c>
    </row>
    <row r="105" spans="1:17" ht="13.5" hidden="1" customHeight="1">
      <c r="A105" s="214" t="s">
        <v>1616</v>
      </c>
      <c r="B105" s="47" t="s">
        <v>1617</v>
      </c>
      <c r="C105" s="203" t="s">
        <v>372</v>
      </c>
      <c r="D105" s="203">
        <v>3</v>
      </c>
      <c r="E105" s="203" t="s">
        <v>327</v>
      </c>
      <c r="F105" s="204">
        <v>13</v>
      </c>
      <c r="G105" s="203" t="s">
        <v>32</v>
      </c>
      <c r="H105" s="205"/>
      <c r="I105" s="206" t="s">
        <v>1807</v>
      </c>
      <c r="J105" s="203" t="s">
        <v>127</v>
      </c>
      <c r="K105" s="204">
        <v>4</v>
      </c>
      <c r="L105" s="204">
        <v>2</v>
      </c>
      <c r="M105" s="208">
        <f>IF(Tabelle1324568910111213[[#This Row],[Pulled after Start]]="",MIN(Tabelle1324568910111213[[#This Row],[Jira Story Points]],Tabelle1324568910111213[[#This Row],[Carry-over]]),0)</f>
        <v>4</v>
      </c>
      <c r="N105" s="209">
        <f>MIN(Tabelle1324568910111213[[#This Row],[Jira Story Points]],Tabelle1324568910111213[[#This Row],[Carry-over]])-Tabelle1324568910111213[[#This Row],[SP Initially Planned (COS)]]</f>
        <v>0</v>
      </c>
      <c r="O105"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105" s="211">
        <f>IFERROR(IF(Tabelle1324568910111213[[#This Row],[Status]]=$J$5,MIN(Tabelle1324568910111213[[#This Row],[Jira Story Points]],Tabelle1324568910111213[[#This Row],[Carry-over]]),0),0)</f>
        <v>0</v>
      </c>
      <c r="Q105" s="211">
        <f>IFERROR(IF(Tabelle1324568910111213[[#This Row],[Status]]=$J$5,0,MIN(Tabelle1324568910111213[[#This Row],[Jira Story Points]],Tabelle1324568910111213[[#This Row],[Carry-over]])-Tabelle1324568910111213[[#This Row],[SP Completed (COS &amp; SOS)]]),0)</f>
        <v>2</v>
      </c>
    </row>
    <row r="106" spans="1:17" ht="13.5" hidden="1" customHeight="1">
      <c r="A106" s="214" t="s">
        <v>1808</v>
      </c>
      <c r="B106" s="47" t="s">
        <v>1809</v>
      </c>
      <c r="C106" s="203" t="s">
        <v>372</v>
      </c>
      <c r="D106" s="203">
        <v>3</v>
      </c>
      <c r="E106" s="203" t="s">
        <v>324</v>
      </c>
      <c r="F106" s="204">
        <v>3</v>
      </c>
      <c r="G106" s="203" t="s">
        <v>32</v>
      </c>
      <c r="H106" s="205"/>
      <c r="I106" s="206"/>
      <c r="J106" s="203" t="s">
        <v>125</v>
      </c>
      <c r="K106" s="204">
        <v>1</v>
      </c>
      <c r="L106" s="204"/>
      <c r="M106" s="208">
        <f>IF(Tabelle1324568910111213[[#This Row],[Pulled after Start]]="",MIN(Tabelle1324568910111213[[#This Row],[Jira Story Points]],Tabelle1324568910111213[[#This Row],[Carry-over]]),0)</f>
        <v>1</v>
      </c>
      <c r="N106" s="209">
        <f>MIN(Tabelle1324568910111213[[#This Row],[Jira Story Points]],Tabelle1324568910111213[[#This Row],[Carry-over]])-Tabelle1324568910111213[[#This Row],[SP Initially Planned (COS)]]</f>
        <v>0</v>
      </c>
      <c r="O106"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106" s="211">
        <f>IFERROR(IF(Tabelle1324568910111213[[#This Row],[Status]]=$J$5,MIN(Tabelle1324568910111213[[#This Row],[Jira Story Points]],Tabelle1324568910111213[[#This Row],[Carry-over]]),0),0)</f>
        <v>0</v>
      </c>
      <c r="Q106" s="211">
        <f>IFERROR(IF(Tabelle1324568910111213[[#This Row],[Status]]=$J$5,0,MIN(Tabelle1324568910111213[[#This Row],[Jira Story Points]],Tabelle1324568910111213[[#This Row],[Carry-over]])-Tabelle1324568910111213[[#This Row],[SP Completed (COS &amp; SOS)]]),0)</f>
        <v>0</v>
      </c>
    </row>
    <row r="107" spans="1:17" ht="13.5" hidden="1" customHeight="1">
      <c r="A107" s="214" t="s">
        <v>1618</v>
      </c>
      <c r="B107" s="47" t="s">
        <v>1619</v>
      </c>
      <c r="C107" s="203" t="s">
        <v>372</v>
      </c>
      <c r="D107" s="203">
        <v>3</v>
      </c>
      <c r="E107" s="203" t="s">
        <v>327</v>
      </c>
      <c r="F107" s="204">
        <v>5</v>
      </c>
      <c r="G107" s="203" t="s">
        <v>32</v>
      </c>
      <c r="H107" s="205"/>
      <c r="I107" s="206" t="s">
        <v>1810</v>
      </c>
      <c r="J107" s="203" t="s">
        <v>127</v>
      </c>
      <c r="K107" s="204"/>
      <c r="L107" s="204">
        <v>1</v>
      </c>
      <c r="M107" s="208">
        <f>IF(Tabelle1324568910111213[[#This Row],[Pulled after Start]]="",MIN(Tabelle1324568910111213[[#This Row],[Jira Story Points]],Tabelle1324568910111213[[#This Row],[Carry-over]]),0)</f>
        <v>5</v>
      </c>
      <c r="N107" s="209">
        <f>MIN(Tabelle1324568910111213[[#This Row],[Jira Story Points]],Tabelle1324568910111213[[#This Row],[Carry-over]])-Tabelle1324568910111213[[#This Row],[SP Initially Planned (COS)]]</f>
        <v>0</v>
      </c>
      <c r="O107"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4</v>
      </c>
      <c r="P107" s="211">
        <f>IFERROR(IF(Tabelle1324568910111213[[#This Row],[Status]]=$J$5,MIN(Tabelle1324568910111213[[#This Row],[Jira Story Points]],Tabelle1324568910111213[[#This Row],[Carry-over]]),0),0)</f>
        <v>0</v>
      </c>
      <c r="Q107" s="211">
        <f>IFERROR(IF(Tabelle1324568910111213[[#This Row],[Status]]=$J$5,0,MIN(Tabelle1324568910111213[[#This Row],[Jira Story Points]],Tabelle1324568910111213[[#This Row],[Carry-over]])-Tabelle1324568910111213[[#This Row],[SP Completed (COS &amp; SOS)]]),0)</f>
        <v>1</v>
      </c>
    </row>
    <row r="108" spans="1:17" ht="13.5" hidden="1" customHeight="1">
      <c r="A108" s="214" t="s">
        <v>1811</v>
      </c>
      <c r="B108" s="47" t="s">
        <v>1812</v>
      </c>
      <c r="C108" s="203" t="s">
        <v>372</v>
      </c>
      <c r="D108" s="203">
        <v>3</v>
      </c>
      <c r="E108" s="203" t="s">
        <v>324</v>
      </c>
      <c r="F108" s="204">
        <v>2</v>
      </c>
      <c r="G108" s="203" t="s">
        <v>32</v>
      </c>
      <c r="H108" s="205"/>
      <c r="I108" s="206"/>
      <c r="J108" s="203" t="s">
        <v>125</v>
      </c>
      <c r="K108" s="204"/>
      <c r="L108" s="204"/>
      <c r="M108" s="208">
        <f>IF(Tabelle1324568910111213[[#This Row],[Pulled after Start]]="",MIN(Tabelle1324568910111213[[#This Row],[Jira Story Points]],Tabelle1324568910111213[[#This Row],[Carry-over]]),0)</f>
        <v>2</v>
      </c>
      <c r="N108" s="209">
        <f>MIN(Tabelle1324568910111213[[#This Row],[Jira Story Points]],Tabelle1324568910111213[[#This Row],[Carry-over]])-Tabelle1324568910111213[[#This Row],[SP Initially Planned (COS)]]</f>
        <v>0</v>
      </c>
      <c r="O108"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108" s="211">
        <f>IFERROR(IF(Tabelle1324568910111213[[#This Row],[Status]]=$J$5,MIN(Tabelle1324568910111213[[#This Row],[Jira Story Points]],Tabelle1324568910111213[[#This Row],[Carry-over]]),0),0)</f>
        <v>0</v>
      </c>
      <c r="Q108" s="211">
        <f>IFERROR(IF(Tabelle1324568910111213[[#This Row],[Status]]=$J$5,0,MIN(Tabelle1324568910111213[[#This Row],[Jira Story Points]],Tabelle1324568910111213[[#This Row],[Carry-over]])-Tabelle1324568910111213[[#This Row],[SP Completed (COS &amp; SOS)]]),0)</f>
        <v>0</v>
      </c>
    </row>
    <row r="109" spans="1:17" ht="13.5" hidden="1" customHeight="1">
      <c r="A109" s="214" t="s">
        <v>1813</v>
      </c>
      <c r="B109" s="47" t="s">
        <v>1814</v>
      </c>
      <c r="C109" s="203" t="s">
        <v>372</v>
      </c>
      <c r="D109" s="203">
        <v>3</v>
      </c>
      <c r="E109" s="203" t="s">
        <v>324</v>
      </c>
      <c r="F109" s="204">
        <v>3</v>
      </c>
      <c r="G109" s="203" t="s">
        <v>32</v>
      </c>
      <c r="H109" s="205"/>
      <c r="I109" s="206"/>
      <c r="J109" s="203" t="s">
        <v>125</v>
      </c>
      <c r="K109" s="204"/>
      <c r="L109" s="204"/>
      <c r="M109" s="208">
        <f>IF(Tabelle1324568910111213[[#This Row],[Pulled after Start]]="",MIN(Tabelle1324568910111213[[#This Row],[Jira Story Points]],Tabelle1324568910111213[[#This Row],[Carry-over]]),0)</f>
        <v>3</v>
      </c>
      <c r="N109" s="209">
        <f>MIN(Tabelle1324568910111213[[#This Row],[Jira Story Points]],Tabelle1324568910111213[[#This Row],[Carry-over]])-Tabelle1324568910111213[[#This Row],[SP Initially Planned (COS)]]</f>
        <v>0</v>
      </c>
      <c r="O109"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09" s="211">
        <f>IFERROR(IF(Tabelle1324568910111213[[#This Row],[Status]]=$J$5,MIN(Tabelle1324568910111213[[#This Row],[Jira Story Points]],Tabelle1324568910111213[[#This Row],[Carry-over]]),0),0)</f>
        <v>0</v>
      </c>
      <c r="Q109" s="211">
        <f>IFERROR(IF(Tabelle1324568910111213[[#This Row],[Status]]=$J$5,0,MIN(Tabelle1324568910111213[[#This Row],[Jira Story Points]],Tabelle1324568910111213[[#This Row],[Carry-over]])-Tabelle1324568910111213[[#This Row],[SP Completed (COS &amp; SOS)]]),0)</f>
        <v>0</v>
      </c>
    </row>
    <row r="110" spans="1:17" ht="13.5" hidden="1" customHeight="1">
      <c r="A110" s="214" t="s">
        <v>1620</v>
      </c>
      <c r="B110" s="47" t="s">
        <v>1621</v>
      </c>
      <c r="C110" s="203" t="s">
        <v>372</v>
      </c>
      <c r="D110" s="203">
        <v>3</v>
      </c>
      <c r="E110" s="203" t="s">
        <v>327</v>
      </c>
      <c r="F110" s="204">
        <v>5</v>
      </c>
      <c r="G110" s="203" t="s">
        <v>32</v>
      </c>
      <c r="H110" s="205"/>
      <c r="I110" s="206" t="s">
        <v>1815</v>
      </c>
      <c r="J110" s="203" t="s">
        <v>127</v>
      </c>
      <c r="K110" s="204"/>
      <c r="L110" s="204">
        <v>1</v>
      </c>
      <c r="M110" s="208">
        <f>IF(Tabelle1324568910111213[[#This Row],[Pulled after Start]]="",MIN(Tabelle1324568910111213[[#This Row],[Jira Story Points]],Tabelle1324568910111213[[#This Row],[Carry-over]]),0)</f>
        <v>5</v>
      </c>
      <c r="N110" s="209">
        <f>MIN(Tabelle1324568910111213[[#This Row],[Jira Story Points]],Tabelle1324568910111213[[#This Row],[Carry-over]])-Tabelle1324568910111213[[#This Row],[SP Initially Planned (COS)]]</f>
        <v>0</v>
      </c>
      <c r="O110"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4</v>
      </c>
      <c r="P110" s="211">
        <f>IFERROR(IF(Tabelle1324568910111213[[#This Row],[Status]]=$J$5,MIN(Tabelle1324568910111213[[#This Row],[Jira Story Points]],Tabelle1324568910111213[[#This Row],[Carry-over]]),0),0)</f>
        <v>0</v>
      </c>
      <c r="Q110" s="211">
        <f>IFERROR(IF(Tabelle1324568910111213[[#This Row],[Status]]=$J$5,0,MIN(Tabelle1324568910111213[[#This Row],[Jira Story Points]],Tabelle1324568910111213[[#This Row],[Carry-over]])-Tabelle1324568910111213[[#This Row],[SP Completed (COS &amp; SOS)]]),0)</f>
        <v>1</v>
      </c>
    </row>
    <row r="111" spans="1:17" ht="13.5" hidden="1" customHeight="1">
      <c r="A111" s="214" t="s">
        <v>1816</v>
      </c>
      <c r="B111" s="47" t="s">
        <v>1817</v>
      </c>
      <c r="C111" s="203" t="s">
        <v>372</v>
      </c>
      <c r="D111" s="203">
        <v>3</v>
      </c>
      <c r="E111" s="203" t="s">
        <v>351</v>
      </c>
      <c r="F111" s="204">
        <v>1</v>
      </c>
      <c r="G111" s="203" t="s">
        <v>32</v>
      </c>
      <c r="H111" s="205"/>
      <c r="I111" s="206"/>
      <c r="J111" s="203" t="s">
        <v>125</v>
      </c>
      <c r="K111" s="204"/>
      <c r="L111" s="204"/>
      <c r="M111" s="208">
        <f>IF(Tabelle1324568910111213[[#This Row],[Pulled after Start]]="",MIN(Tabelle1324568910111213[[#This Row],[Jira Story Points]],Tabelle1324568910111213[[#This Row],[Carry-over]]),0)</f>
        <v>1</v>
      </c>
      <c r="N111" s="209">
        <f>MIN(Tabelle1324568910111213[[#This Row],[Jira Story Points]],Tabelle1324568910111213[[#This Row],[Carry-over]])-Tabelle1324568910111213[[#This Row],[SP Initially Planned (COS)]]</f>
        <v>0</v>
      </c>
      <c r="O111"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111" s="211">
        <f>IFERROR(IF(Tabelle1324568910111213[[#This Row],[Status]]=$J$5,MIN(Tabelle1324568910111213[[#This Row],[Jira Story Points]],Tabelle1324568910111213[[#This Row],[Carry-over]]),0),0)</f>
        <v>0</v>
      </c>
      <c r="Q111" s="211">
        <f>IFERROR(IF(Tabelle1324568910111213[[#This Row],[Status]]=$J$5,0,MIN(Tabelle1324568910111213[[#This Row],[Jira Story Points]],Tabelle1324568910111213[[#This Row],[Carry-over]])-Tabelle1324568910111213[[#This Row],[SP Completed (COS &amp; SOS)]]),0)</f>
        <v>0</v>
      </c>
    </row>
    <row r="112" spans="1:17" ht="13.5" hidden="1" customHeight="1">
      <c r="A112" s="214" t="s">
        <v>1622</v>
      </c>
      <c r="B112" s="47" t="s">
        <v>1623</v>
      </c>
      <c r="C112" s="203" t="s">
        <v>375</v>
      </c>
      <c r="D112" s="203">
        <v>3</v>
      </c>
      <c r="E112" s="203" t="s">
        <v>327</v>
      </c>
      <c r="F112" s="204">
        <v>3</v>
      </c>
      <c r="G112" s="203" t="s">
        <v>32</v>
      </c>
      <c r="H112" s="205" t="s">
        <v>209</v>
      </c>
      <c r="I112" s="206" t="s">
        <v>1815</v>
      </c>
      <c r="J112" s="203" t="s">
        <v>127</v>
      </c>
      <c r="K112" s="204"/>
      <c r="L112" s="204">
        <v>1</v>
      </c>
      <c r="M112" s="208">
        <f>IF(Tabelle1324568910111213[[#This Row],[Pulled after Start]]="",MIN(Tabelle1324568910111213[[#This Row],[Jira Story Points]],Tabelle1324568910111213[[#This Row],[Carry-over]]),0)</f>
        <v>0</v>
      </c>
      <c r="N112" s="209">
        <f>MIN(Tabelle1324568910111213[[#This Row],[Jira Story Points]],Tabelle1324568910111213[[#This Row],[Carry-over]])-Tabelle1324568910111213[[#This Row],[SP Initially Planned (COS)]]</f>
        <v>3</v>
      </c>
      <c r="O112"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112" s="211">
        <f>IFERROR(IF(Tabelle1324568910111213[[#This Row],[Status]]=$J$5,MIN(Tabelle1324568910111213[[#This Row],[Jira Story Points]],Tabelle1324568910111213[[#This Row],[Carry-over]]),0),0)</f>
        <v>0</v>
      </c>
      <c r="Q112" s="211">
        <f>IFERROR(IF(Tabelle1324568910111213[[#This Row],[Status]]=$J$5,0,MIN(Tabelle1324568910111213[[#This Row],[Jira Story Points]],Tabelle1324568910111213[[#This Row],[Carry-over]])-Tabelle1324568910111213[[#This Row],[SP Completed (COS &amp; SOS)]]),0)</f>
        <v>1</v>
      </c>
    </row>
    <row r="113" spans="1:17" ht="13.5" hidden="1" customHeight="1">
      <c r="A113" s="214" t="s">
        <v>1818</v>
      </c>
      <c r="B113" s="47" t="s">
        <v>1819</v>
      </c>
      <c r="C113" s="203" t="s">
        <v>372</v>
      </c>
      <c r="D113" s="203">
        <v>3</v>
      </c>
      <c r="E113" s="203" t="s">
        <v>324</v>
      </c>
      <c r="F113" s="204">
        <v>3</v>
      </c>
      <c r="G113" s="203" t="s">
        <v>5</v>
      </c>
      <c r="H113" s="205"/>
      <c r="I113" s="206"/>
      <c r="J113" s="203" t="s">
        <v>125</v>
      </c>
      <c r="K113" s="204"/>
      <c r="L113" s="204"/>
      <c r="M113" s="208">
        <f>IF(Tabelle1324568910111213[[#This Row],[Pulled after Start]]="",MIN(Tabelle1324568910111213[[#This Row],[Jira Story Points]],Tabelle1324568910111213[[#This Row],[Carry-over]]),0)</f>
        <v>3</v>
      </c>
      <c r="N113" s="209">
        <f>MIN(Tabelle1324568910111213[[#This Row],[Jira Story Points]],Tabelle1324568910111213[[#This Row],[Carry-over]])-Tabelle1324568910111213[[#This Row],[SP Initially Planned (COS)]]</f>
        <v>0</v>
      </c>
      <c r="O113"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13" s="211">
        <f>IFERROR(IF(Tabelle1324568910111213[[#This Row],[Status]]=$J$5,MIN(Tabelle1324568910111213[[#This Row],[Jira Story Points]],Tabelle1324568910111213[[#This Row],[Carry-over]]),0),0)</f>
        <v>0</v>
      </c>
      <c r="Q113" s="211">
        <f>IFERROR(IF(Tabelle1324568910111213[[#This Row],[Status]]=$J$5,0,MIN(Tabelle1324568910111213[[#This Row],[Jira Story Points]],Tabelle1324568910111213[[#This Row],[Carry-over]])-Tabelle1324568910111213[[#This Row],[SP Completed (COS &amp; SOS)]]),0)</f>
        <v>0</v>
      </c>
    </row>
    <row r="114" spans="1:17" ht="13.5" hidden="1" customHeight="1">
      <c r="A114" s="214" t="s">
        <v>1820</v>
      </c>
      <c r="B114" s="47" t="s">
        <v>1821</v>
      </c>
      <c r="C114" s="203" t="s">
        <v>372</v>
      </c>
      <c r="D114" s="203">
        <v>3</v>
      </c>
      <c r="E114" s="203" t="s">
        <v>324</v>
      </c>
      <c r="F114" s="204">
        <v>3</v>
      </c>
      <c r="G114" s="203" t="s">
        <v>5</v>
      </c>
      <c r="H114" s="205" t="s">
        <v>209</v>
      </c>
      <c r="I114" s="206"/>
      <c r="J114" s="203" t="s">
        <v>125</v>
      </c>
      <c r="K114" s="204"/>
      <c r="L114" s="204"/>
      <c r="M114" s="208">
        <f>IF(Tabelle1324568910111213[[#This Row],[Pulled after Start]]="",MIN(Tabelle1324568910111213[[#This Row],[Jira Story Points]],Tabelle1324568910111213[[#This Row],[Carry-over]]),0)</f>
        <v>0</v>
      </c>
      <c r="N114" s="209">
        <f>MIN(Tabelle1324568910111213[[#This Row],[Jira Story Points]],Tabelle1324568910111213[[#This Row],[Carry-over]])-Tabelle1324568910111213[[#This Row],[SP Initially Planned (COS)]]</f>
        <v>3</v>
      </c>
      <c r="O114"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14" s="211">
        <f>IFERROR(IF(Tabelle1324568910111213[[#This Row],[Status]]=$J$5,MIN(Tabelle1324568910111213[[#This Row],[Jira Story Points]],Tabelle1324568910111213[[#This Row],[Carry-over]]),0),0)</f>
        <v>0</v>
      </c>
      <c r="Q114" s="211">
        <f>IFERROR(IF(Tabelle1324568910111213[[#This Row],[Status]]=$J$5,0,MIN(Tabelle1324568910111213[[#This Row],[Jira Story Points]],Tabelle1324568910111213[[#This Row],[Carry-over]])-Tabelle1324568910111213[[#This Row],[SP Completed (COS &amp; SOS)]]),0)</f>
        <v>0</v>
      </c>
    </row>
    <row r="115" spans="1:17" ht="13.5" hidden="1" customHeight="1">
      <c r="A115" s="214" t="s">
        <v>1822</v>
      </c>
      <c r="B115" s="47" t="s">
        <v>1823</v>
      </c>
      <c r="C115" s="203" t="s">
        <v>372</v>
      </c>
      <c r="D115" s="203">
        <v>3</v>
      </c>
      <c r="E115" s="203" t="s">
        <v>324</v>
      </c>
      <c r="F115" s="204">
        <v>5</v>
      </c>
      <c r="G115" s="203" t="s">
        <v>5</v>
      </c>
      <c r="H115" s="205"/>
      <c r="I115" s="206"/>
      <c r="J115" s="203" t="s">
        <v>125</v>
      </c>
      <c r="K115" s="204"/>
      <c r="L115" s="204"/>
      <c r="M115" s="208">
        <f>IF(Tabelle1324568910111213[[#This Row],[Pulled after Start]]="",MIN(Tabelle1324568910111213[[#This Row],[Jira Story Points]],Tabelle1324568910111213[[#This Row],[Carry-over]]),0)</f>
        <v>5</v>
      </c>
      <c r="N115" s="209">
        <f>MIN(Tabelle1324568910111213[[#This Row],[Jira Story Points]],Tabelle1324568910111213[[#This Row],[Carry-over]])-Tabelle1324568910111213[[#This Row],[SP Initially Planned (COS)]]</f>
        <v>0</v>
      </c>
      <c r="O115"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5</v>
      </c>
      <c r="P115" s="211">
        <f>IFERROR(IF(Tabelle1324568910111213[[#This Row],[Status]]=$J$5,MIN(Tabelle1324568910111213[[#This Row],[Jira Story Points]],Tabelle1324568910111213[[#This Row],[Carry-over]]),0),0)</f>
        <v>0</v>
      </c>
      <c r="Q115" s="211">
        <f>IFERROR(IF(Tabelle1324568910111213[[#This Row],[Status]]=$J$5,0,MIN(Tabelle1324568910111213[[#This Row],[Jira Story Points]],Tabelle1324568910111213[[#This Row],[Carry-over]])-Tabelle1324568910111213[[#This Row],[SP Completed (COS &amp; SOS)]]),0)</f>
        <v>0</v>
      </c>
    </row>
    <row r="116" spans="1:17" ht="13.5" hidden="1" customHeight="1">
      <c r="A116" s="214" t="s">
        <v>1824</v>
      </c>
      <c r="B116" s="49" t="s">
        <v>1825</v>
      </c>
      <c r="C116" s="203" t="s">
        <v>372</v>
      </c>
      <c r="D116" s="203">
        <v>3</v>
      </c>
      <c r="E116" s="203" t="s">
        <v>327</v>
      </c>
      <c r="F116" s="204">
        <v>8</v>
      </c>
      <c r="G116" s="203" t="s">
        <v>5</v>
      </c>
      <c r="H116" s="205"/>
      <c r="I116" s="206"/>
      <c r="J116" s="203" t="s">
        <v>125</v>
      </c>
      <c r="K116" s="204">
        <v>3</v>
      </c>
      <c r="L116" s="204"/>
      <c r="M116" s="208">
        <f>IF(Tabelle1324568910111213[[#This Row],[Pulled after Start]]="",MIN(Tabelle1324568910111213[[#This Row],[Jira Story Points]],Tabelle1324568910111213[[#This Row],[Carry-over]]),0)</f>
        <v>3</v>
      </c>
      <c r="N116" s="209">
        <f>MIN(Tabelle1324568910111213[[#This Row],[Jira Story Points]],Tabelle1324568910111213[[#This Row],[Carry-over]])-Tabelle1324568910111213[[#This Row],[SP Initially Planned (COS)]]</f>
        <v>0</v>
      </c>
      <c r="O116"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16" s="211">
        <f>IFERROR(IF(Tabelle1324568910111213[[#This Row],[Status]]=$J$5,MIN(Tabelle1324568910111213[[#This Row],[Jira Story Points]],Tabelle1324568910111213[[#This Row],[Carry-over]]),0),0)</f>
        <v>0</v>
      </c>
      <c r="Q116" s="211">
        <f>IFERROR(IF(Tabelle1324568910111213[[#This Row],[Status]]=$J$5,0,MIN(Tabelle1324568910111213[[#This Row],[Jira Story Points]],Tabelle1324568910111213[[#This Row],[Carry-over]])-Tabelle1324568910111213[[#This Row],[SP Completed (COS &amp; SOS)]]),0)</f>
        <v>0</v>
      </c>
    </row>
    <row r="117" spans="1:17" ht="13.5" hidden="1" customHeight="1">
      <c r="A117" s="214" t="s">
        <v>1640</v>
      </c>
      <c r="B117" s="49" t="s">
        <v>1641</v>
      </c>
      <c r="C117" s="203" t="s">
        <v>372</v>
      </c>
      <c r="D117" s="203">
        <v>3</v>
      </c>
      <c r="E117" s="203" t="s">
        <v>327</v>
      </c>
      <c r="F117" s="204">
        <v>3</v>
      </c>
      <c r="G117" s="203" t="s">
        <v>5</v>
      </c>
      <c r="H117" s="205"/>
      <c r="I117" s="220" t="s">
        <v>1826</v>
      </c>
      <c r="J117" s="203" t="s">
        <v>127</v>
      </c>
      <c r="K117" s="204"/>
      <c r="L117" s="204">
        <v>2</v>
      </c>
      <c r="M117" s="208">
        <f>IF(Tabelle1324568910111213[[#This Row],[Pulled after Start]]="",MIN(Tabelle1324568910111213[[#This Row],[Jira Story Points]],Tabelle1324568910111213[[#This Row],[Carry-over]]),0)</f>
        <v>3</v>
      </c>
      <c r="N117" s="209">
        <f>MIN(Tabelle1324568910111213[[#This Row],[Jira Story Points]],Tabelle1324568910111213[[#This Row],[Carry-over]])-Tabelle1324568910111213[[#This Row],[SP Initially Planned (COS)]]</f>
        <v>0</v>
      </c>
      <c r="O117"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117" s="211">
        <f>IFERROR(IF(Tabelle1324568910111213[[#This Row],[Status]]=$J$5,MIN(Tabelle1324568910111213[[#This Row],[Jira Story Points]],Tabelle1324568910111213[[#This Row],[Carry-over]]),0),0)</f>
        <v>0</v>
      </c>
      <c r="Q117" s="211">
        <f>IFERROR(IF(Tabelle1324568910111213[[#This Row],[Status]]=$J$5,0,MIN(Tabelle1324568910111213[[#This Row],[Jira Story Points]],Tabelle1324568910111213[[#This Row],[Carry-over]])-Tabelle1324568910111213[[#This Row],[SP Completed (COS &amp; SOS)]]),0)</f>
        <v>2</v>
      </c>
    </row>
    <row r="118" spans="1:17" ht="13.5" hidden="1" customHeight="1">
      <c r="A118" s="214" t="s">
        <v>1627</v>
      </c>
      <c r="B118" s="49" t="s">
        <v>1628</v>
      </c>
      <c r="C118" s="203" t="s">
        <v>372</v>
      </c>
      <c r="D118" s="203">
        <v>3</v>
      </c>
      <c r="E118" s="203" t="s">
        <v>327</v>
      </c>
      <c r="F118" s="204">
        <v>8</v>
      </c>
      <c r="G118" s="203" t="s">
        <v>5</v>
      </c>
      <c r="H118" s="205"/>
      <c r="I118" s="220" t="s">
        <v>1827</v>
      </c>
      <c r="J118" s="203" t="s">
        <v>127</v>
      </c>
      <c r="K118" s="204">
        <v>2</v>
      </c>
      <c r="L118" s="204">
        <v>2</v>
      </c>
      <c r="M118" s="208">
        <f>IF(Tabelle1324568910111213[[#This Row],[Pulled after Start]]="",MIN(Tabelle1324568910111213[[#This Row],[Jira Story Points]],Tabelle1324568910111213[[#This Row],[Carry-over]]),0)</f>
        <v>2</v>
      </c>
      <c r="N118" s="209">
        <f>MIN(Tabelle1324568910111213[[#This Row],[Jira Story Points]],Tabelle1324568910111213[[#This Row],[Carry-over]])-Tabelle1324568910111213[[#This Row],[SP Initially Planned (COS)]]</f>
        <v>0</v>
      </c>
      <c r="O118"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118" s="211">
        <f>IFERROR(IF(Tabelle1324568910111213[[#This Row],[Status]]=$J$5,MIN(Tabelle1324568910111213[[#This Row],[Jira Story Points]],Tabelle1324568910111213[[#This Row],[Carry-over]]),0),0)</f>
        <v>0</v>
      </c>
      <c r="Q118" s="211">
        <f>IFERROR(IF(Tabelle1324568910111213[[#This Row],[Status]]=$J$5,0,MIN(Tabelle1324568910111213[[#This Row],[Jira Story Points]],Tabelle1324568910111213[[#This Row],[Carry-over]])-Tabelle1324568910111213[[#This Row],[SP Completed (COS &amp; SOS)]]),0)</f>
        <v>2</v>
      </c>
    </row>
    <row r="119" spans="1:17" ht="13.5" hidden="1" customHeight="1">
      <c r="A119" s="214" t="s">
        <v>1828</v>
      </c>
      <c r="B119" s="49" t="s">
        <v>1829</v>
      </c>
      <c r="C119" s="203" t="s">
        <v>372</v>
      </c>
      <c r="D119" s="203">
        <v>3</v>
      </c>
      <c r="E119" s="203" t="s">
        <v>327</v>
      </c>
      <c r="F119" s="204">
        <v>8</v>
      </c>
      <c r="G119" s="203" t="s">
        <v>5</v>
      </c>
      <c r="H119" s="205"/>
      <c r="I119" s="206"/>
      <c r="J119" s="203" t="s">
        <v>125</v>
      </c>
      <c r="K119" s="204"/>
      <c r="L119" s="204"/>
      <c r="M119" s="208">
        <f>IF(Tabelle1324568910111213[[#This Row],[Pulled after Start]]="",MIN(Tabelle1324568910111213[[#This Row],[Jira Story Points]],Tabelle1324568910111213[[#This Row],[Carry-over]]),0)</f>
        <v>8</v>
      </c>
      <c r="N119" s="209">
        <f>MIN(Tabelle1324568910111213[[#This Row],[Jira Story Points]],Tabelle1324568910111213[[#This Row],[Carry-over]])-Tabelle1324568910111213[[#This Row],[SP Initially Planned (COS)]]</f>
        <v>0</v>
      </c>
      <c r="O119"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8</v>
      </c>
      <c r="P119" s="211">
        <f>IFERROR(IF(Tabelle1324568910111213[[#This Row],[Status]]=$J$5,MIN(Tabelle1324568910111213[[#This Row],[Jira Story Points]],Tabelle1324568910111213[[#This Row],[Carry-over]]),0),0)</f>
        <v>0</v>
      </c>
      <c r="Q119" s="211">
        <f>IFERROR(IF(Tabelle1324568910111213[[#This Row],[Status]]=$J$5,0,MIN(Tabelle1324568910111213[[#This Row],[Jira Story Points]],Tabelle1324568910111213[[#This Row],[Carry-over]])-Tabelle1324568910111213[[#This Row],[SP Completed (COS &amp; SOS)]]),0)</f>
        <v>0</v>
      </c>
    </row>
    <row r="120" spans="1:17" ht="13.5" hidden="1" customHeight="1">
      <c r="A120" s="214" t="s">
        <v>1830</v>
      </c>
      <c r="B120" s="49" t="s">
        <v>1831</v>
      </c>
      <c r="C120" s="203" t="s">
        <v>372</v>
      </c>
      <c r="D120" s="203">
        <v>3</v>
      </c>
      <c r="E120" s="203" t="s">
        <v>327</v>
      </c>
      <c r="F120" s="204">
        <v>1</v>
      </c>
      <c r="G120" s="203" t="s">
        <v>5</v>
      </c>
      <c r="H120" s="205"/>
      <c r="I120" s="206"/>
      <c r="J120" s="203" t="s">
        <v>125</v>
      </c>
      <c r="K120" s="204"/>
      <c r="L120" s="204"/>
      <c r="M120" s="208">
        <f>IF(Tabelle1324568910111213[[#This Row],[Pulled after Start]]="",MIN(Tabelle1324568910111213[[#This Row],[Jira Story Points]],Tabelle1324568910111213[[#This Row],[Carry-over]]),0)</f>
        <v>1</v>
      </c>
      <c r="N120" s="209">
        <f>MIN(Tabelle1324568910111213[[#This Row],[Jira Story Points]],Tabelle1324568910111213[[#This Row],[Carry-over]])-Tabelle1324568910111213[[#This Row],[SP Initially Planned (COS)]]</f>
        <v>0</v>
      </c>
      <c r="O120"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120" s="211">
        <f>IFERROR(IF(Tabelle1324568910111213[[#This Row],[Status]]=$J$5,MIN(Tabelle1324568910111213[[#This Row],[Jira Story Points]],Tabelle1324568910111213[[#This Row],[Carry-over]]),0),0)</f>
        <v>0</v>
      </c>
      <c r="Q120" s="211">
        <f>IFERROR(IF(Tabelle1324568910111213[[#This Row],[Status]]=$J$5,0,MIN(Tabelle1324568910111213[[#This Row],[Jira Story Points]],Tabelle1324568910111213[[#This Row],[Carry-over]])-Tabelle1324568910111213[[#This Row],[SP Completed (COS &amp; SOS)]]),0)</f>
        <v>0</v>
      </c>
    </row>
    <row r="121" spans="1:17" ht="13.5" hidden="1" customHeight="1">
      <c r="A121" s="214" t="s">
        <v>1832</v>
      </c>
      <c r="B121" s="49" t="s">
        <v>1639</v>
      </c>
      <c r="C121" s="203" t="s">
        <v>372</v>
      </c>
      <c r="D121" s="203">
        <v>3</v>
      </c>
      <c r="E121" s="203" t="s">
        <v>351</v>
      </c>
      <c r="F121" s="204">
        <v>1</v>
      </c>
      <c r="G121" s="203" t="s">
        <v>5</v>
      </c>
      <c r="H121" s="205"/>
      <c r="I121" s="206"/>
      <c r="J121" s="203" t="s">
        <v>125</v>
      </c>
      <c r="K121" s="204"/>
      <c r="L121" s="204"/>
      <c r="M121" s="208">
        <f>IF(Tabelle1324568910111213[[#This Row],[Pulled after Start]]="",MIN(Tabelle1324568910111213[[#This Row],[Jira Story Points]],Tabelle1324568910111213[[#This Row],[Carry-over]]),0)</f>
        <v>1</v>
      </c>
      <c r="N121" s="209">
        <f>MIN(Tabelle1324568910111213[[#This Row],[Jira Story Points]],Tabelle1324568910111213[[#This Row],[Carry-over]])-Tabelle1324568910111213[[#This Row],[SP Initially Planned (COS)]]</f>
        <v>0</v>
      </c>
      <c r="O121"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121" s="211">
        <f>IFERROR(IF(Tabelle1324568910111213[[#This Row],[Status]]=$J$5,MIN(Tabelle1324568910111213[[#This Row],[Jira Story Points]],Tabelle1324568910111213[[#This Row],[Carry-over]]),0),0)</f>
        <v>0</v>
      </c>
      <c r="Q121" s="211">
        <f>IFERROR(IF(Tabelle1324568910111213[[#This Row],[Status]]=$J$5,0,MIN(Tabelle1324568910111213[[#This Row],[Jira Story Points]],Tabelle1324568910111213[[#This Row],[Carry-over]])-Tabelle1324568910111213[[#This Row],[SP Completed (COS &amp; SOS)]]),0)</f>
        <v>0</v>
      </c>
    </row>
    <row r="122" spans="1:17" ht="13.5" hidden="1" customHeight="1">
      <c r="A122" s="214" t="s">
        <v>1833</v>
      </c>
      <c r="B122" s="49" t="s">
        <v>1834</v>
      </c>
      <c r="C122" s="203" t="s">
        <v>372</v>
      </c>
      <c r="D122" s="203">
        <v>3</v>
      </c>
      <c r="E122" s="203" t="s">
        <v>327</v>
      </c>
      <c r="F122" s="204">
        <v>3</v>
      </c>
      <c r="G122" s="203" t="s">
        <v>5</v>
      </c>
      <c r="H122" s="205"/>
      <c r="I122" s="206"/>
      <c r="J122" s="203" t="s">
        <v>125</v>
      </c>
      <c r="K122" s="204"/>
      <c r="L122" s="204"/>
      <c r="M122" s="208">
        <f>IF(Tabelle1324568910111213[[#This Row],[Pulled after Start]]="",MIN(Tabelle1324568910111213[[#This Row],[Jira Story Points]],Tabelle1324568910111213[[#This Row],[Carry-over]]),0)</f>
        <v>3</v>
      </c>
      <c r="N122" s="209">
        <f>MIN(Tabelle1324568910111213[[#This Row],[Jira Story Points]],Tabelle1324568910111213[[#This Row],[Carry-over]])-Tabelle1324568910111213[[#This Row],[SP Initially Planned (COS)]]</f>
        <v>0</v>
      </c>
      <c r="O122"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22" s="211">
        <f>IFERROR(IF(Tabelle1324568910111213[[#This Row],[Status]]=$J$5,MIN(Tabelle1324568910111213[[#This Row],[Jira Story Points]],Tabelle1324568910111213[[#This Row],[Carry-over]]),0),0)</f>
        <v>0</v>
      </c>
      <c r="Q122" s="211">
        <f>IFERROR(IF(Tabelle1324568910111213[[#This Row],[Status]]=$J$5,0,MIN(Tabelle1324568910111213[[#This Row],[Jira Story Points]],Tabelle1324568910111213[[#This Row],[Carry-over]])-Tabelle1324568910111213[[#This Row],[SP Completed (COS &amp; SOS)]]),0)</f>
        <v>0</v>
      </c>
    </row>
    <row r="123" spans="1:17" ht="13.5" hidden="1" customHeight="1">
      <c r="A123" s="214" t="s">
        <v>1835</v>
      </c>
      <c r="B123" s="49" t="s">
        <v>1633</v>
      </c>
      <c r="C123" s="203" t="s">
        <v>372</v>
      </c>
      <c r="D123" s="203">
        <v>3</v>
      </c>
      <c r="E123" s="203" t="s">
        <v>351</v>
      </c>
      <c r="F123" s="204">
        <v>3</v>
      </c>
      <c r="G123" s="203" t="s">
        <v>5</v>
      </c>
      <c r="H123" s="205" t="s">
        <v>209</v>
      </c>
      <c r="I123" s="220" t="s">
        <v>1836</v>
      </c>
      <c r="J123" s="203" t="s">
        <v>127</v>
      </c>
      <c r="K123" s="204"/>
      <c r="L123" s="204">
        <v>3</v>
      </c>
      <c r="M123" s="208">
        <f>IF(Tabelle1324568910111213[[#This Row],[Pulled after Start]]="",MIN(Tabelle1324568910111213[[#This Row],[Jira Story Points]],Tabelle1324568910111213[[#This Row],[Carry-over]]),0)</f>
        <v>0</v>
      </c>
      <c r="N123" s="209">
        <f>MIN(Tabelle1324568910111213[[#This Row],[Jira Story Points]],Tabelle1324568910111213[[#This Row],[Carry-over]])-Tabelle1324568910111213[[#This Row],[SP Initially Planned (COS)]]</f>
        <v>3</v>
      </c>
      <c r="O123"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123" s="211">
        <f>IFERROR(IF(Tabelle1324568910111213[[#This Row],[Status]]=$J$5,MIN(Tabelle1324568910111213[[#This Row],[Jira Story Points]],Tabelle1324568910111213[[#This Row],[Carry-over]]),0),0)</f>
        <v>0</v>
      </c>
      <c r="Q123" s="211">
        <f>IFERROR(IF(Tabelle1324568910111213[[#This Row],[Status]]=$J$5,0,MIN(Tabelle1324568910111213[[#This Row],[Jira Story Points]],Tabelle1324568910111213[[#This Row],[Carry-over]])-Tabelle1324568910111213[[#This Row],[SP Completed (COS &amp; SOS)]]),0)</f>
        <v>3</v>
      </c>
    </row>
    <row r="124" spans="1:17" ht="13.5" hidden="1" customHeight="1">
      <c r="A124" s="214" t="s">
        <v>1837</v>
      </c>
      <c r="B124" s="47" t="s">
        <v>1838</v>
      </c>
      <c r="C124" s="203" t="s">
        <v>375</v>
      </c>
      <c r="D124" s="203">
        <v>2</v>
      </c>
      <c r="E124" s="203" t="s">
        <v>324</v>
      </c>
      <c r="F124" s="204">
        <v>8</v>
      </c>
      <c r="G124" s="203" t="s">
        <v>35</v>
      </c>
      <c r="H124" s="205"/>
      <c r="I124" s="206"/>
      <c r="J124" s="203" t="s">
        <v>125</v>
      </c>
      <c r="K124" s="204"/>
      <c r="L124" s="204"/>
      <c r="M124" s="208">
        <f>IF(Tabelle1324568910111213[[#This Row],[Pulled after Start]]="",MIN(Tabelle1324568910111213[[#This Row],[Jira Story Points]],Tabelle1324568910111213[[#This Row],[Carry-over]]),0)</f>
        <v>8</v>
      </c>
      <c r="N124" s="209">
        <f>MIN(Tabelle1324568910111213[[#This Row],[Jira Story Points]],Tabelle1324568910111213[[#This Row],[Carry-over]])-Tabelle1324568910111213[[#This Row],[SP Initially Planned (COS)]]</f>
        <v>0</v>
      </c>
      <c r="O124"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8</v>
      </c>
      <c r="P124" s="211">
        <f>IFERROR(IF(Tabelle1324568910111213[[#This Row],[Status]]=$J$5,MIN(Tabelle1324568910111213[[#This Row],[Jira Story Points]],Tabelle1324568910111213[[#This Row],[Carry-over]]),0),0)</f>
        <v>0</v>
      </c>
      <c r="Q124" s="211">
        <f>IFERROR(IF(Tabelle1324568910111213[[#This Row],[Status]]=$J$5,0,MIN(Tabelle1324568910111213[[#This Row],[Jira Story Points]],Tabelle1324568910111213[[#This Row],[Carry-over]])-Tabelle1324568910111213[[#This Row],[SP Completed (COS &amp; SOS)]]),0)</f>
        <v>0</v>
      </c>
    </row>
    <row r="125" spans="1:17" ht="13.5" hidden="1" customHeight="1">
      <c r="A125" s="214" t="s">
        <v>1839</v>
      </c>
      <c r="B125" s="47" t="s">
        <v>1840</v>
      </c>
      <c r="C125" s="203" t="s">
        <v>372</v>
      </c>
      <c r="D125" s="203">
        <v>3</v>
      </c>
      <c r="E125" s="203" t="s">
        <v>324</v>
      </c>
      <c r="F125" s="204">
        <v>2</v>
      </c>
      <c r="G125" s="203" t="s">
        <v>35</v>
      </c>
      <c r="H125" s="205"/>
      <c r="I125" s="206"/>
      <c r="J125" s="203" t="s">
        <v>125</v>
      </c>
      <c r="K125" s="204"/>
      <c r="L125" s="204"/>
      <c r="M125" s="208">
        <f>IF(Tabelle1324568910111213[[#This Row],[Pulled after Start]]="",MIN(Tabelle1324568910111213[[#This Row],[Jira Story Points]],Tabelle1324568910111213[[#This Row],[Carry-over]]),0)</f>
        <v>2</v>
      </c>
      <c r="N125" s="209">
        <f>MIN(Tabelle1324568910111213[[#This Row],[Jira Story Points]],Tabelle1324568910111213[[#This Row],[Carry-over]])-Tabelle1324568910111213[[#This Row],[SP Initially Planned (COS)]]</f>
        <v>0</v>
      </c>
      <c r="O125"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125" s="211">
        <f>IFERROR(IF(Tabelle1324568910111213[[#This Row],[Status]]=$J$5,MIN(Tabelle1324568910111213[[#This Row],[Jira Story Points]],Tabelle1324568910111213[[#This Row],[Carry-over]]),0),0)</f>
        <v>0</v>
      </c>
      <c r="Q125" s="211">
        <f>IFERROR(IF(Tabelle1324568910111213[[#This Row],[Status]]=$J$5,0,MIN(Tabelle1324568910111213[[#This Row],[Jira Story Points]],Tabelle1324568910111213[[#This Row],[Carry-over]])-Tabelle1324568910111213[[#This Row],[SP Completed (COS &amp; SOS)]]),0)</f>
        <v>0</v>
      </c>
    </row>
    <row r="126" spans="1:17" ht="13.5" hidden="1" customHeight="1">
      <c r="A126" s="214" t="s">
        <v>1841</v>
      </c>
      <c r="B126" s="47" t="s">
        <v>1842</v>
      </c>
      <c r="C126" s="203" t="s">
        <v>375</v>
      </c>
      <c r="D126" s="203">
        <v>3</v>
      </c>
      <c r="E126" s="203" t="s">
        <v>324</v>
      </c>
      <c r="F126" s="204">
        <v>3</v>
      </c>
      <c r="G126" s="203" t="s">
        <v>35</v>
      </c>
      <c r="H126" s="205"/>
      <c r="I126" s="206"/>
      <c r="J126" s="203" t="s">
        <v>125</v>
      </c>
      <c r="K126" s="204"/>
      <c r="L126" s="204"/>
      <c r="M126" s="208">
        <f>IF(Tabelle1324568910111213[[#This Row],[Pulled after Start]]="",MIN(Tabelle1324568910111213[[#This Row],[Jira Story Points]],Tabelle1324568910111213[[#This Row],[Carry-over]]),0)</f>
        <v>3</v>
      </c>
      <c r="N126" s="209">
        <f>MIN(Tabelle1324568910111213[[#This Row],[Jira Story Points]],Tabelle1324568910111213[[#This Row],[Carry-over]])-Tabelle1324568910111213[[#This Row],[SP Initially Planned (COS)]]</f>
        <v>0</v>
      </c>
      <c r="O126"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26" s="211">
        <f>IFERROR(IF(Tabelle1324568910111213[[#This Row],[Status]]=$J$5,MIN(Tabelle1324568910111213[[#This Row],[Jira Story Points]],Tabelle1324568910111213[[#This Row],[Carry-over]]),0),0)</f>
        <v>0</v>
      </c>
      <c r="Q126" s="211">
        <f>IFERROR(IF(Tabelle1324568910111213[[#This Row],[Status]]=$J$5,0,MIN(Tabelle1324568910111213[[#This Row],[Jira Story Points]],Tabelle1324568910111213[[#This Row],[Carry-over]])-Tabelle1324568910111213[[#This Row],[SP Completed (COS &amp; SOS)]]),0)</f>
        <v>0</v>
      </c>
    </row>
    <row r="127" spans="1:17" ht="13.5" hidden="1" customHeight="1">
      <c r="A127" s="214" t="s">
        <v>1843</v>
      </c>
      <c r="B127" s="47" t="s">
        <v>1844</v>
      </c>
      <c r="C127" s="203" t="s">
        <v>372</v>
      </c>
      <c r="D127" s="203">
        <v>3</v>
      </c>
      <c r="E127" s="203" t="s">
        <v>324</v>
      </c>
      <c r="F127" s="204">
        <v>5</v>
      </c>
      <c r="G127" s="203" t="s">
        <v>35</v>
      </c>
      <c r="H127" s="205"/>
      <c r="I127" s="206"/>
      <c r="J127" s="203" t="s">
        <v>125</v>
      </c>
      <c r="K127" s="204"/>
      <c r="L127" s="204"/>
      <c r="M127" s="208">
        <f>IF(Tabelle1324568910111213[[#This Row],[Pulled after Start]]="",MIN(Tabelle1324568910111213[[#This Row],[Jira Story Points]],Tabelle1324568910111213[[#This Row],[Carry-over]]),0)</f>
        <v>5</v>
      </c>
      <c r="N127" s="209">
        <f>MIN(Tabelle1324568910111213[[#This Row],[Jira Story Points]],Tabelle1324568910111213[[#This Row],[Carry-over]])-Tabelle1324568910111213[[#This Row],[SP Initially Planned (COS)]]</f>
        <v>0</v>
      </c>
      <c r="O127"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5</v>
      </c>
      <c r="P127" s="211">
        <f>IFERROR(IF(Tabelle1324568910111213[[#This Row],[Status]]=$J$5,MIN(Tabelle1324568910111213[[#This Row],[Jira Story Points]],Tabelle1324568910111213[[#This Row],[Carry-over]]),0),0)</f>
        <v>0</v>
      </c>
      <c r="Q127" s="211">
        <f>IFERROR(IF(Tabelle1324568910111213[[#This Row],[Status]]=$J$5,0,MIN(Tabelle1324568910111213[[#This Row],[Jira Story Points]],Tabelle1324568910111213[[#This Row],[Carry-over]])-Tabelle1324568910111213[[#This Row],[SP Completed (COS &amp; SOS)]]),0)</f>
        <v>0</v>
      </c>
    </row>
    <row r="128" spans="1:17" ht="13.5" hidden="1" customHeight="1">
      <c r="A128" s="214" t="s">
        <v>1845</v>
      </c>
      <c r="B128" s="47" t="s">
        <v>1846</v>
      </c>
      <c r="C128" s="203" t="s">
        <v>372</v>
      </c>
      <c r="D128" s="203">
        <v>3</v>
      </c>
      <c r="E128" s="203" t="s">
        <v>324</v>
      </c>
      <c r="F128" s="204">
        <v>2</v>
      </c>
      <c r="G128" s="203" t="s">
        <v>35</v>
      </c>
      <c r="H128" s="205"/>
      <c r="I128" s="206"/>
      <c r="J128" s="203" t="s">
        <v>125</v>
      </c>
      <c r="K128" s="204"/>
      <c r="L128" s="204"/>
      <c r="M128" s="208">
        <f>IF(Tabelle1324568910111213[[#This Row],[Pulled after Start]]="",MIN(Tabelle1324568910111213[[#This Row],[Jira Story Points]],Tabelle1324568910111213[[#This Row],[Carry-over]]),0)</f>
        <v>2</v>
      </c>
      <c r="N128" s="209">
        <f>MIN(Tabelle1324568910111213[[#This Row],[Jira Story Points]],Tabelle1324568910111213[[#This Row],[Carry-over]])-Tabelle1324568910111213[[#This Row],[SP Initially Planned (COS)]]</f>
        <v>0</v>
      </c>
      <c r="O128"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128" s="211">
        <f>IFERROR(IF(Tabelle1324568910111213[[#This Row],[Status]]=$J$5,MIN(Tabelle1324568910111213[[#This Row],[Jira Story Points]],Tabelle1324568910111213[[#This Row],[Carry-over]]),0),0)</f>
        <v>0</v>
      </c>
      <c r="Q128" s="211">
        <f>IFERROR(IF(Tabelle1324568910111213[[#This Row],[Status]]=$J$5,0,MIN(Tabelle1324568910111213[[#This Row],[Jira Story Points]],Tabelle1324568910111213[[#This Row],[Carry-over]])-Tabelle1324568910111213[[#This Row],[SP Completed (COS &amp; SOS)]]),0)</f>
        <v>0</v>
      </c>
    </row>
    <row r="129" spans="1:17" ht="13.5" hidden="1" customHeight="1">
      <c r="A129" s="214" t="s">
        <v>1847</v>
      </c>
      <c r="B129" s="47" t="s">
        <v>1848</v>
      </c>
      <c r="C129" s="203" t="s">
        <v>375</v>
      </c>
      <c r="D129" s="203">
        <v>3</v>
      </c>
      <c r="E129" s="203" t="s">
        <v>324</v>
      </c>
      <c r="F129" s="204">
        <v>2</v>
      </c>
      <c r="G129" s="203" t="s">
        <v>35</v>
      </c>
      <c r="H129" s="205" t="s">
        <v>209</v>
      </c>
      <c r="I129" s="206"/>
      <c r="J129" s="203" t="s">
        <v>125</v>
      </c>
      <c r="K129" s="204"/>
      <c r="L129" s="204"/>
      <c r="M129" s="208">
        <f>IF(Tabelle1324568910111213[[#This Row],[Pulled after Start]]="",MIN(Tabelle1324568910111213[[#This Row],[Jira Story Points]],Tabelle1324568910111213[[#This Row],[Carry-over]]),0)</f>
        <v>0</v>
      </c>
      <c r="N129" s="209">
        <f>MIN(Tabelle1324568910111213[[#This Row],[Jira Story Points]],Tabelle1324568910111213[[#This Row],[Carry-over]])-Tabelle1324568910111213[[#This Row],[SP Initially Planned (COS)]]</f>
        <v>2</v>
      </c>
      <c r="O129"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129" s="211">
        <f>IFERROR(IF(Tabelle1324568910111213[[#This Row],[Status]]=$J$5,MIN(Tabelle1324568910111213[[#This Row],[Jira Story Points]],Tabelle1324568910111213[[#This Row],[Carry-over]]),0),0)</f>
        <v>0</v>
      </c>
      <c r="Q129" s="211">
        <f>IFERROR(IF(Tabelle1324568910111213[[#This Row],[Status]]=$J$5,0,MIN(Tabelle1324568910111213[[#This Row],[Jira Story Points]],Tabelle1324568910111213[[#This Row],[Carry-over]])-Tabelle1324568910111213[[#This Row],[SP Completed (COS &amp; SOS)]]),0)</f>
        <v>0</v>
      </c>
    </row>
    <row r="130" spans="1:17" ht="13.5" hidden="1" customHeight="1">
      <c r="A130" s="214" t="s">
        <v>1849</v>
      </c>
      <c r="B130" s="47" t="s">
        <v>1850</v>
      </c>
      <c r="C130" s="203" t="s">
        <v>372</v>
      </c>
      <c r="D130" s="203">
        <v>3</v>
      </c>
      <c r="E130" s="203" t="s">
        <v>324</v>
      </c>
      <c r="F130" s="204">
        <v>3</v>
      </c>
      <c r="G130" s="203" t="s">
        <v>35</v>
      </c>
      <c r="H130" s="205"/>
      <c r="I130" s="206"/>
      <c r="J130" s="203" t="s">
        <v>125</v>
      </c>
      <c r="K130" s="204"/>
      <c r="L130" s="204"/>
      <c r="M130" s="208">
        <f>IF(Tabelle1324568910111213[[#This Row],[Pulled after Start]]="",MIN(Tabelle1324568910111213[[#This Row],[Jira Story Points]],Tabelle1324568910111213[[#This Row],[Carry-over]]),0)</f>
        <v>3</v>
      </c>
      <c r="N130" s="209">
        <f>MIN(Tabelle1324568910111213[[#This Row],[Jira Story Points]],Tabelle1324568910111213[[#This Row],[Carry-over]])-Tabelle1324568910111213[[#This Row],[SP Initially Planned (COS)]]</f>
        <v>0</v>
      </c>
      <c r="O130"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30" s="211">
        <f>IFERROR(IF(Tabelle1324568910111213[[#This Row],[Status]]=$J$5,MIN(Tabelle1324568910111213[[#This Row],[Jira Story Points]],Tabelle1324568910111213[[#This Row],[Carry-over]]),0),0)</f>
        <v>0</v>
      </c>
      <c r="Q130" s="211">
        <f>IFERROR(IF(Tabelle1324568910111213[[#This Row],[Status]]=$J$5,0,MIN(Tabelle1324568910111213[[#This Row],[Jira Story Points]],Tabelle1324568910111213[[#This Row],[Carry-over]])-Tabelle1324568910111213[[#This Row],[SP Completed (COS &amp; SOS)]]),0)</f>
        <v>0</v>
      </c>
    </row>
    <row r="131" spans="1:17" ht="13.5" hidden="1" customHeight="1">
      <c r="A131" s="214" t="s">
        <v>1851</v>
      </c>
      <c r="B131" s="47" t="s">
        <v>1852</v>
      </c>
      <c r="C131" s="203" t="s">
        <v>375</v>
      </c>
      <c r="D131" s="203">
        <v>1</v>
      </c>
      <c r="E131" s="203" t="s">
        <v>324</v>
      </c>
      <c r="F131" s="204">
        <v>3</v>
      </c>
      <c r="G131" s="203" t="s">
        <v>35</v>
      </c>
      <c r="H131" s="205" t="s">
        <v>209</v>
      </c>
      <c r="I131" s="206"/>
      <c r="J131" s="203" t="s">
        <v>125</v>
      </c>
      <c r="K131" s="204"/>
      <c r="L131" s="204"/>
      <c r="M131" s="208">
        <f>IF(Tabelle1324568910111213[[#This Row],[Pulled after Start]]="",MIN(Tabelle1324568910111213[[#This Row],[Jira Story Points]],Tabelle1324568910111213[[#This Row],[Carry-over]]),0)</f>
        <v>0</v>
      </c>
      <c r="N131" s="209">
        <f>MIN(Tabelle1324568910111213[[#This Row],[Jira Story Points]],Tabelle1324568910111213[[#This Row],[Carry-over]])-Tabelle1324568910111213[[#This Row],[SP Initially Planned (COS)]]</f>
        <v>3</v>
      </c>
      <c r="O131"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31" s="211">
        <f>IFERROR(IF(Tabelle1324568910111213[[#This Row],[Status]]=$J$5,MIN(Tabelle1324568910111213[[#This Row],[Jira Story Points]],Tabelle1324568910111213[[#This Row],[Carry-over]]),0),0)</f>
        <v>0</v>
      </c>
      <c r="Q131" s="211">
        <f>IFERROR(IF(Tabelle1324568910111213[[#This Row],[Status]]=$J$5,0,MIN(Tabelle1324568910111213[[#This Row],[Jira Story Points]],Tabelle1324568910111213[[#This Row],[Carry-over]])-Tabelle1324568910111213[[#This Row],[SP Completed (COS &amp; SOS)]]),0)</f>
        <v>0</v>
      </c>
    </row>
    <row r="132" spans="1:17" ht="13.5" hidden="1" customHeight="1">
      <c r="A132" s="214" t="s">
        <v>1853</v>
      </c>
      <c r="B132" s="47" t="s">
        <v>1854</v>
      </c>
      <c r="C132" s="203" t="s">
        <v>382</v>
      </c>
      <c r="D132" s="203">
        <v>3</v>
      </c>
      <c r="E132" s="203" t="s">
        <v>324</v>
      </c>
      <c r="F132" s="204">
        <v>1</v>
      </c>
      <c r="G132" s="203" t="s">
        <v>35</v>
      </c>
      <c r="H132" s="205"/>
      <c r="I132" s="206"/>
      <c r="J132" s="203" t="s">
        <v>125</v>
      </c>
      <c r="K132" s="204"/>
      <c r="L132" s="204"/>
      <c r="M132" s="208">
        <f>IF(Tabelle1324568910111213[[#This Row],[Pulled after Start]]="",MIN(Tabelle1324568910111213[[#This Row],[Jira Story Points]],Tabelle1324568910111213[[#This Row],[Carry-over]]),0)</f>
        <v>1</v>
      </c>
      <c r="N132" s="209">
        <f>MIN(Tabelle1324568910111213[[#This Row],[Jira Story Points]],Tabelle1324568910111213[[#This Row],[Carry-over]])-Tabelle1324568910111213[[#This Row],[SP Initially Planned (COS)]]</f>
        <v>0</v>
      </c>
      <c r="O132"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132" s="211">
        <f>IFERROR(IF(Tabelle1324568910111213[[#This Row],[Status]]=$J$5,MIN(Tabelle1324568910111213[[#This Row],[Jira Story Points]],Tabelle1324568910111213[[#This Row],[Carry-over]]),0),0)</f>
        <v>0</v>
      </c>
      <c r="Q132" s="211">
        <f>IFERROR(IF(Tabelle1324568910111213[[#This Row],[Status]]=$J$5,0,MIN(Tabelle1324568910111213[[#This Row],[Jira Story Points]],Tabelle1324568910111213[[#This Row],[Carry-over]])-Tabelle1324568910111213[[#This Row],[SP Completed (COS &amp; SOS)]]),0)</f>
        <v>0</v>
      </c>
    </row>
    <row r="133" spans="1:17" ht="13.5" hidden="1" customHeight="1">
      <c r="A133" s="214" t="s">
        <v>1309</v>
      </c>
      <c r="B133" s="47" t="s">
        <v>1310</v>
      </c>
      <c r="C133" s="203" t="s">
        <v>372</v>
      </c>
      <c r="D133" s="203">
        <v>3</v>
      </c>
      <c r="E133" s="203" t="s">
        <v>327</v>
      </c>
      <c r="F133" s="204">
        <v>3</v>
      </c>
      <c r="G133" s="203" t="s">
        <v>35</v>
      </c>
      <c r="H133" s="205"/>
      <c r="I133" s="206"/>
      <c r="J133" s="203" t="s">
        <v>125</v>
      </c>
      <c r="K133" s="204"/>
      <c r="L133" s="204"/>
      <c r="M133" s="208">
        <f>IF(Tabelle1324568910111213[[#This Row],[Pulled after Start]]="",MIN(Tabelle1324568910111213[[#This Row],[Jira Story Points]],Tabelle1324568910111213[[#This Row],[Carry-over]]),0)</f>
        <v>3</v>
      </c>
      <c r="N133" s="209">
        <f>MIN(Tabelle1324568910111213[[#This Row],[Jira Story Points]],Tabelle1324568910111213[[#This Row],[Carry-over]])-Tabelle1324568910111213[[#This Row],[SP Initially Planned (COS)]]</f>
        <v>0</v>
      </c>
      <c r="O133"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33" s="211">
        <f>IFERROR(IF(Tabelle1324568910111213[[#This Row],[Status]]=$J$5,MIN(Tabelle1324568910111213[[#This Row],[Jira Story Points]],Tabelle1324568910111213[[#This Row],[Carry-over]]),0),0)</f>
        <v>0</v>
      </c>
      <c r="Q133" s="211">
        <f>IFERROR(IF(Tabelle1324568910111213[[#This Row],[Status]]=$J$5,0,MIN(Tabelle1324568910111213[[#This Row],[Jira Story Points]],Tabelle1324568910111213[[#This Row],[Carry-over]])-Tabelle1324568910111213[[#This Row],[SP Completed (COS &amp; SOS)]]),0)</f>
        <v>0</v>
      </c>
    </row>
    <row r="134" spans="1:17" ht="13.5" hidden="1" customHeight="1">
      <c r="A134" s="214" t="s">
        <v>1855</v>
      </c>
      <c r="B134" s="47" t="s">
        <v>1856</v>
      </c>
      <c r="C134" s="203" t="s">
        <v>372</v>
      </c>
      <c r="D134" s="203">
        <v>3</v>
      </c>
      <c r="E134" s="203" t="s">
        <v>327</v>
      </c>
      <c r="F134" s="204">
        <v>1</v>
      </c>
      <c r="G134" s="203" t="s">
        <v>35</v>
      </c>
      <c r="H134" s="205" t="s">
        <v>209</v>
      </c>
      <c r="I134" s="206"/>
      <c r="J134" s="203" t="s">
        <v>127</v>
      </c>
      <c r="K134" s="204"/>
      <c r="L134" s="204"/>
      <c r="M134" s="208">
        <f>IF(Tabelle1324568910111213[[#This Row],[Pulled after Start]]="",MIN(Tabelle1324568910111213[[#This Row],[Jira Story Points]],Tabelle1324568910111213[[#This Row],[Carry-over]]),0)</f>
        <v>0</v>
      </c>
      <c r="N134" s="209">
        <f>MIN(Tabelle1324568910111213[[#This Row],[Jira Story Points]],Tabelle1324568910111213[[#This Row],[Carry-over]])-Tabelle1324568910111213[[#This Row],[SP Initially Planned (COS)]]</f>
        <v>1</v>
      </c>
      <c r="O134"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134" s="211">
        <f>IFERROR(IF(Tabelle1324568910111213[[#This Row],[Status]]=$J$5,MIN(Tabelle1324568910111213[[#This Row],[Jira Story Points]],Tabelle1324568910111213[[#This Row],[Carry-over]]),0),0)</f>
        <v>0</v>
      </c>
      <c r="Q134" s="211">
        <f>IFERROR(IF(Tabelle1324568910111213[[#This Row],[Status]]=$J$5,0,MIN(Tabelle1324568910111213[[#This Row],[Jira Story Points]],Tabelle1324568910111213[[#This Row],[Carry-over]])-Tabelle1324568910111213[[#This Row],[SP Completed (COS &amp; SOS)]]),0)</f>
        <v>1</v>
      </c>
    </row>
    <row r="135" spans="1:17" ht="13.5" hidden="1" customHeight="1">
      <c r="A135" s="214" t="s">
        <v>1857</v>
      </c>
      <c r="B135" s="47" t="s">
        <v>1858</v>
      </c>
      <c r="C135" s="203" t="s">
        <v>372</v>
      </c>
      <c r="D135" s="203">
        <v>3</v>
      </c>
      <c r="E135" s="203" t="s">
        <v>642</v>
      </c>
      <c r="F135" s="204">
        <v>8</v>
      </c>
      <c r="G135" s="203" t="s">
        <v>35</v>
      </c>
      <c r="H135" s="205"/>
      <c r="I135" s="206"/>
      <c r="J135" s="203" t="s">
        <v>125</v>
      </c>
      <c r="K135" s="204"/>
      <c r="L135" s="204"/>
      <c r="M135" s="208">
        <f>IF(Tabelle1324568910111213[[#This Row],[Pulled after Start]]="",MIN(Tabelle1324568910111213[[#This Row],[Jira Story Points]],Tabelle1324568910111213[[#This Row],[Carry-over]]),0)</f>
        <v>8</v>
      </c>
      <c r="N135" s="209">
        <f>MIN(Tabelle1324568910111213[[#This Row],[Jira Story Points]],Tabelle1324568910111213[[#This Row],[Carry-over]])-Tabelle1324568910111213[[#This Row],[SP Initially Planned (COS)]]</f>
        <v>0</v>
      </c>
      <c r="O135"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8</v>
      </c>
      <c r="P135" s="211">
        <f>IFERROR(IF(Tabelle1324568910111213[[#This Row],[Status]]=$J$5,MIN(Tabelle1324568910111213[[#This Row],[Jira Story Points]],Tabelle1324568910111213[[#This Row],[Carry-over]]),0),0)</f>
        <v>0</v>
      </c>
      <c r="Q135" s="211">
        <f>IFERROR(IF(Tabelle1324568910111213[[#This Row],[Status]]=$J$5,0,MIN(Tabelle1324568910111213[[#This Row],[Jira Story Points]],Tabelle1324568910111213[[#This Row],[Carry-over]])-Tabelle1324568910111213[[#This Row],[SP Completed (COS &amp; SOS)]]),0)</f>
        <v>0</v>
      </c>
    </row>
    <row r="136" spans="1:17" ht="13.5" hidden="1" customHeight="1">
      <c r="A136" s="214" t="s">
        <v>1859</v>
      </c>
      <c r="B136" s="47" t="s">
        <v>1860</v>
      </c>
      <c r="C136" s="203" t="s">
        <v>372</v>
      </c>
      <c r="D136" s="203">
        <v>3</v>
      </c>
      <c r="E136" s="203" t="s">
        <v>628</v>
      </c>
      <c r="F136" s="204">
        <v>8</v>
      </c>
      <c r="G136" s="203" t="s">
        <v>35</v>
      </c>
      <c r="H136" s="205"/>
      <c r="I136" s="206"/>
      <c r="J136" s="203" t="s">
        <v>125</v>
      </c>
      <c r="K136" s="204"/>
      <c r="L136" s="204"/>
      <c r="M136" s="208">
        <f>IF(Tabelle1324568910111213[[#This Row],[Pulled after Start]]="",MIN(Tabelle1324568910111213[[#This Row],[Jira Story Points]],Tabelle1324568910111213[[#This Row],[Carry-over]]),0)</f>
        <v>8</v>
      </c>
      <c r="N136" s="209">
        <f>MIN(Tabelle1324568910111213[[#This Row],[Jira Story Points]],Tabelle1324568910111213[[#This Row],[Carry-over]])-Tabelle1324568910111213[[#This Row],[SP Initially Planned (COS)]]</f>
        <v>0</v>
      </c>
      <c r="O136"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8</v>
      </c>
      <c r="P136" s="211">
        <f>IFERROR(IF(Tabelle1324568910111213[[#This Row],[Status]]=$J$5,MIN(Tabelle1324568910111213[[#This Row],[Jira Story Points]],Tabelle1324568910111213[[#This Row],[Carry-over]]),0),0)</f>
        <v>0</v>
      </c>
      <c r="Q136" s="211">
        <f>IFERROR(IF(Tabelle1324568910111213[[#This Row],[Status]]=$J$5,0,MIN(Tabelle1324568910111213[[#This Row],[Jira Story Points]],Tabelle1324568910111213[[#This Row],[Carry-over]])-Tabelle1324568910111213[[#This Row],[SP Completed (COS &amp; SOS)]]),0)</f>
        <v>0</v>
      </c>
    </row>
    <row r="137" spans="1:17" ht="13.5" hidden="1" customHeight="1">
      <c r="A137" s="214" t="s">
        <v>1861</v>
      </c>
      <c r="B137" s="47" t="s">
        <v>1862</v>
      </c>
      <c r="C137" s="203" t="s">
        <v>372</v>
      </c>
      <c r="D137" s="203">
        <v>3</v>
      </c>
      <c r="E137" s="203" t="s">
        <v>642</v>
      </c>
      <c r="F137" s="204">
        <v>5</v>
      </c>
      <c r="G137" s="203" t="s">
        <v>35</v>
      </c>
      <c r="H137" s="205"/>
      <c r="I137" s="206"/>
      <c r="J137" s="203" t="s">
        <v>125</v>
      </c>
      <c r="K137" s="204"/>
      <c r="L137" s="204"/>
      <c r="M137" s="208">
        <f>IF(Tabelle1324568910111213[[#This Row],[Pulled after Start]]="",MIN(Tabelle1324568910111213[[#This Row],[Jira Story Points]],Tabelle1324568910111213[[#This Row],[Carry-over]]),0)</f>
        <v>5</v>
      </c>
      <c r="N137" s="209">
        <f>MIN(Tabelle1324568910111213[[#This Row],[Jira Story Points]],Tabelle1324568910111213[[#This Row],[Carry-over]])-Tabelle1324568910111213[[#This Row],[SP Initially Planned (COS)]]</f>
        <v>0</v>
      </c>
      <c r="O137"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5</v>
      </c>
      <c r="P137" s="211">
        <f>IFERROR(IF(Tabelle1324568910111213[[#This Row],[Status]]=$J$5,MIN(Tabelle1324568910111213[[#This Row],[Jira Story Points]],Tabelle1324568910111213[[#This Row],[Carry-over]]),0),0)</f>
        <v>0</v>
      </c>
      <c r="Q137" s="211">
        <f>IFERROR(IF(Tabelle1324568910111213[[#This Row],[Status]]=$J$5,0,MIN(Tabelle1324568910111213[[#This Row],[Jira Story Points]],Tabelle1324568910111213[[#This Row],[Carry-over]])-Tabelle1324568910111213[[#This Row],[SP Completed (COS &amp; SOS)]]),0)</f>
        <v>0</v>
      </c>
    </row>
    <row r="138" spans="1:17" ht="13.5" hidden="1" customHeight="1">
      <c r="A138" s="214" t="s">
        <v>1318</v>
      </c>
      <c r="B138" s="47" t="s">
        <v>1319</v>
      </c>
      <c r="C138" s="203" t="s">
        <v>372</v>
      </c>
      <c r="D138" s="203">
        <v>3</v>
      </c>
      <c r="E138" s="203" t="s">
        <v>327</v>
      </c>
      <c r="F138" s="204">
        <v>3</v>
      </c>
      <c r="G138" s="203" t="s">
        <v>35</v>
      </c>
      <c r="H138" s="205"/>
      <c r="I138" s="206"/>
      <c r="J138" s="203" t="s">
        <v>127</v>
      </c>
      <c r="K138" s="204"/>
      <c r="L138" s="204"/>
      <c r="M138" s="208">
        <f>IF(Tabelle1324568910111213[[#This Row],[Pulled after Start]]="",MIN(Tabelle1324568910111213[[#This Row],[Jira Story Points]],Tabelle1324568910111213[[#This Row],[Carry-over]]),0)</f>
        <v>3</v>
      </c>
      <c r="N138" s="209">
        <f>MIN(Tabelle1324568910111213[[#This Row],[Jira Story Points]],Tabelle1324568910111213[[#This Row],[Carry-over]])-Tabelle1324568910111213[[#This Row],[SP Initially Planned (COS)]]</f>
        <v>0</v>
      </c>
      <c r="O138"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138" s="211">
        <f>IFERROR(IF(Tabelle1324568910111213[[#This Row],[Status]]=$J$5,MIN(Tabelle1324568910111213[[#This Row],[Jira Story Points]],Tabelle1324568910111213[[#This Row],[Carry-over]]),0),0)</f>
        <v>0</v>
      </c>
      <c r="Q138" s="211">
        <f>IFERROR(IF(Tabelle1324568910111213[[#This Row],[Status]]=$J$5,0,MIN(Tabelle1324568910111213[[#This Row],[Jira Story Points]],Tabelle1324568910111213[[#This Row],[Carry-over]])-Tabelle1324568910111213[[#This Row],[SP Completed (COS &amp; SOS)]]),0)</f>
        <v>3</v>
      </c>
    </row>
    <row r="139" spans="1:17" ht="13.5" hidden="1" customHeight="1">
      <c r="A139" s="214" t="s">
        <v>1508</v>
      </c>
      <c r="B139" s="47" t="s">
        <v>1509</v>
      </c>
      <c r="C139" s="203" t="s">
        <v>375</v>
      </c>
      <c r="D139" s="203">
        <v>3</v>
      </c>
      <c r="E139" s="203" t="s">
        <v>637</v>
      </c>
      <c r="F139" s="204">
        <v>3</v>
      </c>
      <c r="G139" s="203" t="s">
        <v>35</v>
      </c>
      <c r="H139" s="205"/>
      <c r="I139" s="206"/>
      <c r="J139" s="203" t="s">
        <v>127</v>
      </c>
      <c r="K139" s="204"/>
      <c r="L139" s="204"/>
      <c r="M139" s="208">
        <f>IF(Tabelle1324568910111213[[#This Row],[Pulled after Start]]="",MIN(Tabelle1324568910111213[[#This Row],[Jira Story Points]],Tabelle1324568910111213[[#This Row],[Carry-over]]),0)</f>
        <v>3</v>
      </c>
      <c r="N139" s="209">
        <f>MIN(Tabelle1324568910111213[[#This Row],[Jira Story Points]],Tabelle1324568910111213[[#This Row],[Carry-over]])-Tabelle1324568910111213[[#This Row],[SP Initially Planned (COS)]]</f>
        <v>0</v>
      </c>
      <c r="O139"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139" s="211">
        <f>IFERROR(IF(Tabelle1324568910111213[[#This Row],[Status]]=$J$5,MIN(Tabelle1324568910111213[[#This Row],[Jira Story Points]],Tabelle1324568910111213[[#This Row],[Carry-over]]),0),0)</f>
        <v>0</v>
      </c>
      <c r="Q139" s="211">
        <f>IFERROR(IF(Tabelle1324568910111213[[#This Row],[Status]]=$J$5,0,MIN(Tabelle1324568910111213[[#This Row],[Jira Story Points]],Tabelle1324568910111213[[#This Row],[Carry-over]])-Tabelle1324568910111213[[#This Row],[SP Completed (COS &amp; SOS)]]),0)</f>
        <v>3</v>
      </c>
    </row>
    <row r="140" spans="1:17" ht="13.5" hidden="1" customHeight="1">
      <c r="A140" s="214" t="s">
        <v>1863</v>
      </c>
      <c r="B140" s="47" t="s">
        <v>1864</v>
      </c>
      <c r="C140" s="203" t="s">
        <v>375</v>
      </c>
      <c r="D140" s="203">
        <v>3</v>
      </c>
      <c r="E140" s="203" t="s">
        <v>327</v>
      </c>
      <c r="F140" s="204">
        <v>3</v>
      </c>
      <c r="G140" s="203" t="s">
        <v>35</v>
      </c>
      <c r="H140" s="205"/>
      <c r="I140" s="206"/>
      <c r="J140" s="203" t="s">
        <v>127</v>
      </c>
      <c r="K140" s="204"/>
      <c r="L140" s="204"/>
      <c r="M140" s="208">
        <f>IF(Tabelle1324568910111213[[#This Row],[Pulled after Start]]="",MIN(Tabelle1324568910111213[[#This Row],[Jira Story Points]],Tabelle1324568910111213[[#This Row],[Carry-over]]),0)</f>
        <v>3</v>
      </c>
      <c r="N140" s="209">
        <f>MIN(Tabelle1324568910111213[[#This Row],[Jira Story Points]],Tabelle1324568910111213[[#This Row],[Carry-over]])-Tabelle1324568910111213[[#This Row],[SP Initially Planned (COS)]]</f>
        <v>0</v>
      </c>
      <c r="O140"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140" s="211">
        <f>IFERROR(IF(Tabelle1324568910111213[[#This Row],[Status]]=$J$5,MIN(Tabelle1324568910111213[[#This Row],[Jira Story Points]],Tabelle1324568910111213[[#This Row],[Carry-over]]),0),0)</f>
        <v>0</v>
      </c>
      <c r="Q140" s="211">
        <f>IFERROR(IF(Tabelle1324568910111213[[#This Row],[Status]]=$J$5,0,MIN(Tabelle1324568910111213[[#This Row],[Jira Story Points]],Tabelle1324568910111213[[#This Row],[Carry-over]])-Tabelle1324568910111213[[#This Row],[SP Completed (COS &amp; SOS)]]),0)</f>
        <v>3</v>
      </c>
    </row>
    <row r="141" spans="1:17" ht="13.5" hidden="1" customHeight="1">
      <c r="A141" s="214" t="s">
        <v>1865</v>
      </c>
      <c r="B141" s="47" t="s">
        <v>1866</v>
      </c>
      <c r="C141" s="203" t="s">
        <v>375</v>
      </c>
      <c r="D141" s="203">
        <v>3</v>
      </c>
      <c r="E141" s="203" t="s">
        <v>642</v>
      </c>
      <c r="F141" s="204">
        <v>3</v>
      </c>
      <c r="G141" s="203" t="s">
        <v>35</v>
      </c>
      <c r="H141" s="205" t="s">
        <v>209</v>
      </c>
      <c r="I141" s="206"/>
      <c r="J141" s="203" t="s">
        <v>127</v>
      </c>
      <c r="K141" s="204"/>
      <c r="L141" s="204"/>
      <c r="M141" s="208">
        <f>IF(Tabelle1324568910111213[[#This Row],[Pulled after Start]]="",MIN(Tabelle1324568910111213[[#This Row],[Jira Story Points]],Tabelle1324568910111213[[#This Row],[Carry-over]]),0)</f>
        <v>0</v>
      </c>
      <c r="N141" s="209">
        <f>MIN(Tabelle1324568910111213[[#This Row],[Jira Story Points]],Tabelle1324568910111213[[#This Row],[Carry-over]])-Tabelle1324568910111213[[#This Row],[SP Initially Planned (COS)]]</f>
        <v>3</v>
      </c>
      <c r="O141"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141" s="211">
        <f>IFERROR(IF(Tabelle1324568910111213[[#This Row],[Status]]=$J$5,MIN(Tabelle1324568910111213[[#This Row],[Jira Story Points]],Tabelle1324568910111213[[#This Row],[Carry-over]]),0),0)</f>
        <v>0</v>
      </c>
      <c r="Q141" s="211">
        <f>IFERROR(IF(Tabelle1324568910111213[[#This Row],[Status]]=$J$5,0,MIN(Tabelle1324568910111213[[#This Row],[Jira Story Points]],Tabelle1324568910111213[[#This Row],[Carry-over]])-Tabelle1324568910111213[[#This Row],[SP Completed (COS &amp; SOS)]]),0)</f>
        <v>3</v>
      </c>
    </row>
    <row r="142" spans="1:17" ht="13.5" hidden="1" customHeight="1">
      <c r="A142" s="214" t="s">
        <v>1867</v>
      </c>
      <c r="B142" s="47" t="s">
        <v>1868</v>
      </c>
      <c r="C142" s="203" t="s">
        <v>372</v>
      </c>
      <c r="D142" s="203">
        <v>3</v>
      </c>
      <c r="E142" s="203" t="s">
        <v>637</v>
      </c>
      <c r="F142" s="204">
        <v>2</v>
      </c>
      <c r="G142" s="203" t="s">
        <v>35</v>
      </c>
      <c r="H142" s="205"/>
      <c r="I142" s="206"/>
      <c r="J142" s="203" t="s">
        <v>125</v>
      </c>
      <c r="K142" s="204"/>
      <c r="L142" s="204"/>
      <c r="M142" s="208">
        <f>IF(Tabelle1324568910111213[[#This Row],[Pulled after Start]]="",MIN(Tabelle1324568910111213[[#This Row],[Jira Story Points]],Tabelle1324568910111213[[#This Row],[Carry-over]]),0)</f>
        <v>2</v>
      </c>
      <c r="N142" s="209">
        <f>MIN(Tabelle1324568910111213[[#This Row],[Jira Story Points]],Tabelle1324568910111213[[#This Row],[Carry-over]])-Tabelle1324568910111213[[#This Row],[SP Initially Planned (COS)]]</f>
        <v>0</v>
      </c>
      <c r="O142"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142" s="211">
        <f>IFERROR(IF(Tabelle1324568910111213[[#This Row],[Status]]=$J$5,MIN(Tabelle1324568910111213[[#This Row],[Jira Story Points]],Tabelle1324568910111213[[#This Row],[Carry-over]]),0),0)</f>
        <v>0</v>
      </c>
      <c r="Q142" s="211">
        <f>IFERROR(IF(Tabelle1324568910111213[[#This Row],[Status]]=$J$5,0,MIN(Tabelle1324568910111213[[#This Row],[Jira Story Points]],Tabelle1324568910111213[[#This Row],[Carry-over]])-Tabelle1324568910111213[[#This Row],[SP Completed (COS &amp; SOS)]]),0)</f>
        <v>0</v>
      </c>
    </row>
    <row r="143" spans="1:17" ht="13.5" hidden="1" customHeight="1">
      <c r="A143" s="214" t="s">
        <v>1869</v>
      </c>
      <c r="B143" s="47" t="s">
        <v>1870</v>
      </c>
      <c r="C143" s="203" t="s">
        <v>382</v>
      </c>
      <c r="D143" s="203">
        <v>3</v>
      </c>
      <c r="E143" s="203" t="s">
        <v>330</v>
      </c>
      <c r="F143" s="204">
        <v>3</v>
      </c>
      <c r="G143" s="203" t="s">
        <v>35</v>
      </c>
      <c r="H143" s="205"/>
      <c r="I143" s="206"/>
      <c r="J143" s="203" t="s">
        <v>125</v>
      </c>
      <c r="K143" s="204"/>
      <c r="L143" s="204"/>
      <c r="M143" s="208">
        <f>IF(Tabelle1324568910111213[[#This Row],[Pulled after Start]]="",MIN(Tabelle1324568910111213[[#This Row],[Jira Story Points]],Tabelle1324568910111213[[#This Row],[Carry-over]]),0)</f>
        <v>3</v>
      </c>
      <c r="N143" s="209">
        <f>MIN(Tabelle1324568910111213[[#This Row],[Jira Story Points]],Tabelle1324568910111213[[#This Row],[Carry-over]])-Tabelle1324568910111213[[#This Row],[SP Initially Planned (COS)]]</f>
        <v>0</v>
      </c>
      <c r="O143"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43" s="211">
        <f>IFERROR(IF(Tabelle1324568910111213[[#This Row],[Status]]=$J$5,MIN(Tabelle1324568910111213[[#This Row],[Jira Story Points]],Tabelle1324568910111213[[#This Row],[Carry-over]]),0),0)</f>
        <v>0</v>
      </c>
      <c r="Q143" s="211">
        <f>IFERROR(IF(Tabelle1324568910111213[[#This Row],[Status]]=$J$5,0,MIN(Tabelle1324568910111213[[#This Row],[Jira Story Points]],Tabelle1324568910111213[[#This Row],[Carry-over]])-Tabelle1324568910111213[[#This Row],[SP Completed (COS &amp; SOS)]]),0)</f>
        <v>0</v>
      </c>
    </row>
    <row r="144" spans="1:17" ht="13.5" hidden="1" customHeight="1">
      <c r="A144" s="214" t="s">
        <v>1871</v>
      </c>
      <c r="B144" s="47" t="s">
        <v>1872</v>
      </c>
      <c r="C144" s="203" t="s">
        <v>382</v>
      </c>
      <c r="D144" s="203">
        <v>3</v>
      </c>
      <c r="E144" s="203" t="s">
        <v>642</v>
      </c>
      <c r="F144" s="204">
        <v>3</v>
      </c>
      <c r="G144" s="203" t="s">
        <v>35</v>
      </c>
      <c r="H144" s="205" t="s">
        <v>209</v>
      </c>
      <c r="I144" s="206"/>
      <c r="J144" s="203" t="s">
        <v>125</v>
      </c>
      <c r="K144" s="204"/>
      <c r="L144" s="204"/>
      <c r="M144" s="208">
        <f>IF(Tabelle1324568910111213[[#This Row],[Pulled after Start]]="",MIN(Tabelle1324568910111213[[#This Row],[Jira Story Points]],Tabelle1324568910111213[[#This Row],[Carry-over]]),0)</f>
        <v>0</v>
      </c>
      <c r="N144" s="209">
        <f>MIN(Tabelle1324568910111213[[#This Row],[Jira Story Points]],Tabelle1324568910111213[[#This Row],[Carry-over]])-Tabelle1324568910111213[[#This Row],[SP Initially Planned (COS)]]</f>
        <v>3</v>
      </c>
      <c r="O144"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44" s="211">
        <f>IFERROR(IF(Tabelle1324568910111213[[#This Row],[Status]]=$J$5,MIN(Tabelle1324568910111213[[#This Row],[Jira Story Points]],Tabelle1324568910111213[[#This Row],[Carry-over]]),0),0)</f>
        <v>0</v>
      </c>
      <c r="Q144" s="211">
        <f>IFERROR(IF(Tabelle1324568910111213[[#This Row],[Status]]=$J$5,0,MIN(Tabelle1324568910111213[[#This Row],[Jira Story Points]],Tabelle1324568910111213[[#This Row],[Carry-over]])-Tabelle1324568910111213[[#This Row],[SP Completed (COS &amp; SOS)]]),0)</f>
        <v>0</v>
      </c>
    </row>
    <row r="145" spans="1:17" ht="13.5" hidden="1" customHeight="1">
      <c r="A145" s="214" t="s">
        <v>1873</v>
      </c>
      <c r="B145" s="47" t="s">
        <v>1874</v>
      </c>
      <c r="C145" s="203" t="s">
        <v>372</v>
      </c>
      <c r="D145" s="203">
        <v>3</v>
      </c>
      <c r="E145" s="203" t="s">
        <v>327</v>
      </c>
      <c r="F145" s="204">
        <v>1</v>
      </c>
      <c r="G145" s="203" t="s">
        <v>35</v>
      </c>
      <c r="H145" s="205" t="s">
        <v>209</v>
      </c>
      <c r="I145" s="206"/>
      <c r="J145" s="203" t="s">
        <v>125</v>
      </c>
      <c r="K145" s="204"/>
      <c r="L145" s="204"/>
      <c r="M145" s="208">
        <f>IF(Tabelle1324568910111213[[#This Row],[Pulled after Start]]="",MIN(Tabelle1324568910111213[[#This Row],[Jira Story Points]],Tabelle1324568910111213[[#This Row],[Carry-over]]),0)</f>
        <v>0</v>
      </c>
      <c r="N145" s="209">
        <f>MIN(Tabelle1324568910111213[[#This Row],[Jira Story Points]],Tabelle1324568910111213[[#This Row],[Carry-over]])-Tabelle1324568910111213[[#This Row],[SP Initially Planned (COS)]]</f>
        <v>1</v>
      </c>
      <c r="O145"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145" s="211">
        <f>IFERROR(IF(Tabelle1324568910111213[[#This Row],[Status]]=$J$5,MIN(Tabelle1324568910111213[[#This Row],[Jira Story Points]],Tabelle1324568910111213[[#This Row],[Carry-over]]),0),0)</f>
        <v>0</v>
      </c>
      <c r="Q145" s="211">
        <f>IFERROR(IF(Tabelle1324568910111213[[#This Row],[Status]]=$J$5,0,MIN(Tabelle1324568910111213[[#This Row],[Jira Story Points]],Tabelle1324568910111213[[#This Row],[Carry-over]])-Tabelle1324568910111213[[#This Row],[SP Completed (COS &amp; SOS)]]),0)</f>
        <v>0</v>
      </c>
    </row>
    <row r="146" spans="1:17" ht="13.5" hidden="1" customHeight="1">
      <c r="A146" s="214" t="s">
        <v>1875</v>
      </c>
      <c r="B146" s="47" t="s">
        <v>1310</v>
      </c>
      <c r="C146" s="203" t="s">
        <v>372</v>
      </c>
      <c r="D146" s="203">
        <v>3</v>
      </c>
      <c r="E146" s="203" t="s">
        <v>327</v>
      </c>
      <c r="F146" s="204">
        <v>3</v>
      </c>
      <c r="G146" s="203" t="s">
        <v>35</v>
      </c>
      <c r="H146" s="205"/>
      <c r="I146" s="206"/>
      <c r="J146" s="203" t="s">
        <v>125</v>
      </c>
      <c r="K146" s="204"/>
      <c r="L146" s="204"/>
      <c r="M146" s="208">
        <f>IF(Tabelle1324568910111213[[#This Row],[Pulled after Start]]="",MIN(Tabelle1324568910111213[[#This Row],[Jira Story Points]],Tabelle1324568910111213[[#This Row],[Carry-over]]),0)</f>
        <v>3</v>
      </c>
      <c r="N146" s="209">
        <f>MIN(Tabelle1324568910111213[[#This Row],[Jira Story Points]],Tabelle1324568910111213[[#This Row],[Carry-over]])-Tabelle1324568910111213[[#This Row],[SP Initially Planned (COS)]]</f>
        <v>0</v>
      </c>
      <c r="O146"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46" s="211">
        <f>IFERROR(IF(Tabelle1324568910111213[[#This Row],[Status]]=$J$5,MIN(Tabelle1324568910111213[[#This Row],[Jira Story Points]],Tabelle1324568910111213[[#This Row],[Carry-over]]),0),0)</f>
        <v>0</v>
      </c>
      <c r="Q146" s="211">
        <f>IFERROR(IF(Tabelle1324568910111213[[#This Row],[Status]]=$J$5,0,MIN(Tabelle1324568910111213[[#This Row],[Jira Story Points]],Tabelle1324568910111213[[#This Row],[Carry-over]])-Tabelle1324568910111213[[#This Row],[SP Completed (COS &amp; SOS)]]),0)</f>
        <v>0</v>
      </c>
    </row>
    <row r="147" spans="1:17" ht="13.5" hidden="1" customHeight="1">
      <c r="A147" s="214" t="s">
        <v>1876</v>
      </c>
      <c r="B147" s="47" t="s">
        <v>1534</v>
      </c>
      <c r="C147" s="203" t="s">
        <v>372</v>
      </c>
      <c r="D147" s="203">
        <v>3</v>
      </c>
      <c r="E147" s="203" t="s">
        <v>642</v>
      </c>
      <c r="F147" s="204">
        <v>1</v>
      </c>
      <c r="G147" s="203" t="s">
        <v>35</v>
      </c>
      <c r="H147" s="205"/>
      <c r="I147" s="206"/>
      <c r="J147" s="203" t="s">
        <v>127</v>
      </c>
      <c r="K147" s="204"/>
      <c r="L147" s="204"/>
      <c r="M147" s="208">
        <f>IF(Tabelle1324568910111213[[#This Row],[Pulled after Start]]="",MIN(Tabelle1324568910111213[[#This Row],[Jira Story Points]],Tabelle1324568910111213[[#This Row],[Carry-over]]),0)</f>
        <v>1</v>
      </c>
      <c r="N147" s="209">
        <f>MIN(Tabelle1324568910111213[[#This Row],[Jira Story Points]],Tabelle1324568910111213[[#This Row],[Carry-over]])-Tabelle1324568910111213[[#This Row],[SP Initially Planned (COS)]]</f>
        <v>0</v>
      </c>
      <c r="O147"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147" s="211">
        <f>IFERROR(IF(Tabelle1324568910111213[[#This Row],[Status]]=$J$5,MIN(Tabelle1324568910111213[[#This Row],[Jira Story Points]],Tabelle1324568910111213[[#This Row],[Carry-over]]),0),0)</f>
        <v>0</v>
      </c>
      <c r="Q147" s="211">
        <f>IFERROR(IF(Tabelle1324568910111213[[#This Row],[Status]]=$J$5,0,MIN(Tabelle1324568910111213[[#This Row],[Jira Story Points]],Tabelle1324568910111213[[#This Row],[Carry-over]])-Tabelle1324568910111213[[#This Row],[SP Completed (COS &amp; SOS)]]),0)</f>
        <v>1</v>
      </c>
    </row>
    <row r="148" spans="1:17" ht="13.5" hidden="1" customHeight="1">
      <c r="A148" s="214" t="s">
        <v>1877</v>
      </c>
      <c r="B148" s="47" t="s">
        <v>1878</v>
      </c>
      <c r="C148" s="203" t="s">
        <v>382</v>
      </c>
      <c r="D148" s="203">
        <v>3</v>
      </c>
      <c r="E148" s="203" t="s">
        <v>642</v>
      </c>
      <c r="F148" s="204">
        <v>3</v>
      </c>
      <c r="G148" s="203" t="s">
        <v>35</v>
      </c>
      <c r="H148" s="205" t="s">
        <v>209</v>
      </c>
      <c r="I148" s="206"/>
      <c r="J148" s="203" t="s">
        <v>125</v>
      </c>
      <c r="K148" s="204"/>
      <c r="L148" s="204"/>
      <c r="M148" s="208">
        <f>IF(Tabelle1324568910111213[[#This Row],[Pulled after Start]]="",MIN(Tabelle1324568910111213[[#This Row],[Jira Story Points]],Tabelle1324568910111213[[#This Row],[Carry-over]]),0)</f>
        <v>0</v>
      </c>
      <c r="N148" s="209">
        <f>MIN(Tabelle1324568910111213[[#This Row],[Jira Story Points]],Tabelle1324568910111213[[#This Row],[Carry-over]])-Tabelle1324568910111213[[#This Row],[SP Initially Planned (COS)]]</f>
        <v>3</v>
      </c>
      <c r="O148"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48" s="211">
        <f>IFERROR(IF(Tabelle1324568910111213[[#This Row],[Status]]=$J$5,MIN(Tabelle1324568910111213[[#This Row],[Jira Story Points]],Tabelle1324568910111213[[#This Row],[Carry-over]]),0),0)</f>
        <v>0</v>
      </c>
      <c r="Q148" s="211">
        <f>IFERROR(IF(Tabelle1324568910111213[[#This Row],[Status]]=$J$5,0,MIN(Tabelle1324568910111213[[#This Row],[Jira Story Points]],Tabelle1324568910111213[[#This Row],[Carry-over]])-Tabelle1324568910111213[[#This Row],[SP Completed (COS &amp; SOS)]]),0)</f>
        <v>0</v>
      </c>
    </row>
    <row r="149" spans="1:17" ht="13.5" hidden="1" customHeight="1">
      <c r="A149" s="221" t="s">
        <v>1879</v>
      </c>
      <c r="B149" s="89" t="s">
        <v>1880</v>
      </c>
      <c r="C149" s="222" t="s">
        <v>372</v>
      </c>
      <c r="D149" s="222">
        <v>3</v>
      </c>
      <c r="E149" s="222" t="s">
        <v>324</v>
      </c>
      <c r="F149" s="223">
        <v>2</v>
      </c>
      <c r="G149" s="222" t="s">
        <v>9</v>
      </c>
      <c r="H149" s="224" t="s">
        <v>1881</v>
      </c>
      <c r="I149" s="225"/>
      <c r="J149" s="222" t="s">
        <v>901</v>
      </c>
      <c r="K149" s="223"/>
      <c r="L149" s="223"/>
      <c r="M149" s="208">
        <f>IF(Tabelle1324568910111213[[#This Row],[Pulled after Start]]="",MIN(Tabelle1324568910111213[[#This Row],[Jira Story Points]],Tabelle1324568910111213[[#This Row],[Carry-over]]),0)</f>
        <v>0</v>
      </c>
      <c r="N149" s="209">
        <f>MIN(Tabelle1324568910111213[[#This Row],[Jira Story Points]],Tabelle1324568910111213[[#This Row],[Carry-over]])-Tabelle1324568910111213[[#This Row],[SP Initially Planned (COS)]]</f>
        <v>2</v>
      </c>
      <c r="O149"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149" s="211">
        <f>IFERROR(IF(Tabelle1324568910111213[[#This Row],[Status]]=$J$5,MIN(Tabelle1324568910111213[[#This Row],[Jira Story Points]],Tabelle1324568910111213[[#This Row],[Carry-over]]),0),0)</f>
        <v>0</v>
      </c>
      <c r="Q149" s="211">
        <f>IFERROR(IF(Tabelle1324568910111213[[#This Row],[Status]]=$J$5,0,MIN(Tabelle1324568910111213[[#This Row],[Jira Story Points]],Tabelle1324568910111213[[#This Row],[Carry-over]])-Tabelle1324568910111213[[#This Row],[SP Completed (COS &amp; SOS)]]),0)</f>
        <v>0</v>
      </c>
    </row>
    <row r="150" spans="1:17" ht="13.5" hidden="1" customHeight="1">
      <c r="A150" s="221" t="s">
        <v>1882</v>
      </c>
      <c r="B150" s="89" t="s">
        <v>1883</v>
      </c>
      <c r="C150" s="222" t="s">
        <v>372</v>
      </c>
      <c r="D150" s="222">
        <v>3</v>
      </c>
      <c r="E150" s="222" t="s">
        <v>324</v>
      </c>
      <c r="F150" s="223">
        <v>5</v>
      </c>
      <c r="G150" s="222" t="s">
        <v>9</v>
      </c>
      <c r="H150" s="224" t="s">
        <v>1881</v>
      </c>
      <c r="I150" s="225"/>
      <c r="J150" s="222" t="s">
        <v>901</v>
      </c>
      <c r="K150" s="226"/>
      <c r="L150" s="223"/>
      <c r="M150" s="208">
        <f>IF(Tabelle1324568910111213[[#This Row],[Pulled after Start]]="",MIN(Tabelle1324568910111213[[#This Row],[Jira Story Points]],Tabelle1324568910111213[[#This Row],[Carry-over]]),0)</f>
        <v>0</v>
      </c>
      <c r="N150" s="209">
        <f>MIN(Tabelle1324568910111213[[#This Row],[Jira Story Points]],Tabelle1324568910111213[[#This Row],[Carry-over]])-Tabelle1324568910111213[[#This Row],[SP Initially Planned (COS)]]</f>
        <v>5</v>
      </c>
      <c r="O150"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5</v>
      </c>
      <c r="P150" s="211">
        <f>IFERROR(IF(Tabelle1324568910111213[[#This Row],[Status]]=$J$5,MIN(Tabelle1324568910111213[[#This Row],[Jira Story Points]],Tabelle1324568910111213[[#This Row],[Carry-over]]),0),0)</f>
        <v>0</v>
      </c>
      <c r="Q150" s="211">
        <f>IFERROR(IF(Tabelle1324568910111213[[#This Row],[Status]]=$J$5,0,MIN(Tabelle1324568910111213[[#This Row],[Jira Story Points]],Tabelle1324568910111213[[#This Row],[Carry-over]])-Tabelle1324568910111213[[#This Row],[SP Completed (COS &amp; SOS)]]),0)</f>
        <v>0</v>
      </c>
    </row>
    <row r="151" spans="1:17" ht="13.5" hidden="1" customHeight="1">
      <c r="A151" s="221" t="s">
        <v>1884</v>
      </c>
      <c r="B151" s="89" t="s">
        <v>1885</v>
      </c>
      <c r="C151" s="222" t="s">
        <v>372</v>
      </c>
      <c r="D151" s="222">
        <v>3</v>
      </c>
      <c r="E151" s="222" t="s">
        <v>324</v>
      </c>
      <c r="F151" s="223">
        <v>0.5</v>
      </c>
      <c r="G151" s="222" t="s">
        <v>9</v>
      </c>
      <c r="H151" s="224" t="s">
        <v>1881</v>
      </c>
      <c r="I151" s="225"/>
      <c r="J151" s="222" t="s">
        <v>901</v>
      </c>
      <c r="K151" s="223"/>
      <c r="L151" s="223"/>
      <c r="M151" s="208">
        <f>IF(Tabelle1324568910111213[[#This Row],[Pulled after Start]]="",MIN(Tabelle1324568910111213[[#This Row],[Jira Story Points]],Tabelle1324568910111213[[#This Row],[Carry-over]]),0)</f>
        <v>0</v>
      </c>
      <c r="N151" s="209">
        <f>MIN(Tabelle1324568910111213[[#This Row],[Jira Story Points]],Tabelle1324568910111213[[#This Row],[Carry-over]])-Tabelle1324568910111213[[#This Row],[SP Initially Planned (COS)]]</f>
        <v>0.5</v>
      </c>
      <c r="O151"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0.5</v>
      </c>
      <c r="P151" s="211">
        <f>IFERROR(IF(Tabelle1324568910111213[[#This Row],[Status]]=$J$5,MIN(Tabelle1324568910111213[[#This Row],[Jira Story Points]],Tabelle1324568910111213[[#This Row],[Carry-over]]),0),0)</f>
        <v>0</v>
      </c>
      <c r="Q151" s="211">
        <f>IFERROR(IF(Tabelle1324568910111213[[#This Row],[Status]]=$J$5,0,MIN(Tabelle1324568910111213[[#This Row],[Jira Story Points]],Tabelle1324568910111213[[#This Row],[Carry-over]])-Tabelle1324568910111213[[#This Row],[SP Completed (COS &amp; SOS)]]),0)</f>
        <v>0</v>
      </c>
    </row>
    <row r="152" spans="1:17" ht="13.5" hidden="1" customHeight="1">
      <c r="A152" s="221" t="s">
        <v>1886</v>
      </c>
      <c r="B152" s="89" t="s">
        <v>1887</v>
      </c>
      <c r="C152" s="222" t="s">
        <v>372</v>
      </c>
      <c r="D152" s="222">
        <v>3</v>
      </c>
      <c r="E152" s="222" t="s">
        <v>324</v>
      </c>
      <c r="F152" s="223">
        <v>3</v>
      </c>
      <c r="G152" s="222" t="s">
        <v>9</v>
      </c>
      <c r="H152" s="224" t="s">
        <v>1881</v>
      </c>
      <c r="I152" s="225"/>
      <c r="J152" s="222" t="s">
        <v>901</v>
      </c>
      <c r="K152" s="226"/>
      <c r="L152" s="223"/>
      <c r="M152" s="208">
        <f>IF(Tabelle1324568910111213[[#This Row],[Pulled after Start]]="",MIN(Tabelle1324568910111213[[#This Row],[Jira Story Points]],Tabelle1324568910111213[[#This Row],[Carry-over]]),0)</f>
        <v>0</v>
      </c>
      <c r="N152" s="209">
        <f>MIN(Tabelle1324568910111213[[#This Row],[Jira Story Points]],Tabelle1324568910111213[[#This Row],[Carry-over]])-Tabelle1324568910111213[[#This Row],[SP Initially Planned (COS)]]</f>
        <v>3</v>
      </c>
      <c r="O152"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52" s="211">
        <f>IFERROR(IF(Tabelle1324568910111213[[#This Row],[Status]]=$J$5,MIN(Tabelle1324568910111213[[#This Row],[Jira Story Points]],Tabelle1324568910111213[[#This Row],[Carry-over]]),0),0)</f>
        <v>0</v>
      </c>
      <c r="Q152" s="211">
        <f>IFERROR(IF(Tabelle1324568910111213[[#This Row],[Status]]=$J$5,0,MIN(Tabelle1324568910111213[[#This Row],[Jira Story Points]],Tabelle1324568910111213[[#This Row],[Carry-over]])-Tabelle1324568910111213[[#This Row],[SP Completed (COS &amp; SOS)]]),0)</f>
        <v>0</v>
      </c>
    </row>
    <row r="153" spans="1:17" ht="13.5" hidden="1" customHeight="1">
      <c r="A153" s="221" t="s">
        <v>1888</v>
      </c>
      <c r="B153" s="89" t="s">
        <v>1889</v>
      </c>
      <c r="C153" s="222" t="s">
        <v>372</v>
      </c>
      <c r="D153" s="222">
        <v>3</v>
      </c>
      <c r="E153" s="222" t="s">
        <v>324</v>
      </c>
      <c r="F153" s="223">
        <v>1</v>
      </c>
      <c r="G153" s="222" t="s">
        <v>9</v>
      </c>
      <c r="H153" s="224"/>
      <c r="I153" s="225"/>
      <c r="J153" s="222" t="s">
        <v>901</v>
      </c>
      <c r="K153" s="223"/>
      <c r="L153" s="223"/>
      <c r="M153" s="208">
        <f>IF(Tabelle1324568910111213[[#This Row],[Pulled after Start]]="",MIN(Tabelle1324568910111213[[#This Row],[Jira Story Points]],Tabelle1324568910111213[[#This Row],[Carry-over]]),0)</f>
        <v>1</v>
      </c>
      <c r="N153" s="209">
        <f>MIN(Tabelle1324568910111213[[#This Row],[Jira Story Points]],Tabelle1324568910111213[[#This Row],[Carry-over]])-Tabelle1324568910111213[[#This Row],[SP Initially Planned (COS)]]</f>
        <v>0</v>
      </c>
      <c r="O153"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153" s="211">
        <f>IFERROR(IF(Tabelle1324568910111213[[#This Row],[Status]]=$J$5,MIN(Tabelle1324568910111213[[#This Row],[Jira Story Points]],Tabelle1324568910111213[[#This Row],[Carry-over]]),0),0)</f>
        <v>0</v>
      </c>
      <c r="Q153" s="211">
        <f>IFERROR(IF(Tabelle1324568910111213[[#This Row],[Status]]=$J$5,0,MIN(Tabelle1324568910111213[[#This Row],[Jira Story Points]],Tabelle1324568910111213[[#This Row],[Carry-over]])-Tabelle1324568910111213[[#This Row],[SP Completed (COS &amp; SOS)]]),0)</f>
        <v>0</v>
      </c>
    </row>
    <row r="154" spans="1:17" ht="13.5" hidden="1" customHeight="1">
      <c r="A154" s="221" t="s">
        <v>1890</v>
      </c>
      <c r="B154" s="89" t="s">
        <v>1891</v>
      </c>
      <c r="C154" s="222" t="s">
        <v>372</v>
      </c>
      <c r="D154" s="222">
        <v>3</v>
      </c>
      <c r="E154" s="222" t="s">
        <v>324</v>
      </c>
      <c r="F154" s="223">
        <v>3</v>
      </c>
      <c r="G154" s="222" t="s">
        <v>9</v>
      </c>
      <c r="H154" s="224"/>
      <c r="I154" s="225"/>
      <c r="J154" s="222" t="s">
        <v>901</v>
      </c>
      <c r="K154" s="226">
        <v>3</v>
      </c>
      <c r="L154" s="223"/>
      <c r="M154" s="208">
        <f>IF(Tabelle1324568910111213[[#This Row],[Pulled after Start]]="",MIN(Tabelle1324568910111213[[#This Row],[Jira Story Points]],Tabelle1324568910111213[[#This Row],[Carry-over]]),0)</f>
        <v>3</v>
      </c>
      <c r="N154" s="209">
        <f>MIN(Tabelle1324568910111213[[#This Row],[Jira Story Points]],Tabelle1324568910111213[[#This Row],[Carry-over]])-Tabelle1324568910111213[[#This Row],[SP Initially Planned (COS)]]</f>
        <v>0</v>
      </c>
      <c r="O154"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54" s="211">
        <f>IFERROR(IF(Tabelle1324568910111213[[#This Row],[Status]]=$J$5,MIN(Tabelle1324568910111213[[#This Row],[Jira Story Points]],Tabelle1324568910111213[[#This Row],[Carry-over]]),0),0)</f>
        <v>0</v>
      </c>
      <c r="Q154" s="211">
        <f>IFERROR(IF(Tabelle1324568910111213[[#This Row],[Status]]=$J$5,0,MIN(Tabelle1324568910111213[[#This Row],[Jira Story Points]],Tabelle1324568910111213[[#This Row],[Carry-over]])-Tabelle1324568910111213[[#This Row],[SP Completed (COS &amp; SOS)]]),0)</f>
        <v>0</v>
      </c>
    </row>
    <row r="155" spans="1:17" ht="13.5" hidden="1" customHeight="1">
      <c r="A155" s="221" t="s">
        <v>1892</v>
      </c>
      <c r="B155" s="89" t="s">
        <v>1893</v>
      </c>
      <c r="C155" s="222" t="s">
        <v>372</v>
      </c>
      <c r="D155" s="222">
        <v>3</v>
      </c>
      <c r="E155" s="222" t="s">
        <v>324</v>
      </c>
      <c r="F155" s="223">
        <v>3</v>
      </c>
      <c r="G155" s="222" t="s">
        <v>9</v>
      </c>
      <c r="H155" s="224"/>
      <c r="I155" s="225"/>
      <c r="J155" s="222" t="s">
        <v>901</v>
      </c>
      <c r="K155" s="223"/>
      <c r="L155" s="223"/>
      <c r="M155" s="208">
        <f>IF(Tabelle1324568910111213[[#This Row],[Pulled after Start]]="",MIN(Tabelle1324568910111213[[#This Row],[Jira Story Points]],Tabelle1324568910111213[[#This Row],[Carry-over]]),0)</f>
        <v>3</v>
      </c>
      <c r="N155" s="209">
        <f>MIN(Tabelle1324568910111213[[#This Row],[Jira Story Points]],Tabelle1324568910111213[[#This Row],[Carry-over]])-Tabelle1324568910111213[[#This Row],[SP Initially Planned (COS)]]</f>
        <v>0</v>
      </c>
      <c r="O155"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55" s="211">
        <f>IFERROR(IF(Tabelle1324568910111213[[#This Row],[Status]]=$J$5,MIN(Tabelle1324568910111213[[#This Row],[Jira Story Points]],Tabelle1324568910111213[[#This Row],[Carry-over]]),0),0)</f>
        <v>0</v>
      </c>
      <c r="Q155" s="211">
        <f>IFERROR(IF(Tabelle1324568910111213[[#This Row],[Status]]=$J$5,0,MIN(Tabelle1324568910111213[[#This Row],[Jira Story Points]],Tabelle1324568910111213[[#This Row],[Carry-over]])-Tabelle1324568910111213[[#This Row],[SP Completed (COS &amp; SOS)]]),0)</f>
        <v>0</v>
      </c>
    </row>
    <row r="156" spans="1:17" ht="13.5" hidden="1" customHeight="1">
      <c r="A156" s="221" t="s">
        <v>1894</v>
      </c>
      <c r="B156" s="89" t="s">
        <v>1895</v>
      </c>
      <c r="C156" s="222" t="s">
        <v>372</v>
      </c>
      <c r="D156" s="222">
        <v>3</v>
      </c>
      <c r="E156" s="222" t="s">
        <v>324</v>
      </c>
      <c r="F156" s="223">
        <v>8</v>
      </c>
      <c r="G156" s="222" t="s">
        <v>9</v>
      </c>
      <c r="H156" s="224"/>
      <c r="I156" s="225"/>
      <c r="J156" s="222" t="s">
        <v>901</v>
      </c>
      <c r="K156" s="226"/>
      <c r="L156" s="223"/>
      <c r="M156" s="208">
        <f>IF(Tabelle1324568910111213[[#This Row],[Pulled after Start]]="",MIN(Tabelle1324568910111213[[#This Row],[Jira Story Points]],Tabelle1324568910111213[[#This Row],[Carry-over]]),0)</f>
        <v>8</v>
      </c>
      <c r="N156" s="209">
        <f>MIN(Tabelle1324568910111213[[#This Row],[Jira Story Points]],Tabelle1324568910111213[[#This Row],[Carry-over]])-Tabelle1324568910111213[[#This Row],[SP Initially Planned (COS)]]</f>
        <v>0</v>
      </c>
      <c r="O156"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8</v>
      </c>
      <c r="P156" s="211">
        <f>IFERROR(IF(Tabelle1324568910111213[[#This Row],[Status]]=$J$5,MIN(Tabelle1324568910111213[[#This Row],[Jira Story Points]],Tabelle1324568910111213[[#This Row],[Carry-over]]),0),0)</f>
        <v>0</v>
      </c>
      <c r="Q156" s="211">
        <f>IFERROR(IF(Tabelle1324568910111213[[#This Row],[Status]]=$J$5,0,MIN(Tabelle1324568910111213[[#This Row],[Jira Story Points]],Tabelle1324568910111213[[#This Row],[Carry-over]])-Tabelle1324568910111213[[#This Row],[SP Completed (COS &amp; SOS)]]),0)</f>
        <v>0</v>
      </c>
    </row>
    <row r="157" spans="1:17" ht="13.5" hidden="1" customHeight="1">
      <c r="A157" s="221" t="s">
        <v>1896</v>
      </c>
      <c r="B157" s="89" t="s">
        <v>1897</v>
      </c>
      <c r="C157" s="222" t="s">
        <v>372</v>
      </c>
      <c r="D157" s="222">
        <v>3</v>
      </c>
      <c r="E157" s="222" t="s">
        <v>324</v>
      </c>
      <c r="F157" s="223">
        <v>8</v>
      </c>
      <c r="G157" s="222" t="s">
        <v>9</v>
      </c>
      <c r="H157" s="224"/>
      <c r="I157" s="225"/>
      <c r="J157" s="222" t="s">
        <v>901</v>
      </c>
      <c r="K157" s="223">
        <v>1</v>
      </c>
      <c r="L157" s="223"/>
      <c r="M157" s="208">
        <f>IF(Tabelle1324568910111213[[#This Row],[Pulled after Start]]="",MIN(Tabelle1324568910111213[[#This Row],[Jira Story Points]],Tabelle1324568910111213[[#This Row],[Carry-over]]),0)</f>
        <v>1</v>
      </c>
      <c r="N157" s="209">
        <f>MIN(Tabelle1324568910111213[[#This Row],[Jira Story Points]],Tabelle1324568910111213[[#This Row],[Carry-over]])-Tabelle1324568910111213[[#This Row],[SP Initially Planned (COS)]]</f>
        <v>0</v>
      </c>
      <c r="O157"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157" s="211">
        <f>IFERROR(IF(Tabelle1324568910111213[[#This Row],[Status]]=$J$5,MIN(Tabelle1324568910111213[[#This Row],[Jira Story Points]],Tabelle1324568910111213[[#This Row],[Carry-over]]),0),0)</f>
        <v>0</v>
      </c>
      <c r="Q157" s="211">
        <f>IFERROR(IF(Tabelle1324568910111213[[#This Row],[Status]]=$J$5,0,MIN(Tabelle1324568910111213[[#This Row],[Jira Story Points]],Tabelle1324568910111213[[#This Row],[Carry-over]])-Tabelle1324568910111213[[#This Row],[SP Completed (COS &amp; SOS)]]),0)</f>
        <v>0</v>
      </c>
    </row>
    <row r="158" spans="1:17" ht="13.5" hidden="1" customHeight="1">
      <c r="A158" s="221" t="s">
        <v>1898</v>
      </c>
      <c r="B158" s="89" t="s">
        <v>1899</v>
      </c>
      <c r="C158" s="222" t="s">
        <v>372</v>
      </c>
      <c r="D158" s="222">
        <v>3</v>
      </c>
      <c r="E158" s="222" t="s">
        <v>324</v>
      </c>
      <c r="F158" s="223">
        <v>3</v>
      </c>
      <c r="G158" s="222" t="s">
        <v>9</v>
      </c>
      <c r="H158" s="224"/>
      <c r="I158" s="225"/>
      <c r="J158" s="222" t="s">
        <v>901</v>
      </c>
      <c r="K158" s="226"/>
      <c r="L158" s="223"/>
      <c r="M158" s="208">
        <f>IF(Tabelle1324568910111213[[#This Row],[Pulled after Start]]="",MIN(Tabelle1324568910111213[[#This Row],[Jira Story Points]],Tabelle1324568910111213[[#This Row],[Carry-over]]),0)</f>
        <v>3</v>
      </c>
      <c r="N158" s="209">
        <f>MIN(Tabelle1324568910111213[[#This Row],[Jira Story Points]],Tabelle1324568910111213[[#This Row],[Carry-over]])-Tabelle1324568910111213[[#This Row],[SP Initially Planned (COS)]]</f>
        <v>0</v>
      </c>
      <c r="O158"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58" s="211">
        <f>IFERROR(IF(Tabelle1324568910111213[[#This Row],[Status]]=$J$5,MIN(Tabelle1324568910111213[[#This Row],[Jira Story Points]],Tabelle1324568910111213[[#This Row],[Carry-over]]),0),0)</f>
        <v>0</v>
      </c>
      <c r="Q158" s="211">
        <f>IFERROR(IF(Tabelle1324568910111213[[#This Row],[Status]]=$J$5,0,MIN(Tabelle1324568910111213[[#This Row],[Jira Story Points]],Tabelle1324568910111213[[#This Row],[Carry-over]])-Tabelle1324568910111213[[#This Row],[SP Completed (COS &amp; SOS)]]),0)</f>
        <v>0</v>
      </c>
    </row>
    <row r="159" spans="1:17" ht="13.5" hidden="1" customHeight="1">
      <c r="A159" s="221" t="s">
        <v>1900</v>
      </c>
      <c r="B159" s="89" t="s">
        <v>1901</v>
      </c>
      <c r="C159" s="222" t="s">
        <v>372</v>
      </c>
      <c r="D159" s="222">
        <v>3</v>
      </c>
      <c r="E159" s="222" t="s">
        <v>324</v>
      </c>
      <c r="F159" s="223">
        <v>2</v>
      </c>
      <c r="G159" s="222" t="s">
        <v>9</v>
      </c>
      <c r="H159" s="224" t="s">
        <v>1881</v>
      </c>
      <c r="I159" s="225"/>
      <c r="J159" s="222" t="s">
        <v>901</v>
      </c>
      <c r="K159" s="223"/>
      <c r="L159" s="223"/>
      <c r="M159" s="208">
        <f>IF(Tabelle1324568910111213[[#This Row],[Pulled after Start]]="",MIN(Tabelle1324568910111213[[#This Row],[Jira Story Points]],Tabelle1324568910111213[[#This Row],[Carry-over]]),0)</f>
        <v>0</v>
      </c>
      <c r="N159" s="209">
        <f>MIN(Tabelle1324568910111213[[#This Row],[Jira Story Points]],Tabelle1324568910111213[[#This Row],[Carry-over]])-Tabelle1324568910111213[[#This Row],[SP Initially Planned (COS)]]</f>
        <v>2</v>
      </c>
      <c r="O159"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159" s="211">
        <f>IFERROR(IF(Tabelle1324568910111213[[#This Row],[Status]]=$J$5,MIN(Tabelle1324568910111213[[#This Row],[Jira Story Points]],Tabelle1324568910111213[[#This Row],[Carry-over]]),0),0)</f>
        <v>0</v>
      </c>
      <c r="Q159" s="211">
        <f>IFERROR(IF(Tabelle1324568910111213[[#This Row],[Status]]=$J$5,0,MIN(Tabelle1324568910111213[[#This Row],[Jira Story Points]],Tabelle1324568910111213[[#This Row],[Carry-over]])-Tabelle1324568910111213[[#This Row],[SP Completed (COS &amp; SOS)]]),0)</f>
        <v>0</v>
      </c>
    </row>
    <row r="160" spans="1:17" ht="13.5" hidden="1" customHeight="1">
      <c r="A160" s="221" t="s">
        <v>1656</v>
      </c>
      <c r="B160" s="89" t="s">
        <v>1657</v>
      </c>
      <c r="C160" s="222" t="s">
        <v>372</v>
      </c>
      <c r="D160" s="222">
        <v>3</v>
      </c>
      <c r="E160" s="222" t="s">
        <v>351</v>
      </c>
      <c r="F160" s="223">
        <v>5</v>
      </c>
      <c r="G160" s="222" t="s">
        <v>9</v>
      </c>
      <c r="H160" s="224" t="s">
        <v>1881</v>
      </c>
      <c r="I160" s="225"/>
      <c r="J160" s="222" t="s">
        <v>928</v>
      </c>
      <c r="K160" s="226"/>
      <c r="L160" s="223"/>
      <c r="M160" s="208">
        <f>IF(Tabelle1324568910111213[[#This Row],[Pulled after Start]]="",MIN(Tabelle1324568910111213[[#This Row],[Jira Story Points]],Tabelle1324568910111213[[#This Row],[Carry-over]]),0)</f>
        <v>0</v>
      </c>
      <c r="N160" s="209">
        <f>MIN(Tabelle1324568910111213[[#This Row],[Jira Story Points]],Tabelle1324568910111213[[#This Row],[Carry-over]])-Tabelle1324568910111213[[#This Row],[SP Initially Planned (COS)]]</f>
        <v>5</v>
      </c>
      <c r="O160"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160" s="211">
        <f>IFERROR(IF(Tabelle1324568910111213[[#This Row],[Status]]=$J$5,MIN(Tabelle1324568910111213[[#This Row],[Jira Story Points]],Tabelle1324568910111213[[#This Row],[Carry-over]]),0),0)</f>
        <v>0</v>
      </c>
      <c r="Q160" s="211">
        <f>IFERROR(IF(Tabelle1324568910111213[[#This Row],[Status]]=$J$5,0,MIN(Tabelle1324568910111213[[#This Row],[Jira Story Points]],Tabelle1324568910111213[[#This Row],[Carry-over]])-Tabelle1324568910111213[[#This Row],[SP Completed (COS &amp; SOS)]]),0)</f>
        <v>5</v>
      </c>
    </row>
    <row r="161" spans="1:17" ht="13.5" hidden="1" customHeight="1">
      <c r="A161" s="221" t="s">
        <v>899</v>
      </c>
      <c r="B161" s="89" t="s">
        <v>900</v>
      </c>
      <c r="C161" s="222" t="s">
        <v>372</v>
      </c>
      <c r="D161" s="222">
        <v>3</v>
      </c>
      <c r="E161" s="222" t="s">
        <v>327</v>
      </c>
      <c r="F161" s="223">
        <v>5</v>
      </c>
      <c r="G161" s="222" t="s">
        <v>9</v>
      </c>
      <c r="H161" s="224"/>
      <c r="I161" s="225"/>
      <c r="J161" s="222" t="s">
        <v>928</v>
      </c>
      <c r="K161" s="223">
        <v>2</v>
      </c>
      <c r="L161" s="223">
        <v>1</v>
      </c>
      <c r="M161" s="208">
        <f>IF(Tabelle1324568910111213[[#This Row],[Pulled after Start]]="",MIN(Tabelle1324568910111213[[#This Row],[Jira Story Points]],Tabelle1324568910111213[[#This Row],[Carry-over]]),0)</f>
        <v>2</v>
      </c>
      <c r="N161" s="209">
        <f>MIN(Tabelle1324568910111213[[#This Row],[Jira Story Points]],Tabelle1324568910111213[[#This Row],[Carry-over]])-Tabelle1324568910111213[[#This Row],[SP Initially Planned (COS)]]</f>
        <v>0</v>
      </c>
      <c r="O161"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1</v>
      </c>
      <c r="P161" s="211">
        <f>IFERROR(IF(Tabelle1324568910111213[[#This Row],[Status]]=$J$5,MIN(Tabelle1324568910111213[[#This Row],[Jira Story Points]],Tabelle1324568910111213[[#This Row],[Carry-over]]),0),0)</f>
        <v>0</v>
      </c>
      <c r="Q161" s="211">
        <f>IFERROR(IF(Tabelle1324568910111213[[#This Row],[Status]]=$J$5,0,MIN(Tabelle1324568910111213[[#This Row],[Jira Story Points]],Tabelle1324568910111213[[#This Row],[Carry-over]])-Tabelle1324568910111213[[#This Row],[SP Completed (COS &amp; SOS)]]),0)</f>
        <v>1</v>
      </c>
    </row>
    <row r="162" spans="1:17" ht="13.5" hidden="1" customHeight="1">
      <c r="A162" s="221" t="s">
        <v>1902</v>
      </c>
      <c r="B162" s="89" t="s">
        <v>1903</v>
      </c>
      <c r="C162" s="222" t="s">
        <v>375</v>
      </c>
      <c r="D162" s="222">
        <v>3</v>
      </c>
      <c r="E162" s="222" t="s">
        <v>1247</v>
      </c>
      <c r="F162" s="223">
        <v>0.5</v>
      </c>
      <c r="G162" s="222" t="s">
        <v>9</v>
      </c>
      <c r="H162" s="224" t="s">
        <v>209</v>
      </c>
      <c r="I162" s="225"/>
      <c r="J162" s="222" t="s">
        <v>901</v>
      </c>
      <c r="K162" s="226"/>
      <c r="L162" s="223"/>
      <c r="M162" s="208">
        <f>IF(Tabelle1324568910111213[[#This Row],[Pulled after Start]]="",MIN(Tabelle1324568910111213[[#This Row],[Jira Story Points]],Tabelle1324568910111213[[#This Row],[Carry-over]]),0)</f>
        <v>0</v>
      </c>
      <c r="N162" s="209">
        <f>MIN(Tabelle1324568910111213[[#This Row],[Jira Story Points]],Tabelle1324568910111213[[#This Row],[Carry-over]])-Tabelle1324568910111213[[#This Row],[SP Initially Planned (COS)]]</f>
        <v>0.5</v>
      </c>
      <c r="O162"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0.5</v>
      </c>
      <c r="P162" s="211">
        <f>IFERROR(IF(Tabelle1324568910111213[[#This Row],[Status]]=$J$5,MIN(Tabelle1324568910111213[[#This Row],[Jira Story Points]],Tabelle1324568910111213[[#This Row],[Carry-over]]),0),0)</f>
        <v>0</v>
      </c>
      <c r="Q162" s="211">
        <f>IFERROR(IF(Tabelle1324568910111213[[#This Row],[Status]]=$J$5,0,MIN(Tabelle1324568910111213[[#This Row],[Jira Story Points]],Tabelle1324568910111213[[#This Row],[Carry-over]])-Tabelle1324568910111213[[#This Row],[SP Completed (COS &amp; SOS)]]),0)</f>
        <v>0</v>
      </c>
    </row>
    <row r="163" spans="1:17" ht="13.5" hidden="1" customHeight="1">
      <c r="A163" s="221" t="s">
        <v>1904</v>
      </c>
      <c r="B163" s="89" t="s">
        <v>1905</v>
      </c>
      <c r="C163" s="222" t="s">
        <v>375</v>
      </c>
      <c r="D163" s="222">
        <v>3</v>
      </c>
      <c r="E163" s="222" t="s">
        <v>1247</v>
      </c>
      <c r="F163" s="223">
        <v>3</v>
      </c>
      <c r="G163" s="222" t="s">
        <v>9</v>
      </c>
      <c r="H163" s="224" t="s">
        <v>209</v>
      </c>
      <c r="I163" s="225"/>
      <c r="J163" s="222" t="s">
        <v>901</v>
      </c>
      <c r="K163" s="223"/>
      <c r="L163" s="223"/>
      <c r="M163" s="208">
        <f>IF(Tabelle1324568910111213[[#This Row],[Pulled after Start]]="",MIN(Tabelle1324568910111213[[#This Row],[Jira Story Points]],Tabelle1324568910111213[[#This Row],[Carry-over]]),0)</f>
        <v>0</v>
      </c>
      <c r="N163" s="209">
        <f>MIN(Tabelle1324568910111213[[#This Row],[Jira Story Points]],Tabelle1324568910111213[[#This Row],[Carry-over]])-Tabelle1324568910111213[[#This Row],[SP Initially Planned (COS)]]</f>
        <v>3</v>
      </c>
      <c r="O163"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63" s="211">
        <f>IFERROR(IF(Tabelle1324568910111213[[#This Row],[Status]]=$J$5,MIN(Tabelle1324568910111213[[#This Row],[Jira Story Points]],Tabelle1324568910111213[[#This Row],[Carry-over]]),0),0)</f>
        <v>0</v>
      </c>
      <c r="Q163" s="211">
        <f>IFERROR(IF(Tabelle1324568910111213[[#This Row],[Status]]=$J$5,0,MIN(Tabelle1324568910111213[[#This Row],[Jira Story Points]],Tabelle1324568910111213[[#This Row],[Carry-over]])-Tabelle1324568910111213[[#This Row],[SP Completed (COS &amp; SOS)]]),0)</f>
        <v>0</v>
      </c>
    </row>
    <row r="164" spans="1:17" ht="13.5" hidden="1" customHeight="1">
      <c r="A164" s="221" t="s">
        <v>1906</v>
      </c>
      <c r="B164" s="89" t="s">
        <v>1907</v>
      </c>
      <c r="C164" s="222" t="s">
        <v>1908</v>
      </c>
      <c r="D164" s="222">
        <v>3</v>
      </c>
      <c r="E164" s="222" t="s">
        <v>1247</v>
      </c>
      <c r="F164" s="223">
        <v>2</v>
      </c>
      <c r="G164" s="222" t="s">
        <v>9</v>
      </c>
      <c r="H164" s="224" t="s">
        <v>209</v>
      </c>
      <c r="I164" s="225"/>
      <c r="J164" s="222" t="s">
        <v>901</v>
      </c>
      <c r="K164" s="226"/>
      <c r="L164" s="223"/>
      <c r="M164" s="208">
        <f>IF(Tabelle1324568910111213[[#This Row],[Pulled after Start]]="",MIN(Tabelle1324568910111213[[#This Row],[Jira Story Points]],Tabelle1324568910111213[[#This Row],[Carry-over]]),0)</f>
        <v>0</v>
      </c>
      <c r="N164" s="209">
        <f>MIN(Tabelle1324568910111213[[#This Row],[Jira Story Points]],Tabelle1324568910111213[[#This Row],[Carry-over]])-Tabelle1324568910111213[[#This Row],[SP Initially Planned (COS)]]</f>
        <v>2</v>
      </c>
      <c r="O164"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164" s="211">
        <f>IFERROR(IF(Tabelle1324568910111213[[#This Row],[Status]]=$J$5,MIN(Tabelle1324568910111213[[#This Row],[Jira Story Points]],Tabelle1324568910111213[[#This Row],[Carry-over]]),0),0)</f>
        <v>0</v>
      </c>
      <c r="Q164" s="211">
        <f>IFERROR(IF(Tabelle1324568910111213[[#This Row],[Status]]=$J$5,0,MIN(Tabelle1324568910111213[[#This Row],[Jira Story Points]],Tabelle1324568910111213[[#This Row],[Carry-over]])-Tabelle1324568910111213[[#This Row],[SP Completed (COS &amp; SOS)]]),0)</f>
        <v>0</v>
      </c>
    </row>
    <row r="165" spans="1:17" ht="21" hidden="1" customHeight="1">
      <c r="A165" s="221" t="s">
        <v>1909</v>
      </c>
      <c r="B165" s="89" t="s">
        <v>1910</v>
      </c>
      <c r="C165" s="222" t="s">
        <v>1908</v>
      </c>
      <c r="D165" s="222">
        <v>2</v>
      </c>
      <c r="E165" s="222" t="s">
        <v>327</v>
      </c>
      <c r="F165" s="223">
        <v>5</v>
      </c>
      <c r="G165" s="222" t="s">
        <v>9</v>
      </c>
      <c r="H165" s="224" t="s">
        <v>209</v>
      </c>
      <c r="I165" s="225"/>
      <c r="J165" s="222" t="s">
        <v>1911</v>
      </c>
      <c r="K165" s="223"/>
      <c r="L165" s="223"/>
      <c r="M165" s="208">
        <f>IF(Tabelle1324568910111213[[#This Row],[Pulled after Start]]="",MIN(Tabelle1324568910111213[[#This Row],[Jira Story Points]],Tabelle1324568910111213[[#This Row],[Carry-over]]),0)</f>
        <v>0</v>
      </c>
      <c r="N165" s="209">
        <f>MIN(Tabelle1324568910111213[[#This Row],[Jira Story Points]],Tabelle1324568910111213[[#This Row],[Carry-over]])-Tabelle1324568910111213[[#This Row],[SP Initially Planned (COS)]]</f>
        <v>5</v>
      </c>
      <c r="O165"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5</v>
      </c>
      <c r="P165" s="211">
        <f>IFERROR(IF(Tabelle1324568910111213[[#This Row],[Status]]=$J$5,MIN(Tabelle1324568910111213[[#This Row],[Jira Story Points]],Tabelle1324568910111213[[#This Row],[Carry-over]]),0),0)</f>
        <v>0</v>
      </c>
      <c r="Q165" s="211">
        <f>IFERROR(IF(Tabelle1324568910111213[[#This Row],[Status]]=$J$5,0,MIN(Tabelle1324568910111213[[#This Row],[Jira Story Points]],Tabelle1324568910111213[[#This Row],[Carry-over]])-Tabelle1324568910111213[[#This Row],[SP Completed (COS &amp; SOS)]]),0)</f>
        <v>0</v>
      </c>
    </row>
    <row r="166" spans="1:17" ht="13.5" hidden="1" customHeight="1">
      <c r="A166" s="221" t="s">
        <v>1664</v>
      </c>
      <c r="B166" s="89" t="s">
        <v>1665</v>
      </c>
      <c r="C166" s="222" t="s">
        <v>372</v>
      </c>
      <c r="D166" s="222">
        <v>3</v>
      </c>
      <c r="E166" s="222" t="s">
        <v>327</v>
      </c>
      <c r="F166" s="223">
        <v>3</v>
      </c>
      <c r="G166" s="222" t="s">
        <v>9</v>
      </c>
      <c r="H166" s="224" t="s">
        <v>209</v>
      </c>
      <c r="I166" s="225"/>
      <c r="J166" s="222" t="s">
        <v>928</v>
      </c>
      <c r="K166" s="226"/>
      <c r="L166" s="223">
        <v>1</v>
      </c>
      <c r="M166" s="208">
        <f>IF(Tabelle1324568910111213[[#This Row],[Pulled after Start]]="",MIN(Tabelle1324568910111213[[#This Row],[Jira Story Points]],Tabelle1324568910111213[[#This Row],[Carry-over]]),0)</f>
        <v>0</v>
      </c>
      <c r="N166" s="209">
        <f>MIN(Tabelle1324568910111213[[#This Row],[Jira Story Points]],Tabelle1324568910111213[[#This Row],[Carry-over]])-Tabelle1324568910111213[[#This Row],[SP Initially Planned (COS)]]</f>
        <v>3</v>
      </c>
      <c r="O166"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166" s="211">
        <f>IFERROR(IF(Tabelle1324568910111213[[#This Row],[Status]]=$J$5,MIN(Tabelle1324568910111213[[#This Row],[Jira Story Points]],Tabelle1324568910111213[[#This Row],[Carry-over]]),0),0)</f>
        <v>0</v>
      </c>
      <c r="Q166" s="211">
        <f>IFERROR(IF(Tabelle1324568910111213[[#This Row],[Status]]=$J$5,0,MIN(Tabelle1324568910111213[[#This Row],[Jira Story Points]],Tabelle1324568910111213[[#This Row],[Carry-over]])-Tabelle1324568910111213[[#This Row],[SP Completed (COS &amp; SOS)]]),0)</f>
        <v>1</v>
      </c>
    </row>
    <row r="167" spans="1:17" ht="13.5" hidden="1" customHeight="1">
      <c r="A167" s="221" t="s">
        <v>1912</v>
      </c>
      <c r="B167" s="89" t="s">
        <v>1913</v>
      </c>
      <c r="C167" s="222" t="s">
        <v>372</v>
      </c>
      <c r="D167" s="222">
        <v>3</v>
      </c>
      <c r="E167" s="222" t="s">
        <v>324</v>
      </c>
      <c r="F167" s="223">
        <v>2</v>
      </c>
      <c r="G167" s="222" t="s">
        <v>9</v>
      </c>
      <c r="H167" s="224" t="s">
        <v>209</v>
      </c>
      <c r="I167" s="225"/>
      <c r="J167" s="222" t="s">
        <v>901</v>
      </c>
      <c r="K167" s="223"/>
      <c r="L167" s="223"/>
      <c r="M167" s="208">
        <f>IF(Tabelle1324568910111213[[#This Row],[Pulled after Start]]="",MIN(Tabelle1324568910111213[[#This Row],[Jira Story Points]],Tabelle1324568910111213[[#This Row],[Carry-over]]),0)</f>
        <v>0</v>
      </c>
      <c r="N167" s="209">
        <f>MIN(Tabelle1324568910111213[[#This Row],[Jira Story Points]],Tabelle1324568910111213[[#This Row],[Carry-over]])-Tabelle1324568910111213[[#This Row],[SP Initially Planned (COS)]]</f>
        <v>2</v>
      </c>
      <c r="O167"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2</v>
      </c>
      <c r="P167" s="211">
        <f>IFERROR(IF(Tabelle1324568910111213[[#This Row],[Status]]=$J$5,MIN(Tabelle1324568910111213[[#This Row],[Jira Story Points]],Tabelle1324568910111213[[#This Row],[Carry-over]]),0),0)</f>
        <v>0</v>
      </c>
      <c r="Q167" s="211">
        <f>IFERROR(IF(Tabelle1324568910111213[[#This Row],[Status]]=$J$5,0,MIN(Tabelle1324568910111213[[#This Row],[Jira Story Points]],Tabelle1324568910111213[[#This Row],[Carry-over]])-Tabelle1324568910111213[[#This Row],[SP Completed (COS &amp; SOS)]]),0)</f>
        <v>0</v>
      </c>
    </row>
    <row r="168" spans="1:17" ht="13.5" hidden="1" customHeight="1">
      <c r="A168" s="221" t="s">
        <v>1660</v>
      </c>
      <c r="B168" s="89" t="s">
        <v>1661</v>
      </c>
      <c r="C168" s="222" t="s">
        <v>372</v>
      </c>
      <c r="D168" s="222">
        <v>3</v>
      </c>
      <c r="E168" s="222" t="s">
        <v>628</v>
      </c>
      <c r="F168" s="223">
        <v>5</v>
      </c>
      <c r="G168" s="222" t="s">
        <v>9</v>
      </c>
      <c r="H168" s="224" t="s">
        <v>209</v>
      </c>
      <c r="I168" s="225"/>
      <c r="J168" s="222" t="s">
        <v>928</v>
      </c>
      <c r="K168" s="226"/>
      <c r="L168" s="223">
        <v>2</v>
      </c>
      <c r="M168" s="208">
        <f>IF(Tabelle1324568910111213[[#This Row],[Pulled after Start]]="",MIN(Tabelle1324568910111213[[#This Row],[Jira Story Points]],Tabelle1324568910111213[[#This Row],[Carry-over]]),0)</f>
        <v>0</v>
      </c>
      <c r="N168" s="209">
        <f>MIN(Tabelle1324568910111213[[#This Row],[Jira Story Points]],Tabelle1324568910111213[[#This Row],[Carry-over]])-Tabelle1324568910111213[[#This Row],[SP Initially Planned (COS)]]</f>
        <v>5</v>
      </c>
      <c r="O168"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3</v>
      </c>
      <c r="P168" s="211">
        <f>IFERROR(IF(Tabelle1324568910111213[[#This Row],[Status]]=$J$5,MIN(Tabelle1324568910111213[[#This Row],[Jira Story Points]],Tabelle1324568910111213[[#This Row],[Carry-over]]),0),0)</f>
        <v>0</v>
      </c>
      <c r="Q168" s="211">
        <f>IFERROR(IF(Tabelle1324568910111213[[#This Row],[Status]]=$J$5,0,MIN(Tabelle1324568910111213[[#This Row],[Jira Story Points]],Tabelle1324568910111213[[#This Row],[Carry-over]])-Tabelle1324568910111213[[#This Row],[SP Completed (COS &amp; SOS)]]),0)</f>
        <v>2</v>
      </c>
    </row>
    <row r="169" spans="1:17" ht="13.5" hidden="1" customHeight="1">
      <c r="A169" s="221" t="s">
        <v>1662</v>
      </c>
      <c r="B169" s="89" t="s">
        <v>1663</v>
      </c>
      <c r="C169" s="222" t="s">
        <v>372</v>
      </c>
      <c r="D169" s="222">
        <v>3</v>
      </c>
      <c r="E169" s="222" t="s">
        <v>327</v>
      </c>
      <c r="F169" s="223">
        <v>3</v>
      </c>
      <c r="G169" s="222" t="s">
        <v>9</v>
      </c>
      <c r="H169" s="224" t="s">
        <v>209</v>
      </c>
      <c r="I169" s="225" t="s">
        <v>1914</v>
      </c>
      <c r="J169" s="222" t="s">
        <v>928</v>
      </c>
      <c r="K169" s="223"/>
      <c r="L169" s="223">
        <v>3</v>
      </c>
      <c r="M169" s="208">
        <f>IF(Tabelle1324568910111213[[#This Row],[Pulled after Start]]="",MIN(Tabelle1324568910111213[[#This Row],[Jira Story Points]],Tabelle1324568910111213[[#This Row],[Carry-over]]),0)</f>
        <v>0</v>
      </c>
      <c r="N169" s="209">
        <f>MIN(Tabelle1324568910111213[[#This Row],[Jira Story Points]],Tabelle1324568910111213[[#This Row],[Carry-over]])-Tabelle1324568910111213[[#This Row],[SP Initially Planned (COS)]]</f>
        <v>3</v>
      </c>
      <c r="O169"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169" s="211">
        <f>IFERROR(IF(Tabelle1324568910111213[[#This Row],[Status]]=$J$5,MIN(Tabelle1324568910111213[[#This Row],[Jira Story Points]],Tabelle1324568910111213[[#This Row],[Carry-over]]),0),0)</f>
        <v>0</v>
      </c>
      <c r="Q169" s="211">
        <f>IFERROR(IF(Tabelle1324568910111213[[#This Row],[Status]]=$J$5,0,MIN(Tabelle1324568910111213[[#This Row],[Jira Story Points]],Tabelle1324568910111213[[#This Row],[Carry-over]])-Tabelle1324568910111213[[#This Row],[SP Completed (COS &amp; SOS)]]),0)</f>
        <v>3</v>
      </c>
    </row>
    <row r="170" spans="1:17" ht="13.5" hidden="1" customHeight="1">
      <c r="A170" s="221" t="s">
        <v>1915</v>
      </c>
      <c r="B170" s="89" t="s">
        <v>1910</v>
      </c>
      <c r="C170" s="222" t="s">
        <v>1908</v>
      </c>
      <c r="D170" s="222">
        <v>3</v>
      </c>
      <c r="E170" s="222" t="s">
        <v>628</v>
      </c>
      <c r="F170" s="223">
        <v>5</v>
      </c>
      <c r="G170" s="222" t="s">
        <v>9</v>
      </c>
      <c r="H170" s="224" t="s">
        <v>209</v>
      </c>
      <c r="I170" s="225" t="s">
        <v>1916</v>
      </c>
      <c r="J170" s="222" t="s">
        <v>901</v>
      </c>
      <c r="K170" s="226"/>
      <c r="L170" s="223">
        <v>0</v>
      </c>
      <c r="M170" s="208">
        <f>IF(Tabelle1324568910111213[[#This Row],[Pulled after Start]]="",MIN(Tabelle1324568910111213[[#This Row],[Jira Story Points]],Tabelle1324568910111213[[#This Row],[Carry-over]]),0)</f>
        <v>0</v>
      </c>
      <c r="N170" s="209">
        <f>MIN(Tabelle1324568910111213[[#This Row],[Jira Story Points]],Tabelle1324568910111213[[#This Row],[Carry-over]])-Tabelle1324568910111213[[#This Row],[SP Initially Planned (COS)]]</f>
        <v>5</v>
      </c>
      <c r="O170"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5</v>
      </c>
      <c r="P170" s="211">
        <f>IFERROR(IF(Tabelle1324568910111213[[#This Row],[Status]]=$J$5,MIN(Tabelle1324568910111213[[#This Row],[Jira Story Points]],Tabelle1324568910111213[[#This Row],[Carry-over]]),0),0)</f>
        <v>0</v>
      </c>
      <c r="Q170" s="211">
        <f>IFERROR(IF(Tabelle1324568910111213[[#This Row],[Status]]=$J$5,0,MIN(Tabelle1324568910111213[[#This Row],[Jira Story Points]],Tabelle1324568910111213[[#This Row],[Carry-over]])-Tabelle1324568910111213[[#This Row],[SP Completed (COS &amp; SOS)]]),0)</f>
        <v>0</v>
      </c>
    </row>
    <row r="171" spans="1:17" ht="13.5" hidden="1" customHeight="1">
      <c r="A171" s="227" t="s">
        <v>1917</v>
      </c>
      <c r="B171" s="48" t="s">
        <v>1586</v>
      </c>
      <c r="C171" s="228" t="s">
        <v>1908</v>
      </c>
      <c r="D171" s="228">
        <v>3</v>
      </c>
      <c r="E171" s="228" t="s">
        <v>327</v>
      </c>
      <c r="F171" s="229">
        <v>3</v>
      </c>
      <c r="G171" s="228" t="s">
        <v>21</v>
      </c>
      <c r="H171" s="230" t="s">
        <v>209</v>
      </c>
      <c r="I171" s="206"/>
      <c r="J171" s="228" t="s">
        <v>928</v>
      </c>
      <c r="K171" s="229">
        <v>3</v>
      </c>
      <c r="L171" s="204"/>
      <c r="M171" s="208">
        <f>IF(Tabelle1324568910111213[[#This Row],[Pulled after Start]]="",MIN(Tabelle1324568910111213[[#This Row],[Jira Story Points]],Tabelle1324568910111213[[#This Row],[Carry-over]]),0)</f>
        <v>0</v>
      </c>
      <c r="N171" s="209">
        <f>MIN(Tabelle1324568910111213[[#This Row],[Jira Story Points]],Tabelle1324568910111213[[#This Row],[Carry-over]])-Tabelle1324568910111213[[#This Row],[SP Initially Planned (COS)]]</f>
        <v>3</v>
      </c>
      <c r="O171" s="210">
        <f>IFERROR(IF(OR(Tabelle1324568910111213[[#This Row],[Status]]=$J$5,ISBLANK(Tabelle1324568910111213[[#This Row],[Status]])),0,IF(AND(Tabelle1324568910111213[[#This Row],[Status]]=$I$5,ISBLANK(Tabelle1324568910111213[[#This Row],[Spill-over]])),0,IF(NOT(ISBLANK(Tabelle1324568910111213[[#This Row],[Carry-over]])),Tabelle1324568910111213[[#This Row],[Carry-over]]-Tabelle1324568910111213[[#This Row],[Spill-over]],Tabelle1324568910111213[[#This Row],[Jira Story Points]]-Tabelle1324568910111213[[#This Row],[Spill-over]]))),"-")</f>
        <v>0</v>
      </c>
      <c r="P171" s="211">
        <f>IFERROR(IF(Tabelle1324568910111213[[#This Row],[Status]]=$J$5,MIN(Tabelle1324568910111213[[#This Row],[Jira Story Points]],Tabelle1324568910111213[[#This Row],[Carry-over]]),0),0)</f>
        <v>0</v>
      </c>
      <c r="Q171" s="211">
        <f>IFERROR(IF(Tabelle1324568910111213[[#This Row],[Status]]=$J$5,0,MIN(Tabelle1324568910111213[[#This Row],[Jira Story Points]],Tabelle1324568910111213[[#This Row],[Carry-over]])-Tabelle1324568910111213[[#This Row],[SP Completed (COS &amp; SOS)]]),0)</f>
        <v>3</v>
      </c>
    </row>
  </sheetData>
  <mergeCells count="12">
    <mergeCell ref="B6:B15"/>
    <mergeCell ref="N22:O22"/>
    <mergeCell ref="C1:J1"/>
    <mergeCell ref="H3:J3"/>
    <mergeCell ref="D4:E4"/>
    <mergeCell ref="F4:K4"/>
    <mergeCell ref="M4:R4"/>
    <mergeCell ref="D22:E22"/>
    <mergeCell ref="F22:G22"/>
    <mergeCell ref="H22:I22"/>
    <mergeCell ref="J22:K22"/>
    <mergeCell ref="L22:M22"/>
  </mergeCells>
  <dataValidations count="4">
    <dataValidation type="list" allowBlank="1" showErrorMessage="1" sqref="G32:G69" xr:uid="{DE419E42-D70A-4C51-B8E9-0E15A3E38C4B}">
      <formula1>$C$6:$C$15</formula1>
    </dataValidation>
    <dataValidation type="list" allowBlank="1" showErrorMessage="1" sqref="J32:J171" xr:uid="{65C4FE58-08B7-438D-9DB1-50B57AF17F44}">
      <formula1>$H$5:$J$5</formula1>
    </dataValidation>
    <dataValidation type="list" allowBlank="1" showErrorMessage="1" sqref="H32:H112" xr:uid="{75EB0D0A-CC53-4D1F-865B-509A339DC200}">
      <formula1>"yes"</formula1>
    </dataValidation>
    <dataValidation allowBlank="1" showInputMessage="1" showErrorMessage="1" sqref="K33:K36 L37:L39" xr:uid="{14EE322E-B399-4A5E-AF31-F19163F77D66}"/>
  </dataValidations>
  <hyperlinks>
    <hyperlink ref="A33" r:id="rId1" display="[ANP-21583] Refactor Multilane State - Jira" xr:uid="{1304EF22-D683-4BBC-9394-59AE73429939}"/>
    <hyperlink ref="A34" r:id="rId2" display="[ANP-25381] Implement Remedy Feature for ANP-25351 - Jira" xr:uid="{F3393EE5-284B-401E-87D0-90A46F8C0CC2}"/>
    <hyperlink ref="A35" r:id="rId3" display="[ANP-25543] [CHOP] EFT dayend only works after first cashier login - Jira" xr:uid="{4FA2F58E-B005-4E4B-8243-81E62A6B614F}"/>
    <hyperlink ref="A36" r:id="rId4" display="[ANP-26166] Pick Tickets for Releases 3.18.11 and 4.7.6 - Jira" xr:uid="{6A5BE4D4-A84F-4CBC-8903-037D9BFB1FE9}"/>
    <hyperlink ref="A37" r:id="rId5" display="[ANP-25992] Build MCO part of NEWPOSS release 3.18.11 - Jira" xr:uid="{4312A52A-5FE6-4C0E-92F7-38979F388DE0}"/>
    <hyperlink ref="A38" r:id="rId6" display="[ANP-26109] Build MCO part of NEWPOSS release 4.7.6 - Jira" xr:uid="{036A73BE-DE65-4639-813C-BAF1B7BE8AEB}"/>
    <hyperlink ref="A39" r:id="rId7" display="[ANP-26124] create merge request and follow up ANP-23958 - Jira" xr:uid="{EF3A41EA-A2F0-42FA-8F98-4DF9D156257A}"/>
    <hyperlink ref="A40" r:id="rId8" display="[ANP-26125] attend Q&amp;A meeting for CDC - Jira" xr:uid="{871B64C7-16EE-4052-9384-512F0FDDE5E1}"/>
    <hyperlink ref="A32" r:id="rId9" display="[ANP-25478] [CHOP] Till restarts lead to unresolvable error since no customer scanner was found - Jira" xr:uid="{86C5E7EC-3CE6-481F-AAAE-711BBDA4ABA4}"/>
    <hyperlink ref="A41" r:id="rId10" display="https://aldi-sued.atlassian.net/browse/ANP-26402" xr:uid="{823CA2BF-6C20-41F9-96A6-FD03792427CA}"/>
    <hyperlink ref="A42" r:id="rId11" display="[ANP-26446] Analysis of ANP-26411 - Jira" xr:uid="{616EADA9-72AD-43E3-90DD-7524E303A46D}"/>
    <hyperlink ref="A61" r:id="rId12" xr:uid="{5AB85A8A-B7E4-433C-AFAF-22C394E9040F}"/>
    <hyperlink ref="A62" r:id="rId13" xr:uid="{F047354F-D1A2-4B49-940A-973408E5E2C0}"/>
    <hyperlink ref="A63" r:id="rId14" xr:uid="{3DE3CAD2-5780-4CA5-9F9F-29A9A34B0641}"/>
    <hyperlink ref="A64" r:id="rId15" xr:uid="{5E8BC80A-440B-407A-9FFC-44CF4F260D78}"/>
    <hyperlink ref="A65" r:id="rId16" xr:uid="{69512E43-D3F2-4683-B372-4E293D015A96}"/>
    <hyperlink ref="A66" r:id="rId17" xr:uid="{6BC4A1F6-A90F-4572-A79D-2F4CE936774F}"/>
    <hyperlink ref="A67" r:id="rId18" xr:uid="{805CDE1B-D6A7-45B6-9F52-56FF66CD4E3F}"/>
    <hyperlink ref="A68" r:id="rId19" xr:uid="{EA349EB2-A9E7-4FB0-A40E-D61E781DCBE8}"/>
    <hyperlink ref="A69" r:id="rId20" xr:uid="{1E084BDC-67FC-46E7-B9B3-F10B2AF8F286}"/>
    <hyperlink ref="A70" r:id="rId21" xr:uid="{117FABED-237F-479F-9A4E-82DF9510B3B8}"/>
    <hyperlink ref="A71" r:id="rId22" xr:uid="{D65AE3BE-A818-4D6F-ACE9-05A4FBD7966E}"/>
    <hyperlink ref="A72" r:id="rId23" xr:uid="{DCD97458-8DE9-4E36-BC48-99F53738BD66}"/>
    <hyperlink ref="A84" r:id="rId24" display="https://aldi-sued.atlassian.net/browse/NPSCO-19497" xr:uid="{C3EBAA14-3964-4BE3-B832-17207B686C7D}"/>
    <hyperlink ref="B84" r:id="rId25" display="https://aldi-sued.atlassian.net/browse/NPSCO-19497" xr:uid="{1B37AC64-97B9-4A1C-A762-8FB819939458}"/>
    <hyperlink ref="A85" r:id="rId26" display="https://aldi-sued.atlassian.net/browse/NPSCO-18312" xr:uid="{505A2F8E-60AE-4974-BFAC-9CBE4A26F668}"/>
    <hyperlink ref="B85" r:id="rId27" display="https://aldi-sued.atlassian.net/browse/NPSCO-18312" xr:uid="{5B2E27F9-54C2-48DC-A1DB-B6F4CF47605B}"/>
    <hyperlink ref="A86" r:id="rId28" display="https://aldi-sued.atlassian.net/browse/NPSCO-18803" xr:uid="{05975180-9CB8-482A-AED1-BA1E8F8F5811}"/>
    <hyperlink ref="B86" r:id="rId29" display="https://aldi-sued.atlassian.net/browse/NPSCO-18803" xr:uid="{DE67C576-B922-467A-8E23-85342E8DE423}"/>
    <hyperlink ref="A87" r:id="rId30" display="https://aldi-sued.atlassian.net/browse/NPSCO-19189" xr:uid="{43634D29-738B-4787-8D28-203415977AE2}"/>
    <hyperlink ref="B87" r:id="rId31" display="https://aldi-sued.atlassian.net/browse/NPSCO-19189" xr:uid="{721491F5-55E0-4FFF-9EC9-1CF1A6551285}"/>
    <hyperlink ref="A88" r:id="rId32" display="https://aldi-sued.atlassian.net/browse/NPSCO-19790" xr:uid="{F2D3350F-1261-4ADF-83D0-E1E083C3B827}"/>
    <hyperlink ref="B88" r:id="rId33" display="https://aldi-sued.atlassian.net/browse/NPSCO-19790" xr:uid="{AD4B5B75-2CD3-4948-86C8-82C989A073D5}"/>
    <hyperlink ref="A89" r:id="rId34" display="https://aldi-sued.atlassian.net/browse/NPSCO-19145" xr:uid="{F33C8D42-3CCE-4447-AC2D-997EBCCAFDDE}"/>
    <hyperlink ref="B89" r:id="rId35" display="https://aldi-sued.atlassian.net/browse/NPSCO-19145" xr:uid="{49AE82B4-0685-4DC7-BB21-4A74ADC1FB8C}"/>
    <hyperlink ref="A90" r:id="rId36" display="https://aldi-sued.atlassian.net/browse/NPSCO-19123" xr:uid="{BF853776-4007-4BB9-A565-F29EA9CB16A6}"/>
    <hyperlink ref="B90" r:id="rId37" display="https://aldi-sued.atlassian.net/browse/NPSCO-19123" xr:uid="{E28D58F8-31DD-4EAB-8402-2FE52C5E020C}"/>
    <hyperlink ref="A91" r:id="rId38" display="https://aldi-sued.atlassian.net/browse/NPSCO-19151" xr:uid="{7D52E582-8159-4783-AF6B-81BEB3BB803E}"/>
    <hyperlink ref="B91" r:id="rId39" display="https://aldi-sued.atlassian.net/browse/NPSCO-19151" xr:uid="{FECA1365-DA68-435A-932C-21C095850FAA}"/>
    <hyperlink ref="A92" r:id="rId40" display="https://aldi-sued.atlassian.net/browse/NPSCO-19400" xr:uid="{3D7B21FC-AF11-4968-99D4-C71C55DA15B2}"/>
    <hyperlink ref="B92" r:id="rId41" display="https://aldi-sued.atlassian.net/browse/NPSCO-19400" xr:uid="{4F203E3D-EFD6-4952-93AF-006B9C68DD70}"/>
    <hyperlink ref="A93" r:id="rId42" display="https://aldi-sued.atlassian.net/browse/NPSCO-18843" xr:uid="{8A73B31A-FEC0-4F81-8996-67CE08576171}"/>
    <hyperlink ref="B93" r:id="rId43" display="https://aldi-sued.atlassian.net/browse/NPSCO-18843" xr:uid="{D2239BF2-3B17-466C-B08A-F0C6BFE9D26C}"/>
    <hyperlink ref="A94" r:id="rId44" display="https://aldi-sued.atlassian.net/browse/NPSCO-19730" xr:uid="{B745AB1C-4C7C-4900-AED8-51E74A9C7FE6}"/>
    <hyperlink ref="B94" r:id="rId45" display="https://aldi-sued.atlassian.net/browse/NPSCO-19730" xr:uid="{2E89119C-FD47-4E50-811F-4518CB8D4A78}"/>
    <hyperlink ref="A95" r:id="rId46" display="https://aldi-sued.atlassian.net/browse/NPSCO-19922" xr:uid="{37CC22D9-115E-4983-80C2-6541A068170C}"/>
    <hyperlink ref="B95" r:id="rId47" display="https://aldi-sued.atlassian.net/browse/NPSCO-19922" xr:uid="{8C8A7382-CA41-4E3A-9A53-B4F92AD8CEB4}"/>
    <hyperlink ref="A96" r:id="rId48" display="https://aldi-sued.atlassian.net/browse/NPSCO-19873" xr:uid="{F360CBB5-E75F-48D8-B13B-B7940692BD9C}"/>
    <hyperlink ref="B96" r:id="rId49" display="https://aldi-sued.atlassian.net/browse/NPSCO-19873" xr:uid="{98B313AD-7645-4B20-9C90-5F792D481137}"/>
    <hyperlink ref="A97" r:id="rId50" display="https://aldi-sued.atlassian.net/browse/NPSCO-18665" xr:uid="{723E2255-A02A-482B-A253-462EC7622459}"/>
    <hyperlink ref="B97" r:id="rId51" display="https://aldi-sued.atlassian.net/browse/NPSCO-18665" xr:uid="{2306AC09-D01E-4761-86CD-688036E5F6A2}"/>
    <hyperlink ref="A98" r:id="rId52" display="https://aldi-sued.atlassian.net/browse/NPSCO-19952" xr:uid="{6AA7F416-CA01-401D-ACD3-2C8D2D3CB290}"/>
    <hyperlink ref="B98" r:id="rId53" display="https://aldi-sued.atlassian.net/browse/NPSCO-19952" xr:uid="{BC8A9DF6-65E6-453E-AE69-4761EDF084EA}"/>
    <hyperlink ref="A99" r:id="rId54" display="https://aldi-sued.atlassian.net/browse/NPSCO-19913" xr:uid="{87559C16-8550-4A69-9F38-F29CD33B6568}"/>
    <hyperlink ref="B99" r:id="rId55" display="https://aldi-sued.atlassian.net/browse/NPSCO-19913" xr:uid="{DF7BBA3B-70FE-4517-992F-6082D1F9D751}"/>
    <hyperlink ref="A43" r:id="rId56" display="[ANP-26451] check if ANP-25573 has been fixed (by fixing ANP-25478) - Jira" xr:uid="{8D9EC21B-3A3B-4ADE-A515-4C63610E21D4}"/>
    <hyperlink ref="A74" r:id="rId57" xr:uid="{22A5592B-FF8C-4C39-B3AF-C454A1068C7B}"/>
    <hyperlink ref="B74" r:id="rId58" xr:uid="{1A44E57A-B24F-40C2-BC6B-7AC0A77974AB}"/>
    <hyperlink ref="G74" r:id="rId59" display="Checkout_Base+2" xr:uid="{B774DADF-BA26-4346-A117-19B88DE9C6A2}"/>
    <hyperlink ref="A75" r:id="rId60" xr:uid="{DFB86E9E-E6F7-4C65-ABB7-53637689FF02}"/>
    <hyperlink ref="B75" r:id="rId61" xr:uid="{02CE7DE9-CF14-4010-86CD-07054F9791F5}"/>
    <hyperlink ref="A76" r:id="rId62" xr:uid="{C2870E0E-E8DF-4602-82E1-D3C6BF923772}"/>
    <hyperlink ref="B76" r:id="rId63" xr:uid="{7443481E-4EC1-4188-9728-EFF7DB595444}"/>
    <hyperlink ref="A77" r:id="rId64" xr:uid="{34A9ACA2-9BB8-48F2-A816-6F4BD02C8C0A}"/>
    <hyperlink ref="B77" r:id="rId65" xr:uid="{AE262FE9-6948-4A05-8C37-5BC43794E4D6}"/>
    <hyperlink ref="A78" r:id="rId66" xr:uid="{38747DDB-9B74-48DC-B5F1-C97B51A9DA9D}"/>
    <hyperlink ref="B78" r:id="rId67" xr:uid="{8BDE68EA-DEA3-4E19-99C8-56369A466258}"/>
    <hyperlink ref="A79" r:id="rId68" xr:uid="{058D6B2D-97B6-4CFA-8089-D9FA92C8C85E}"/>
    <hyperlink ref="B79" r:id="rId69" xr:uid="{9D85DD4E-6AA9-45ED-80CB-02BD74BEFA03}"/>
    <hyperlink ref="A80" r:id="rId70" xr:uid="{CB0D8F34-E1E6-4C0E-BE5A-B99194A6B18B}"/>
    <hyperlink ref="B80" r:id="rId71" xr:uid="{247AE6C9-FC31-4943-97E4-3462A20D64C5}"/>
    <hyperlink ref="A81" r:id="rId72" xr:uid="{7A4051B0-FA8A-4EFE-8EF7-59AE0F87CBF9}"/>
    <hyperlink ref="B81" r:id="rId73" xr:uid="{DCA77002-744F-408D-8993-3D9A46BC17CC}"/>
    <hyperlink ref="A82" r:id="rId74" xr:uid="{716D05EB-54AD-4A18-BB15-EFB076BDEE6C}"/>
    <hyperlink ref="B82" r:id="rId75" xr:uid="{63F713CC-99D5-4143-A342-A3CB2F91DA97}"/>
    <hyperlink ref="A83" r:id="rId76" xr:uid="{70B0EC29-3FBD-4FB1-AA4F-FBBCCD1BCB0E}"/>
    <hyperlink ref="B83" r:id="rId77" xr:uid="{F2200374-BA4D-4E10-93CE-F5D37365CD11}"/>
    <hyperlink ref="G75" r:id="rId78" display="Checkout_Base+2" xr:uid="{3FF08B01-14B3-42DE-98BD-D5D4F8BC1496}"/>
    <hyperlink ref="G76" r:id="rId79" display="Checkout_Base+2" xr:uid="{B78B794E-1CE5-41C2-A24B-E573C31EBDF3}"/>
    <hyperlink ref="G77" r:id="rId80" display="Checkout_Base+2" xr:uid="{4F940F50-9B8F-46D4-A3A4-EEAB18B6A7AD}"/>
    <hyperlink ref="G78" r:id="rId81" display="Checkout_Base+2" xr:uid="{B26CEEA1-F4E3-4097-AD76-3E19C434249F}"/>
    <hyperlink ref="G79" r:id="rId82" display="Checkout_Base+2" xr:uid="{8657E213-FC58-4A86-B5E4-F01F0782E9D4}"/>
    <hyperlink ref="G80" r:id="rId83" display="Checkout_Base+2" xr:uid="{F86309A1-4FE0-478C-B68C-3E6F0AFE4A8A}"/>
    <hyperlink ref="G81" r:id="rId84" display="Checkout_Base+2" xr:uid="{E57E35B5-9B14-43E2-9200-6E70E8A7A957}"/>
    <hyperlink ref="G82" r:id="rId85" display="Checkout_Base+2" xr:uid="{5069AD0D-E252-49AB-870C-64802D8E891C}"/>
    <hyperlink ref="G83" r:id="rId86" display="Checkout_Base+2" xr:uid="{D1BBCBE0-0AB2-4F9E-9691-D499FE057011}"/>
    <hyperlink ref="G73" r:id="rId87" display="Checkout_Base+2" xr:uid="{A8E8E1C0-8985-43A7-9993-B9C90696A84A}"/>
    <hyperlink ref="A45" r:id="rId88" display="https://aldi-sued.atlassian.net/browse/ANP-26015" xr:uid="{2BF1A770-91D8-451A-8D04-8E11A5CE5C7A}"/>
    <hyperlink ref="B45" r:id="rId89" display="https://aldi-sued.atlassian.net/browse/ANP-26015" xr:uid="{7E21C064-B73D-498B-AEB6-3A2A8E4C50B4}"/>
    <hyperlink ref="G45" r:id="rId90" display="https://aldi-sued.atlassian.net/issues/?jql=%22cf%5B12600%5D%22%20%3D%20Checkout_Base" xr:uid="{5234000C-27EA-49F2-B689-6E22A086CA57}"/>
    <hyperlink ref="A46" r:id="rId91" display="https://aldi-sued.atlassian.net/browse/ANP-24755" xr:uid="{F8290ADE-6036-43CA-8E05-67C21CB9BD45}"/>
    <hyperlink ref="B46" r:id="rId92" display="https://aldi-sued.atlassian.net/browse/ANP-24755" xr:uid="{5C284E8C-7D26-4446-9F02-E7AB7C19AF12}"/>
    <hyperlink ref="A47" r:id="rId93" display="https://aldi-sued.atlassian.net/browse/ANP-26110" xr:uid="{EAA3A5B6-117C-49AD-92A5-8097032899F9}"/>
    <hyperlink ref="B47" r:id="rId94" display="https://aldi-sued.atlassian.net/browse/ANP-26110" xr:uid="{837116B4-BBCF-4F3C-A410-1DCE847E1C67}"/>
    <hyperlink ref="A48" r:id="rId95" display="https://aldi-sued.atlassian.net/browse/ANP-26111" xr:uid="{DE4460F2-CF7D-4049-B87E-B466884B8552}"/>
    <hyperlink ref="B48" r:id="rId96" display="https://aldi-sued.atlassian.net/browse/ANP-26111" xr:uid="{CC9AC1F4-E0F5-40E1-9337-7E682658F028}"/>
    <hyperlink ref="A49" r:id="rId97" display="https://aldi-sued.atlassian.net/browse/ANP-25739" xr:uid="{3CF0E53E-11C5-4BAF-9982-634056FA533F}"/>
    <hyperlink ref="B49" r:id="rId98" display="https://aldi-sued.atlassian.net/browse/ANP-25739" xr:uid="{AB844E3B-314E-4283-B150-18406326FF1B}"/>
    <hyperlink ref="A50" r:id="rId99" display="https://aldi-sued.atlassian.net/browse/ANP-25949" xr:uid="{479AE2A6-D3FE-47DA-89CD-51744811A302}"/>
    <hyperlink ref="B50" r:id="rId100" display="https://aldi-sued.atlassian.net/browse/ANP-25949" xr:uid="{754F7CB8-6BFC-4468-9E17-DCB146CF59CC}"/>
    <hyperlink ref="A51" r:id="rId101" display="https://aldi-sued.atlassian.net/browse/ANP-25704" xr:uid="{6A7CEC76-8E50-4540-ABE2-BD46717B6EE5}"/>
    <hyperlink ref="B51" r:id="rId102" display="https://aldi-sued.atlassian.net/browse/ANP-25704" xr:uid="{CEB3529B-8977-4CB9-9844-4412AAEF1261}"/>
    <hyperlink ref="A52" r:id="rId103" display="https://aldi-sued.atlassian.net/browse/ANP-25169" xr:uid="{C5786EAD-083C-4ACF-84E6-CD4E5D1E4123}"/>
    <hyperlink ref="B52" r:id="rId104" display="https://aldi-sued.atlassian.net/browse/ANP-25169" xr:uid="{556D7537-589E-46A2-BA7D-0955DF048EB7}"/>
    <hyperlink ref="A53" r:id="rId105" display="https://aldi-sued.atlassian.net/browse/ANP-25699" xr:uid="{829561DB-DAF5-409C-891C-DF2714C3FE6D}"/>
    <hyperlink ref="B53" r:id="rId106" display="https://aldi-sued.atlassian.net/browse/ANP-25699" xr:uid="{A752C6CD-6CA4-4666-9CC6-AC71144FA55D}"/>
    <hyperlink ref="A54" r:id="rId107" display="https://aldi-sued.atlassian.net/browse/ANP-23825" xr:uid="{3A759CC6-B150-4478-BD4D-83D70E59611D}"/>
    <hyperlink ref="B54" r:id="rId108" display="https://aldi-sued.atlassian.net/browse/ANP-23825" xr:uid="{EE888EED-EE7A-4BC2-A34E-48FB296142BD}"/>
    <hyperlink ref="A55" r:id="rId109" display="https://aldi-sued.atlassian.net/browse/ANP-25613" xr:uid="{46756AAC-C800-44A3-BC42-3C1D0A0ABFAE}"/>
    <hyperlink ref="B55" r:id="rId110" display="https://aldi-sued.atlassian.net/browse/ANP-25613" xr:uid="{CA8B3ED8-C97D-4685-B32E-67913EE3FC7C}"/>
    <hyperlink ref="A56" r:id="rId111" display="https://aldi-sued.atlassian.net/browse/ANP-25738" xr:uid="{9692E1BD-BFA8-4CEA-B1AF-093C8700DA56}"/>
    <hyperlink ref="B56" r:id="rId112" display="https://aldi-sued.atlassian.net/browse/ANP-25738" xr:uid="{1A661D3F-F219-4350-AB4C-9E159522B544}"/>
    <hyperlink ref="A57" r:id="rId113" display="https://aldi-sued.atlassian.net/browse/ANP-26294" xr:uid="{CEEA150A-0961-4B10-BC13-E4E3D6BDB217}"/>
    <hyperlink ref="B57" r:id="rId114" display="https://aldi-sued.atlassian.net/browse/ANP-26294" xr:uid="{82C517D6-BC1B-4A37-A224-94DCB7086E2D}"/>
    <hyperlink ref="A58" r:id="rId115" display="https://aldi-sued.atlassian.net/browse/ANP-24855" xr:uid="{7C1CBC60-4E86-4540-9711-2E2E2C7ACE28}"/>
    <hyperlink ref="B58" r:id="rId116" display="https://aldi-sued.atlassian.net/browse/ANP-24855" xr:uid="{4C87C4F8-946B-4A01-9445-FA75C84EF2B0}"/>
    <hyperlink ref="A59" r:id="rId117" display="https://aldi-sued.atlassian.net/browse/ANP-12281" xr:uid="{8BE543D6-823B-4856-8183-7D6B87091C20}"/>
    <hyperlink ref="B59" r:id="rId118" display="https://aldi-sued.atlassian.net/browse/ANP-12281" xr:uid="{649665DB-979E-41D5-BCA8-F60ADBAFE08C}"/>
    <hyperlink ref="A60" r:id="rId119" display="https://aldi-sued.atlassian.net/browse/ANP-26397" xr:uid="{9F8564E8-A9D9-44FB-8485-3A36D20DDE1D}"/>
    <hyperlink ref="B60" r:id="rId120" display="https://aldi-sued.atlassian.net/browse/ANP-26397" xr:uid="{897D902E-BC87-4C82-A34D-7918B9542084}"/>
    <hyperlink ref="G98:G112" r:id="rId121" display="https://aldi-sued.atlassian.net/issues/?jql=%22cf%5B12600%5D%22%20%3D%20Checkout_Base" xr:uid="{368A6F52-07D8-4CB4-A6F8-8BEEE19592E0}"/>
    <hyperlink ref="A44" r:id="rId122" display="[ANP-25479] [CHOP] 97+CODE does not trigger the print of the dayend receipt - Jira" xr:uid="{D18A9684-1EAA-4C07-AA47-AFB37E0E2A56}"/>
    <hyperlink ref="A154" r:id="rId123" xr:uid="{719315BB-599A-4086-AF96-0D21124B2A4B}"/>
    <hyperlink ref="A149" r:id="rId124" xr:uid="{52CE86BE-8E62-454F-9C42-7C57382F1918}"/>
    <hyperlink ref="A162" r:id="rId125" xr:uid="{7F6ED6DB-951D-4E98-8F6A-81CF23232629}"/>
    <hyperlink ref="A152" r:id="rId126" xr:uid="{A1F3C637-800B-41EE-AEC2-106D4279C62A}"/>
    <hyperlink ref="A156" r:id="rId127" xr:uid="{41565518-C6DF-4645-9279-84AB47EA14F1}"/>
    <hyperlink ref="A158" r:id="rId128" xr:uid="{4D3FD70B-3FF4-43D4-BE3A-6175A24BB0FB}"/>
    <hyperlink ref="A155" r:id="rId129" xr:uid="{6C97BE40-FBCF-4F68-AE7D-9442093A2382}"/>
    <hyperlink ref="A163" r:id="rId130" xr:uid="{CFEB90EE-B885-457E-9A47-115144869A4A}"/>
    <hyperlink ref="A164" r:id="rId131" xr:uid="{CDE84BC5-677C-40AB-8F89-8FBC25135BFC}"/>
    <hyperlink ref="A165" r:id="rId132" xr:uid="{7D870B28-6011-4A7F-AFD7-2EADD1C553F1}"/>
    <hyperlink ref="A159" r:id="rId133" xr:uid="{520DFDB1-493F-4F1F-A5FC-69BDEE9DF55E}"/>
    <hyperlink ref="A150" r:id="rId134" xr:uid="{A9D247AA-8813-4280-B5B7-E1CA3F082052}"/>
    <hyperlink ref="A166" r:id="rId135" xr:uid="{75DF0454-47E0-48A5-8C2E-2678FA307E54}"/>
    <hyperlink ref="A167" r:id="rId136" xr:uid="{1E7C291D-04AA-4657-8875-B4928522B39C}"/>
    <hyperlink ref="A168" r:id="rId137" xr:uid="{7BA491CC-1945-4D30-AEC7-61D873BDCD1A}"/>
    <hyperlink ref="A153" r:id="rId138" xr:uid="{5362A83A-7372-48EF-AC6A-CBB73758AC3B}"/>
    <hyperlink ref="A151" r:id="rId139" xr:uid="{2898DEC4-D190-4FCF-84A8-CE3E856753D7}"/>
    <hyperlink ref="A160" r:id="rId140" xr:uid="{66788A3E-1B39-490B-86DF-DCC9765E183F}"/>
    <hyperlink ref="A161" r:id="rId141" xr:uid="{10B6BE22-456E-4773-BA02-567CEFED17C6}"/>
    <hyperlink ref="A157" r:id="rId142" xr:uid="{5A32D658-7823-4974-B684-C7C9E57A7E40}"/>
    <hyperlink ref="A169" r:id="rId143" xr:uid="{80C3D8CF-ED42-4C4B-8A80-E139E9B41285}"/>
    <hyperlink ref="A170" r:id="rId144" xr:uid="{6FA50D0B-48A6-46AF-8C53-51FF46BD09E0}"/>
    <hyperlink ref="A171" r:id="rId145" xr:uid="{36246F33-76F1-4A95-B063-2489D28787E1}"/>
  </hyperlinks>
  <pageMargins left="0.23622047244094491" right="0.23622047244094491" top="0.35433070866141736" bottom="0.35433070866141736" header="0" footer="0"/>
  <pageSetup paperSize="9" scale="88" fitToHeight="0" orientation="landscape"/>
  <headerFooter>
    <oddFooter>&amp;CS. &amp;P / &amp;N</oddFooter>
  </headerFooter>
  <tableParts count="1">
    <tablePart r:id="rId146"/>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E9FFE-9E3F-40CB-968C-21C5906338FC}">
  <sheetPr>
    <outlinePr summaryBelow="0" summaryRight="0"/>
    <pageSetUpPr fitToPage="1"/>
  </sheetPr>
  <dimension ref="A1:AM159"/>
  <sheetViews>
    <sheetView zoomScale="90" zoomScaleNormal="90" workbookViewId="0"/>
  </sheetViews>
  <sheetFormatPr baseColWidth="10" defaultColWidth="8.85546875" defaultRowHeight="13.5" customHeight="1"/>
  <cols>
    <col min="1" max="1" width="16" style="27" customWidth="1"/>
    <col min="2" max="2" width="55.85546875" style="27" customWidth="1"/>
    <col min="3" max="8" width="15.42578125" style="28" customWidth="1"/>
    <col min="9" max="9" width="19" style="29" customWidth="1"/>
    <col min="10" max="11" width="15.42578125" style="29" customWidth="1"/>
    <col min="12" max="12" width="15.42578125" style="30" customWidth="1"/>
    <col min="13" max="13" width="15.42578125" style="28" customWidth="1"/>
    <col min="14" max="18" width="15.42578125" style="1" customWidth="1"/>
    <col min="19" max="28" width="10.42578125" style="1" customWidth="1"/>
    <col min="29" max="34" width="8.42578125" style="1" customWidth="1"/>
    <col min="35" max="35" width="3.42578125" style="1" customWidth="1"/>
    <col min="36" max="36" width="8.42578125" style="1" customWidth="1"/>
    <col min="37" max="16384" width="8.85546875" style="1"/>
  </cols>
  <sheetData>
    <row r="1" spans="2:22" ht="13.5" customHeight="1">
      <c r="C1" s="417" t="s">
        <v>1918</v>
      </c>
      <c r="D1" s="417"/>
      <c r="E1" s="417"/>
      <c r="F1" s="417"/>
      <c r="G1" s="417"/>
      <c r="H1" s="417"/>
      <c r="I1" s="417"/>
      <c r="J1" s="417"/>
      <c r="K1" s="2"/>
      <c r="L1" s="2"/>
      <c r="M1" s="2"/>
    </row>
    <row r="2" spans="2:22" ht="13.5" customHeight="1">
      <c r="C2" s="1"/>
      <c r="D2" s="1"/>
      <c r="E2" s="2"/>
      <c r="F2" s="2"/>
      <c r="G2" s="2"/>
      <c r="H2" s="2"/>
      <c r="I2" s="2"/>
      <c r="J2" s="1"/>
      <c r="K2" s="2"/>
      <c r="L2" s="2"/>
      <c r="M2" s="1"/>
    </row>
    <row r="3" spans="2:22" ht="13.5" customHeight="1" thickBot="1">
      <c r="C3" s="3" t="s">
        <v>162</v>
      </c>
      <c r="D3" s="66"/>
      <c r="E3" s="10"/>
      <c r="F3" s="10"/>
      <c r="G3" s="438" t="s">
        <v>1919</v>
      </c>
      <c r="H3" s="438"/>
      <c r="I3" s="438"/>
      <c r="J3" s="10"/>
      <c r="K3" s="4"/>
      <c r="L3" s="4"/>
      <c r="M3" s="2"/>
    </row>
    <row r="4" spans="2:22" ht="13.5" customHeight="1">
      <c r="C4" s="10"/>
      <c r="D4" s="419" t="s">
        <v>164</v>
      </c>
      <c r="E4" s="420"/>
      <c r="F4" s="421" t="s">
        <v>165</v>
      </c>
      <c r="G4" s="422"/>
      <c r="H4" s="422"/>
      <c r="I4" s="422"/>
      <c r="J4" s="422"/>
      <c r="K4" s="423"/>
      <c r="M4" s="424" t="s">
        <v>1303</v>
      </c>
      <c r="N4" s="424"/>
      <c r="O4" s="424"/>
      <c r="P4" s="424"/>
      <c r="Q4" s="424"/>
      <c r="R4" s="424"/>
    </row>
    <row r="5" spans="2:22" ht="27" customHeight="1">
      <c r="C5" s="63" t="s">
        <v>167</v>
      </c>
      <c r="D5" s="60" t="s">
        <v>171</v>
      </c>
      <c r="E5" s="73" t="str">
        <f>H5</f>
        <v>Completed</v>
      </c>
      <c r="F5" s="60" t="s">
        <v>105</v>
      </c>
      <c r="G5" s="21" t="s">
        <v>106</v>
      </c>
      <c r="H5" s="20" t="s">
        <v>125</v>
      </c>
      <c r="I5" s="20" t="s">
        <v>127</v>
      </c>
      <c r="J5" s="20" t="s">
        <v>126</v>
      </c>
      <c r="K5" s="67" t="s">
        <v>172</v>
      </c>
      <c r="M5" s="21" t="s">
        <v>105</v>
      </c>
      <c r="N5" s="21" t="s">
        <v>106</v>
      </c>
      <c r="O5" s="31" t="s">
        <v>125</v>
      </c>
      <c r="P5" s="31" t="str">
        <f>J5</f>
        <v>Removed</v>
      </c>
      <c r="Q5" s="31" t="s">
        <v>127</v>
      </c>
      <c r="R5" s="39" t="s">
        <v>173</v>
      </c>
    </row>
    <row r="6" spans="2:22" ht="13.5" customHeight="1">
      <c r="B6" s="415" t="s">
        <v>174</v>
      </c>
      <c r="C6" s="59" t="s">
        <v>35</v>
      </c>
      <c r="D6" s="61">
        <f>COUNTIFS(Tabelle13245689101112[Team],$C6)</f>
        <v>18</v>
      </c>
      <c r="E6" s="74">
        <f>COUNTIFS(Tabelle13245689101112[Team],$C6,Tabelle13245689101112[Status],$E$5)</f>
        <v>15</v>
      </c>
      <c r="F6" s="68">
        <f>SUMIFS(Tabelle13245689101112[Jira Story Points],Tabelle13245689101112[Pulled after Start],"",Tabelle13245689101112[Team],$C6)</f>
        <v>77</v>
      </c>
      <c r="G6" s="6">
        <f>SUMIFS(Tabelle13245689101112[Jira Story Points],Tabelle13245689101112[Pulled after Start],"yes",Tabelle13245689101112[Team],$C6)</f>
        <v>6</v>
      </c>
      <c r="H6" s="7">
        <f>SUMIFS(Tabelle13245689101112[Jira Story Points],Tabelle13245689101112[Status],$H$5,Tabelle13245689101112[Team],$C6)</f>
        <v>72</v>
      </c>
      <c r="I6" s="6">
        <f>SUMIFS(Tabelle13245689101112[Jira Story Points],Tabelle13245689101112[Status],$I$5,Tabelle13245689101112[Team],$C6)</f>
        <v>11</v>
      </c>
      <c r="J6" s="6">
        <f>SUMIFS(Tabelle13245689101112[Jira Story Points],Tabelle13245689101112[Status],$J$5,Tabelle13245689101112[Team],$C6)</f>
        <v>0</v>
      </c>
      <c r="K6" s="69">
        <f>SUMIFS(Tabelle13245689101112[Jira Story Points],Tabelle13245689101112[Team],$C6)</f>
        <v>83</v>
      </c>
      <c r="M6" s="6">
        <f>SUMIFS(Tabelle13245689101112[SP Initially Planned (COS)],Tabelle13245689101112[Pulled after Start],"",Tabelle13245689101112[Team],$C6)</f>
        <v>77</v>
      </c>
      <c r="N6" s="6">
        <f>SUMIFS(Tabelle13245689101112[SP Pulled after Start (COS)],Tabelle13245689101112[Team],$C6)</f>
        <v>6</v>
      </c>
      <c r="O6" s="25">
        <f>SUMIFS(Tabelle13245689101112[SP Completed (COS &amp; SOS)],Tabelle13245689101112[Team],$C6)</f>
        <v>72</v>
      </c>
      <c r="P6" s="25">
        <f>SUMIFS(Tabelle13245689101112[SP Removed (COS &amp; SOS)],Tabelle13245689101112[Team],$C6)</f>
        <v>0</v>
      </c>
      <c r="Q6" s="41">
        <f>SUMIFS(Tabelle13245689101112[SP Not Completed (COS &amp; SOS)],Tabelle13245689101112[Team],$C6)</f>
        <v>11</v>
      </c>
      <c r="R6" s="40">
        <f t="shared" ref="R6:R15" si="0">IFERROR(O6/$M6," ")</f>
        <v>0.93506493506493504</v>
      </c>
      <c r="T6" s="43"/>
    </row>
    <row r="7" spans="2:22" ht="13.5" customHeight="1">
      <c r="B7" s="415"/>
      <c r="C7" s="59" t="s">
        <v>12</v>
      </c>
      <c r="D7" s="61">
        <f>COUNTIFS(Tabelle13245689101112[Team],$C7)</f>
        <v>10</v>
      </c>
      <c r="E7" s="74">
        <f>COUNTIFS(Tabelle13245689101112[Team],$C7,Tabelle13245689101112[Status],$E$5)</f>
        <v>6</v>
      </c>
      <c r="F7" s="68">
        <f>SUMIFS(Tabelle13245689101112[Jira Story Points],Tabelle13245689101112[Pulled after Start],"",Tabelle13245689101112[Team],$C7)</f>
        <v>24</v>
      </c>
      <c r="G7" s="6">
        <f>SUMIFS(Tabelle13245689101112[Jira Story Points],Tabelle13245689101112[Pulled after Start],"yes",Tabelle13245689101112[Team],$C7)</f>
        <v>6</v>
      </c>
      <c r="H7" s="7">
        <f>SUMIFS(Tabelle13245689101112[Jira Story Points],Tabelle13245689101112[Status],$H$5,Tabelle13245689101112[Team],$C7)</f>
        <v>13</v>
      </c>
      <c r="I7" s="6">
        <f>SUMIFS(Tabelle13245689101112[Jira Story Points],Tabelle13245689101112[Status],$I$5,Tabelle13245689101112[Team],$C7)</f>
        <v>17</v>
      </c>
      <c r="J7" s="6">
        <f>SUMIFS(Tabelle13245689101112[Jira Story Points],Tabelle13245689101112[Status],$J$5,Tabelle13245689101112[Team],$C7)</f>
        <v>0</v>
      </c>
      <c r="K7" s="69">
        <f>SUMIFS(Tabelle13245689101112[Jira Story Points],Tabelle13245689101112[Team],$C7)</f>
        <v>30</v>
      </c>
      <c r="M7" s="6">
        <f>SUMIFS(Tabelle13245689101112[SP Initially Planned (COS)],Tabelle13245689101112[Pulled after Start],"",Tabelle13245689101112[Team],$C7)</f>
        <v>13</v>
      </c>
      <c r="N7" s="6">
        <f>SUMIFS(Tabelle13245689101112[SP Pulled after Start (COS)],Tabelle13245689101112[Team],$C7)</f>
        <v>6</v>
      </c>
      <c r="O7" s="25">
        <f>SUMIFS(Tabelle13245689101112[SP Completed (COS &amp; SOS)],Tabelle13245689101112[Team],$C7)</f>
        <v>13</v>
      </c>
      <c r="P7" s="25">
        <f>SUMIFS(Tabelle13245689101112[SP Removed (COS &amp; SOS)],Tabelle13245689101112[Team],$C7)</f>
        <v>0</v>
      </c>
      <c r="Q7" s="41">
        <f>SUMIFS(Tabelle13245689101112[SP Not Completed (COS &amp; SOS)],Tabelle13245689101112[Team],$C7)</f>
        <v>6</v>
      </c>
      <c r="R7" s="40">
        <f t="shared" si="0"/>
        <v>1</v>
      </c>
      <c r="T7" s="43"/>
    </row>
    <row r="8" spans="2:22" ht="13.5" customHeight="1">
      <c r="B8" s="415"/>
      <c r="C8" s="59" t="s">
        <v>27</v>
      </c>
      <c r="D8" s="61">
        <f>COUNTIFS(Tabelle13245689101112[Team],$C8)</f>
        <v>9</v>
      </c>
      <c r="E8" s="74">
        <f>COUNTIFS(Tabelle13245689101112[Team],$C8,Tabelle13245689101112[Status],$E$5)</f>
        <v>8</v>
      </c>
      <c r="F8" s="68">
        <f>SUMIFS(Tabelle13245689101112[Jira Story Points],Tabelle13245689101112[Pulled after Start],"",Tabelle13245689101112[Team],$C8)</f>
        <v>29</v>
      </c>
      <c r="G8" s="6">
        <f>SUMIFS(Tabelle13245689101112[Jira Story Points],Tabelle13245689101112[Pulled after Start],"yes",Tabelle13245689101112[Team],$C8)</f>
        <v>7</v>
      </c>
      <c r="H8" s="7">
        <f>SUMIFS(Tabelle13245689101112[Jira Story Points],Tabelle13245689101112[Status],$H$5,Tabelle13245689101112[Team],$C8)</f>
        <v>31</v>
      </c>
      <c r="I8" s="6">
        <f>SUMIFS(Tabelle13245689101112[Jira Story Points],Tabelle13245689101112[Status],$I$5,Tabelle13245689101112[Team],$C8)</f>
        <v>5</v>
      </c>
      <c r="J8" s="6">
        <f>SUMIFS(Tabelle13245689101112[Jira Story Points],Tabelle13245689101112[Status],$J$5,Tabelle13245689101112[Team],$C8)</f>
        <v>0</v>
      </c>
      <c r="K8" s="69">
        <f>SUMIFS(Tabelle13245689101112[Jira Story Points],Tabelle13245689101112[Team],$C8)</f>
        <v>36</v>
      </c>
      <c r="M8" s="6">
        <f>SUMIFS(Tabelle13245689101112[SP Initially Planned (COS)],Tabelle13245689101112[Pulled after Start],"",Tabelle13245689101112[Team],$C8)</f>
        <v>29</v>
      </c>
      <c r="N8" s="6">
        <f>SUMIFS(Tabelle13245689101112[SP Pulled after Start (COS)],Tabelle13245689101112[Team],$C8)</f>
        <v>7</v>
      </c>
      <c r="O8" s="25">
        <f>SUMIFS(Tabelle13245689101112[SP Completed (COS &amp; SOS)],Tabelle13245689101112[Team],$C8)</f>
        <v>35</v>
      </c>
      <c r="P8" s="25">
        <f>SUMIFS(Tabelle13245689101112[SP Removed (COS &amp; SOS)],Tabelle13245689101112[Team],$C8)</f>
        <v>0</v>
      </c>
      <c r="Q8" s="41">
        <f>SUMIFS(Tabelle13245689101112[SP Not Completed (COS &amp; SOS)],Tabelle13245689101112[Team],$C8)</f>
        <v>1</v>
      </c>
      <c r="R8" s="40">
        <f t="shared" si="0"/>
        <v>1.2068965517241379</v>
      </c>
      <c r="T8" s="43"/>
    </row>
    <row r="9" spans="2:22" ht="13.5" customHeight="1">
      <c r="B9" s="415"/>
      <c r="C9" s="59" t="s">
        <v>5</v>
      </c>
      <c r="D9" s="61">
        <f>COUNTIFS(Tabelle13245689101112[Team],$C9)</f>
        <v>14</v>
      </c>
      <c r="E9" s="74">
        <f>COUNTIFS(Tabelle13245689101112[Team],$C9,Tabelle13245689101112[Status],$E$5)</f>
        <v>12</v>
      </c>
      <c r="F9" s="68">
        <f>SUMIFS(Tabelle13245689101112[Jira Story Points],Tabelle13245689101112[Pulled after Start],"",Tabelle13245689101112[Team],$C9)</f>
        <v>50</v>
      </c>
      <c r="G9" s="6">
        <f>SUMIFS(Tabelle13245689101112[Jira Story Points],Tabelle13245689101112[Pulled after Start],"yes",Tabelle13245689101112[Team],$C9)</f>
        <v>3</v>
      </c>
      <c r="H9" s="7">
        <f>SUMIFS(Tabelle13245689101112[Jira Story Points],Tabelle13245689101112[Status],$H$5,Tabelle13245689101112[Team],$C9)</f>
        <v>37</v>
      </c>
      <c r="I9" s="6">
        <f>SUMIFS(Tabelle13245689101112[Jira Story Points],Tabelle13245689101112[Status],$I$5,Tabelle13245689101112[Team],$C9)</f>
        <v>16</v>
      </c>
      <c r="J9" s="6">
        <f>SUMIFS(Tabelle13245689101112[Jira Story Points],Tabelle13245689101112[Status],$J$5,Tabelle13245689101112[Team],$C9)</f>
        <v>0</v>
      </c>
      <c r="K9" s="69">
        <f>SUMIFS(Tabelle13245689101112[Jira Story Points],Tabelle13245689101112[Team],$C9)</f>
        <v>53</v>
      </c>
      <c r="M9" s="6">
        <f>SUMIFS(Tabelle13245689101112[SP Initially Planned (COS)],Tabelle13245689101112[Pulled after Start],"",Tabelle13245689101112[Team],$C9)</f>
        <v>44</v>
      </c>
      <c r="N9" s="6">
        <f>SUMIFS(Tabelle13245689101112[SP Pulled after Start (COS)],Tabelle13245689101112[Team],$C9)</f>
        <v>3</v>
      </c>
      <c r="O9" s="25">
        <f>SUMIFS(Tabelle13245689101112[SP Completed (COS &amp; SOS)],Tabelle13245689101112[Team],$C9)</f>
        <v>42</v>
      </c>
      <c r="P9" s="25">
        <f>SUMIFS(Tabelle13245689101112[SP Removed (COS &amp; SOS)],Tabelle13245689101112[Team],$C9)</f>
        <v>0</v>
      </c>
      <c r="Q9" s="41">
        <f>SUMIFS(Tabelle13245689101112[SP Not Completed (COS &amp; SOS)],Tabelle13245689101112[Team],$C9)</f>
        <v>5</v>
      </c>
      <c r="R9" s="40">
        <f t="shared" si="0"/>
        <v>0.95454545454545459</v>
      </c>
      <c r="T9" s="43"/>
    </row>
    <row r="10" spans="2:22" ht="13.5" customHeight="1">
      <c r="B10" s="415"/>
      <c r="C10" s="59" t="s">
        <v>32</v>
      </c>
      <c r="D10" s="61">
        <f>COUNTIFS(Tabelle13245689101112[Team],$C10)</f>
        <v>13</v>
      </c>
      <c r="E10" s="74">
        <f>COUNTIFS(Tabelle13245689101112[Team],$C10,Tabelle13245689101112[Status],$E$5)</f>
        <v>10</v>
      </c>
      <c r="F10" s="68">
        <f>SUMIFS(Tabelle13245689101112[Jira Story Points],Tabelle13245689101112[Pulled after Start],"",Tabelle13245689101112[Team],$C10)</f>
        <v>38</v>
      </c>
      <c r="G10" s="6">
        <f>SUMIFS(Tabelle13245689101112[Jira Story Points],Tabelle13245689101112[Pulled after Start],"yes",Tabelle13245689101112[Team],$C10)</f>
        <v>2</v>
      </c>
      <c r="H10" s="7">
        <f>SUMIFS(Tabelle13245689101112[Jira Story Points],Tabelle13245689101112[Status],$H$5,Tabelle13245689101112[Team],$C10)</f>
        <v>28</v>
      </c>
      <c r="I10" s="6">
        <f>SUMIFS(Tabelle13245689101112[Jira Story Points],Tabelle13245689101112[Status],$I$5,Tabelle13245689101112[Team],$C10)</f>
        <v>12</v>
      </c>
      <c r="J10" s="6">
        <f>SUMIFS(Tabelle13245689101112[Jira Story Points],Tabelle13245689101112[Status],$J$5,Tabelle13245689101112[Team],$C10)</f>
        <v>0</v>
      </c>
      <c r="K10" s="69">
        <f>SUMIFS(Tabelle13245689101112[Jira Story Points],Tabelle13245689101112[Team],$C10)</f>
        <v>40</v>
      </c>
      <c r="M10" s="6">
        <f>SUMIFS(Tabelle13245689101112[SP Initially Planned (COS)],Tabelle13245689101112[Pulled after Start],"",Tabelle13245689101112[Team],$C10)</f>
        <v>38</v>
      </c>
      <c r="N10" s="6">
        <f>SUMIFS(Tabelle13245689101112[SP Pulled after Start (COS)],Tabelle13245689101112[Team],$C10)</f>
        <v>2</v>
      </c>
      <c r="O10" s="25">
        <f>SUMIFS(Tabelle13245689101112[SP Completed (COS &amp; SOS)],Tabelle13245689101112[Team],$C10)</f>
        <v>34</v>
      </c>
      <c r="P10" s="25">
        <f>SUMIFS(Tabelle13245689101112[SP Removed (COS &amp; SOS)],Tabelle13245689101112[Team],$C10)</f>
        <v>0</v>
      </c>
      <c r="Q10" s="41">
        <f>SUMIFS(Tabelle13245689101112[SP Not Completed (COS &amp; SOS)],Tabelle13245689101112[Team],$C10)</f>
        <v>6</v>
      </c>
      <c r="R10" s="40">
        <f>IFERROR(O10/$M10," ")</f>
        <v>0.89473684210526316</v>
      </c>
      <c r="T10" s="43"/>
    </row>
    <row r="11" spans="2:22" ht="13.5" customHeight="1">
      <c r="B11" s="415"/>
      <c r="C11" s="59" t="s">
        <v>24</v>
      </c>
      <c r="D11" s="61">
        <f>COUNTIFS(Tabelle13245689101112[Team],$C11)</f>
        <v>13</v>
      </c>
      <c r="E11" s="74">
        <f>COUNTIFS(Tabelle13245689101112[Team],$C11,Tabelle13245689101112[Status],$E$5)</f>
        <v>12</v>
      </c>
      <c r="F11" s="68">
        <f>SUMIFS(Tabelle13245689101112[Jira Story Points],Tabelle13245689101112[Pulled after Start],"",Tabelle13245689101112[Team],$C11)</f>
        <v>35</v>
      </c>
      <c r="G11" s="6">
        <f>SUMIFS(Tabelle13245689101112[Jira Story Points],Tabelle13245689101112[Pulled after Start],"yes",Tabelle13245689101112[Team],$C11)</f>
        <v>13</v>
      </c>
      <c r="H11" s="7">
        <f>SUMIFS(Tabelle13245689101112[Jira Story Points],Tabelle13245689101112[Status],$H$5,Tabelle13245689101112[Team],$C11)</f>
        <v>46</v>
      </c>
      <c r="I11" s="6">
        <f>SUMIFS(Tabelle13245689101112[Jira Story Points],Tabelle13245689101112[Status],$I$5,Tabelle13245689101112[Team],$C11)</f>
        <v>2</v>
      </c>
      <c r="J11" s="6">
        <f>SUMIFS(Tabelle13245689101112[Jira Story Points],Tabelle13245689101112[Status],$J$5,Tabelle13245689101112[Team],$C11)</f>
        <v>0</v>
      </c>
      <c r="K11" s="69">
        <f>SUMIFS(Tabelle13245689101112[Jira Story Points],Tabelle13245689101112[Team],$C11)</f>
        <v>48</v>
      </c>
      <c r="M11" s="6">
        <f>SUMIFS(Tabelle13245689101112[SP Initially Planned (COS)],Tabelle13245689101112[Pulled after Start],"",Tabelle13245689101112[Team],$C11)</f>
        <v>27</v>
      </c>
      <c r="N11" s="6">
        <f>SUMIFS(Tabelle13245689101112[SP Pulled after Start (COS)],Tabelle13245689101112[Team],$C11)</f>
        <v>9</v>
      </c>
      <c r="O11" s="25">
        <f>SUMIFS(Tabelle13245689101112[SP Completed (COS &amp; SOS)],Tabelle13245689101112[Team],$C11)</f>
        <v>35</v>
      </c>
      <c r="P11" s="25">
        <f>SUMIFS(Tabelle13245689101112[SP Removed (COS &amp; SOS)],Tabelle13245689101112[Team],$C11)</f>
        <v>0</v>
      </c>
      <c r="Q11" s="41">
        <f>SUMIFS(Tabelle13245689101112[SP Not Completed (COS &amp; SOS)],Tabelle13245689101112[Team],$C11)</f>
        <v>1</v>
      </c>
      <c r="R11" s="40">
        <f t="shared" si="0"/>
        <v>1.2962962962962963</v>
      </c>
      <c r="T11" s="43"/>
    </row>
    <row r="12" spans="2:22" ht="13.5" customHeight="1">
      <c r="B12" s="415"/>
      <c r="C12" s="59" t="s">
        <v>17</v>
      </c>
      <c r="D12" s="61">
        <f>COUNTIFS(Tabelle13245689101112[Team],$C12)</f>
        <v>12</v>
      </c>
      <c r="E12" s="74">
        <f>COUNTIFS(Tabelle13245689101112[Team],$C12,Tabelle13245689101112[Status],$E$5)</f>
        <v>11</v>
      </c>
      <c r="F12" s="68">
        <f>SUMIFS(Tabelle13245689101112[Jira Story Points],Tabelle13245689101112[Pulled after Start],"",Tabelle13245689101112[Team],$C12)</f>
        <v>32</v>
      </c>
      <c r="G12" s="6">
        <f>SUMIFS(Tabelle13245689101112[Jira Story Points],Tabelle13245689101112[Pulled after Start],"yes",Tabelle13245689101112[Team],$C12)</f>
        <v>6</v>
      </c>
      <c r="H12" s="7">
        <f>SUMIFS(Tabelle13245689101112[Jira Story Points],Tabelle13245689101112[Status],$H$5,Tabelle13245689101112[Team],$C12)</f>
        <v>35</v>
      </c>
      <c r="I12" s="6">
        <f>SUMIFS(Tabelle13245689101112[Jira Story Points],Tabelle13245689101112[Status],$I$5,Tabelle13245689101112[Team],$C12)</f>
        <v>3</v>
      </c>
      <c r="J12" s="6">
        <f>SUMIFS(Tabelle13245689101112[Jira Story Points],Tabelle13245689101112[Status],$J$5,Tabelle13245689101112[Team],$C12)</f>
        <v>0</v>
      </c>
      <c r="K12" s="69">
        <f>SUMIFS(Tabelle13245689101112[Jira Story Points],Tabelle13245689101112[Team],$C12)</f>
        <v>38</v>
      </c>
      <c r="M12" s="6">
        <f>SUMIFS(Tabelle13245689101112[SP Initially Planned (COS)],Tabelle13245689101112[Pulled after Start],"",Tabelle13245689101112[Team],$C12)</f>
        <v>29</v>
      </c>
      <c r="N12" s="6">
        <f>SUMIFS(Tabelle13245689101112[SP Pulled after Start (COS)],Tabelle13245689101112[Team],$C12)</f>
        <v>6</v>
      </c>
      <c r="O12" s="25">
        <f>SUMIFS(Tabelle13245689101112[SP Completed (COS &amp; SOS)],Tabelle13245689101112[Team],$C12)</f>
        <v>32</v>
      </c>
      <c r="P12" s="25">
        <f>SUMIFS(Tabelle13245689101112[SP Removed (COS &amp; SOS)],Tabelle13245689101112[Team],$C12)</f>
        <v>0</v>
      </c>
      <c r="Q12" s="41">
        <f>SUMIFS(Tabelle13245689101112[SP Not Completed (COS &amp; SOS)],Tabelle13245689101112[Team],$C12)</f>
        <v>3</v>
      </c>
      <c r="R12" s="40">
        <f t="shared" si="0"/>
        <v>1.103448275862069</v>
      </c>
      <c r="T12" s="43"/>
    </row>
    <row r="13" spans="2:22" ht="13.5" customHeight="1">
      <c r="B13" s="415"/>
      <c r="C13" s="64" t="s">
        <v>107</v>
      </c>
      <c r="D13" s="61">
        <f>COUNTIFS(Tabelle13245689101112[Team],$C13)</f>
        <v>0</v>
      </c>
      <c r="E13" s="74">
        <f>COUNTIFS(Tabelle13245689101112[Team],$C13,Tabelle13245689101112[Status],$E$5)</f>
        <v>0</v>
      </c>
      <c r="F13" s="68">
        <f>SUMIFS(Tabelle13245689101112[Jira Story Points],Tabelle13245689101112[Pulled after Start],"",Tabelle13245689101112[Team],$C13)</f>
        <v>0</v>
      </c>
      <c r="G13" s="6">
        <f>SUMIFS(Tabelle13245689101112[Jira Story Points],Tabelle13245689101112[Pulled after Start],"yes",Tabelle13245689101112[Team],$C13)</f>
        <v>0</v>
      </c>
      <c r="H13" s="7">
        <f>SUMIFS(Tabelle13245689101112[Jira Story Points],Tabelle13245689101112[Status],$H$5,Tabelle13245689101112[Team],$C13)</f>
        <v>0</v>
      </c>
      <c r="I13" s="6">
        <f>SUMIFS(Tabelle13245689101112[Jira Story Points],Tabelle13245689101112[Status],$I$5,Tabelle13245689101112[Team],$C13)</f>
        <v>0</v>
      </c>
      <c r="J13" s="6">
        <f>SUMIFS(Tabelle13245689101112[Jira Story Points],Tabelle13245689101112[Status],$J$5,Tabelle13245689101112[Team],$C13)</f>
        <v>0</v>
      </c>
      <c r="K13" s="69">
        <f>SUMIFS(Tabelle13245689101112[Jira Story Points],Tabelle13245689101112[Team],$C13)</f>
        <v>0</v>
      </c>
      <c r="M13" s="6">
        <f>SUMIFS(Tabelle13245689101112[SP Initially Planned (COS)],Tabelle13245689101112[Pulled after Start],"",Tabelle13245689101112[Team],$C13)</f>
        <v>0</v>
      </c>
      <c r="N13" s="6">
        <f>SUMIFS(Tabelle13245689101112[SP Pulled after Start (COS)],Tabelle13245689101112[Team],$C13)</f>
        <v>0</v>
      </c>
      <c r="O13" s="25">
        <f>SUMIFS(Tabelle13245689101112[SP Completed (COS &amp; SOS)],Tabelle13245689101112[Team],$C13)</f>
        <v>0</v>
      </c>
      <c r="P13" s="25">
        <f>SUMIFS(Tabelle13245689101112[SP Removed (COS &amp; SOS)],Tabelle13245689101112[Team],$C13)</f>
        <v>0</v>
      </c>
      <c r="Q13" s="41">
        <f>SUMIFS(Tabelle13245689101112[SP Not Completed (COS &amp; SOS)],Tabelle13245689101112[Team],$C13)</f>
        <v>0</v>
      </c>
      <c r="R13" s="40" t="str">
        <f t="shared" si="0"/>
        <v xml:space="preserve"> </v>
      </c>
      <c r="T13" s="43"/>
    </row>
    <row r="14" spans="2:22" ht="13.5" customHeight="1">
      <c r="B14" s="415"/>
      <c r="C14" s="41" t="s">
        <v>21</v>
      </c>
      <c r="D14" s="61">
        <f>COUNTIFS(Tabelle13245689101112[Team],$C14)</f>
        <v>14</v>
      </c>
      <c r="E14" s="74">
        <f>COUNTIFS(Tabelle13245689101112[Team],$C14,Tabelle13245689101112[Status],$E$5)</f>
        <v>12</v>
      </c>
      <c r="F14" s="68">
        <f>SUMIFS(Tabelle13245689101112[Jira Story Points],Tabelle13245689101112[Pulled after Start],"",Tabelle13245689101112[Team],$C14)</f>
        <v>28</v>
      </c>
      <c r="G14" s="6">
        <f>SUMIFS(Tabelle13245689101112[Jira Story Points],Tabelle13245689101112[Pulled after Start],"yes",Tabelle13245689101112[Team],$C14)</f>
        <v>13</v>
      </c>
      <c r="H14" s="7">
        <f>SUMIFS(Tabelle13245689101112[Jira Story Points],Tabelle13245689101112[Status],$H$5,Tabelle13245689101112[Team],$C14)</f>
        <v>36</v>
      </c>
      <c r="I14" s="6">
        <f>SUMIFS(Tabelle13245689101112[Jira Story Points],Tabelle13245689101112[Status],$I$5,Tabelle13245689101112[Team],$C14)</f>
        <v>5</v>
      </c>
      <c r="J14" s="6">
        <f>SUMIFS(Tabelle13245689101112[Jira Story Points],Tabelle13245689101112[Status],$J$5,Tabelle13245689101112[Team],$C14)</f>
        <v>0</v>
      </c>
      <c r="K14" s="69">
        <f>SUMIFS(Tabelle13245689101112[Jira Story Points],Tabelle13245689101112[Team],$C14)</f>
        <v>41</v>
      </c>
      <c r="M14" s="6">
        <f>SUMIFS(Tabelle13245689101112[SP Initially Planned (COS)],Tabelle13245689101112[Pulled after Start],"",Tabelle13245689101112[Team],$C14)</f>
        <v>26</v>
      </c>
      <c r="N14" s="6">
        <f>SUMIFS(Tabelle13245689101112[SP Pulled after Start (COS)],Tabelle13245689101112[Team],$C14)</f>
        <v>13</v>
      </c>
      <c r="O14" s="25">
        <f>SUMIFS(Tabelle13245689101112[SP Completed (COS &amp; SOS)],Tabelle13245689101112[Team],$C14)</f>
        <v>36</v>
      </c>
      <c r="P14" s="25">
        <f>SUMIFS(Tabelle13245689101112[SP Removed (COS &amp; SOS)],Tabelle13245689101112[Team],$C14)</f>
        <v>0</v>
      </c>
      <c r="Q14" s="41">
        <f>SUMIFS(Tabelle13245689101112[SP Not Completed (COS &amp; SOS)],Tabelle13245689101112[Team],$C14)</f>
        <v>3</v>
      </c>
      <c r="R14" s="40">
        <f t="shared" si="0"/>
        <v>1.3846153846153846</v>
      </c>
      <c r="T14" s="43"/>
    </row>
    <row r="15" spans="2:22" ht="13.5" customHeight="1">
      <c r="B15" s="415"/>
      <c r="C15" s="41" t="s">
        <v>9</v>
      </c>
      <c r="D15" s="61">
        <f>COUNTIFS(Tabelle13245689101112[Team],$C15)</f>
        <v>24</v>
      </c>
      <c r="E15" s="74">
        <f>COUNTIFS(Tabelle13245689101112[Team],$C15,Tabelle13245689101112[Status],$E$5)</f>
        <v>17</v>
      </c>
      <c r="F15" s="68">
        <f>SUMIFS(Tabelle13245689101112[Jira Story Points],Tabelle13245689101112[Pulled after Start],"",Tabelle13245689101112[Team],$C15)</f>
        <v>46</v>
      </c>
      <c r="G15" s="6">
        <f>SUMIFS(Tabelle13245689101112[Jira Story Points],Tabelle13245689101112[Pulled after Start],"yes",Tabelle13245689101112[Team],$C15)</f>
        <v>38</v>
      </c>
      <c r="H15" s="7">
        <f>SUMIFS(Tabelle13245689101112[Jira Story Points],Tabelle13245689101112[Status],$H$5,Tabelle13245689101112[Team],$C15)</f>
        <v>55.5</v>
      </c>
      <c r="I15" s="6">
        <f>SUMIFS(Tabelle13245689101112[Jira Story Points],Tabelle13245689101112[Status],$I$5,Tabelle13245689101112[Team],$C15)</f>
        <v>26</v>
      </c>
      <c r="J15" s="6">
        <v>1</v>
      </c>
      <c r="K15" s="69">
        <f>SUMIFS(Tabelle13245689101112[Jira Story Points],Tabelle13245689101112[Team],$C15)</f>
        <v>84</v>
      </c>
      <c r="M15" s="6">
        <f>SUMIFS(Tabelle13245689101112[SP Initially Planned (COS)],Tabelle13245689101112[Pulled after Start],"",Tabelle13245689101112[Team],$C15)</f>
        <v>28</v>
      </c>
      <c r="N15" s="6">
        <f>SUMIFS(Tabelle13245689101112[SP Pulled after Start (COS)],Tabelle13245689101112[Team],$C15)</f>
        <v>38</v>
      </c>
      <c r="O15" s="25">
        <f>SUMIFS(Tabelle13245689101112[SP Completed (COS &amp; SOS)],Tabelle13245689101112[Team],$C15)</f>
        <v>53</v>
      </c>
      <c r="P15" s="25">
        <f>SUMIFS(Tabelle13245689101112[SP Removed (COS &amp; SOS)],Tabelle13245689101112[Team],$C15)</f>
        <v>0</v>
      </c>
      <c r="Q15" s="41">
        <f>SUMIFS(Tabelle13245689101112[SP Not Completed (COS &amp; SOS)],Tabelle13245689101112[Team],$C15)</f>
        <v>13</v>
      </c>
      <c r="R15" s="40">
        <f t="shared" si="0"/>
        <v>1.8928571428571428</v>
      </c>
      <c r="T15" s="43"/>
    </row>
    <row r="16" spans="2:22" ht="13.5" customHeight="1" thickBot="1">
      <c r="C16" s="65" t="s">
        <v>172</v>
      </c>
      <c r="D16" s="62">
        <f t="shared" ref="D16:K16" si="1">SUM(D6:D13)</f>
        <v>89</v>
      </c>
      <c r="E16" s="75">
        <f t="shared" si="1"/>
        <v>74</v>
      </c>
      <c r="F16" s="62">
        <f t="shared" si="1"/>
        <v>285</v>
      </c>
      <c r="G16" s="70">
        <f t="shared" si="1"/>
        <v>43</v>
      </c>
      <c r="H16" s="71">
        <f t="shared" si="1"/>
        <v>262</v>
      </c>
      <c r="I16" s="71">
        <f t="shared" si="1"/>
        <v>66</v>
      </c>
      <c r="J16" s="71">
        <f t="shared" si="1"/>
        <v>0</v>
      </c>
      <c r="K16" s="72">
        <f t="shared" si="1"/>
        <v>328</v>
      </c>
      <c r="M16" s="23">
        <f t="shared" ref="M16:N16" si="2">SUM(M6:M13)</f>
        <v>257</v>
      </c>
      <c r="N16" s="21">
        <f t="shared" si="2"/>
        <v>39</v>
      </c>
      <c r="O16" s="31">
        <f>SUM(O6:O13)</f>
        <v>263</v>
      </c>
      <c r="P16" s="31">
        <f>SUM(P6:P13)</f>
        <v>0</v>
      </c>
      <c r="Q16" s="22">
        <f>SUM(Q6:Q13)</f>
        <v>33</v>
      </c>
      <c r="R16" s="38" t="s">
        <v>185</v>
      </c>
      <c r="T16" s="42"/>
      <c r="U16" s="42"/>
      <c r="V16" s="42"/>
    </row>
    <row r="17" spans="1:39" ht="13.5" customHeight="1">
      <c r="T17" s="5"/>
      <c r="U17" s="5"/>
      <c r="V17" s="5"/>
    </row>
    <row r="18" spans="1:39" ht="13.5" customHeight="1">
      <c r="T18" s="5"/>
      <c r="U18" s="5"/>
      <c r="V18" s="5"/>
    </row>
    <row r="19" spans="1:39" ht="13.5" customHeight="1">
      <c r="T19" s="5"/>
      <c r="U19" s="5"/>
      <c r="V19" s="5"/>
    </row>
    <row r="20" spans="1:39" ht="13.5" customHeight="1">
      <c r="T20" s="5"/>
      <c r="U20" s="5"/>
      <c r="V20" s="5"/>
    </row>
    <row r="21" spans="1:39" ht="13.5" customHeight="1">
      <c r="C21" s="33" t="s">
        <v>186</v>
      </c>
      <c r="D21" s="9"/>
      <c r="E21" s="9"/>
      <c r="F21" s="9"/>
      <c r="G21" s="9"/>
      <c r="H21" s="9"/>
      <c r="I21" s="9"/>
      <c r="J21" s="9"/>
      <c r="K21" s="9"/>
      <c r="L21" s="9"/>
      <c r="M21" s="9"/>
      <c r="N21" s="9"/>
      <c r="O21" s="9"/>
      <c r="T21" s="5"/>
      <c r="U21" s="5"/>
      <c r="V21" s="5"/>
    </row>
    <row r="22" spans="1:39" ht="13.5" customHeight="1">
      <c r="C22" s="10"/>
      <c r="D22" s="425" t="s">
        <v>187</v>
      </c>
      <c r="E22" s="425"/>
      <c r="F22" s="425" t="s">
        <v>106</v>
      </c>
      <c r="G22" s="425"/>
      <c r="H22" s="425" t="s">
        <v>172</v>
      </c>
      <c r="I22" s="425"/>
      <c r="J22" s="426" t="s">
        <v>188</v>
      </c>
      <c r="K22" s="426"/>
      <c r="L22" s="426" t="s">
        <v>189</v>
      </c>
      <c r="M22" s="426"/>
      <c r="N22" s="416" t="s">
        <v>172</v>
      </c>
      <c r="O22" s="416"/>
    </row>
    <row r="23" spans="1:39" ht="13.5" customHeight="1">
      <c r="C23" s="10"/>
      <c r="D23" s="11" t="s">
        <v>190</v>
      </c>
      <c r="E23" s="12" t="s">
        <v>191</v>
      </c>
      <c r="F23" s="11" t="s">
        <v>190</v>
      </c>
      <c r="G23" s="12" t="s">
        <v>191</v>
      </c>
      <c r="H23" s="12" t="s">
        <v>190</v>
      </c>
      <c r="I23" s="12" t="s">
        <v>191</v>
      </c>
      <c r="J23" s="34" t="s">
        <v>190</v>
      </c>
      <c r="K23" s="13" t="s">
        <v>191</v>
      </c>
      <c r="L23" s="14" t="s">
        <v>190</v>
      </c>
      <c r="M23" s="14" t="s">
        <v>191</v>
      </c>
      <c r="N23" s="14" t="s">
        <v>190</v>
      </c>
      <c r="O23" s="14" t="s">
        <v>191</v>
      </c>
    </row>
    <row r="24" spans="1:39" ht="13.5" customHeight="1">
      <c r="C24" s="15" t="s">
        <v>192</v>
      </c>
      <c r="D24" s="7">
        <f>COUNTIFS(Tabelle13245689101112[Team],"*",Tabelle13245689101112[Pulled after Start],"&lt;&gt;yes")</f>
        <v>92</v>
      </c>
      <c r="E24" s="7">
        <f>SUMIFS(Tabelle13245689101112[Jira Story Points],Tabelle13245689101112[Team],"*",Tabelle13245689101112[Pulled after Start],"&lt;&gt;yes")+COUNTIFS(Tabelle13245689101112[Team],"*",Tabelle13245689101112[Jira Story Points],"-",Tabelle13245689101112[Pulled after Start],"&lt;&gt;yes")*$M$28</f>
        <v>359</v>
      </c>
      <c r="F24" s="7">
        <f>COUNTIF(Tabelle13245689101112[Pulled after Start],"yes")</f>
        <v>35</v>
      </c>
      <c r="G24" s="7">
        <f>SUMIFS(Tabelle13245689101112[Jira Story Points],Tabelle13245689101112[Team],"*",Tabelle13245689101112[Pulled after Start],"yes")+COUNTIFS(Tabelle13245689101112[Team],"*",Tabelle13245689101112[Jira Story Points],"-",Tabelle13245689101112[Pulled after Start],"yes")*$M$28</f>
        <v>94</v>
      </c>
      <c r="H24" s="7">
        <f t="shared" ref="H24:I27" si="3">D24+F24</f>
        <v>127</v>
      </c>
      <c r="I24" s="7">
        <f t="shared" si="3"/>
        <v>453</v>
      </c>
      <c r="J24" s="7">
        <f>COUNTIFS(Tabelle13245689101112[Team],"*",Tabelle13245689101112[Jira Story Points],"&lt;&gt;-")</f>
        <v>127</v>
      </c>
      <c r="K24" s="16">
        <f>SUMIFS(Tabelle13245689101112[Jira Story Points],Tabelle13245689101112[Team],"*",Tabelle13245689101112[Jira Story Points],"&lt;&gt;-")</f>
        <v>453</v>
      </c>
      <c r="L24" s="8">
        <f>COUNTIFS(Tabelle13245689101112[Team],"*",Tabelle13245689101112[Jira Story Points],"-")</f>
        <v>0</v>
      </c>
      <c r="M24" s="8">
        <f>L24*$M$28</f>
        <v>0</v>
      </c>
      <c r="N24" s="35">
        <f t="shared" ref="N24:O27" si="4">J24+L24</f>
        <v>127</v>
      </c>
      <c r="O24" s="7">
        <f t="shared" si="4"/>
        <v>453</v>
      </c>
    </row>
    <row r="25" spans="1:39" ht="13.5" customHeight="1">
      <c r="C25" s="15" t="s">
        <v>125</v>
      </c>
      <c r="D25" s="7">
        <f>COUNTIFS(Tabelle13245689101112[Team],"*",Tabelle13245689101112[Pulled after Start],"&lt;&gt;yes",Tabelle13245689101112[Status],H5)</f>
        <v>77</v>
      </c>
      <c r="E25" s="7">
        <f>SUMIFS(Tabelle13245689101112[Jira Story Points],Tabelle13245689101112[Team],"*",Tabelle13245689101112[Pulled after Start],"&lt;&gt;yes",Tabelle13245689101112[Status],H5)+COUNTIFS(Tabelle13245689101112[Team],"*",Tabelle13245689101112[Jira Story Points],"-",Tabelle13245689101112[Pulled after Start],"&lt;&gt;yes",Tabelle13245689101112[Status],H5)*$M$28</f>
        <v>286</v>
      </c>
      <c r="F25" s="7">
        <f>COUNTIFS(Tabelle13245689101112[Pulled after Start],"yes",Tabelle13245689101112[Status],H5)</f>
        <v>26</v>
      </c>
      <c r="G25" s="7">
        <f>SUMIFS(Tabelle13245689101112[Jira Story Points],Tabelle13245689101112[Team],"*",Tabelle13245689101112[Pulled after Start],"yes",Tabelle13245689101112[Status],H5)+COUNTIFS(Tabelle13245689101112[Team],"*",Tabelle13245689101112[Jira Story Points],"-",Tabelle13245689101112[Pulled after Start],"yes",Tabelle13245689101112[Status],H5)*$M$28</f>
        <v>67.5</v>
      </c>
      <c r="H25" s="7">
        <f t="shared" si="3"/>
        <v>103</v>
      </c>
      <c r="I25" s="7">
        <f t="shared" si="3"/>
        <v>353.5</v>
      </c>
      <c r="J25" s="7">
        <f>COUNTIFS(Tabelle13245689101112[Team],"*",Tabelle13245689101112[Jira Story Points],"&lt;&gt;-",Tabelle13245689101112[Status],H5)</f>
        <v>103</v>
      </c>
      <c r="K25" s="7">
        <f>SUMIFS(Tabelle13245689101112[Jira Story Points],Tabelle13245689101112[Team],"*",Tabelle13245689101112[Jira Story Points],"&lt;&gt;-",Tabelle13245689101112[Status],H5)</f>
        <v>353.5</v>
      </c>
      <c r="L25" s="17">
        <f>COUNTIFS(Tabelle13245689101112[Team],"*",Tabelle13245689101112[Jira Story Points],"-",Tabelle13245689101112[Status],H5)</f>
        <v>0</v>
      </c>
      <c r="M25" s="8">
        <f>L25*$M$28</f>
        <v>0</v>
      </c>
      <c r="N25" s="7">
        <f t="shared" si="4"/>
        <v>103</v>
      </c>
      <c r="O25" s="7">
        <f t="shared" si="4"/>
        <v>353.5</v>
      </c>
    </row>
    <row r="26" spans="1:39" ht="13.5" customHeight="1">
      <c r="C26" s="15" t="s">
        <v>127</v>
      </c>
      <c r="D26" s="7">
        <f>COUNTIFS(Tabelle13245689101112[Team],"*",Tabelle13245689101112[Pulled after Start],"&lt;&gt;yes",Tabelle13245689101112[Status],I5)</f>
        <v>15</v>
      </c>
      <c r="E26" s="7">
        <f>SUMIFS(Tabelle13245689101112[Jira Story Points],Tabelle13245689101112[Team],"*",Tabelle13245689101112[Pulled after Start],"&lt;&gt;yes",Tabelle13245689101112[Status],I5)+COUNTIFS(Tabelle13245689101112[Team],"*",Tabelle13245689101112[Jira Story Points],"-",Tabelle13245689101112[Pulled after Start],"&lt;&gt;yes",Tabelle13245689101112[Status],I5)*$M$28</f>
        <v>73</v>
      </c>
      <c r="F26" s="7">
        <f>COUNTIFS(Tabelle13245689101112[Pulled after Start],"yes",Tabelle13245689101112[Status],I5)</f>
        <v>7</v>
      </c>
      <c r="G26" s="7">
        <f>SUMIFS(Tabelle13245689101112[Jira Story Points],Tabelle13245689101112[Team],"*",Tabelle13245689101112[Pulled after Start],"yes",Tabelle13245689101112[Status],I5)+COUNTIFS(Tabelle13245689101112[Team],"*",Tabelle13245689101112[Jira Story Points],"-",Tabelle13245689101112[Pulled after Start],"yes",Tabelle13245689101112[Status],I5)*$M$28</f>
        <v>24</v>
      </c>
      <c r="H26" s="7">
        <f t="shared" si="3"/>
        <v>22</v>
      </c>
      <c r="I26" s="7">
        <f t="shared" si="3"/>
        <v>97</v>
      </c>
      <c r="J26" s="7">
        <f>COUNTIFS(Tabelle13245689101112[Team],"*",Tabelle13245689101112[Jira Story Points],"&lt;&gt;-",Tabelle13245689101112[Status],I5)</f>
        <v>22</v>
      </c>
      <c r="K26" s="7">
        <f>SUMIFS(Tabelle13245689101112[Jira Story Points],Tabelle13245689101112[Team],"*",Tabelle13245689101112[Jira Story Points],"&lt;&gt;-",Tabelle13245689101112[Status],I5)</f>
        <v>97</v>
      </c>
      <c r="L26" s="17">
        <f>COUNTIFS(Tabelle13245689101112[Team],"*",Tabelle13245689101112[Jira Story Points],"-",Tabelle13245689101112[Status],I5)</f>
        <v>0</v>
      </c>
      <c r="M26" s="8">
        <f>L26*$M$28</f>
        <v>0</v>
      </c>
      <c r="N26" s="7">
        <f t="shared" si="4"/>
        <v>22</v>
      </c>
      <c r="O26" s="7">
        <f t="shared" si="4"/>
        <v>97</v>
      </c>
    </row>
    <row r="27" spans="1:39" ht="13.5" customHeight="1">
      <c r="C27" s="15" t="s">
        <v>126</v>
      </c>
      <c r="D27" s="7">
        <f>COUNTIFS(Tabelle13245689101112[Team],"*",Tabelle13245689101112[Pulled after Start],"&lt;&gt;yes",Tabelle13245689101112[Status],J5)</f>
        <v>0</v>
      </c>
      <c r="E27" s="7">
        <f>SUMIFS(Tabelle13245689101112[Jira Story Points],Tabelle13245689101112[Team],"*",Tabelle13245689101112[Pulled after Start],"&lt;&gt;yes",Tabelle13245689101112[Status],J5)+COUNTIFS(Tabelle13245689101112[Team],"*",Tabelle13245689101112[Jira Story Points],"-",Tabelle13245689101112[Pulled after Start],"&lt;&gt;yes",Tabelle13245689101112[Status],J5)*$M$28</f>
        <v>0</v>
      </c>
      <c r="F27" s="7">
        <f>COUNTIFS(Tabelle13245689101112[Pulled after Start],"yes",Tabelle13245689101112[Status],J5)</f>
        <v>0</v>
      </c>
      <c r="G27" s="7">
        <f>SUMIFS(Tabelle13245689101112[Jira Story Points],Tabelle13245689101112[Team],"*",Tabelle13245689101112[Pulled after Start],"yes",Tabelle13245689101112[Status],J5)+COUNTIFS(Tabelle13245689101112[Team],"*",Tabelle13245689101112[Jira Story Points],"-",Tabelle13245689101112[Pulled after Start],"yes",Tabelle13245689101112[Status],J5)*$M$28</f>
        <v>0</v>
      </c>
      <c r="H27" s="7">
        <f t="shared" si="3"/>
        <v>0</v>
      </c>
      <c r="I27" s="7">
        <f t="shared" si="3"/>
        <v>0</v>
      </c>
      <c r="J27" s="7">
        <f>COUNTIFS(Tabelle13245689101112[Team],"*",Tabelle13245689101112[Jira Story Points],"&lt;&gt;-",Tabelle13245689101112[Status],J5)</f>
        <v>0</v>
      </c>
      <c r="K27" s="7">
        <f>SUMIFS(Tabelle13245689101112[Jira Story Points],Tabelle13245689101112[Team],"*",Tabelle13245689101112[Jira Story Points],"&lt;&gt;-",Tabelle13245689101112[Status],J5)</f>
        <v>0</v>
      </c>
      <c r="L27" s="17">
        <f>COUNTIFS(Tabelle13245689101112[Team],"*",Tabelle13245689101112[Jira Story Points],"-",Tabelle13245689101112[Status],J5)</f>
        <v>0</v>
      </c>
      <c r="M27" s="8">
        <f>L27*$M$28</f>
        <v>0</v>
      </c>
      <c r="N27" s="7">
        <f t="shared" si="4"/>
        <v>0</v>
      </c>
      <c r="O27" s="7">
        <f t="shared" si="4"/>
        <v>0</v>
      </c>
    </row>
    <row r="28" spans="1:39" ht="13.5" customHeight="1" thickBot="1">
      <c r="C28" s="1"/>
      <c r="D28" s="1"/>
      <c r="E28" s="1"/>
      <c r="F28" s="1"/>
      <c r="G28" s="1"/>
      <c r="H28" s="1"/>
      <c r="I28" s="1"/>
      <c r="J28" s="1"/>
      <c r="K28" s="1"/>
      <c r="L28" s="24" t="s">
        <v>193</v>
      </c>
      <c r="M28" s="45">
        <v>2</v>
      </c>
    </row>
    <row r="31" spans="1:39" s="116" customFormat="1" ht="30.75" customHeight="1">
      <c r="A31" s="146" t="s">
        <v>194</v>
      </c>
      <c r="B31" s="146" t="s">
        <v>195</v>
      </c>
      <c r="C31" s="146" t="s">
        <v>196</v>
      </c>
      <c r="D31" s="146" t="s">
        <v>197</v>
      </c>
      <c r="E31" s="146" t="s">
        <v>198</v>
      </c>
      <c r="F31" s="146" t="s">
        <v>199</v>
      </c>
      <c r="G31" s="146" t="s">
        <v>167</v>
      </c>
      <c r="H31" s="146" t="s">
        <v>106</v>
      </c>
      <c r="I31" s="146" t="s">
        <v>200</v>
      </c>
      <c r="J31" s="146" t="s">
        <v>201</v>
      </c>
      <c r="K31" s="146" t="s">
        <v>202</v>
      </c>
      <c r="L31" s="146" t="s">
        <v>203</v>
      </c>
      <c r="M31" s="147" t="s">
        <v>1304</v>
      </c>
      <c r="N31" s="148" t="s">
        <v>1305</v>
      </c>
      <c r="O31" s="148" t="s">
        <v>1306</v>
      </c>
      <c r="P31" s="149" t="s">
        <v>1307</v>
      </c>
      <c r="Q31" s="148" t="s">
        <v>1308</v>
      </c>
    </row>
    <row r="32" spans="1:39" s="109" customFormat="1">
      <c r="A32" s="88" t="s">
        <v>1920</v>
      </c>
      <c r="B32" s="46" t="s">
        <v>1921</v>
      </c>
      <c r="C32" s="81" t="s">
        <v>375</v>
      </c>
      <c r="D32" s="81">
        <v>2</v>
      </c>
      <c r="E32" s="81" t="s">
        <v>216</v>
      </c>
      <c r="F32" s="81">
        <v>3</v>
      </c>
      <c r="G32" s="76" t="s">
        <v>12</v>
      </c>
      <c r="H32" s="83"/>
      <c r="I32" s="103" t="s">
        <v>217</v>
      </c>
      <c r="J32" s="76" t="s">
        <v>125</v>
      </c>
      <c r="K32" s="104"/>
      <c r="L32" s="104"/>
      <c r="M32" s="105">
        <f>IF(Tabelle13245689101112[[#This Row],[Pulled after Start]]="",MIN(Tabelle13245689101112[[#This Row],[Jira Story Points]],Tabelle13245689101112[[#This Row],[Carry-over]]),0)</f>
        <v>3</v>
      </c>
      <c r="N32" s="106">
        <f>MIN(Tabelle13245689101112[[#This Row],[Jira Story Points]],Tabelle13245689101112[[#This Row],[Carry-over]])-Tabelle13245689101112[[#This Row],[SP Initially Planned (COS)]]</f>
        <v>0</v>
      </c>
      <c r="O32"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32" s="108">
        <f>IFERROR(IF(Tabelle13245689101112[[#This Row],[Status]]=$J$5,MIN(Tabelle13245689101112[[#This Row],[Jira Story Points]],Tabelle13245689101112[[#This Row],[Carry-over]]),0),0)</f>
        <v>0</v>
      </c>
      <c r="Q32" s="108">
        <f>IFERROR(IF(Tabelle13245689101112[[#This Row],[Status]]=$J$5,0,MIN(Tabelle13245689101112[[#This Row],[Jira Story Points]],Tabelle13245689101112[[#This Row],[Carry-over]])-Tabelle13245689101112[[#This Row],[SP Completed (COS &amp; SOS)]]),0)</f>
        <v>0</v>
      </c>
      <c r="AA32" s="46"/>
      <c r="AB32" s="46"/>
      <c r="AC32" s="46"/>
      <c r="AD32" s="46"/>
      <c r="AE32" s="46"/>
      <c r="AF32" s="46"/>
      <c r="AG32" s="46"/>
      <c r="AH32" s="46"/>
      <c r="AI32" s="46"/>
      <c r="AJ32" s="46"/>
      <c r="AK32" s="46"/>
      <c r="AL32" s="46"/>
      <c r="AM32" s="46"/>
    </row>
    <row r="33" spans="1:39" s="109" customFormat="1">
      <c r="A33" s="88" t="s">
        <v>1922</v>
      </c>
      <c r="B33" s="46" t="s">
        <v>1923</v>
      </c>
      <c r="C33" s="81" t="s">
        <v>375</v>
      </c>
      <c r="D33" s="81">
        <v>2</v>
      </c>
      <c r="E33" s="81" t="s">
        <v>216</v>
      </c>
      <c r="F33" s="81">
        <v>3</v>
      </c>
      <c r="G33" s="76" t="s">
        <v>12</v>
      </c>
      <c r="H33" s="83"/>
      <c r="I33" s="103" t="s">
        <v>217</v>
      </c>
      <c r="J33" s="76" t="s">
        <v>125</v>
      </c>
      <c r="K33" s="104">
        <v>1</v>
      </c>
      <c r="L33" s="104"/>
      <c r="M33" s="105">
        <f>IF(Tabelle13245689101112[[#This Row],[Pulled after Start]]="",MIN(Tabelle13245689101112[[#This Row],[Jira Story Points]],Tabelle13245689101112[[#This Row],[Carry-over]]),0)</f>
        <v>1</v>
      </c>
      <c r="N33" s="106">
        <f>MIN(Tabelle13245689101112[[#This Row],[Jira Story Points]],Tabelle13245689101112[[#This Row],[Carry-over]])-Tabelle13245689101112[[#This Row],[SP Initially Planned (COS)]]</f>
        <v>0</v>
      </c>
      <c r="O33"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33" s="108">
        <f>IFERROR(IF(Tabelle13245689101112[[#This Row],[Status]]=$J$5,MIN(Tabelle13245689101112[[#This Row],[Jira Story Points]],Tabelle13245689101112[[#This Row],[Carry-over]]),0),0)</f>
        <v>0</v>
      </c>
      <c r="Q33" s="108">
        <f>IFERROR(IF(Tabelle13245689101112[[#This Row],[Status]]=$J$5,0,MIN(Tabelle13245689101112[[#This Row],[Jira Story Points]],Tabelle13245689101112[[#This Row],[Carry-over]])-Tabelle13245689101112[[#This Row],[SP Completed (COS &amp; SOS)]]),0)</f>
        <v>0</v>
      </c>
      <c r="AA33" s="46"/>
      <c r="AB33" s="46"/>
      <c r="AC33" s="46"/>
      <c r="AD33" s="46"/>
      <c r="AE33" s="46"/>
      <c r="AF33" s="46"/>
      <c r="AG33" s="46"/>
      <c r="AH33" s="46"/>
      <c r="AI33" s="46"/>
      <c r="AJ33" s="46"/>
      <c r="AK33" s="46"/>
      <c r="AL33" s="46"/>
      <c r="AM33" s="46"/>
    </row>
    <row r="34" spans="1:39" s="109" customFormat="1">
      <c r="A34" s="88" t="s">
        <v>1679</v>
      </c>
      <c r="B34" s="46" t="s">
        <v>1680</v>
      </c>
      <c r="C34" s="81" t="s">
        <v>372</v>
      </c>
      <c r="D34" s="81">
        <v>3</v>
      </c>
      <c r="E34" s="81" t="s">
        <v>238</v>
      </c>
      <c r="F34" s="81">
        <v>8</v>
      </c>
      <c r="G34" s="76" t="s">
        <v>12</v>
      </c>
      <c r="H34" s="83"/>
      <c r="I34" s="110" t="s">
        <v>227</v>
      </c>
      <c r="J34" s="76" t="s">
        <v>127</v>
      </c>
      <c r="K34" s="111">
        <v>2</v>
      </c>
      <c r="L34" s="111">
        <v>2</v>
      </c>
      <c r="M34" s="105">
        <f>IF(Tabelle13245689101112[[#This Row],[Pulled after Start]]="",MIN(Tabelle13245689101112[[#This Row],[Jira Story Points]],Tabelle13245689101112[[#This Row],[Carry-over]]),0)</f>
        <v>2</v>
      </c>
      <c r="N34" s="106">
        <f>MIN(Tabelle13245689101112[[#This Row],[Jira Story Points]],Tabelle13245689101112[[#This Row],[Carry-over]])-Tabelle13245689101112[[#This Row],[SP Initially Planned (COS)]]</f>
        <v>0</v>
      </c>
      <c r="O34"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0</v>
      </c>
      <c r="P34" s="108">
        <f>IFERROR(IF(Tabelle13245689101112[[#This Row],[Status]]=$J$5,MIN(Tabelle13245689101112[[#This Row],[Jira Story Points]],Tabelle13245689101112[[#This Row],[Carry-over]]),0),0)</f>
        <v>0</v>
      </c>
      <c r="Q34" s="108">
        <f>IFERROR(IF(Tabelle13245689101112[[#This Row],[Status]]=$J$5,0,MIN(Tabelle13245689101112[[#This Row],[Jira Story Points]],Tabelle13245689101112[[#This Row],[Carry-over]])-Tabelle13245689101112[[#This Row],[SP Completed (COS &amp; SOS)]]),0)</f>
        <v>2</v>
      </c>
      <c r="AA34" s="46"/>
      <c r="AB34" s="46"/>
      <c r="AC34" s="46"/>
      <c r="AD34" s="46"/>
      <c r="AE34" s="46"/>
      <c r="AF34" s="46"/>
      <c r="AG34" s="46"/>
      <c r="AH34" s="46"/>
      <c r="AI34" s="46"/>
      <c r="AJ34" s="46"/>
      <c r="AK34" s="46"/>
      <c r="AL34" s="46"/>
      <c r="AM34" s="46"/>
    </row>
    <row r="35" spans="1:39" s="109" customFormat="1">
      <c r="A35" s="88" t="s">
        <v>1682</v>
      </c>
      <c r="B35" s="46" t="s">
        <v>1683</v>
      </c>
      <c r="C35" s="81" t="s">
        <v>372</v>
      </c>
      <c r="D35" s="81">
        <v>2</v>
      </c>
      <c r="E35" s="81" t="s">
        <v>238</v>
      </c>
      <c r="F35" s="81">
        <v>3</v>
      </c>
      <c r="G35" s="76" t="s">
        <v>12</v>
      </c>
      <c r="H35" s="83"/>
      <c r="I35" s="103" t="s">
        <v>227</v>
      </c>
      <c r="J35" s="76" t="s">
        <v>127</v>
      </c>
      <c r="K35" s="104">
        <v>1</v>
      </c>
      <c r="L35" s="104">
        <v>1</v>
      </c>
      <c r="M35" s="105">
        <f>IF(Tabelle13245689101112[[#This Row],[Pulled after Start]]="",MIN(Tabelle13245689101112[[#This Row],[Jira Story Points]],Tabelle13245689101112[[#This Row],[Carry-over]]),0)</f>
        <v>1</v>
      </c>
      <c r="N35" s="106">
        <f>MIN(Tabelle13245689101112[[#This Row],[Jira Story Points]],Tabelle13245689101112[[#This Row],[Carry-over]])-Tabelle13245689101112[[#This Row],[SP Initially Planned (COS)]]</f>
        <v>0</v>
      </c>
      <c r="O35"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0</v>
      </c>
      <c r="P35" s="108">
        <f>IFERROR(IF(Tabelle13245689101112[[#This Row],[Status]]=$J$5,MIN(Tabelle13245689101112[[#This Row],[Jira Story Points]],Tabelle13245689101112[[#This Row],[Carry-over]]),0),0)</f>
        <v>0</v>
      </c>
      <c r="Q35" s="108">
        <f>IFERROR(IF(Tabelle13245689101112[[#This Row],[Status]]=$J$5,0,MIN(Tabelle13245689101112[[#This Row],[Jira Story Points]],Tabelle13245689101112[[#This Row],[Carry-over]])-Tabelle13245689101112[[#This Row],[SP Completed (COS &amp; SOS)]]),0)</f>
        <v>1</v>
      </c>
      <c r="AA35" s="46"/>
      <c r="AB35" s="46"/>
      <c r="AC35" s="46"/>
      <c r="AD35" s="46"/>
      <c r="AE35" s="46"/>
      <c r="AF35" s="46"/>
      <c r="AG35" s="46"/>
      <c r="AH35" s="46"/>
      <c r="AI35" s="46"/>
      <c r="AJ35" s="46"/>
      <c r="AK35" s="46"/>
      <c r="AL35" s="46"/>
      <c r="AM35" s="46"/>
    </row>
    <row r="36" spans="1:39" s="109" customFormat="1">
      <c r="A36" s="88" t="s">
        <v>1924</v>
      </c>
      <c r="B36" s="46" t="s">
        <v>1925</v>
      </c>
      <c r="C36" s="81" t="s">
        <v>372</v>
      </c>
      <c r="D36" s="81">
        <v>3</v>
      </c>
      <c r="E36" s="81" t="s">
        <v>216</v>
      </c>
      <c r="F36" s="81">
        <v>2</v>
      </c>
      <c r="G36" s="76" t="s">
        <v>12</v>
      </c>
      <c r="H36" s="83"/>
      <c r="I36" s="103" t="s">
        <v>1926</v>
      </c>
      <c r="J36" s="76" t="s">
        <v>125</v>
      </c>
      <c r="K36" s="104">
        <v>1</v>
      </c>
      <c r="L36" s="104"/>
      <c r="M36" s="105">
        <f>IF(Tabelle13245689101112[[#This Row],[Pulled after Start]]="",MIN(Tabelle13245689101112[[#This Row],[Jira Story Points]],Tabelle13245689101112[[#This Row],[Carry-over]]),0)</f>
        <v>1</v>
      </c>
      <c r="N36" s="106">
        <f>MIN(Tabelle13245689101112[[#This Row],[Jira Story Points]],Tabelle13245689101112[[#This Row],[Carry-over]])-Tabelle13245689101112[[#This Row],[SP Initially Planned (COS)]]</f>
        <v>0</v>
      </c>
      <c r="O36"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36" s="108">
        <f>IFERROR(IF(Tabelle13245689101112[[#This Row],[Status]]=$J$5,MIN(Tabelle13245689101112[[#This Row],[Jira Story Points]],Tabelle13245689101112[[#This Row],[Carry-over]]),0),0)</f>
        <v>0</v>
      </c>
      <c r="Q36" s="108">
        <f>IFERROR(IF(Tabelle13245689101112[[#This Row],[Status]]=$J$5,0,MIN(Tabelle13245689101112[[#This Row],[Jira Story Points]],Tabelle13245689101112[[#This Row],[Carry-over]])-Tabelle13245689101112[[#This Row],[SP Completed (COS &amp; SOS)]]),0)</f>
        <v>0</v>
      </c>
      <c r="AA36" s="112"/>
      <c r="AB36" s="112"/>
      <c r="AC36" s="112"/>
      <c r="AD36" s="112"/>
      <c r="AE36" s="112"/>
      <c r="AF36" s="112"/>
      <c r="AG36" s="112"/>
      <c r="AH36" s="112"/>
      <c r="AI36" s="112"/>
      <c r="AJ36" s="112"/>
      <c r="AK36" s="112"/>
      <c r="AL36" s="112"/>
      <c r="AM36" s="112"/>
    </row>
    <row r="37" spans="1:39" s="109" customFormat="1">
      <c r="A37" s="88" t="s">
        <v>1927</v>
      </c>
      <c r="B37" s="46" t="s">
        <v>1928</v>
      </c>
      <c r="C37" s="81" t="s">
        <v>375</v>
      </c>
      <c r="D37" s="81">
        <v>2</v>
      </c>
      <c r="E37" s="81" t="s">
        <v>216</v>
      </c>
      <c r="F37" s="81">
        <v>3</v>
      </c>
      <c r="G37" s="76" t="s">
        <v>12</v>
      </c>
      <c r="H37" s="83"/>
      <c r="I37" s="103" t="s">
        <v>1929</v>
      </c>
      <c r="J37" s="76" t="s">
        <v>125</v>
      </c>
      <c r="K37" s="104"/>
      <c r="L37" s="104"/>
      <c r="M37" s="105">
        <f>IF(Tabelle13245689101112[[#This Row],[Pulled after Start]]="",MIN(Tabelle13245689101112[[#This Row],[Jira Story Points]],Tabelle13245689101112[[#This Row],[Carry-over]]),0)</f>
        <v>3</v>
      </c>
      <c r="N37" s="106">
        <f>MIN(Tabelle13245689101112[[#This Row],[Jira Story Points]],Tabelle13245689101112[[#This Row],[Carry-over]])-Tabelle13245689101112[[#This Row],[SP Initially Planned (COS)]]</f>
        <v>0</v>
      </c>
      <c r="O37"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37" s="108">
        <f>IFERROR(IF(Tabelle13245689101112[[#This Row],[Status]]=$J$5,MIN(Tabelle13245689101112[[#This Row],[Jira Story Points]],Tabelle13245689101112[[#This Row],[Carry-over]]),0),0)</f>
        <v>0</v>
      </c>
      <c r="Q37" s="108">
        <f>IFERROR(IF(Tabelle13245689101112[[#This Row],[Status]]=$J$5,0,MIN(Tabelle13245689101112[[#This Row],[Jira Story Points]],Tabelle13245689101112[[#This Row],[Carry-over]])-Tabelle13245689101112[[#This Row],[SP Completed (COS &amp; SOS)]]),0)</f>
        <v>0</v>
      </c>
      <c r="AA37" s="112"/>
      <c r="AB37" s="112"/>
      <c r="AC37" s="112"/>
      <c r="AD37" s="112"/>
      <c r="AE37" s="112"/>
      <c r="AF37" s="112"/>
      <c r="AG37" s="112"/>
      <c r="AH37" s="112"/>
      <c r="AI37" s="112"/>
      <c r="AJ37" s="112"/>
      <c r="AK37" s="112"/>
      <c r="AL37" s="112"/>
      <c r="AM37" s="112"/>
    </row>
    <row r="38" spans="1:39" s="109" customFormat="1">
      <c r="A38" s="88" t="s">
        <v>1330</v>
      </c>
      <c r="B38" s="46" t="s">
        <v>1331</v>
      </c>
      <c r="C38" s="76" t="s">
        <v>375</v>
      </c>
      <c r="D38" s="76">
        <v>3</v>
      </c>
      <c r="E38" s="76" t="s">
        <v>254</v>
      </c>
      <c r="F38" s="104">
        <v>3</v>
      </c>
      <c r="G38" s="76" t="s">
        <v>12</v>
      </c>
      <c r="H38" s="83" t="s">
        <v>209</v>
      </c>
      <c r="I38" s="103" t="s">
        <v>217</v>
      </c>
      <c r="J38" s="76" t="s">
        <v>127</v>
      </c>
      <c r="K38" s="104"/>
      <c r="L38" s="104">
        <v>0</v>
      </c>
      <c r="M38" s="105">
        <f>IF(Tabelle13245689101112[[#This Row],[Pulled after Start]]="",MIN(Tabelle13245689101112[[#This Row],[Jira Story Points]],Tabelle13245689101112[[#This Row],[Carry-over]]),0)</f>
        <v>0</v>
      </c>
      <c r="N38" s="106">
        <f>MIN(Tabelle13245689101112[[#This Row],[Jira Story Points]],Tabelle13245689101112[[#This Row],[Carry-over]])-Tabelle13245689101112[[#This Row],[SP Initially Planned (COS)]]</f>
        <v>3</v>
      </c>
      <c r="O38"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38" s="108">
        <f>IFERROR(IF(Tabelle13245689101112[[#This Row],[Status]]=$J$5,MIN(Tabelle13245689101112[[#This Row],[Jira Story Points]],Tabelle13245689101112[[#This Row],[Carry-over]]),0),0)</f>
        <v>0</v>
      </c>
      <c r="Q38" s="108">
        <f>IFERROR(IF(Tabelle13245689101112[[#This Row],[Status]]=$J$5,0,MIN(Tabelle13245689101112[[#This Row],[Jira Story Points]],Tabelle13245689101112[[#This Row],[Carry-over]])-Tabelle13245689101112[[#This Row],[SP Completed (COS &amp; SOS)]]),0)</f>
        <v>0</v>
      </c>
      <c r="AA38" s="112"/>
      <c r="AB38" s="112"/>
      <c r="AC38" s="112"/>
      <c r="AD38" s="112"/>
      <c r="AE38" s="112"/>
      <c r="AF38" s="112"/>
      <c r="AG38" s="112"/>
      <c r="AH38" s="112"/>
      <c r="AI38" s="112"/>
      <c r="AJ38" s="112"/>
      <c r="AK38" s="112"/>
      <c r="AL38" s="112"/>
      <c r="AM38" s="112"/>
    </row>
    <row r="39" spans="1:39" s="109" customFormat="1">
      <c r="A39" s="88" t="s">
        <v>1684</v>
      </c>
      <c r="B39" s="46" t="s">
        <v>1685</v>
      </c>
      <c r="C39" s="76" t="s">
        <v>375</v>
      </c>
      <c r="D39" s="76">
        <v>2</v>
      </c>
      <c r="E39" s="76" t="s">
        <v>238</v>
      </c>
      <c r="F39" s="104">
        <v>3</v>
      </c>
      <c r="G39" s="76" t="s">
        <v>12</v>
      </c>
      <c r="H39" s="83" t="s">
        <v>209</v>
      </c>
      <c r="I39" s="103" t="s">
        <v>217</v>
      </c>
      <c r="J39" s="76" t="s">
        <v>127</v>
      </c>
      <c r="K39" s="104"/>
      <c r="L39" s="104">
        <v>3</v>
      </c>
      <c r="M39" s="105">
        <f>IF(Tabelle13245689101112[[#This Row],[Pulled after Start]]="",MIN(Tabelle13245689101112[[#This Row],[Jira Story Points]],Tabelle13245689101112[[#This Row],[Carry-over]]),0)</f>
        <v>0</v>
      </c>
      <c r="N39" s="106">
        <f>MIN(Tabelle13245689101112[[#This Row],[Jira Story Points]],Tabelle13245689101112[[#This Row],[Carry-over]])-Tabelle13245689101112[[#This Row],[SP Initially Planned (COS)]]</f>
        <v>3</v>
      </c>
      <c r="O39"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0</v>
      </c>
      <c r="P39" s="108">
        <f>IFERROR(IF(Tabelle13245689101112[[#This Row],[Status]]=$J$5,MIN(Tabelle13245689101112[[#This Row],[Jira Story Points]],Tabelle13245689101112[[#This Row],[Carry-over]]),0),0)</f>
        <v>0</v>
      </c>
      <c r="Q39" s="108">
        <f>IFERROR(IF(Tabelle13245689101112[[#This Row],[Status]]=$J$5,0,MIN(Tabelle13245689101112[[#This Row],[Jira Story Points]],Tabelle13245689101112[[#This Row],[Carry-over]])-Tabelle13245689101112[[#This Row],[SP Completed (COS &amp; SOS)]]),0)</f>
        <v>3</v>
      </c>
      <c r="AA39" s="112"/>
      <c r="AB39" s="112"/>
      <c r="AC39" s="112"/>
      <c r="AD39" s="112"/>
      <c r="AE39" s="112"/>
      <c r="AF39" s="112"/>
      <c r="AG39" s="112"/>
      <c r="AH39" s="112"/>
      <c r="AI39" s="112"/>
      <c r="AJ39" s="112"/>
      <c r="AK39" s="112"/>
      <c r="AL39" s="112"/>
      <c r="AM39" s="112"/>
    </row>
    <row r="40" spans="1:39" s="109" customFormat="1">
      <c r="A40" s="88" t="s">
        <v>1930</v>
      </c>
      <c r="B40" s="46" t="s">
        <v>1931</v>
      </c>
      <c r="C40" s="81" t="s">
        <v>382</v>
      </c>
      <c r="D40" s="81">
        <v>3</v>
      </c>
      <c r="E40" s="81" t="s">
        <v>216</v>
      </c>
      <c r="F40" s="81">
        <v>1</v>
      </c>
      <c r="G40" s="76" t="s">
        <v>12</v>
      </c>
      <c r="H40" s="83"/>
      <c r="I40" s="103" t="s">
        <v>1932</v>
      </c>
      <c r="J40" s="76" t="s">
        <v>125</v>
      </c>
      <c r="K40" s="104"/>
      <c r="L40" s="104"/>
      <c r="M40" s="105">
        <f>IF(Tabelle13245689101112[[#This Row],[Pulled after Start]]="",MIN(Tabelle13245689101112[[#This Row],[Jira Story Points]],Tabelle13245689101112[[#This Row],[Carry-over]]),0)</f>
        <v>1</v>
      </c>
      <c r="N40" s="106">
        <f>MIN(Tabelle13245689101112[[#This Row],[Jira Story Points]],Tabelle13245689101112[[#This Row],[Carry-over]])-Tabelle13245689101112[[#This Row],[SP Initially Planned (COS)]]</f>
        <v>0</v>
      </c>
      <c r="O40"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40" s="108">
        <f>IFERROR(IF(Tabelle13245689101112[[#This Row],[Status]]=$J$5,MIN(Tabelle13245689101112[[#This Row],[Jira Story Points]],Tabelle13245689101112[[#This Row],[Carry-over]]),0),0)</f>
        <v>0</v>
      </c>
      <c r="Q40" s="108">
        <f>IFERROR(IF(Tabelle13245689101112[[#This Row],[Status]]=$J$5,0,MIN(Tabelle13245689101112[[#This Row],[Jira Story Points]],Tabelle13245689101112[[#This Row],[Carry-over]])-Tabelle13245689101112[[#This Row],[SP Completed (COS &amp; SOS)]]),0)</f>
        <v>0</v>
      </c>
      <c r="AA40" s="112"/>
      <c r="AB40" s="112"/>
      <c r="AC40" s="112"/>
      <c r="AD40" s="112"/>
      <c r="AE40" s="112"/>
      <c r="AF40" s="112"/>
      <c r="AG40" s="112"/>
      <c r="AH40" s="112"/>
      <c r="AI40" s="112"/>
      <c r="AJ40" s="112"/>
      <c r="AK40" s="112"/>
      <c r="AL40" s="112"/>
      <c r="AM40" s="112"/>
    </row>
    <row r="41" spans="1:39" s="109" customFormat="1">
      <c r="A41" s="88" t="s">
        <v>1933</v>
      </c>
      <c r="B41" s="46" t="s">
        <v>1934</v>
      </c>
      <c r="C41" s="81" t="s">
        <v>372</v>
      </c>
      <c r="D41" s="81">
        <v>3</v>
      </c>
      <c r="E41" s="81" t="s">
        <v>216</v>
      </c>
      <c r="F41" s="81">
        <v>1</v>
      </c>
      <c r="G41" s="76" t="s">
        <v>12</v>
      </c>
      <c r="H41" s="83"/>
      <c r="I41" s="103" t="s">
        <v>270</v>
      </c>
      <c r="J41" s="76" t="s">
        <v>125</v>
      </c>
      <c r="K41" s="104"/>
      <c r="L41" s="104"/>
      <c r="M41" s="105">
        <f>IF(Tabelle13245689101112[[#This Row],[Pulled after Start]]="",MIN(Tabelle13245689101112[[#This Row],[Jira Story Points]],Tabelle13245689101112[[#This Row],[Carry-over]]),0)</f>
        <v>1</v>
      </c>
      <c r="N41" s="106">
        <f>MIN(Tabelle13245689101112[[#This Row],[Jira Story Points]],Tabelle13245689101112[[#This Row],[Carry-over]])-Tabelle13245689101112[[#This Row],[SP Initially Planned (COS)]]</f>
        <v>0</v>
      </c>
      <c r="O41"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41" s="108">
        <f>IFERROR(IF(Tabelle13245689101112[[#This Row],[Status]]=$J$5,MIN(Tabelle13245689101112[[#This Row],[Jira Story Points]],Tabelle13245689101112[[#This Row],[Carry-over]]),0),0)</f>
        <v>0</v>
      </c>
      <c r="Q41" s="108">
        <f>IFERROR(IF(Tabelle13245689101112[[#This Row],[Status]]=$J$5,0,MIN(Tabelle13245689101112[[#This Row],[Jira Story Points]],Tabelle13245689101112[[#This Row],[Carry-over]])-Tabelle13245689101112[[#This Row],[SP Completed (COS &amp; SOS)]]),0)</f>
        <v>0</v>
      </c>
      <c r="AA41" s="112"/>
      <c r="AB41" s="112"/>
      <c r="AC41" s="112"/>
      <c r="AD41" s="112"/>
      <c r="AE41" s="112"/>
      <c r="AF41" s="112"/>
      <c r="AG41" s="112"/>
      <c r="AH41" s="112"/>
      <c r="AI41" s="112"/>
      <c r="AJ41" s="112"/>
      <c r="AK41" s="112"/>
      <c r="AL41" s="112"/>
      <c r="AM41" s="112"/>
    </row>
    <row r="42" spans="1:39" s="109" customFormat="1" hidden="1">
      <c r="A42" s="88" t="s">
        <v>1935</v>
      </c>
      <c r="B42" s="101" t="s">
        <v>1936</v>
      </c>
      <c r="C42" s="81" t="s">
        <v>372</v>
      </c>
      <c r="D42" s="81">
        <v>3</v>
      </c>
      <c r="E42" s="81" t="s">
        <v>324</v>
      </c>
      <c r="F42" s="104">
        <v>3</v>
      </c>
      <c r="G42" s="114" t="s">
        <v>21</v>
      </c>
      <c r="H42" s="83"/>
      <c r="I42" s="103"/>
      <c r="J42" s="76" t="s">
        <v>125</v>
      </c>
      <c r="K42" s="104"/>
      <c r="L42" s="104"/>
      <c r="M42" s="105">
        <f>IF(Tabelle13245689101112[[#This Row],[Pulled after Start]]="",MIN(Tabelle13245689101112[[#This Row],[Jira Story Points]],Tabelle13245689101112[[#This Row],[Carry-over]]),0)</f>
        <v>3</v>
      </c>
      <c r="N42" s="106">
        <f>MIN(Tabelle13245689101112[[#This Row],[Jira Story Points]],Tabelle13245689101112[[#This Row],[Carry-over]])-Tabelle13245689101112[[#This Row],[SP Initially Planned (COS)]]</f>
        <v>0</v>
      </c>
      <c r="O42"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42" s="108">
        <f>IFERROR(IF(Tabelle13245689101112[[#This Row],[Status]]=$J$5,MIN(Tabelle13245689101112[[#This Row],[Jira Story Points]],Tabelle13245689101112[[#This Row],[Carry-over]]),0),0)</f>
        <v>0</v>
      </c>
      <c r="Q42" s="108">
        <f>IFERROR(IF(Tabelle13245689101112[[#This Row],[Status]]=$J$5,0,MIN(Tabelle13245689101112[[#This Row],[Jira Story Points]],Tabelle13245689101112[[#This Row],[Carry-over]])-Tabelle13245689101112[[#This Row],[SP Completed (COS &amp; SOS)]]),0)</f>
        <v>0</v>
      </c>
      <c r="AA42" s="112"/>
      <c r="AB42" s="112"/>
      <c r="AC42" s="112"/>
      <c r="AD42" s="112"/>
      <c r="AE42" s="112"/>
      <c r="AF42" s="112"/>
      <c r="AG42" s="112"/>
      <c r="AH42" s="112"/>
      <c r="AI42" s="112"/>
      <c r="AJ42" s="112"/>
      <c r="AK42" s="112"/>
      <c r="AL42" s="112"/>
      <c r="AM42" s="112"/>
    </row>
    <row r="43" spans="1:39" s="113" customFormat="1" hidden="1">
      <c r="A43" s="88" t="s">
        <v>1937</v>
      </c>
      <c r="B43" s="101" t="s">
        <v>1938</v>
      </c>
      <c r="C43" s="81" t="s">
        <v>372</v>
      </c>
      <c r="D43" s="81">
        <v>3</v>
      </c>
      <c r="E43" s="81" t="s">
        <v>324</v>
      </c>
      <c r="F43" s="104">
        <v>2</v>
      </c>
      <c r="G43" s="114" t="s">
        <v>21</v>
      </c>
      <c r="H43" s="76"/>
      <c r="I43" s="103"/>
      <c r="J43" s="76" t="s">
        <v>125</v>
      </c>
      <c r="K43" s="76"/>
      <c r="L43" s="76"/>
      <c r="M43" s="105">
        <f>IF(Tabelle13245689101112[[#This Row],[Pulled after Start]]="",MIN(Tabelle13245689101112[[#This Row],[Jira Story Points]],Tabelle13245689101112[[#This Row],[Carry-over]]),0)</f>
        <v>2</v>
      </c>
      <c r="N43" s="106">
        <f>MIN(Tabelle13245689101112[[#This Row],[Jira Story Points]],Tabelle13245689101112[[#This Row],[Carry-over]])-Tabelle13245689101112[[#This Row],[SP Initially Planned (COS)]]</f>
        <v>0</v>
      </c>
      <c r="O43"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43" s="108">
        <f>IFERROR(IF(Tabelle13245689101112[[#This Row],[Status]]=$J$5,MIN(Tabelle13245689101112[[#This Row],[Jira Story Points]],Tabelle13245689101112[[#This Row],[Carry-over]]),0),0)</f>
        <v>0</v>
      </c>
      <c r="Q43" s="108">
        <f>IFERROR(IF(Tabelle13245689101112[[#This Row],[Status]]=$J$5,0,MIN(Tabelle13245689101112[[#This Row],[Jira Story Points]],Tabelle13245689101112[[#This Row],[Carry-over]])-Tabelle13245689101112[[#This Row],[SP Completed (COS &amp; SOS)]]),0)</f>
        <v>0</v>
      </c>
      <c r="AA43" s="46"/>
      <c r="AB43" s="46"/>
      <c r="AC43" s="46"/>
      <c r="AD43" s="46"/>
      <c r="AE43" s="46"/>
      <c r="AF43" s="46"/>
      <c r="AG43" s="46"/>
      <c r="AH43" s="46"/>
      <c r="AI43" s="46"/>
      <c r="AK43" s="112"/>
      <c r="AL43" s="112"/>
      <c r="AM43" s="112"/>
    </row>
    <row r="44" spans="1:39" s="113" customFormat="1" hidden="1">
      <c r="A44" s="88" t="s">
        <v>1939</v>
      </c>
      <c r="B44" s="101" t="s">
        <v>1940</v>
      </c>
      <c r="C44" s="81" t="s">
        <v>375</v>
      </c>
      <c r="D44" s="81">
        <v>3</v>
      </c>
      <c r="E44" s="81" t="s">
        <v>324</v>
      </c>
      <c r="F44" s="104">
        <v>3</v>
      </c>
      <c r="G44" s="114" t="s">
        <v>21</v>
      </c>
      <c r="H44" s="83"/>
      <c r="I44" s="103"/>
      <c r="J44" s="76" t="s">
        <v>125</v>
      </c>
      <c r="K44" s="104"/>
      <c r="L44" s="104"/>
      <c r="M44" s="105">
        <f>IF(Tabelle13245689101112[[#This Row],[Pulled after Start]]="",MIN(Tabelle13245689101112[[#This Row],[Jira Story Points]],Tabelle13245689101112[[#This Row],[Carry-over]]),0)</f>
        <v>3</v>
      </c>
      <c r="N44" s="106">
        <f>MIN(Tabelle13245689101112[[#This Row],[Jira Story Points]],Tabelle13245689101112[[#This Row],[Carry-over]])-Tabelle13245689101112[[#This Row],[SP Initially Planned (COS)]]</f>
        <v>0</v>
      </c>
      <c r="O44"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44" s="108">
        <f>IFERROR(IF(Tabelle13245689101112[[#This Row],[Status]]=$J$5,MIN(Tabelle13245689101112[[#This Row],[Jira Story Points]],Tabelle13245689101112[[#This Row],[Carry-over]]),0),0)</f>
        <v>0</v>
      </c>
      <c r="Q44" s="108">
        <f>IFERROR(IF(Tabelle13245689101112[[#This Row],[Status]]=$J$5,0,MIN(Tabelle13245689101112[[#This Row],[Jira Story Points]],Tabelle13245689101112[[#This Row],[Carry-over]])-Tabelle13245689101112[[#This Row],[SP Completed (COS &amp; SOS)]]),0)</f>
        <v>0</v>
      </c>
      <c r="AA44" s="46"/>
      <c r="AB44" s="46"/>
      <c r="AC44" s="46"/>
      <c r="AD44" s="46"/>
      <c r="AE44" s="46"/>
      <c r="AF44" s="46"/>
      <c r="AG44" s="46"/>
      <c r="AH44" s="46"/>
      <c r="AI44" s="46"/>
      <c r="AK44" s="112"/>
      <c r="AL44" s="112"/>
      <c r="AM44" s="112"/>
    </row>
    <row r="45" spans="1:39" s="113" customFormat="1" hidden="1">
      <c r="A45" s="88" t="s">
        <v>1941</v>
      </c>
      <c r="B45" s="101" t="s">
        <v>1942</v>
      </c>
      <c r="C45" s="81" t="s">
        <v>375</v>
      </c>
      <c r="D45" s="81">
        <v>2</v>
      </c>
      <c r="E45" s="81" t="s">
        <v>324</v>
      </c>
      <c r="F45" s="104">
        <v>5</v>
      </c>
      <c r="G45" s="114" t="s">
        <v>21</v>
      </c>
      <c r="H45" s="76" t="s">
        <v>209</v>
      </c>
      <c r="I45" s="103"/>
      <c r="J45" s="76" t="s">
        <v>125</v>
      </c>
      <c r="K45" s="104"/>
      <c r="L45" s="104"/>
      <c r="M45" s="105">
        <f>IF(Tabelle13245689101112[[#This Row],[Pulled after Start]]="",MIN(Tabelle13245689101112[[#This Row],[Jira Story Points]],Tabelle13245689101112[[#This Row],[Carry-over]]),0)</f>
        <v>0</v>
      </c>
      <c r="N45" s="106">
        <f>MIN(Tabelle13245689101112[[#This Row],[Jira Story Points]],Tabelle13245689101112[[#This Row],[Carry-over]])-Tabelle13245689101112[[#This Row],[SP Initially Planned (COS)]]</f>
        <v>5</v>
      </c>
      <c r="O45"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5</v>
      </c>
      <c r="P45" s="108">
        <f>IFERROR(IF(Tabelle13245689101112[[#This Row],[Status]]=$J$5,MIN(Tabelle13245689101112[[#This Row],[Jira Story Points]],Tabelle13245689101112[[#This Row],[Carry-over]]),0),0)</f>
        <v>0</v>
      </c>
      <c r="Q45" s="108">
        <f>IFERROR(IF(Tabelle13245689101112[[#This Row],[Status]]=$J$5,0,MIN(Tabelle13245689101112[[#This Row],[Jira Story Points]],Tabelle13245689101112[[#This Row],[Carry-over]])-Tabelle13245689101112[[#This Row],[SP Completed (COS &amp; SOS)]]),0)</f>
        <v>0</v>
      </c>
      <c r="AA45" s="46"/>
      <c r="AB45" s="46"/>
      <c r="AC45" s="46"/>
      <c r="AD45" s="46"/>
      <c r="AE45" s="46"/>
      <c r="AF45" s="46"/>
      <c r="AG45" s="46"/>
      <c r="AH45" s="46"/>
      <c r="AI45" s="46"/>
      <c r="AK45" s="112"/>
      <c r="AL45" s="112"/>
      <c r="AM45" s="112"/>
    </row>
    <row r="46" spans="1:39" s="46" customFormat="1" hidden="1">
      <c r="A46" s="88" t="s">
        <v>1943</v>
      </c>
      <c r="B46" s="101" t="s">
        <v>1944</v>
      </c>
      <c r="C46" s="81" t="s">
        <v>372</v>
      </c>
      <c r="D46" s="81">
        <v>3</v>
      </c>
      <c r="E46" s="81" t="s">
        <v>324</v>
      </c>
      <c r="F46" s="104">
        <v>3</v>
      </c>
      <c r="G46" s="114" t="s">
        <v>21</v>
      </c>
      <c r="H46" s="83"/>
      <c r="I46" s="103"/>
      <c r="J46" s="76" t="s">
        <v>125</v>
      </c>
      <c r="K46" s="104">
        <v>1</v>
      </c>
      <c r="L46" s="104"/>
      <c r="M46" s="105">
        <f>IF(Tabelle13245689101112[[#This Row],[Pulled after Start]]="",MIN(Tabelle13245689101112[[#This Row],[Jira Story Points]],Tabelle13245689101112[[#This Row],[Carry-over]]),0)</f>
        <v>1</v>
      </c>
      <c r="N46" s="106">
        <f>MIN(Tabelle13245689101112[[#This Row],[Jira Story Points]],Tabelle13245689101112[[#This Row],[Carry-over]])-Tabelle13245689101112[[#This Row],[SP Initially Planned (COS)]]</f>
        <v>0</v>
      </c>
      <c r="O46"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46" s="108">
        <f>IFERROR(IF(Tabelle13245689101112[[#This Row],[Status]]=$J$5,MIN(Tabelle13245689101112[[#This Row],[Jira Story Points]],Tabelle13245689101112[[#This Row],[Carry-over]]),0),0)</f>
        <v>0</v>
      </c>
      <c r="Q46" s="108">
        <f>IFERROR(IF(Tabelle13245689101112[[#This Row],[Status]]=$J$5,0,MIN(Tabelle13245689101112[[#This Row],[Jira Story Points]],Tabelle13245689101112[[#This Row],[Carry-over]])-Tabelle13245689101112[[#This Row],[SP Completed (COS &amp; SOS)]]),0)</f>
        <v>0</v>
      </c>
      <c r="AL46" s="112"/>
      <c r="AM46" s="112"/>
    </row>
    <row r="47" spans="1:39" s="46" customFormat="1" hidden="1">
      <c r="A47" s="88" t="s">
        <v>1945</v>
      </c>
      <c r="B47" s="101" t="s">
        <v>1946</v>
      </c>
      <c r="C47" s="81" t="s">
        <v>372</v>
      </c>
      <c r="D47" s="81">
        <v>3</v>
      </c>
      <c r="E47" s="81" t="s">
        <v>642</v>
      </c>
      <c r="F47" s="104">
        <v>3</v>
      </c>
      <c r="G47" s="114" t="s">
        <v>21</v>
      </c>
      <c r="H47" s="83"/>
      <c r="I47" s="103"/>
      <c r="J47" s="76" t="s">
        <v>125</v>
      </c>
      <c r="K47" s="104"/>
      <c r="L47" s="104"/>
      <c r="M47" s="105">
        <f>IF(Tabelle13245689101112[[#This Row],[Pulled after Start]]="",MIN(Tabelle13245689101112[[#This Row],[Jira Story Points]],Tabelle13245689101112[[#This Row],[Carry-over]]),0)</f>
        <v>3</v>
      </c>
      <c r="N47" s="106">
        <f>MIN(Tabelle13245689101112[[#This Row],[Jira Story Points]],Tabelle13245689101112[[#This Row],[Carry-over]])-Tabelle13245689101112[[#This Row],[SP Initially Planned (COS)]]</f>
        <v>0</v>
      </c>
      <c r="O47"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47" s="108">
        <f>IFERROR(IF(Tabelle13245689101112[[#This Row],[Status]]=$J$5,MIN(Tabelle13245689101112[[#This Row],[Jira Story Points]],Tabelle13245689101112[[#This Row],[Carry-over]]),0),0)</f>
        <v>0</v>
      </c>
      <c r="Q47" s="108">
        <f>IFERROR(IF(Tabelle13245689101112[[#This Row],[Status]]=$J$5,0,MIN(Tabelle13245689101112[[#This Row],[Jira Story Points]],Tabelle13245689101112[[#This Row],[Carry-over]])-Tabelle13245689101112[[#This Row],[SP Completed (COS &amp; SOS)]]),0)</f>
        <v>0</v>
      </c>
      <c r="AL47" s="112"/>
      <c r="AM47" s="112"/>
    </row>
    <row r="48" spans="1:39" s="46" customFormat="1" hidden="1">
      <c r="A48" s="88" t="s">
        <v>1947</v>
      </c>
      <c r="B48" s="101" t="s">
        <v>1948</v>
      </c>
      <c r="C48" s="81" t="s">
        <v>372</v>
      </c>
      <c r="D48" s="81">
        <v>3</v>
      </c>
      <c r="E48" s="81" t="s">
        <v>324</v>
      </c>
      <c r="F48" s="104">
        <v>5</v>
      </c>
      <c r="G48" s="114" t="s">
        <v>21</v>
      </c>
      <c r="H48" s="76" t="s">
        <v>209</v>
      </c>
      <c r="I48" s="103"/>
      <c r="J48" s="76" t="s">
        <v>125</v>
      </c>
      <c r="K48" s="104"/>
      <c r="L48" s="104"/>
      <c r="M48" s="105">
        <f>IF(Tabelle13245689101112[[#This Row],[Pulled after Start]]="",MIN(Tabelle13245689101112[[#This Row],[Jira Story Points]],Tabelle13245689101112[[#This Row],[Carry-over]]),0)</f>
        <v>0</v>
      </c>
      <c r="N48" s="106">
        <f>MIN(Tabelle13245689101112[[#This Row],[Jira Story Points]],Tabelle13245689101112[[#This Row],[Carry-over]])-Tabelle13245689101112[[#This Row],[SP Initially Planned (COS)]]</f>
        <v>5</v>
      </c>
      <c r="O48"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5</v>
      </c>
      <c r="P48" s="108">
        <f>IFERROR(IF(Tabelle13245689101112[[#This Row],[Status]]=$J$5,MIN(Tabelle13245689101112[[#This Row],[Jira Story Points]],Tabelle13245689101112[[#This Row],[Carry-over]]),0),0)</f>
        <v>0</v>
      </c>
      <c r="Q48" s="108">
        <f>IFERROR(IF(Tabelle13245689101112[[#This Row],[Status]]=$J$5,0,MIN(Tabelle13245689101112[[#This Row],[Jira Story Points]],Tabelle13245689101112[[#This Row],[Carry-over]])-Tabelle13245689101112[[#This Row],[SP Completed (COS &amp; SOS)]]),0)</f>
        <v>0</v>
      </c>
      <c r="AL48" s="112"/>
      <c r="AM48" s="112"/>
    </row>
    <row r="49" spans="1:39" s="46" customFormat="1" hidden="1">
      <c r="A49" s="88" t="s">
        <v>1949</v>
      </c>
      <c r="B49" s="101" t="s">
        <v>1950</v>
      </c>
      <c r="C49" s="81" t="s">
        <v>372</v>
      </c>
      <c r="D49" s="81">
        <v>3</v>
      </c>
      <c r="E49" s="81" t="s">
        <v>642</v>
      </c>
      <c r="F49" s="104">
        <v>3</v>
      </c>
      <c r="G49" s="114" t="s">
        <v>21</v>
      </c>
      <c r="H49" s="83"/>
      <c r="I49" s="103"/>
      <c r="J49" s="76" t="s">
        <v>1951</v>
      </c>
      <c r="K49" s="104"/>
      <c r="L49" s="104">
        <v>2</v>
      </c>
      <c r="M49" s="105">
        <f>IF(Tabelle13245689101112[[#This Row],[Pulled after Start]]="",MIN(Tabelle13245689101112[[#This Row],[Jira Story Points]],Tabelle13245689101112[[#This Row],[Carry-over]]),0)</f>
        <v>3</v>
      </c>
      <c r="N49" s="106">
        <f>MIN(Tabelle13245689101112[[#This Row],[Jira Story Points]],Tabelle13245689101112[[#This Row],[Carry-over]])-Tabelle13245689101112[[#This Row],[SP Initially Planned (COS)]]</f>
        <v>0</v>
      </c>
      <c r="O49"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49" s="108">
        <f>IFERROR(IF(Tabelle13245689101112[[#This Row],[Status]]=$J$5,MIN(Tabelle13245689101112[[#This Row],[Jira Story Points]],Tabelle13245689101112[[#This Row],[Carry-over]]),0),0)</f>
        <v>0</v>
      </c>
      <c r="Q49" s="108">
        <f>IFERROR(IF(Tabelle13245689101112[[#This Row],[Status]]=$J$5,0,MIN(Tabelle13245689101112[[#This Row],[Jira Story Points]],Tabelle13245689101112[[#This Row],[Carry-over]])-Tabelle13245689101112[[#This Row],[SP Completed (COS &amp; SOS)]]),0)</f>
        <v>2</v>
      </c>
      <c r="AL49" s="112"/>
      <c r="AM49" s="112"/>
    </row>
    <row r="50" spans="1:39" s="46" customFormat="1" hidden="1">
      <c r="A50" s="88" t="s">
        <v>1738</v>
      </c>
      <c r="B50" s="101" t="s">
        <v>1739</v>
      </c>
      <c r="C50" s="81" t="s">
        <v>372</v>
      </c>
      <c r="D50" s="81">
        <v>3</v>
      </c>
      <c r="E50" s="81" t="s">
        <v>324</v>
      </c>
      <c r="F50" s="104">
        <v>2</v>
      </c>
      <c r="G50" s="114" t="s">
        <v>21</v>
      </c>
      <c r="H50" s="83"/>
      <c r="I50" s="103"/>
      <c r="J50" s="76" t="s">
        <v>125</v>
      </c>
      <c r="K50" s="104"/>
      <c r="L50" s="104"/>
      <c r="M50" s="105">
        <f>IF(Tabelle13245689101112[[#This Row],[Pulled after Start]]="",MIN(Tabelle13245689101112[[#This Row],[Jira Story Points]],Tabelle13245689101112[[#This Row],[Carry-over]]),0)</f>
        <v>2</v>
      </c>
      <c r="N50" s="106">
        <f>MIN(Tabelle13245689101112[[#This Row],[Jira Story Points]],Tabelle13245689101112[[#This Row],[Carry-over]])-Tabelle13245689101112[[#This Row],[SP Initially Planned (COS)]]</f>
        <v>0</v>
      </c>
      <c r="O50"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50" s="108">
        <f>IFERROR(IF(Tabelle13245689101112[[#This Row],[Status]]=$J$5,MIN(Tabelle13245689101112[[#This Row],[Jira Story Points]],Tabelle13245689101112[[#This Row],[Carry-over]]),0),0)</f>
        <v>0</v>
      </c>
      <c r="Q50" s="108">
        <f>IFERROR(IF(Tabelle13245689101112[[#This Row],[Status]]=$J$5,0,MIN(Tabelle13245689101112[[#This Row],[Jira Story Points]],Tabelle13245689101112[[#This Row],[Carry-over]])-Tabelle13245689101112[[#This Row],[SP Completed (COS &amp; SOS)]]),0)</f>
        <v>0</v>
      </c>
      <c r="AL50" s="112"/>
      <c r="AM50" s="112"/>
    </row>
    <row r="51" spans="1:39" s="46" customFormat="1" hidden="1">
      <c r="A51" s="88" t="s">
        <v>1952</v>
      </c>
      <c r="B51" s="101" t="s">
        <v>1953</v>
      </c>
      <c r="C51" s="81" t="s">
        <v>372</v>
      </c>
      <c r="D51" s="81">
        <v>3</v>
      </c>
      <c r="E51" s="81" t="s">
        <v>324</v>
      </c>
      <c r="F51" s="104">
        <v>3</v>
      </c>
      <c r="G51" s="114" t="s">
        <v>21</v>
      </c>
      <c r="H51" s="83"/>
      <c r="I51" s="103"/>
      <c r="J51" s="76" t="s">
        <v>125</v>
      </c>
      <c r="K51" s="104"/>
      <c r="L51" s="104"/>
      <c r="M51" s="105">
        <f>IF(Tabelle13245689101112[[#This Row],[Pulled after Start]]="",MIN(Tabelle13245689101112[[#This Row],[Jira Story Points]],Tabelle13245689101112[[#This Row],[Carry-over]]),0)</f>
        <v>3</v>
      </c>
      <c r="N51" s="106">
        <f>MIN(Tabelle13245689101112[[#This Row],[Jira Story Points]],Tabelle13245689101112[[#This Row],[Carry-over]])-Tabelle13245689101112[[#This Row],[SP Initially Planned (COS)]]</f>
        <v>0</v>
      </c>
      <c r="O51"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51" s="108">
        <f>IFERROR(IF(Tabelle13245689101112[[#This Row],[Status]]=$J$5,MIN(Tabelle13245689101112[[#This Row],[Jira Story Points]],Tabelle13245689101112[[#This Row],[Carry-over]]),0),0)</f>
        <v>0</v>
      </c>
      <c r="Q51" s="108">
        <f>IFERROR(IF(Tabelle13245689101112[[#This Row],[Status]]=$J$5,0,MIN(Tabelle13245689101112[[#This Row],[Jira Story Points]],Tabelle13245689101112[[#This Row],[Carry-over]])-Tabelle13245689101112[[#This Row],[SP Completed (COS &amp; SOS)]]),0)</f>
        <v>0</v>
      </c>
      <c r="AL51" s="112"/>
      <c r="AM51" s="112"/>
    </row>
    <row r="52" spans="1:39" s="46" customFormat="1" hidden="1">
      <c r="A52" s="88" t="s">
        <v>1740</v>
      </c>
      <c r="B52" s="101" t="s">
        <v>1741</v>
      </c>
      <c r="C52" s="81" t="s">
        <v>372</v>
      </c>
      <c r="D52" s="81">
        <v>3</v>
      </c>
      <c r="E52" s="81" t="s">
        <v>327</v>
      </c>
      <c r="F52" s="104">
        <v>2</v>
      </c>
      <c r="G52" s="114" t="s">
        <v>21</v>
      </c>
      <c r="H52" s="83"/>
      <c r="I52" s="103"/>
      <c r="J52" s="76" t="s">
        <v>1951</v>
      </c>
      <c r="K52" s="104"/>
      <c r="L52" s="104">
        <v>1</v>
      </c>
      <c r="M52" s="105">
        <f>IF(Tabelle13245689101112[[#This Row],[Pulled after Start]]="",MIN(Tabelle13245689101112[[#This Row],[Jira Story Points]],Tabelle13245689101112[[#This Row],[Carry-over]]),0)</f>
        <v>2</v>
      </c>
      <c r="N52" s="106">
        <f>MIN(Tabelle13245689101112[[#This Row],[Jira Story Points]],Tabelle13245689101112[[#This Row],[Carry-over]])-Tabelle13245689101112[[#This Row],[SP Initially Planned (COS)]]</f>
        <v>0</v>
      </c>
      <c r="O52"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52" s="108">
        <f>IFERROR(IF(Tabelle13245689101112[[#This Row],[Status]]=$J$5,MIN(Tabelle13245689101112[[#This Row],[Jira Story Points]],Tabelle13245689101112[[#This Row],[Carry-over]]),0),0)</f>
        <v>0</v>
      </c>
      <c r="Q52" s="108">
        <f>IFERROR(IF(Tabelle13245689101112[[#This Row],[Status]]=$J$5,0,MIN(Tabelle13245689101112[[#This Row],[Jira Story Points]],Tabelle13245689101112[[#This Row],[Carry-over]])-Tabelle13245689101112[[#This Row],[SP Completed (COS &amp; SOS)]]),0)</f>
        <v>1</v>
      </c>
      <c r="AL52" s="112"/>
      <c r="AM52" s="112"/>
    </row>
    <row r="53" spans="1:39" s="46" customFormat="1" hidden="1">
      <c r="A53" s="88" t="s">
        <v>1954</v>
      </c>
      <c r="B53" s="101" t="s">
        <v>1955</v>
      </c>
      <c r="C53" s="81" t="s">
        <v>372</v>
      </c>
      <c r="D53" s="81">
        <v>3</v>
      </c>
      <c r="E53" s="81" t="s">
        <v>324</v>
      </c>
      <c r="F53" s="104">
        <v>2</v>
      </c>
      <c r="G53" s="114" t="s">
        <v>21</v>
      </c>
      <c r="H53" s="83"/>
      <c r="I53" s="103"/>
      <c r="J53" s="76" t="s">
        <v>125</v>
      </c>
      <c r="K53" s="104"/>
      <c r="L53" s="104"/>
      <c r="M53" s="105">
        <f>IF(Tabelle13245689101112[[#This Row],[Pulled after Start]]="",MIN(Tabelle13245689101112[[#This Row],[Jira Story Points]],Tabelle13245689101112[[#This Row],[Carry-over]]),0)</f>
        <v>2</v>
      </c>
      <c r="N53" s="106">
        <f>MIN(Tabelle13245689101112[[#This Row],[Jira Story Points]],Tabelle13245689101112[[#This Row],[Carry-over]])-Tabelle13245689101112[[#This Row],[SP Initially Planned (COS)]]</f>
        <v>0</v>
      </c>
      <c r="O53"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53" s="108">
        <f>IFERROR(IF(Tabelle13245689101112[[#This Row],[Status]]=$J$5,MIN(Tabelle13245689101112[[#This Row],[Jira Story Points]],Tabelle13245689101112[[#This Row],[Carry-over]]),0),0)</f>
        <v>0</v>
      </c>
      <c r="Q53" s="108">
        <f>IFERROR(IF(Tabelle13245689101112[[#This Row],[Status]]=$J$5,0,MIN(Tabelle13245689101112[[#This Row],[Jira Story Points]],Tabelle13245689101112[[#This Row],[Carry-over]])-Tabelle13245689101112[[#This Row],[SP Completed (COS &amp; SOS)]]),0)</f>
        <v>0</v>
      </c>
      <c r="AL53" s="112"/>
      <c r="AM53" s="112"/>
    </row>
    <row r="54" spans="1:39" s="46" customFormat="1" hidden="1">
      <c r="A54" s="88" t="s">
        <v>1956</v>
      </c>
      <c r="B54" s="101" t="s">
        <v>1957</v>
      </c>
      <c r="C54" s="81" t="s">
        <v>372</v>
      </c>
      <c r="D54" s="81">
        <v>3</v>
      </c>
      <c r="E54" s="81" t="s">
        <v>324</v>
      </c>
      <c r="F54" s="104">
        <v>2</v>
      </c>
      <c r="G54" s="114" t="s">
        <v>21</v>
      </c>
      <c r="H54" s="83"/>
      <c r="I54" s="103"/>
      <c r="J54" s="76" t="s">
        <v>125</v>
      </c>
      <c r="K54" s="104"/>
      <c r="L54" s="104"/>
      <c r="M54" s="105">
        <f>IF(Tabelle13245689101112[[#This Row],[Pulled after Start]]="",MIN(Tabelle13245689101112[[#This Row],[Jira Story Points]],Tabelle13245689101112[[#This Row],[Carry-over]]),0)</f>
        <v>2</v>
      </c>
      <c r="N54" s="106">
        <f>MIN(Tabelle13245689101112[[#This Row],[Jira Story Points]],Tabelle13245689101112[[#This Row],[Carry-over]])-Tabelle13245689101112[[#This Row],[SP Initially Planned (COS)]]</f>
        <v>0</v>
      </c>
      <c r="O54"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54" s="108">
        <f>IFERROR(IF(Tabelle13245689101112[[#This Row],[Status]]=$J$5,MIN(Tabelle13245689101112[[#This Row],[Jira Story Points]],Tabelle13245689101112[[#This Row],[Carry-over]]),0),0)</f>
        <v>0</v>
      </c>
      <c r="Q54" s="108">
        <f>IFERROR(IF(Tabelle13245689101112[[#This Row],[Status]]=$J$5,0,MIN(Tabelle13245689101112[[#This Row],[Jira Story Points]],Tabelle13245689101112[[#This Row],[Carry-over]])-Tabelle13245689101112[[#This Row],[SP Completed (COS &amp; SOS)]]),0)</f>
        <v>0</v>
      </c>
      <c r="AL54" s="112"/>
      <c r="AM54" s="112"/>
    </row>
    <row r="55" spans="1:39" s="46" customFormat="1" hidden="1">
      <c r="A55" s="132" t="s">
        <v>1958</v>
      </c>
      <c r="B55" s="132" t="s">
        <v>1959</v>
      </c>
      <c r="C55" s="81" t="s">
        <v>375</v>
      </c>
      <c r="D55" s="81">
        <v>1</v>
      </c>
      <c r="E55" s="81" t="s">
        <v>324</v>
      </c>
      <c r="F55" s="81">
        <v>3</v>
      </c>
      <c r="G55" s="76" t="s">
        <v>24</v>
      </c>
      <c r="H55" s="101"/>
      <c r="I55" s="103"/>
      <c r="J55" s="76" t="s">
        <v>125</v>
      </c>
      <c r="K55" s="104"/>
      <c r="L55" s="104"/>
      <c r="M55" s="105">
        <f>IF(Tabelle13245689101112[[#This Row],[Pulled after Start]]="",MIN(Tabelle13245689101112[[#This Row],[Jira Story Points]],Tabelle13245689101112[[#This Row],[Carry-over]]),0)</f>
        <v>3</v>
      </c>
      <c r="N55" s="106">
        <f>MIN(Tabelle13245689101112[[#This Row],[Jira Story Points]],Tabelle13245689101112[[#This Row],[Carry-over]])-Tabelle13245689101112[[#This Row],[SP Initially Planned (COS)]]</f>
        <v>0</v>
      </c>
      <c r="O55"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55" s="108">
        <f>IFERROR(IF(Tabelle13245689101112[[#This Row],[Status]]=$J$5,MIN(Tabelle13245689101112[[#This Row],[Jira Story Points]],Tabelle13245689101112[[#This Row],[Carry-over]]),0),0)</f>
        <v>0</v>
      </c>
      <c r="Q55" s="108">
        <f>IFERROR(IF(Tabelle13245689101112[[#This Row],[Status]]=$J$5,0,MIN(Tabelle13245689101112[[#This Row],[Jira Story Points]],Tabelle13245689101112[[#This Row],[Carry-over]])-Tabelle13245689101112[[#This Row],[SP Completed (COS &amp; SOS)]]),0)</f>
        <v>0</v>
      </c>
      <c r="AJ55" s="112"/>
      <c r="AK55" s="112"/>
      <c r="AL55" s="112"/>
      <c r="AM55" s="112"/>
    </row>
    <row r="56" spans="1:39" s="46" customFormat="1" hidden="1">
      <c r="A56" s="132" t="s">
        <v>1960</v>
      </c>
      <c r="B56" s="132" t="s">
        <v>1961</v>
      </c>
      <c r="C56" s="81" t="s">
        <v>372</v>
      </c>
      <c r="D56" s="81">
        <v>3</v>
      </c>
      <c r="E56" s="81" t="s">
        <v>216</v>
      </c>
      <c r="F56" s="81">
        <v>5</v>
      </c>
      <c r="G56" s="76" t="s">
        <v>24</v>
      </c>
      <c r="H56" s="101"/>
      <c r="I56" s="103"/>
      <c r="J56" s="76" t="s">
        <v>125</v>
      </c>
      <c r="K56" s="104">
        <v>2</v>
      </c>
      <c r="L56" s="104"/>
      <c r="M56" s="105">
        <f>IF(Tabelle13245689101112[[#This Row],[Pulled after Start]]="",MIN(Tabelle13245689101112[[#This Row],[Jira Story Points]],Tabelle13245689101112[[#This Row],[Carry-over]]),0)</f>
        <v>2</v>
      </c>
      <c r="N56" s="106">
        <f>MIN(Tabelle13245689101112[[#This Row],[Jira Story Points]],Tabelle13245689101112[[#This Row],[Carry-over]])-Tabelle13245689101112[[#This Row],[SP Initially Planned (COS)]]</f>
        <v>0</v>
      </c>
      <c r="O56"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56" s="108">
        <f>IFERROR(IF(Tabelle13245689101112[[#This Row],[Status]]=$J$5,MIN(Tabelle13245689101112[[#This Row],[Jira Story Points]],Tabelle13245689101112[[#This Row],[Carry-over]]),0),0)</f>
        <v>0</v>
      </c>
      <c r="Q56" s="108">
        <f>IFERROR(IF(Tabelle13245689101112[[#This Row],[Status]]=$J$5,0,MIN(Tabelle13245689101112[[#This Row],[Jira Story Points]],Tabelle13245689101112[[#This Row],[Carry-over]])-Tabelle13245689101112[[#This Row],[SP Completed (COS &amp; SOS)]]),0)</f>
        <v>0</v>
      </c>
      <c r="AJ56" s="112"/>
      <c r="AK56" s="112"/>
      <c r="AL56" s="112"/>
      <c r="AM56" s="112"/>
    </row>
    <row r="57" spans="1:39" s="46" customFormat="1" hidden="1">
      <c r="A57" s="132" t="s">
        <v>1962</v>
      </c>
      <c r="B57" s="132" t="s">
        <v>1963</v>
      </c>
      <c r="C57" s="81" t="s">
        <v>372</v>
      </c>
      <c r="D57" s="81">
        <v>3</v>
      </c>
      <c r="E57" s="81" t="s">
        <v>216</v>
      </c>
      <c r="F57" s="81">
        <v>8</v>
      </c>
      <c r="G57" s="76" t="s">
        <v>24</v>
      </c>
      <c r="H57" s="101"/>
      <c r="I57" s="103"/>
      <c r="J57" s="76" t="s">
        <v>125</v>
      </c>
      <c r="K57" s="104">
        <v>3</v>
      </c>
      <c r="L57" s="104"/>
      <c r="M57" s="105">
        <f>IF(Tabelle13245689101112[[#This Row],[Pulled after Start]]="",MIN(Tabelle13245689101112[[#This Row],[Jira Story Points]],Tabelle13245689101112[[#This Row],[Carry-over]]),0)</f>
        <v>3</v>
      </c>
      <c r="N57" s="106">
        <f>MIN(Tabelle13245689101112[[#This Row],[Jira Story Points]],Tabelle13245689101112[[#This Row],[Carry-over]])-Tabelle13245689101112[[#This Row],[SP Initially Planned (COS)]]</f>
        <v>0</v>
      </c>
      <c r="O57"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57" s="108">
        <f>IFERROR(IF(Tabelle13245689101112[[#This Row],[Status]]=$J$5,MIN(Tabelle13245689101112[[#This Row],[Jira Story Points]],Tabelle13245689101112[[#This Row],[Carry-over]]),0),0)</f>
        <v>0</v>
      </c>
      <c r="Q57" s="108">
        <f>IFERROR(IF(Tabelle13245689101112[[#This Row],[Status]]=$J$5,0,MIN(Tabelle13245689101112[[#This Row],[Jira Story Points]],Tabelle13245689101112[[#This Row],[Carry-over]])-Tabelle13245689101112[[#This Row],[SP Completed (COS &amp; SOS)]]),0)</f>
        <v>0</v>
      </c>
      <c r="AJ57" s="112"/>
      <c r="AK57" s="112"/>
      <c r="AL57" s="112"/>
      <c r="AM57" s="112"/>
    </row>
    <row r="58" spans="1:39" s="46" customFormat="1" ht="14.45" hidden="1" customHeight="1">
      <c r="A58" s="132" t="s">
        <v>1964</v>
      </c>
      <c r="B58" s="132" t="s">
        <v>1965</v>
      </c>
      <c r="C58" s="81" t="s">
        <v>372</v>
      </c>
      <c r="D58" s="81">
        <v>3</v>
      </c>
      <c r="E58" s="81" t="s">
        <v>216</v>
      </c>
      <c r="F58" s="81">
        <v>5</v>
      </c>
      <c r="G58" s="76" t="s">
        <v>24</v>
      </c>
      <c r="H58" s="101"/>
      <c r="I58" s="103"/>
      <c r="J58" s="76" t="s">
        <v>125</v>
      </c>
      <c r="K58" s="104"/>
      <c r="L58" s="104"/>
      <c r="M58" s="105">
        <f>IF(Tabelle13245689101112[[#This Row],[Pulled after Start]]="",MIN(Tabelle13245689101112[[#This Row],[Jira Story Points]],Tabelle13245689101112[[#This Row],[Carry-over]]),0)</f>
        <v>5</v>
      </c>
      <c r="N58" s="106">
        <f>MIN(Tabelle13245689101112[[#This Row],[Jira Story Points]],Tabelle13245689101112[[#This Row],[Carry-over]])-Tabelle13245689101112[[#This Row],[SP Initially Planned (COS)]]</f>
        <v>0</v>
      </c>
      <c r="O58"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5</v>
      </c>
      <c r="P58" s="108">
        <f>IFERROR(IF(Tabelle13245689101112[[#This Row],[Status]]=$J$5,MIN(Tabelle13245689101112[[#This Row],[Jira Story Points]],Tabelle13245689101112[[#This Row],[Carry-over]]),0),0)</f>
        <v>0</v>
      </c>
      <c r="Q58" s="108">
        <f>IFERROR(IF(Tabelle13245689101112[[#This Row],[Status]]=$J$5,0,MIN(Tabelle13245689101112[[#This Row],[Jira Story Points]],Tabelle13245689101112[[#This Row],[Carry-over]])-Tabelle13245689101112[[#This Row],[SP Completed (COS &amp; SOS)]]),0)</f>
        <v>0</v>
      </c>
      <c r="AJ58" s="112"/>
      <c r="AK58" s="112"/>
      <c r="AL58" s="112"/>
      <c r="AM58" s="112"/>
    </row>
    <row r="59" spans="1:39" s="46" customFormat="1" ht="14.45" hidden="1" customHeight="1">
      <c r="A59" s="132" t="s">
        <v>1966</v>
      </c>
      <c r="B59" s="132" t="s">
        <v>1967</v>
      </c>
      <c r="C59" s="81" t="s">
        <v>372</v>
      </c>
      <c r="D59" s="81">
        <v>3</v>
      </c>
      <c r="E59" s="81" t="s">
        <v>324</v>
      </c>
      <c r="F59" s="81">
        <v>3</v>
      </c>
      <c r="G59" s="76" t="s">
        <v>24</v>
      </c>
      <c r="H59" s="101"/>
      <c r="I59" s="103"/>
      <c r="J59" s="76" t="s">
        <v>125</v>
      </c>
      <c r="K59" s="104"/>
      <c r="L59" s="104"/>
      <c r="M59" s="105">
        <f>IF(Tabelle13245689101112[[#This Row],[Pulled after Start]]="",MIN(Tabelle13245689101112[[#This Row],[Jira Story Points]],Tabelle13245689101112[[#This Row],[Carry-over]]),0)</f>
        <v>3</v>
      </c>
      <c r="N59" s="106">
        <f>MIN(Tabelle13245689101112[[#This Row],[Jira Story Points]],Tabelle13245689101112[[#This Row],[Carry-over]])-Tabelle13245689101112[[#This Row],[SP Initially Planned (COS)]]</f>
        <v>0</v>
      </c>
      <c r="O59"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59" s="108">
        <f>IFERROR(IF(Tabelle13245689101112[[#This Row],[Status]]=$J$5,MIN(Tabelle13245689101112[[#This Row],[Jira Story Points]],Tabelle13245689101112[[#This Row],[Carry-over]]),0),0)</f>
        <v>0</v>
      </c>
      <c r="Q59" s="108">
        <f>IFERROR(IF(Tabelle13245689101112[[#This Row],[Status]]=$J$5,0,MIN(Tabelle13245689101112[[#This Row],[Jira Story Points]],Tabelle13245689101112[[#This Row],[Carry-over]])-Tabelle13245689101112[[#This Row],[SP Completed (COS &amp; SOS)]]),0)</f>
        <v>0</v>
      </c>
      <c r="AJ59" s="112"/>
      <c r="AK59" s="112"/>
      <c r="AL59" s="112"/>
      <c r="AM59" s="112"/>
    </row>
    <row r="60" spans="1:39" s="46" customFormat="1" ht="14.45" hidden="1" customHeight="1">
      <c r="A60" s="132" t="s">
        <v>1968</v>
      </c>
      <c r="B60" s="132" t="s">
        <v>1969</v>
      </c>
      <c r="C60" s="81" t="s">
        <v>372</v>
      </c>
      <c r="D60" s="81">
        <v>3</v>
      </c>
      <c r="E60" s="81" t="s">
        <v>324</v>
      </c>
      <c r="F60" s="81">
        <v>3</v>
      </c>
      <c r="G60" s="76" t="s">
        <v>24</v>
      </c>
      <c r="H60" s="101"/>
      <c r="I60" s="103"/>
      <c r="J60" s="76" t="s">
        <v>125</v>
      </c>
      <c r="K60" s="104"/>
      <c r="L60" s="104"/>
      <c r="M60" s="105">
        <f>IF(Tabelle13245689101112[[#This Row],[Pulled after Start]]="",MIN(Tabelle13245689101112[[#This Row],[Jira Story Points]],Tabelle13245689101112[[#This Row],[Carry-over]]),0)</f>
        <v>3</v>
      </c>
      <c r="N60" s="106">
        <f>MIN(Tabelle13245689101112[[#This Row],[Jira Story Points]],Tabelle13245689101112[[#This Row],[Carry-over]])-Tabelle13245689101112[[#This Row],[SP Initially Planned (COS)]]</f>
        <v>0</v>
      </c>
      <c r="O60"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60" s="108">
        <f>IFERROR(IF(Tabelle13245689101112[[#This Row],[Status]]=$J$5,MIN(Tabelle13245689101112[[#This Row],[Jira Story Points]],Tabelle13245689101112[[#This Row],[Carry-over]]),0),0)</f>
        <v>0</v>
      </c>
      <c r="Q60" s="108">
        <f>IFERROR(IF(Tabelle13245689101112[[#This Row],[Status]]=$J$5,0,MIN(Tabelle13245689101112[[#This Row],[Jira Story Points]],Tabelle13245689101112[[#This Row],[Carry-over]])-Tabelle13245689101112[[#This Row],[SP Completed (COS &amp; SOS)]]),0)</f>
        <v>0</v>
      </c>
      <c r="AJ60" s="112"/>
      <c r="AK60" s="112"/>
      <c r="AL60" s="112"/>
      <c r="AM60" s="112"/>
    </row>
    <row r="61" spans="1:39" s="46" customFormat="1" ht="14.45" hidden="1" customHeight="1">
      <c r="A61" s="132" t="s">
        <v>1778</v>
      </c>
      <c r="B61" s="132" t="s">
        <v>1779</v>
      </c>
      <c r="C61" s="81" t="s">
        <v>372</v>
      </c>
      <c r="D61" s="81">
        <v>3</v>
      </c>
      <c r="E61" s="81" t="s">
        <v>327</v>
      </c>
      <c r="F61" s="81">
        <v>2</v>
      </c>
      <c r="G61" s="76" t="s">
        <v>24</v>
      </c>
      <c r="H61" s="83" t="s">
        <v>209</v>
      </c>
      <c r="I61" s="103"/>
      <c r="J61" s="76" t="s">
        <v>127</v>
      </c>
      <c r="K61" s="104"/>
      <c r="L61" s="104">
        <v>1</v>
      </c>
      <c r="M61" s="105">
        <f>IF(Tabelle13245689101112[[#This Row],[Pulled after Start]]="",MIN(Tabelle13245689101112[[#This Row],[Jira Story Points]],Tabelle13245689101112[[#This Row],[Carry-over]]),0)</f>
        <v>0</v>
      </c>
      <c r="N61" s="106">
        <f>MIN(Tabelle13245689101112[[#This Row],[Jira Story Points]],Tabelle13245689101112[[#This Row],[Carry-over]])-Tabelle13245689101112[[#This Row],[SP Initially Planned (COS)]]</f>
        <v>2</v>
      </c>
      <c r="O61"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61" s="108">
        <f>IFERROR(IF(Tabelle13245689101112[[#This Row],[Status]]=$J$5,MIN(Tabelle13245689101112[[#This Row],[Jira Story Points]],Tabelle13245689101112[[#This Row],[Carry-over]]),0),0)</f>
        <v>0</v>
      </c>
      <c r="Q61" s="108">
        <f>IFERROR(IF(Tabelle13245689101112[[#This Row],[Status]]=$J$5,0,MIN(Tabelle13245689101112[[#This Row],[Jira Story Points]],Tabelle13245689101112[[#This Row],[Carry-over]])-Tabelle13245689101112[[#This Row],[SP Completed (COS &amp; SOS)]]),0)</f>
        <v>1</v>
      </c>
      <c r="AJ61" s="112"/>
      <c r="AK61" s="112"/>
      <c r="AL61" s="112"/>
      <c r="AM61" s="112"/>
    </row>
    <row r="62" spans="1:39" s="46" customFormat="1" ht="14.45" hidden="1" customHeight="1">
      <c r="A62" s="132" t="s">
        <v>1970</v>
      </c>
      <c r="B62" s="132" t="s">
        <v>1971</v>
      </c>
      <c r="C62" s="81" t="s">
        <v>382</v>
      </c>
      <c r="D62" s="81">
        <v>3</v>
      </c>
      <c r="E62" s="81" t="s">
        <v>324</v>
      </c>
      <c r="F62" s="81">
        <v>3</v>
      </c>
      <c r="G62" s="76" t="s">
        <v>24</v>
      </c>
      <c r="H62" s="83"/>
      <c r="I62" s="103"/>
      <c r="J62" s="76" t="s">
        <v>125</v>
      </c>
      <c r="K62" s="104"/>
      <c r="L62" s="104"/>
      <c r="M62" s="105">
        <f>IF(Tabelle13245689101112[[#This Row],[Pulled after Start]]="",MIN(Tabelle13245689101112[[#This Row],[Jira Story Points]],Tabelle13245689101112[[#This Row],[Carry-over]]),0)</f>
        <v>3</v>
      </c>
      <c r="N62" s="106">
        <f>MIN(Tabelle13245689101112[[#This Row],[Jira Story Points]],Tabelle13245689101112[[#This Row],[Carry-over]])-Tabelle13245689101112[[#This Row],[SP Initially Planned (COS)]]</f>
        <v>0</v>
      </c>
      <c r="O62"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62" s="108">
        <f>IFERROR(IF(Tabelle13245689101112[[#This Row],[Status]]=$J$5,MIN(Tabelle13245689101112[[#This Row],[Jira Story Points]],Tabelle13245689101112[[#This Row],[Carry-over]]),0),0)</f>
        <v>0</v>
      </c>
      <c r="Q62" s="108">
        <f>IFERROR(IF(Tabelle13245689101112[[#This Row],[Status]]=$J$5,0,MIN(Tabelle13245689101112[[#This Row],[Jira Story Points]],Tabelle13245689101112[[#This Row],[Carry-over]])-Tabelle13245689101112[[#This Row],[SP Completed (COS &amp; SOS)]]),0)</f>
        <v>0</v>
      </c>
      <c r="AJ62" s="112"/>
      <c r="AK62" s="112"/>
      <c r="AL62" s="112"/>
      <c r="AM62" s="112"/>
    </row>
    <row r="63" spans="1:39" s="46" customFormat="1" ht="14.45" hidden="1" customHeight="1">
      <c r="A63" s="132" t="s">
        <v>1972</v>
      </c>
      <c r="B63" s="132" t="s">
        <v>1973</v>
      </c>
      <c r="C63" s="81" t="s">
        <v>382</v>
      </c>
      <c r="D63" s="81">
        <v>3</v>
      </c>
      <c r="E63" s="81" t="s">
        <v>324</v>
      </c>
      <c r="F63" s="81">
        <v>2</v>
      </c>
      <c r="G63" s="76" t="s">
        <v>24</v>
      </c>
      <c r="H63" s="83"/>
      <c r="I63" s="103"/>
      <c r="J63" s="76" t="s">
        <v>125</v>
      </c>
      <c r="K63" s="104"/>
      <c r="L63" s="104"/>
      <c r="M63" s="105">
        <f>IF(Tabelle13245689101112[[#This Row],[Pulled after Start]]="",MIN(Tabelle13245689101112[[#This Row],[Jira Story Points]],Tabelle13245689101112[[#This Row],[Carry-over]]),0)</f>
        <v>2</v>
      </c>
      <c r="N63" s="106">
        <f>MIN(Tabelle13245689101112[[#This Row],[Jira Story Points]],Tabelle13245689101112[[#This Row],[Carry-over]])-Tabelle13245689101112[[#This Row],[SP Initially Planned (COS)]]</f>
        <v>0</v>
      </c>
      <c r="O63"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63" s="108">
        <f>IFERROR(IF(Tabelle13245689101112[[#This Row],[Status]]=$J$5,MIN(Tabelle13245689101112[[#This Row],[Jira Story Points]],Tabelle13245689101112[[#This Row],[Carry-over]]),0),0)</f>
        <v>0</v>
      </c>
      <c r="Q63" s="108">
        <f>IFERROR(IF(Tabelle13245689101112[[#This Row],[Status]]=$J$5,0,MIN(Tabelle13245689101112[[#This Row],[Jira Story Points]],Tabelle13245689101112[[#This Row],[Carry-over]])-Tabelle13245689101112[[#This Row],[SP Completed (COS &amp; SOS)]]),0)</f>
        <v>0</v>
      </c>
      <c r="AJ63" s="112"/>
      <c r="AK63" s="112"/>
      <c r="AL63" s="112"/>
      <c r="AM63" s="112"/>
    </row>
    <row r="64" spans="1:39" s="46" customFormat="1" ht="14.45" hidden="1" customHeight="1">
      <c r="A64" s="132" t="s">
        <v>1974</v>
      </c>
      <c r="B64" s="132" t="s">
        <v>1975</v>
      </c>
      <c r="C64" s="81" t="s">
        <v>375</v>
      </c>
      <c r="D64" s="81">
        <v>3</v>
      </c>
      <c r="E64" s="81" t="s">
        <v>324</v>
      </c>
      <c r="F64" s="81">
        <v>3</v>
      </c>
      <c r="G64" s="76" t="s">
        <v>24</v>
      </c>
      <c r="H64" s="83"/>
      <c r="I64" s="103"/>
      <c r="J64" s="76" t="s">
        <v>125</v>
      </c>
      <c r="K64" s="104"/>
      <c r="L64" s="104"/>
      <c r="M64" s="105">
        <f>IF(Tabelle13245689101112[[#This Row],[Pulled after Start]]="",MIN(Tabelle13245689101112[[#This Row],[Jira Story Points]],Tabelle13245689101112[[#This Row],[Carry-over]]),0)</f>
        <v>3</v>
      </c>
      <c r="N64" s="106">
        <f>MIN(Tabelle13245689101112[[#This Row],[Jira Story Points]],Tabelle13245689101112[[#This Row],[Carry-over]])-Tabelle13245689101112[[#This Row],[SP Initially Planned (COS)]]</f>
        <v>0</v>
      </c>
      <c r="O64"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64" s="108">
        <f>IFERROR(IF(Tabelle13245689101112[[#This Row],[Status]]=$J$5,MIN(Tabelle13245689101112[[#This Row],[Jira Story Points]],Tabelle13245689101112[[#This Row],[Carry-over]]),0),0)</f>
        <v>0</v>
      </c>
      <c r="Q64" s="108">
        <f>IFERROR(IF(Tabelle13245689101112[[#This Row],[Status]]=$J$5,0,MIN(Tabelle13245689101112[[#This Row],[Jira Story Points]],Tabelle13245689101112[[#This Row],[Carry-over]])-Tabelle13245689101112[[#This Row],[SP Completed (COS &amp; SOS)]]),0)</f>
        <v>0</v>
      </c>
      <c r="AJ64" s="112"/>
      <c r="AK64" s="112"/>
      <c r="AL64" s="112"/>
      <c r="AM64" s="112"/>
    </row>
    <row r="65" spans="1:39" s="46" customFormat="1" ht="14.45" hidden="1" customHeight="1">
      <c r="A65" s="132" t="s">
        <v>1976</v>
      </c>
      <c r="B65" s="132" t="s">
        <v>1977</v>
      </c>
      <c r="C65" s="81" t="s">
        <v>375</v>
      </c>
      <c r="D65" s="81">
        <v>2</v>
      </c>
      <c r="E65" s="81" t="s">
        <v>216</v>
      </c>
      <c r="F65" s="81">
        <v>3</v>
      </c>
      <c r="G65" s="76" t="s">
        <v>24</v>
      </c>
      <c r="H65" s="83" t="s">
        <v>209</v>
      </c>
      <c r="I65" s="103"/>
      <c r="J65" s="76" t="s">
        <v>125</v>
      </c>
      <c r="K65" s="104"/>
      <c r="L65" s="104"/>
      <c r="M65" s="105">
        <f>IF(Tabelle13245689101112[[#This Row],[Pulled after Start]]="",MIN(Tabelle13245689101112[[#This Row],[Jira Story Points]],Tabelle13245689101112[[#This Row],[Carry-over]]),0)</f>
        <v>0</v>
      </c>
      <c r="N65" s="106">
        <f>MIN(Tabelle13245689101112[[#This Row],[Jira Story Points]],Tabelle13245689101112[[#This Row],[Carry-over]])-Tabelle13245689101112[[#This Row],[SP Initially Planned (COS)]]</f>
        <v>3</v>
      </c>
      <c r="O65"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65" s="108">
        <f>IFERROR(IF(Tabelle13245689101112[[#This Row],[Status]]=$J$5,MIN(Tabelle13245689101112[[#This Row],[Jira Story Points]],Tabelle13245689101112[[#This Row],[Carry-over]]),0),0)</f>
        <v>0</v>
      </c>
      <c r="Q65" s="108">
        <f>IFERROR(IF(Tabelle13245689101112[[#This Row],[Status]]=$J$5,0,MIN(Tabelle13245689101112[[#This Row],[Jira Story Points]],Tabelle13245689101112[[#This Row],[Carry-over]])-Tabelle13245689101112[[#This Row],[SP Completed (COS &amp; SOS)]]),0)</f>
        <v>0</v>
      </c>
      <c r="AJ65" s="112"/>
      <c r="AK65" s="112"/>
      <c r="AL65" s="112"/>
      <c r="AM65" s="112"/>
    </row>
    <row r="66" spans="1:39" s="46" customFormat="1" ht="14.45" hidden="1" customHeight="1">
      <c r="A66" s="132" t="s">
        <v>1978</v>
      </c>
      <c r="B66" s="132" t="s">
        <v>1979</v>
      </c>
      <c r="C66" s="81" t="s">
        <v>372</v>
      </c>
      <c r="D66" s="81">
        <v>3</v>
      </c>
      <c r="E66" s="81" t="s">
        <v>324</v>
      </c>
      <c r="F66" s="81">
        <v>5</v>
      </c>
      <c r="G66" s="76" t="s">
        <v>24</v>
      </c>
      <c r="H66" s="83" t="s">
        <v>209</v>
      </c>
      <c r="I66" s="103"/>
      <c r="J66" s="76" t="s">
        <v>125</v>
      </c>
      <c r="K66" s="104">
        <v>1</v>
      </c>
      <c r="L66" s="104"/>
      <c r="M66" s="105">
        <f>IF(Tabelle13245689101112[[#This Row],[Pulled after Start]]="",MIN(Tabelle13245689101112[[#This Row],[Jira Story Points]],Tabelle13245689101112[[#This Row],[Carry-over]]),0)</f>
        <v>0</v>
      </c>
      <c r="N66" s="106">
        <f>MIN(Tabelle13245689101112[[#This Row],[Jira Story Points]],Tabelle13245689101112[[#This Row],[Carry-over]])-Tabelle13245689101112[[#This Row],[SP Initially Planned (COS)]]</f>
        <v>1</v>
      </c>
      <c r="O66"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66" s="108">
        <f>IFERROR(IF(Tabelle13245689101112[[#This Row],[Status]]=$J$5,MIN(Tabelle13245689101112[[#This Row],[Jira Story Points]],Tabelle13245689101112[[#This Row],[Carry-over]]),0),0)</f>
        <v>0</v>
      </c>
      <c r="Q66" s="108">
        <f>IFERROR(IF(Tabelle13245689101112[[#This Row],[Status]]=$J$5,0,MIN(Tabelle13245689101112[[#This Row],[Jira Story Points]],Tabelle13245689101112[[#This Row],[Carry-over]])-Tabelle13245689101112[[#This Row],[SP Completed (COS &amp; SOS)]]),0)</f>
        <v>0</v>
      </c>
      <c r="AJ66" s="112"/>
      <c r="AK66" s="112"/>
      <c r="AL66" s="112"/>
      <c r="AM66" s="112"/>
    </row>
    <row r="67" spans="1:39" s="46" customFormat="1" ht="14.45" hidden="1" customHeight="1">
      <c r="A67" s="132" t="s">
        <v>1980</v>
      </c>
      <c r="B67" s="132" t="s">
        <v>1981</v>
      </c>
      <c r="C67" s="81" t="s">
        <v>375</v>
      </c>
      <c r="D67" s="81">
        <v>2</v>
      </c>
      <c r="E67" s="81" t="s">
        <v>324</v>
      </c>
      <c r="F67" s="81">
        <v>3</v>
      </c>
      <c r="G67" s="76" t="s">
        <v>24</v>
      </c>
      <c r="H67" s="83" t="s">
        <v>209</v>
      </c>
      <c r="I67" s="103"/>
      <c r="J67" s="76" t="s">
        <v>125</v>
      </c>
      <c r="K67" s="104"/>
      <c r="L67" s="104"/>
      <c r="M67" s="105">
        <f>IF(Tabelle13245689101112[[#This Row],[Pulled after Start]]="",MIN(Tabelle13245689101112[[#This Row],[Jira Story Points]],Tabelle13245689101112[[#This Row],[Carry-over]]),0)</f>
        <v>0</v>
      </c>
      <c r="N67" s="106">
        <f>MIN(Tabelle13245689101112[[#This Row],[Jira Story Points]],Tabelle13245689101112[[#This Row],[Carry-over]])-Tabelle13245689101112[[#This Row],[SP Initially Planned (COS)]]</f>
        <v>3</v>
      </c>
      <c r="O67"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67" s="108">
        <f>IFERROR(IF(Tabelle13245689101112[[#This Row],[Status]]=$J$5,MIN(Tabelle13245689101112[[#This Row],[Jira Story Points]],Tabelle13245689101112[[#This Row],[Carry-over]]),0),0)</f>
        <v>0</v>
      </c>
      <c r="Q67" s="108">
        <f>IFERROR(IF(Tabelle13245689101112[[#This Row],[Status]]=$J$5,0,MIN(Tabelle13245689101112[[#This Row],[Jira Story Points]],Tabelle13245689101112[[#This Row],[Carry-over]])-Tabelle13245689101112[[#This Row],[SP Completed (COS &amp; SOS)]]),0)</f>
        <v>0</v>
      </c>
      <c r="AJ67" s="112"/>
      <c r="AK67" s="112"/>
      <c r="AL67" s="112"/>
      <c r="AM67" s="112"/>
    </row>
    <row r="68" spans="1:39" s="46" customFormat="1" ht="14.45" hidden="1" customHeight="1">
      <c r="A68" s="88" t="s">
        <v>1982</v>
      </c>
      <c r="B68" s="142" t="s">
        <v>1983</v>
      </c>
      <c r="C68" s="81" t="s">
        <v>375</v>
      </c>
      <c r="D68" s="81">
        <v>3</v>
      </c>
      <c r="E68" s="81" t="s">
        <v>327</v>
      </c>
      <c r="F68" s="81">
        <v>3</v>
      </c>
      <c r="G68" s="114" t="s">
        <v>17</v>
      </c>
      <c r="H68" s="83"/>
      <c r="I68" s="103"/>
      <c r="J68" s="76" t="s">
        <v>125</v>
      </c>
      <c r="K68" s="104">
        <v>3</v>
      </c>
      <c r="L68" s="104"/>
      <c r="M68" s="105">
        <f>IF(Tabelle13245689101112[[#This Row],[Pulled after Start]]="",MIN(Tabelle13245689101112[[#This Row],[Jira Story Points]],Tabelle13245689101112[[#This Row],[Carry-over]]),0)</f>
        <v>3</v>
      </c>
      <c r="N68" s="106">
        <f>MIN(Tabelle13245689101112[[#This Row],[Jira Story Points]],Tabelle13245689101112[[#This Row],[Carry-over]])-Tabelle13245689101112[[#This Row],[SP Initially Planned (COS)]]</f>
        <v>0</v>
      </c>
      <c r="O68"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68" s="108">
        <f>IFERROR(IF(Tabelle13245689101112[[#This Row],[Status]]=$J$5,MIN(Tabelle13245689101112[[#This Row],[Jira Story Points]],Tabelle13245689101112[[#This Row],[Carry-over]]),0),0)</f>
        <v>0</v>
      </c>
      <c r="Q68" s="108">
        <f>IFERROR(IF(Tabelle13245689101112[[#This Row],[Status]]=$J$5,0,MIN(Tabelle13245689101112[[#This Row],[Jira Story Points]],Tabelle13245689101112[[#This Row],[Carry-over]])-Tabelle13245689101112[[#This Row],[SP Completed (COS &amp; SOS)]]),0)</f>
        <v>0</v>
      </c>
      <c r="AJ68" s="112"/>
      <c r="AK68" s="112"/>
      <c r="AL68" s="112"/>
      <c r="AM68" s="112"/>
    </row>
    <row r="69" spans="1:39" s="46" customFormat="1" ht="14.45" hidden="1" customHeight="1">
      <c r="A69" s="88" t="s">
        <v>1984</v>
      </c>
      <c r="B69" s="143" t="s">
        <v>1985</v>
      </c>
      <c r="C69" s="81" t="s">
        <v>375</v>
      </c>
      <c r="D69" s="81">
        <v>3</v>
      </c>
      <c r="E69" s="81" t="s">
        <v>327</v>
      </c>
      <c r="F69" s="81">
        <v>5</v>
      </c>
      <c r="G69" s="114" t="s">
        <v>17</v>
      </c>
      <c r="H69" s="83"/>
      <c r="I69" s="103"/>
      <c r="J69" s="76" t="s">
        <v>125</v>
      </c>
      <c r="K69" s="104">
        <v>2</v>
      </c>
      <c r="L69" s="104"/>
      <c r="M69" s="105">
        <f>IF(Tabelle13245689101112[[#This Row],[Pulled after Start]]="",MIN(Tabelle13245689101112[[#This Row],[Jira Story Points]],Tabelle13245689101112[[#This Row],[Carry-over]]),0)</f>
        <v>2</v>
      </c>
      <c r="N69" s="106">
        <f>MIN(Tabelle13245689101112[[#This Row],[Jira Story Points]],Tabelle13245689101112[[#This Row],[Carry-over]])-Tabelle13245689101112[[#This Row],[SP Initially Planned (COS)]]</f>
        <v>0</v>
      </c>
      <c r="O69"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69" s="108">
        <f>IFERROR(IF(Tabelle13245689101112[[#This Row],[Status]]=$J$5,MIN(Tabelle13245689101112[[#This Row],[Jira Story Points]],Tabelle13245689101112[[#This Row],[Carry-over]]),0),0)</f>
        <v>0</v>
      </c>
      <c r="Q69" s="108">
        <f>IFERROR(IF(Tabelle13245689101112[[#This Row],[Status]]=$J$5,0,MIN(Tabelle13245689101112[[#This Row],[Jira Story Points]],Tabelle13245689101112[[#This Row],[Carry-over]])-Tabelle13245689101112[[#This Row],[SP Completed (COS &amp; SOS)]]),0)</f>
        <v>0</v>
      </c>
      <c r="AJ69" s="112"/>
      <c r="AK69" s="112"/>
      <c r="AL69" s="112"/>
      <c r="AM69" s="112"/>
    </row>
    <row r="70" spans="1:39" s="46" customFormat="1" ht="14.45" hidden="1" customHeight="1">
      <c r="A70" s="88" t="s">
        <v>1986</v>
      </c>
      <c r="B70" s="143" t="s">
        <v>1987</v>
      </c>
      <c r="C70" s="81" t="s">
        <v>375</v>
      </c>
      <c r="D70" s="81">
        <v>2</v>
      </c>
      <c r="E70" s="81" t="s">
        <v>327</v>
      </c>
      <c r="F70" s="81">
        <v>3</v>
      </c>
      <c r="G70" s="114" t="s">
        <v>17</v>
      </c>
      <c r="H70" s="83"/>
      <c r="I70" s="103"/>
      <c r="J70" s="76" t="s">
        <v>125</v>
      </c>
      <c r="K70" s="104"/>
      <c r="L70" s="104"/>
      <c r="M70" s="105">
        <f>IF(Tabelle13245689101112[[#This Row],[Pulled after Start]]="",MIN(Tabelle13245689101112[[#This Row],[Jira Story Points]],Tabelle13245689101112[[#This Row],[Carry-over]]),0)</f>
        <v>3</v>
      </c>
      <c r="N70" s="106">
        <f>MIN(Tabelle13245689101112[[#This Row],[Jira Story Points]],Tabelle13245689101112[[#This Row],[Carry-over]])-Tabelle13245689101112[[#This Row],[SP Initially Planned (COS)]]</f>
        <v>0</v>
      </c>
      <c r="O70"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70" s="108">
        <f>IFERROR(IF(Tabelle13245689101112[[#This Row],[Status]]=$J$5,MIN(Tabelle13245689101112[[#This Row],[Jira Story Points]],Tabelle13245689101112[[#This Row],[Carry-over]]),0),0)</f>
        <v>0</v>
      </c>
      <c r="Q70" s="108">
        <f>IFERROR(IF(Tabelle13245689101112[[#This Row],[Status]]=$J$5,0,MIN(Tabelle13245689101112[[#This Row],[Jira Story Points]],Tabelle13245689101112[[#This Row],[Carry-over]])-Tabelle13245689101112[[#This Row],[SP Completed (COS &amp; SOS)]]),0)</f>
        <v>0</v>
      </c>
      <c r="AJ70" s="112"/>
      <c r="AK70" s="112"/>
      <c r="AL70" s="112"/>
      <c r="AM70" s="112"/>
    </row>
    <row r="71" spans="1:39" s="46" customFormat="1" ht="14.45" hidden="1" customHeight="1">
      <c r="A71" s="88" t="s">
        <v>1988</v>
      </c>
      <c r="B71" s="143" t="s">
        <v>1989</v>
      </c>
      <c r="C71" s="81" t="s">
        <v>375</v>
      </c>
      <c r="D71" s="81">
        <v>2</v>
      </c>
      <c r="E71" s="81" t="s">
        <v>327</v>
      </c>
      <c r="F71" s="81">
        <v>3</v>
      </c>
      <c r="G71" s="114" t="s">
        <v>17</v>
      </c>
      <c r="H71" s="83" t="s">
        <v>209</v>
      </c>
      <c r="I71" s="103"/>
      <c r="J71" s="76" t="s">
        <v>125</v>
      </c>
      <c r="K71" s="104"/>
      <c r="L71" s="104"/>
      <c r="M71" s="105">
        <f>IF(Tabelle13245689101112[[#This Row],[Pulled after Start]]="",MIN(Tabelle13245689101112[[#This Row],[Jira Story Points]],Tabelle13245689101112[[#This Row],[Carry-over]]),0)</f>
        <v>0</v>
      </c>
      <c r="N71" s="106">
        <f>MIN(Tabelle13245689101112[[#This Row],[Jira Story Points]],Tabelle13245689101112[[#This Row],[Carry-over]])-Tabelle13245689101112[[#This Row],[SP Initially Planned (COS)]]</f>
        <v>3</v>
      </c>
      <c r="O71"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71" s="108">
        <f>IFERROR(IF(Tabelle13245689101112[[#This Row],[Status]]=$J$5,MIN(Tabelle13245689101112[[#This Row],[Jira Story Points]],Tabelle13245689101112[[#This Row],[Carry-over]]),0),0)</f>
        <v>0</v>
      </c>
      <c r="Q71" s="108">
        <f>IFERROR(IF(Tabelle13245689101112[[#This Row],[Status]]=$J$5,0,MIN(Tabelle13245689101112[[#This Row],[Jira Story Points]],Tabelle13245689101112[[#This Row],[Carry-over]])-Tabelle13245689101112[[#This Row],[SP Completed (COS &amp; SOS)]]),0)</f>
        <v>0</v>
      </c>
      <c r="AJ71" s="112"/>
      <c r="AK71" s="112"/>
      <c r="AL71" s="112"/>
      <c r="AM71" s="112"/>
    </row>
    <row r="72" spans="1:39" s="46" customFormat="1" ht="14.45" hidden="1" customHeight="1">
      <c r="A72" s="88" t="s">
        <v>1990</v>
      </c>
      <c r="B72" s="143" t="s">
        <v>1991</v>
      </c>
      <c r="C72" s="81" t="s">
        <v>375</v>
      </c>
      <c r="D72" s="81">
        <v>3</v>
      </c>
      <c r="E72" s="81" t="s">
        <v>327</v>
      </c>
      <c r="F72" s="81">
        <v>3</v>
      </c>
      <c r="G72" s="114" t="s">
        <v>17</v>
      </c>
      <c r="H72" s="83"/>
      <c r="I72" s="103"/>
      <c r="J72" s="76" t="s">
        <v>125</v>
      </c>
      <c r="K72" s="104"/>
      <c r="L72" s="104"/>
      <c r="M72" s="105">
        <f>IF(Tabelle13245689101112[[#This Row],[Pulled after Start]]="",MIN(Tabelle13245689101112[[#This Row],[Jira Story Points]],Tabelle13245689101112[[#This Row],[Carry-over]]),0)</f>
        <v>3</v>
      </c>
      <c r="N72" s="106">
        <f>MIN(Tabelle13245689101112[[#This Row],[Jira Story Points]],Tabelle13245689101112[[#This Row],[Carry-over]])-Tabelle13245689101112[[#This Row],[SP Initially Planned (COS)]]</f>
        <v>0</v>
      </c>
      <c r="O72"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72" s="108">
        <f>IFERROR(IF(Tabelle13245689101112[[#This Row],[Status]]=$J$5,MIN(Tabelle13245689101112[[#This Row],[Jira Story Points]],Tabelle13245689101112[[#This Row],[Carry-over]]),0),0)</f>
        <v>0</v>
      </c>
      <c r="Q72" s="108">
        <f>IFERROR(IF(Tabelle13245689101112[[#This Row],[Status]]=$J$5,0,MIN(Tabelle13245689101112[[#This Row],[Jira Story Points]],Tabelle13245689101112[[#This Row],[Carry-over]])-Tabelle13245689101112[[#This Row],[SP Completed (COS &amp; SOS)]]),0)</f>
        <v>0</v>
      </c>
      <c r="AJ72" s="112"/>
      <c r="AK72" s="112"/>
      <c r="AL72" s="112"/>
      <c r="AM72" s="112"/>
    </row>
    <row r="73" spans="1:39" s="46" customFormat="1" hidden="1">
      <c r="A73" s="88" t="s">
        <v>1992</v>
      </c>
      <c r="B73" s="143" t="s">
        <v>1993</v>
      </c>
      <c r="C73" s="81" t="s">
        <v>375</v>
      </c>
      <c r="D73" s="81">
        <v>3</v>
      </c>
      <c r="E73" s="81" t="s">
        <v>324</v>
      </c>
      <c r="F73" s="104">
        <v>3</v>
      </c>
      <c r="G73" s="114" t="s">
        <v>17</v>
      </c>
      <c r="H73" s="83"/>
      <c r="I73" s="103"/>
      <c r="J73" s="76" t="s">
        <v>125</v>
      </c>
      <c r="K73" s="104"/>
      <c r="L73" s="104"/>
      <c r="M73" s="105">
        <f>IF(Tabelle13245689101112[[#This Row],[Pulled after Start]]="",MIN(Tabelle13245689101112[[#This Row],[Jira Story Points]],Tabelle13245689101112[[#This Row],[Carry-over]]),0)</f>
        <v>3</v>
      </c>
      <c r="N73" s="106">
        <f>MIN(Tabelle13245689101112[[#This Row],[Jira Story Points]],Tabelle13245689101112[[#This Row],[Carry-over]])-Tabelle13245689101112[[#This Row],[SP Initially Planned (COS)]]</f>
        <v>0</v>
      </c>
      <c r="O73"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73" s="108">
        <f>IFERROR(IF(Tabelle13245689101112[[#This Row],[Status]]=$J$5,MIN(Tabelle13245689101112[[#This Row],[Jira Story Points]],Tabelle13245689101112[[#This Row],[Carry-over]]),0),0)</f>
        <v>0</v>
      </c>
      <c r="Q73" s="108">
        <f>IFERROR(IF(Tabelle13245689101112[[#This Row],[Status]]=$J$5,0,MIN(Tabelle13245689101112[[#This Row],[Jira Story Points]],Tabelle13245689101112[[#This Row],[Carry-over]])-Tabelle13245689101112[[#This Row],[SP Completed (COS &amp; SOS)]]),0)</f>
        <v>0</v>
      </c>
      <c r="AJ73" s="112"/>
      <c r="AK73" s="112"/>
      <c r="AL73" s="112"/>
      <c r="AM73" s="112"/>
    </row>
    <row r="74" spans="1:39" s="46" customFormat="1" hidden="1">
      <c r="A74" s="88" t="s">
        <v>1994</v>
      </c>
      <c r="B74" s="143" t="s">
        <v>1995</v>
      </c>
      <c r="C74" s="81" t="s">
        <v>375</v>
      </c>
      <c r="D74" s="81">
        <v>3</v>
      </c>
      <c r="E74" s="81" t="s">
        <v>324</v>
      </c>
      <c r="F74" s="104">
        <v>3</v>
      </c>
      <c r="G74" s="114" t="s">
        <v>17</v>
      </c>
      <c r="H74" s="83"/>
      <c r="I74" s="103"/>
      <c r="J74" s="76" t="s">
        <v>125</v>
      </c>
      <c r="K74" s="104"/>
      <c r="L74" s="104"/>
      <c r="M74" s="105">
        <f>IF(Tabelle13245689101112[[#This Row],[Pulled after Start]]="",MIN(Tabelle13245689101112[[#This Row],[Jira Story Points]],Tabelle13245689101112[[#This Row],[Carry-over]]),0)</f>
        <v>3</v>
      </c>
      <c r="N74" s="106">
        <f>MIN(Tabelle13245689101112[[#This Row],[Jira Story Points]],Tabelle13245689101112[[#This Row],[Carry-over]])-Tabelle13245689101112[[#This Row],[SP Initially Planned (COS)]]</f>
        <v>0</v>
      </c>
      <c r="O74"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74" s="108">
        <f>IFERROR(IF(Tabelle13245689101112[[#This Row],[Status]]=$J$5,MIN(Tabelle13245689101112[[#This Row],[Jira Story Points]],Tabelle13245689101112[[#This Row],[Carry-over]]),0),0)</f>
        <v>0</v>
      </c>
      <c r="Q74" s="108">
        <f>IFERROR(IF(Tabelle13245689101112[[#This Row],[Status]]=$J$5,0,MIN(Tabelle13245689101112[[#This Row],[Jira Story Points]],Tabelle13245689101112[[#This Row],[Carry-over]])-Tabelle13245689101112[[#This Row],[SP Completed (COS &amp; SOS)]]),0)</f>
        <v>0</v>
      </c>
      <c r="AJ74" s="112"/>
      <c r="AK74" s="112"/>
      <c r="AL74" s="112"/>
      <c r="AM74" s="112"/>
    </row>
    <row r="75" spans="1:39" s="46" customFormat="1" ht="27" hidden="1">
      <c r="A75" s="88" t="s">
        <v>1996</v>
      </c>
      <c r="B75" s="143" t="s">
        <v>1997</v>
      </c>
      <c r="C75" s="81" t="s">
        <v>375</v>
      </c>
      <c r="D75" s="81">
        <v>3</v>
      </c>
      <c r="E75" s="81" t="s">
        <v>324</v>
      </c>
      <c r="F75" s="104">
        <v>3</v>
      </c>
      <c r="G75" s="114" t="s">
        <v>17</v>
      </c>
      <c r="H75" s="83"/>
      <c r="I75" s="103"/>
      <c r="J75" s="76" t="s">
        <v>125</v>
      </c>
      <c r="K75" s="104"/>
      <c r="L75" s="104"/>
      <c r="M75" s="105">
        <f>IF(Tabelle13245689101112[[#This Row],[Pulled after Start]]="",MIN(Tabelle13245689101112[[#This Row],[Jira Story Points]],Tabelle13245689101112[[#This Row],[Carry-over]]),0)</f>
        <v>3</v>
      </c>
      <c r="N75" s="106">
        <f>MIN(Tabelle13245689101112[[#This Row],[Jira Story Points]],Tabelle13245689101112[[#This Row],[Carry-over]])-Tabelle13245689101112[[#This Row],[SP Initially Planned (COS)]]</f>
        <v>0</v>
      </c>
      <c r="O75"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75" s="108">
        <f>IFERROR(IF(Tabelle13245689101112[[#This Row],[Status]]=$J$5,MIN(Tabelle13245689101112[[#This Row],[Jira Story Points]],Tabelle13245689101112[[#This Row],[Carry-over]]),0),0)</f>
        <v>0</v>
      </c>
      <c r="Q75" s="108">
        <f>IFERROR(IF(Tabelle13245689101112[[#This Row],[Status]]=$J$5,0,MIN(Tabelle13245689101112[[#This Row],[Jira Story Points]],Tabelle13245689101112[[#This Row],[Carry-over]])-Tabelle13245689101112[[#This Row],[SP Completed (COS &amp; SOS)]]),0)</f>
        <v>0</v>
      </c>
      <c r="AJ75" s="112"/>
      <c r="AK75" s="112"/>
      <c r="AL75" s="112"/>
      <c r="AM75" s="112"/>
    </row>
    <row r="76" spans="1:39" s="46" customFormat="1" hidden="1">
      <c r="A76" s="88" t="s">
        <v>1587</v>
      </c>
      <c r="B76" s="143" t="s">
        <v>1588</v>
      </c>
      <c r="C76" s="81" t="s">
        <v>375</v>
      </c>
      <c r="D76" s="81">
        <v>3</v>
      </c>
      <c r="E76" s="81" t="s">
        <v>327</v>
      </c>
      <c r="F76" s="76">
        <v>3</v>
      </c>
      <c r="G76" s="114" t="s">
        <v>17</v>
      </c>
      <c r="H76" s="76" t="s">
        <v>209</v>
      </c>
      <c r="I76" s="103"/>
      <c r="J76" s="76" t="s">
        <v>127</v>
      </c>
      <c r="K76" s="76"/>
      <c r="L76" s="76">
        <v>3</v>
      </c>
      <c r="M76" s="105">
        <f>IF(Tabelle13245689101112[[#This Row],[Pulled after Start]]="",MIN(Tabelle13245689101112[[#This Row],[Jira Story Points]],Tabelle13245689101112[[#This Row],[Carry-over]]),0)</f>
        <v>0</v>
      </c>
      <c r="N76" s="106">
        <f>MIN(Tabelle13245689101112[[#This Row],[Jira Story Points]],Tabelle13245689101112[[#This Row],[Carry-over]])-Tabelle13245689101112[[#This Row],[SP Initially Planned (COS)]]</f>
        <v>3</v>
      </c>
      <c r="O76"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0</v>
      </c>
      <c r="P76" s="108">
        <f>IFERROR(IF(Tabelle13245689101112[[#This Row],[Status]]=$J$5,MIN(Tabelle13245689101112[[#This Row],[Jira Story Points]],Tabelle13245689101112[[#This Row],[Carry-over]]),0),0)</f>
        <v>0</v>
      </c>
      <c r="Q76" s="108">
        <f>IFERROR(IF(Tabelle13245689101112[[#This Row],[Status]]=$J$5,0,MIN(Tabelle13245689101112[[#This Row],[Jira Story Points]],Tabelle13245689101112[[#This Row],[Carry-over]])-Tabelle13245689101112[[#This Row],[SP Completed (COS &amp; SOS)]]),0)</f>
        <v>3</v>
      </c>
      <c r="AJ76" s="112"/>
      <c r="AK76" s="112"/>
      <c r="AL76" s="112"/>
      <c r="AM76" s="112"/>
    </row>
    <row r="77" spans="1:39" s="46" customFormat="1" hidden="1">
      <c r="A77" s="88" t="s">
        <v>1998</v>
      </c>
      <c r="B77" s="143" t="s">
        <v>1999</v>
      </c>
      <c r="C77" s="81" t="s">
        <v>382</v>
      </c>
      <c r="D77" s="81">
        <v>3</v>
      </c>
      <c r="E77" s="81" t="s">
        <v>324</v>
      </c>
      <c r="F77" s="76">
        <v>3</v>
      </c>
      <c r="G77" s="114" t="s">
        <v>17</v>
      </c>
      <c r="H77" s="76"/>
      <c r="I77" s="103"/>
      <c r="J77" s="76" t="s">
        <v>125</v>
      </c>
      <c r="K77" s="104"/>
      <c r="L77" s="104"/>
      <c r="M77" s="105">
        <f>IF(Tabelle13245689101112[[#This Row],[Pulled after Start]]="",MIN(Tabelle13245689101112[[#This Row],[Jira Story Points]],Tabelle13245689101112[[#This Row],[Carry-over]]),0)</f>
        <v>3</v>
      </c>
      <c r="N77" s="106">
        <f>MIN(Tabelle13245689101112[[#This Row],[Jira Story Points]],Tabelle13245689101112[[#This Row],[Carry-over]])-Tabelle13245689101112[[#This Row],[SP Initially Planned (COS)]]</f>
        <v>0</v>
      </c>
      <c r="O77"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77" s="108">
        <f>IFERROR(IF(Tabelle13245689101112[[#This Row],[Status]]=$J$5,MIN(Tabelle13245689101112[[#This Row],[Jira Story Points]],Tabelle13245689101112[[#This Row],[Carry-over]]),0),0)</f>
        <v>0</v>
      </c>
      <c r="Q77" s="108">
        <f>IFERROR(IF(Tabelle13245689101112[[#This Row],[Status]]=$J$5,0,MIN(Tabelle13245689101112[[#This Row],[Jira Story Points]],Tabelle13245689101112[[#This Row],[Carry-over]])-Tabelle13245689101112[[#This Row],[SP Completed (COS &amp; SOS)]]),0)</f>
        <v>0</v>
      </c>
      <c r="AJ77" s="112"/>
      <c r="AK77" s="112"/>
      <c r="AL77" s="112"/>
      <c r="AM77" s="112"/>
    </row>
    <row r="78" spans="1:39" s="46" customFormat="1" ht="14.45" hidden="1" customHeight="1">
      <c r="A78" s="88" t="s">
        <v>2000</v>
      </c>
      <c r="B78" s="143" t="s">
        <v>2001</v>
      </c>
      <c r="C78" s="81" t="s">
        <v>382</v>
      </c>
      <c r="D78" s="81">
        <v>3</v>
      </c>
      <c r="E78" s="81" t="s">
        <v>324</v>
      </c>
      <c r="F78" s="104">
        <v>3</v>
      </c>
      <c r="G78" s="114" t="s">
        <v>17</v>
      </c>
      <c r="H78" s="83"/>
      <c r="I78" s="103"/>
      <c r="J78" s="76" t="s">
        <v>125</v>
      </c>
      <c r="K78" s="104"/>
      <c r="L78" s="104"/>
      <c r="M78" s="105">
        <f>IF(Tabelle13245689101112[[#This Row],[Pulled after Start]]="",MIN(Tabelle13245689101112[[#This Row],[Jira Story Points]],Tabelle13245689101112[[#This Row],[Carry-over]]),0)</f>
        <v>3</v>
      </c>
      <c r="N78" s="106">
        <f>MIN(Tabelle13245689101112[[#This Row],[Jira Story Points]],Tabelle13245689101112[[#This Row],[Carry-over]])-Tabelle13245689101112[[#This Row],[SP Initially Planned (COS)]]</f>
        <v>0</v>
      </c>
      <c r="O78"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78" s="108">
        <f>IFERROR(IF(Tabelle13245689101112[[#This Row],[Status]]=$J$5,MIN(Tabelle13245689101112[[#This Row],[Jira Story Points]],Tabelle13245689101112[[#This Row],[Carry-over]]),0),0)</f>
        <v>0</v>
      </c>
      <c r="Q78" s="108">
        <f>IFERROR(IF(Tabelle13245689101112[[#This Row],[Status]]=$J$5,0,MIN(Tabelle13245689101112[[#This Row],[Jira Story Points]],Tabelle13245689101112[[#This Row],[Carry-over]])-Tabelle13245689101112[[#This Row],[SP Completed (COS &amp; SOS)]]),0)</f>
        <v>0</v>
      </c>
      <c r="AJ78" s="112"/>
      <c r="AK78" s="112"/>
      <c r="AL78" s="112"/>
      <c r="AM78" s="112"/>
    </row>
    <row r="79" spans="1:39" s="46" customFormat="1" ht="13.5" hidden="1" customHeight="1">
      <c r="A79" s="88" t="s">
        <v>2002</v>
      </c>
      <c r="B79" s="143" t="s">
        <v>1596</v>
      </c>
      <c r="C79" s="81" t="s">
        <v>382</v>
      </c>
      <c r="D79" s="81">
        <v>3</v>
      </c>
      <c r="E79" s="81" t="s">
        <v>324</v>
      </c>
      <c r="F79" s="104">
        <v>3</v>
      </c>
      <c r="G79" s="114" t="s">
        <v>17</v>
      </c>
      <c r="H79" s="83"/>
      <c r="I79" s="103"/>
      <c r="J79" s="76" t="s">
        <v>125</v>
      </c>
      <c r="K79" s="104"/>
      <c r="L79" s="104"/>
      <c r="M79" s="105">
        <f>IF(Tabelle13245689101112[[#This Row],[Pulled after Start]]="",MIN(Tabelle13245689101112[[#This Row],[Jira Story Points]],Tabelle13245689101112[[#This Row],[Carry-over]]),0)</f>
        <v>3</v>
      </c>
      <c r="N79" s="106">
        <f>MIN(Tabelle13245689101112[[#This Row],[Jira Story Points]],Tabelle13245689101112[[#This Row],[Carry-over]])-Tabelle13245689101112[[#This Row],[SP Initially Planned (COS)]]</f>
        <v>0</v>
      </c>
      <c r="O79"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79" s="108">
        <f>IFERROR(IF(Tabelle13245689101112[[#This Row],[Status]]=$J$5,MIN(Tabelle13245689101112[[#This Row],[Jira Story Points]],Tabelle13245689101112[[#This Row],[Carry-over]]),0),0)</f>
        <v>0</v>
      </c>
      <c r="Q79" s="108">
        <f>IFERROR(IF(Tabelle13245689101112[[#This Row],[Status]]=$J$5,0,MIN(Tabelle13245689101112[[#This Row],[Jira Story Points]],Tabelle13245689101112[[#This Row],[Carry-over]])-Tabelle13245689101112[[#This Row],[SP Completed (COS &amp; SOS)]]),0)</f>
        <v>0</v>
      </c>
    </row>
    <row r="80" spans="1:39" s="46" customFormat="1" ht="13.5" hidden="1" customHeight="1">
      <c r="A80" s="88" t="s">
        <v>2003</v>
      </c>
      <c r="B80" s="101" t="s">
        <v>2004</v>
      </c>
      <c r="C80" s="81" t="s">
        <v>372</v>
      </c>
      <c r="D80" s="81">
        <v>2</v>
      </c>
      <c r="E80" s="81" t="s">
        <v>327</v>
      </c>
      <c r="F80" s="104">
        <v>3</v>
      </c>
      <c r="G80" s="114" t="s">
        <v>21</v>
      </c>
      <c r="H80" s="76" t="s">
        <v>209</v>
      </c>
      <c r="I80" s="103"/>
      <c r="J80" s="76" t="s">
        <v>125</v>
      </c>
      <c r="K80" s="104"/>
      <c r="L80" s="104"/>
      <c r="M80" s="105">
        <f>IF(Tabelle13245689101112[[#This Row],[Pulled after Start]]="",MIN(Tabelle13245689101112[[#This Row],[Jira Story Points]],Tabelle13245689101112[[#This Row],[Carry-over]]),0)</f>
        <v>0</v>
      </c>
      <c r="N80" s="106">
        <f>MIN(Tabelle13245689101112[[#This Row],[Jira Story Points]],Tabelle13245689101112[[#This Row],[Carry-over]])-Tabelle13245689101112[[#This Row],[SP Initially Planned (COS)]]</f>
        <v>3</v>
      </c>
      <c r="O80"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80" s="108">
        <f>IFERROR(IF(Tabelle13245689101112[[#This Row],[Status]]=$J$5,MIN(Tabelle13245689101112[[#This Row],[Jira Story Points]],Tabelle13245689101112[[#This Row],[Carry-over]]),0),0)</f>
        <v>0</v>
      </c>
      <c r="Q80" s="108">
        <f>IFERROR(IF(Tabelle13245689101112[[#This Row],[Status]]=$J$5,0,MIN(Tabelle13245689101112[[#This Row],[Jira Story Points]],Tabelle13245689101112[[#This Row],[Carry-over]])-Tabelle13245689101112[[#This Row],[SP Completed (COS &amp; SOS)]]),0)</f>
        <v>0</v>
      </c>
    </row>
    <row r="81" spans="1:17" s="46" customFormat="1" ht="13.5" hidden="1" customHeight="1">
      <c r="A81" s="102" t="s">
        <v>2005</v>
      </c>
      <c r="B81" s="80" t="s">
        <v>2006</v>
      </c>
      <c r="C81" s="81" t="s">
        <v>372</v>
      </c>
      <c r="D81" s="81">
        <v>3</v>
      </c>
      <c r="E81" s="81" t="s">
        <v>324</v>
      </c>
      <c r="F81" s="81">
        <v>1</v>
      </c>
      <c r="G81" s="76" t="s">
        <v>32</v>
      </c>
      <c r="H81" s="83" t="s">
        <v>209</v>
      </c>
      <c r="I81" s="103"/>
      <c r="J81" s="76" t="s">
        <v>125</v>
      </c>
      <c r="K81" s="104"/>
      <c r="L81" s="104"/>
      <c r="M81" s="105">
        <f>IF(Tabelle13245689101112[[#This Row],[Pulled after Start]]="",MIN(Tabelle13245689101112[[#This Row],[Jira Story Points]],Tabelle13245689101112[[#This Row],[Carry-over]]),0)</f>
        <v>0</v>
      </c>
      <c r="N81" s="106">
        <f>MIN(Tabelle13245689101112[[#This Row],[Jira Story Points]],Tabelle13245689101112[[#This Row],[Carry-over]])-Tabelle13245689101112[[#This Row],[SP Initially Planned (COS)]]</f>
        <v>1</v>
      </c>
      <c r="O81"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81" s="108">
        <f>IFERROR(IF(Tabelle13245689101112[[#This Row],[Status]]=$J$5,MIN(Tabelle13245689101112[[#This Row],[Jira Story Points]],Tabelle13245689101112[[#This Row],[Carry-over]]),0),0)</f>
        <v>0</v>
      </c>
      <c r="Q81" s="108">
        <f>IFERROR(IF(Tabelle13245689101112[[#This Row],[Status]]=$J$5,0,MIN(Tabelle13245689101112[[#This Row],[Jira Story Points]],Tabelle13245689101112[[#This Row],[Carry-over]])-Tabelle13245689101112[[#This Row],[SP Completed (COS &amp; SOS)]]),0)</f>
        <v>0</v>
      </c>
    </row>
    <row r="82" spans="1:17" s="46" customFormat="1" ht="13.5" hidden="1" customHeight="1">
      <c r="A82" s="102" t="s">
        <v>1797</v>
      </c>
      <c r="B82" s="80" t="s">
        <v>1798</v>
      </c>
      <c r="C82" s="81" t="s">
        <v>375</v>
      </c>
      <c r="D82" s="81">
        <v>2</v>
      </c>
      <c r="E82" s="81" t="s">
        <v>327</v>
      </c>
      <c r="F82" s="81">
        <v>5</v>
      </c>
      <c r="G82" s="76" t="s">
        <v>32</v>
      </c>
      <c r="H82" s="83"/>
      <c r="I82" s="103"/>
      <c r="J82" s="76" t="s">
        <v>127</v>
      </c>
      <c r="K82" s="104"/>
      <c r="L82" s="104">
        <v>1</v>
      </c>
      <c r="M82" s="105">
        <f>IF(Tabelle13245689101112[[#This Row],[Pulled after Start]]="",MIN(Tabelle13245689101112[[#This Row],[Jira Story Points]],Tabelle13245689101112[[#This Row],[Carry-over]]),0)</f>
        <v>5</v>
      </c>
      <c r="N82" s="106">
        <f>MIN(Tabelle13245689101112[[#This Row],[Jira Story Points]],Tabelle13245689101112[[#This Row],[Carry-over]])-Tabelle13245689101112[[#This Row],[SP Initially Planned (COS)]]</f>
        <v>0</v>
      </c>
      <c r="O82"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4</v>
      </c>
      <c r="P82" s="108">
        <f>IFERROR(IF(Tabelle13245689101112[[#This Row],[Status]]=$J$5,MIN(Tabelle13245689101112[[#This Row],[Jira Story Points]],Tabelle13245689101112[[#This Row],[Carry-over]]),0),0)</f>
        <v>0</v>
      </c>
      <c r="Q82" s="108">
        <f>IFERROR(IF(Tabelle13245689101112[[#This Row],[Status]]=$J$5,0,MIN(Tabelle13245689101112[[#This Row],[Jira Story Points]],Tabelle13245689101112[[#This Row],[Carry-over]])-Tabelle13245689101112[[#This Row],[SP Completed (COS &amp; SOS)]]),0)</f>
        <v>1</v>
      </c>
    </row>
    <row r="83" spans="1:17" s="46" customFormat="1" ht="13.5" hidden="1" customHeight="1">
      <c r="A83" s="102" t="s">
        <v>2007</v>
      </c>
      <c r="B83" s="80" t="s">
        <v>2008</v>
      </c>
      <c r="C83" s="81" t="s">
        <v>372</v>
      </c>
      <c r="D83" s="81">
        <v>3</v>
      </c>
      <c r="E83" s="81" t="s">
        <v>324</v>
      </c>
      <c r="F83" s="81">
        <v>3</v>
      </c>
      <c r="G83" s="76" t="s">
        <v>32</v>
      </c>
      <c r="H83" s="83"/>
      <c r="I83" s="103"/>
      <c r="J83" s="76" t="s">
        <v>125</v>
      </c>
      <c r="K83" s="104"/>
      <c r="L83" s="104"/>
      <c r="M83" s="105">
        <f>IF(Tabelle13245689101112[[#This Row],[Pulled after Start]]="",MIN(Tabelle13245689101112[[#This Row],[Jira Story Points]],Tabelle13245689101112[[#This Row],[Carry-over]]),0)</f>
        <v>3</v>
      </c>
      <c r="N83" s="106">
        <f>MIN(Tabelle13245689101112[[#This Row],[Jira Story Points]],Tabelle13245689101112[[#This Row],[Carry-over]])-Tabelle13245689101112[[#This Row],[SP Initially Planned (COS)]]</f>
        <v>0</v>
      </c>
      <c r="O83"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83" s="108">
        <f>IFERROR(IF(Tabelle13245689101112[[#This Row],[Status]]=$J$5,MIN(Tabelle13245689101112[[#This Row],[Jira Story Points]],Tabelle13245689101112[[#This Row],[Carry-over]]),0),0)</f>
        <v>0</v>
      </c>
      <c r="Q83" s="108">
        <f>IFERROR(IF(Tabelle13245689101112[[#This Row],[Status]]=$J$5,0,MIN(Tabelle13245689101112[[#This Row],[Jira Story Points]],Tabelle13245689101112[[#This Row],[Carry-over]])-Tabelle13245689101112[[#This Row],[SP Completed (COS &amp; SOS)]]),0)</f>
        <v>0</v>
      </c>
    </row>
    <row r="84" spans="1:17" s="46" customFormat="1" ht="13.5" hidden="1" customHeight="1">
      <c r="A84" s="102" t="s">
        <v>2009</v>
      </c>
      <c r="B84" s="80" t="s">
        <v>2010</v>
      </c>
      <c r="C84" s="81" t="s">
        <v>372</v>
      </c>
      <c r="D84" s="81">
        <v>3</v>
      </c>
      <c r="E84" s="81" t="s">
        <v>327</v>
      </c>
      <c r="F84" s="81">
        <v>5</v>
      </c>
      <c r="G84" s="76" t="s">
        <v>32</v>
      </c>
      <c r="H84" s="83"/>
      <c r="I84" s="103"/>
      <c r="J84" s="76" t="s">
        <v>125</v>
      </c>
      <c r="K84" s="104"/>
      <c r="L84" s="104"/>
      <c r="M84" s="105">
        <f>IF(Tabelle13245689101112[[#This Row],[Pulled after Start]]="",MIN(Tabelle13245689101112[[#This Row],[Jira Story Points]],Tabelle13245689101112[[#This Row],[Carry-over]]),0)</f>
        <v>5</v>
      </c>
      <c r="N84" s="106">
        <f>MIN(Tabelle13245689101112[[#This Row],[Jira Story Points]],Tabelle13245689101112[[#This Row],[Carry-over]])-Tabelle13245689101112[[#This Row],[SP Initially Planned (COS)]]</f>
        <v>0</v>
      </c>
      <c r="O84"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5</v>
      </c>
      <c r="P84" s="108">
        <f>IFERROR(IF(Tabelle13245689101112[[#This Row],[Status]]=$J$5,MIN(Tabelle13245689101112[[#This Row],[Jira Story Points]],Tabelle13245689101112[[#This Row],[Carry-over]]),0),0)</f>
        <v>0</v>
      </c>
      <c r="Q84" s="108">
        <f>IFERROR(IF(Tabelle13245689101112[[#This Row],[Status]]=$J$5,0,MIN(Tabelle13245689101112[[#This Row],[Jira Story Points]],Tabelle13245689101112[[#This Row],[Carry-over]])-Tabelle13245689101112[[#This Row],[SP Completed (COS &amp; SOS)]]),0)</f>
        <v>0</v>
      </c>
    </row>
    <row r="85" spans="1:17" s="46" customFormat="1" ht="13.5" hidden="1" customHeight="1">
      <c r="A85" s="102" t="s">
        <v>2011</v>
      </c>
      <c r="B85" s="80" t="s">
        <v>2012</v>
      </c>
      <c r="C85" s="81" t="s">
        <v>372</v>
      </c>
      <c r="D85" s="81">
        <v>3</v>
      </c>
      <c r="E85" s="81" t="s">
        <v>324</v>
      </c>
      <c r="F85" s="81">
        <v>5</v>
      </c>
      <c r="G85" s="76" t="s">
        <v>32</v>
      </c>
      <c r="H85" s="83"/>
      <c r="I85" s="103"/>
      <c r="J85" s="76" t="s">
        <v>125</v>
      </c>
      <c r="K85" s="104"/>
      <c r="L85" s="104"/>
      <c r="M85" s="105">
        <f>IF(Tabelle13245689101112[[#This Row],[Pulled after Start]]="",MIN(Tabelle13245689101112[[#This Row],[Jira Story Points]],Tabelle13245689101112[[#This Row],[Carry-over]]),0)</f>
        <v>5</v>
      </c>
      <c r="N85" s="106">
        <f>MIN(Tabelle13245689101112[[#This Row],[Jira Story Points]],Tabelle13245689101112[[#This Row],[Carry-over]])-Tabelle13245689101112[[#This Row],[SP Initially Planned (COS)]]</f>
        <v>0</v>
      </c>
      <c r="O85"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5</v>
      </c>
      <c r="P85" s="108">
        <f>IFERROR(IF(Tabelle13245689101112[[#This Row],[Status]]=$J$5,MIN(Tabelle13245689101112[[#This Row],[Jira Story Points]],Tabelle13245689101112[[#This Row],[Carry-over]]),0),0)</f>
        <v>0</v>
      </c>
      <c r="Q85" s="108">
        <f>IFERROR(IF(Tabelle13245689101112[[#This Row],[Status]]=$J$5,0,MIN(Tabelle13245689101112[[#This Row],[Jira Story Points]],Tabelle13245689101112[[#This Row],[Carry-over]])-Tabelle13245689101112[[#This Row],[SP Completed (COS &amp; SOS)]]),0)</f>
        <v>0</v>
      </c>
    </row>
    <row r="86" spans="1:17" s="46" customFormat="1" ht="13.5" hidden="1" customHeight="1">
      <c r="A86" s="102" t="s">
        <v>2013</v>
      </c>
      <c r="B86" s="80" t="s">
        <v>2014</v>
      </c>
      <c r="C86" s="81" t="s">
        <v>382</v>
      </c>
      <c r="D86" s="81">
        <v>3</v>
      </c>
      <c r="E86" s="81" t="s">
        <v>324</v>
      </c>
      <c r="F86" s="81">
        <v>2</v>
      </c>
      <c r="G86" s="76" t="s">
        <v>32</v>
      </c>
      <c r="H86" s="83"/>
      <c r="I86" s="103"/>
      <c r="J86" s="76" t="s">
        <v>125</v>
      </c>
      <c r="K86" s="104"/>
      <c r="L86" s="104"/>
      <c r="M86" s="105">
        <f>IF(Tabelle13245689101112[[#This Row],[Pulled after Start]]="",MIN(Tabelle13245689101112[[#This Row],[Jira Story Points]],Tabelle13245689101112[[#This Row],[Carry-over]]),0)</f>
        <v>2</v>
      </c>
      <c r="N86" s="106">
        <f>MIN(Tabelle13245689101112[[#This Row],[Jira Story Points]],Tabelle13245689101112[[#This Row],[Carry-over]])-Tabelle13245689101112[[#This Row],[SP Initially Planned (COS)]]</f>
        <v>0</v>
      </c>
      <c r="O86"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86" s="108">
        <f>IFERROR(IF(Tabelle13245689101112[[#This Row],[Status]]=$J$5,MIN(Tabelle13245689101112[[#This Row],[Jira Story Points]],Tabelle13245689101112[[#This Row],[Carry-over]]),0),0)</f>
        <v>0</v>
      </c>
      <c r="Q86" s="108">
        <f>IFERROR(IF(Tabelle13245689101112[[#This Row],[Status]]=$J$5,0,MIN(Tabelle13245689101112[[#This Row],[Jira Story Points]],Tabelle13245689101112[[#This Row],[Carry-over]])-Tabelle13245689101112[[#This Row],[SP Completed (COS &amp; SOS)]]),0)</f>
        <v>0</v>
      </c>
    </row>
    <row r="87" spans="1:17" s="46" customFormat="1" ht="13.5" hidden="1" customHeight="1">
      <c r="A87" s="102" t="s">
        <v>2015</v>
      </c>
      <c r="B87" s="80" t="s">
        <v>2016</v>
      </c>
      <c r="C87" s="81" t="s">
        <v>372</v>
      </c>
      <c r="D87" s="81">
        <v>3</v>
      </c>
      <c r="E87" s="81" t="s">
        <v>327</v>
      </c>
      <c r="F87" s="81">
        <v>2</v>
      </c>
      <c r="G87" s="76" t="s">
        <v>32</v>
      </c>
      <c r="H87" s="83"/>
      <c r="I87" s="103"/>
      <c r="J87" s="76" t="s">
        <v>125</v>
      </c>
      <c r="K87" s="104"/>
      <c r="L87" s="104"/>
      <c r="M87" s="105">
        <f>IF(Tabelle13245689101112[[#This Row],[Pulled after Start]]="",MIN(Tabelle13245689101112[[#This Row],[Jira Story Points]],Tabelle13245689101112[[#This Row],[Carry-over]]),0)</f>
        <v>2</v>
      </c>
      <c r="N87" s="106">
        <f>MIN(Tabelle13245689101112[[#This Row],[Jira Story Points]],Tabelle13245689101112[[#This Row],[Carry-over]])-Tabelle13245689101112[[#This Row],[SP Initially Planned (COS)]]</f>
        <v>0</v>
      </c>
      <c r="O87"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87" s="108">
        <f>IFERROR(IF(Tabelle13245689101112[[#This Row],[Status]]=$J$5,MIN(Tabelle13245689101112[[#This Row],[Jira Story Points]],Tabelle13245689101112[[#This Row],[Carry-over]]),0),0)</f>
        <v>0</v>
      </c>
      <c r="Q87" s="108">
        <f>IFERROR(IF(Tabelle13245689101112[[#This Row],[Status]]=$J$5,0,MIN(Tabelle13245689101112[[#This Row],[Jira Story Points]],Tabelle13245689101112[[#This Row],[Carry-over]])-Tabelle13245689101112[[#This Row],[SP Completed (COS &amp; SOS)]]),0)</f>
        <v>0</v>
      </c>
    </row>
    <row r="88" spans="1:17" s="46" customFormat="1" ht="13.5" hidden="1" customHeight="1">
      <c r="A88" s="102" t="s">
        <v>2017</v>
      </c>
      <c r="B88" s="80" t="s">
        <v>2018</v>
      </c>
      <c r="C88" s="81" t="s">
        <v>375</v>
      </c>
      <c r="D88" s="81">
        <v>3</v>
      </c>
      <c r="E88" s="81" t="s">
        <v>327</v>
      </c>
      <c r="F88" s="81">
        <v>3</v>
      </c>
      <c r="G88" s="76" t="s">
        <v>32</v>
      </c>
      <c r="H88" s="83"/>
      <c r="I88" s="103"/>
      <c r="J88" s="76" t="s">
        <v>125</v>
      </c>
      <c r="K88" s="104"/>
      <c r="L88" s="104"/>
      <c r="M88" s="105">
        <f>IF(Tabelle13245689101112[[#This Row],[Pulled after Start]]="",MIN(Tabelle13245689101112[[#This Row],[Jira Story Points]],Tabelle13245689101112[[#This Row],[Carry-over]]),0)</f>
        <v>3</v>
      </c>
      <c r="N88" s="106">
        <f>MIN(Tabelle13245689101112[[#This Row],[Jira Story Points]],Tabelle13245689101112[[#This Row],[Carry-over]])-Tabelle13245689101112[[#This Row],[SP Initially Planned (COS)]]</f>
        <v>0</v>
      </c>
      <c r="O88"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88" s="108">
        <f>IFERROR(IF(Tabelle13245689101112[[#This Row],[Status]]=$J$5,MIN(Tabelle13245689101112[[#This Row],[Jira Story Points]],Tabelle13245689101112[[#This Row],[Carry-over]]),0),0)</f>
        <v>0</v>
      </c>
      <c r="Q88" s="108">
        <f>IFERROR(IF(Tabelle13245689101112[[#This Row],[Status]]=$J$5,0,MIN(Tabelle13245689101112[[#This Row],[Jira Story Points]],Tabelle13245689101112[[#This Row],[Carry-over]])-Tabelle13245689101112[[#This Row],[SP Completed (COS &amp; SOS)]]),0)</f>
        <v>0</v>
      </c>
    </row>
    <row r="89" spans="1:17" s="46" customFormat="1" ht="13.5" hidden="1" customHeight="1">
      <c r="A89" s="88" t="s">
        <v>1616</v>
      </c>
      <c r="B89" s="80" t="s">
        <v>1617</v>
      </c>
      <c r="C89" s="81" t="s">
        <v>372</v>
      </c>
      <c r="D89" s="81">
        <v>3</v>
      </c>
      <c r="E89" s="81" t="s">
        <v>327</v>
      </c>
      <c r="F89" s="81">
        <v>5</v>
      </c>
      <c r="G89" s="76" t="s">
        <v>32</v>
      </c>
      <c r="H89" s="83"/>
      <c r="I89" s="103"/>
      <c r="J89" s="76" t="s">
        <v>127</v>
      </c>
      <c r="K89" s="104"/>
      <c r="L89" s="104">
        <v>4</v>
      </c>
      <c r="M89" s="105">
        <f>IF(Tabelle13245689101112[[#This Row],[Pulled after Start]]="",MIN(Tabelle13245689101112[[#This Row],[Jira Story Points]],Tabelle13245689101112[[#This Row],[Carry-over]]),0)</f>
        <v>5</v>
      </c>
      <c r="N89" s="106">
        <f>MIN(Tabelle13245689101112[[#This Row],[Jira Story Points]],Tabelle13245689101112[[#This Row],[Carry-over]])-Tabelle13245689101112[[#This Row],[SP Initially Planned (COS)]]</f>
        <v>0</v>
      </c>
      <c r="O89"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89" s="108">
        <f>IFERROR(IF(Tabelle13245689101112[[#This Row],[Status]]=$J$5,MIN(Tabelle13245689101112[[#This Row],[Jira Story Points]],Tabelle13245689101112[[#This Row],[Carry-over]]),0),0)</f>
        <v>0</v>
      </c>
      <c r="Q89" s="108">
        <f>IFERROR(IF(Tabelle13245689101112[[#This Row],[Status]]=$J$5,0,MIN(Tabelle13245689101112[[#This Row],[Jira Story Points]],Tabelle13245689101112[[#This Row],[Carry-over]])-Tabelle13245689101112[[#This Row],[SP Completed (COS &amp; SOS)]]),0)</f>
        <v>4</v>
      </c>
    </row>
    <row r="90" spans="1:17" s="46" customFormat="1" ht="13.5" hidden="1" customHeight="1">
      <c r="A90" s="88" t="s">
        <v>2019</v>
      </c>
      <c r="B90" s="80" t="s">
        <v>2020</v>
      </c>
      <c r="C90" s="81" t="s">
        <v>372</v>
      </c>
      <c r="D90" s="81">
        <v>3</v>
      </c>
      <c r="E90" s="81" t="s">
        <v>327</v>
      </c>
      <c r="F90" s="81">
        <v>3</v>
      </c>
      <c r="G90" s="76" t="s">
        <v>32</v>
      </c>
      <c r="H90" s="83"/>
      <c r="I90" s="103"/>
      <c r="J90" s="76" t="s">
        <v>125</v>
      </c>
      <c r="K90" s="104"/>
      <c r="L90" s="104"/>
      <c r="M90" s="105">
        <f>IF(Tabelle13245689101112[[#This Row],[Pulled after Start]]="",MIN(Tabelle13245689101112[[#This Row],[Jira Story Points]],Tabelle13245689101112[[#This Row],[Carry-over]]),0)</f>
        <v>3</v>
      </c>
      <c r="N90" s="106">
        <f>MIN(Tabelle13245689101112[[#This Row],[Jira Story Points]],Tabelle13245689101112[[#This Row],[Carry-over]])-Tabelle13245689101112[[#This Row],[SP Initially Planned (COS)]]</f>
        <v>0</v>
      </c>
      <c r="O90"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90" s="108">
        <f>IFERROR(IF(Tabelle13245689101112[[#This Row],[Status]]=$J$5,MIN(Tabelle13245689101112[[#This Row],[Jira Story Points]],Tabelle13245689101112[[#This Row],[Carry-over]]),0),0)</f>
        <v>0</v>
      </c>
      <c r="Q90" s="108">
        <f>IFERROR(IF(Tabelle13245689101112[[#This Row],[Status]]=$J$5,0,MIN(Tabelle13245689101112[[#This Row],[Jira Story Points]],Tabelle13245689101112[[#This Row],[Carry-over]])-Tabelle13245689101112[[#This Row],[SP Completed (COS &amp; SOS)]]),0)</f>
        <v>0</v>
      </c>
    </row>
    <row r="91" spans="1:17" s="46" customFormat="1" ht="13.5" hidden="1" customHeight="1">
      <c r="A91" s="88" t="s">
        <v>1808</v>
      </c>
      <c r="B91" s="80" t="s">
        <v>1809</v>
      </c>
      <c r="C91" s="81" t="s">
        <v>372</v>
      </c>
      <c r="D91" s="81">
        <v>3</v>
      </c>
      <c r="E91" s="81" t="s">
        <v>351</v>
      </c>
      <c r="F91" s="81">
        <v>2</v>
      </c>
      <c r="G91" s="76" t="s">
        <v>32</v>
      </c>
      <c r="H91" s="83"/>
      <c r="I91" s="103"/>
      <c r="J91" s="76" t="s">
        <v>127</v>
      </c>
      <c r="K91" s="104"/>
      <c r="L91" s="104">
        <v>1</v>
      </c>
      <c r="M91" s="105">
        <f>IF(Tabelle13245689101112[[#This Row],[Pulled after Start]]="",MIN(Tabelle13245689101112[[#This Row],[Jira Story Points]],Tabelle13245689101112[[#This Row],[Carry-over]]),0)</f>
        <v>2</v>
      </c>
      <c r="N91" s="106">
        <f>MIN(Tabelle13245689101112[[#This Row],[Jira Story Points]],Tabelle13245689101112[[#This Row],[Carry-over]])-Tabelle13245689101112[[#This Row],[SP Initially Planned (COS)]]</f>
        <v>0</v>
      </c>
      <c r="O91"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91" s="108">
        <f>IFERROR(IF(Tabelle13245689101112[[#This Row],[Status]]=$J$5,MIN(Tabelle13245689101112[[#This Row],[Jira Story Points]],Tabelle13245689101112[[#This Row],[Carry-over]]),0),0)</f>
        <v>0</v>
      </c>
      <c r="Q91" s="108">
        <f>IFERROR(IF(Tabelle13245689101112[[#This Row],[Status]]=$J$5,0,MIN(Tabelle13245689101112[[#This Row],[Jira Story Points]],Tabelle13245689101112[[#This Row],[Carry-over]])-Tabelle13245689101112[[#This Row],[SP Completed (COS &amp; SOS)]]),0)</f>
        <v>1</v>
      </c>
    </row>
    <row r="92" spans="1:17" s="46" customFormat="1" ht="13.5" hidden="1" customHeight="1">
      <c r="A92" s="88" t="s">
        <v>2021</v>
      </c>
      <c r="B92" s="80" t="s">
        <v>2022</v>
      </c>
      <c r="C92" s="81" t="s">
        <v>372</v>
      </c>
      <c r="D92" s="81">
        <v>3</v>
      </c>
      <c r="E92" s="81" t="s">
        <v>324</v>
      </c>
      <c r="F92" s="81">
        <v>3</v>
      </c>
      <c r="G92" s="76" t="s">
        <v>32</v>
      </c>
      <c r="H92" s="83"/>
      <c r="I92" s="103"/>
      <c r="J92" s="76" t="s">
        <v>125</v>
      </c>
      <c r="K92" s="104"/>
      <c r="L92" s="104"/>
      <c r="M92" s="105">
        <f>IF(Tabelle13245689101112[[#This Row],[Pulled after Start]]="",MIN(Tabelle13245689101112[[#This Row],[Jira Story Points]],Tabelle13245689101112[[#This Row],[Carry-over]]),0)</f>
        <v>3</v>
      </c>
      <c r="N92" s="106">
        <f>MIN(Tabelle13245689101112[[#This Row],[Jira Story Points]],Tabelle13245689101112[[#This Row],[Carry-over]])-Tabelle13245689101112[[#This Row],[SP Initially Planned (COS)]]</f>
        <v>0</v>
      </c>
      <c r="O92"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92" s="108">
        <f>IFERROR(IF(Tabelle13245689101112[[#This Row],[Status]]=$J$5,MIN(Tabelle13245689101112[[#This Row],[Jira Story Points]],Tabelle13245689101112[[#This Row],[Carry-over]]),0),0)</f>
        <v>0</v>
      </c>
      <c r="Q92" s="108">
        <f>IFERROR(IF(Tabelle13245689101112[[#This Row],[Status]]=$J$5,0,MIN(Tabelle13245689101112[[#This Row],[Jira Story Points]],Tabelle13245689101112[[#This Row],[Carry-over]])-Tabelle13245689101112[[#This Row],[SP Completed (COS &amp; SOS)]]),0)</f>
        <v>0</v>
      </c>
    </row>
    <row r="93" spans="1:17" s="46" customFormat="1" ht="13.5" hidden="1" customHeight="1">
      <c r="A93" s="88" t="s">
        <v>2023</v>
      </c>
      <c r="B93" s="80" t="s">
        <v>2024</v>
      </c>
      <c r="C93" s="81" t="s">
        <v>382</v>
      </c>
      <c r="D93" s="81">
        <v>3</v>
      </c>
      <c r="E93" s="81" t="s">
        <v>324</v>
      </c>
      <c r="F93" s="81">
        <v>1</v>
      </c>
      <c r="G93" s="76" t="s">
        <v>32</v>
      </c>
      <c r="H93" s="83" t="s">
        <v>209</v>
      </c>
      <c r="I93" s="103"/>
      <c r="J93" s="76" t="s">
        <v>125</v>
      </c>
      <c r="K93" s="104"/>
      <c r="L93" s="104"/>
      <c r="M93" s="105">
        <f>IF(Tabelle13245689101112[[#This Row],[Pulled after Start]]="",MIN(Tabelle13245689101112[[#This Row],[Jira Story Points]],Tabelle13245689101112[[#This Row],[Carry-over]]),0)</f>
        <v>0</v>
      </c>
      <c r="N93" s="106">
        <f>MIN(Tabelle13245689101112[[#This Row],[Jira Story Points]],Tabelle13245689101112[[#This Row],[Carry-over]])-Tabelle13245689101112[[#This Row],[SP Initially Planned (COS)]]</f>
        <v>1</v>
      </c>
      <c r="O93"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93" s="108">
        <f>IFERROR(IF(Tabelle13245689101112[[#This Row],[Status]]=$J$5,MIN(Tabelle13245689101112[[#This Row],[Jira Story Points]],Tabelle13245689101112[[#This Row],[Carry-over]]),0),0)</f>
        <v>0</v>
      </c>
      <c r="Q93" s="108">
        <f>IFERROR(IF(Tabelle13245689101112[[#This Row],[Status]]=$J$5,0,MIN(Tabelle13245689101112[[#This Row],[Jira Story Points]],Tabelle13245689101112[[#This Row],[Carry-over]])-Tabelle13245689101112[[#This Row],[SP Completed (COS &amp; SOS)]]),0)</f>
        <v>0</v>
      </c>
    </row>
    <row r="94" spans="1:17" s="46" customFormat="1" ht="13.5" hidden="1" customHeight="1">
      <c r="A94" s="128" t="s">
        <v>2025</v>
      </c>
      <c r="B94" s="133" t="s">
        <v>2026</v>
      </c>
      <c r="C94" s="81" t="s">
        <v>375</v>
      </c>
      <c r="D94" s="81">
        <v>2</v>
      </c>
      <c r="E94" s="81" t="s">
        <v>324</v>
      </c>
      <c r="F94" s="104">
        <v>1</v>
      </c>
      <c r="G94" s="76" t="s">
        <v>27</v>
      </c>
      <c r="H94" s="76" t="s">
        <v>209</v>
      </c>
      <c r="I94" s="131"/>
      <c r="J94" s="76" t="s">
        <v>125</v>
      </c>
      <c r="K94" s="104"/>
      <c r="L94" s="104"/>
      <c r="M94" s="105">
        <f>IF(Tabelle13245689101112[[#This Row],[Pulled after Start]]="",MIN(Tabelle13245689101112[[#This Row],[Jira Story Points]],Tabelle13245689101112[[#This Row],[Carry-over]]),0)</f>
        <v>0</v>
      </c>
      <c r="N94" s="106">
        <f>MIN(Tabelle13245689101112[[#This Row],[Jira Story Points]],Tabelle13245689101112[[#This Row],[Carry-over]])-Tabelle13245689101112[[#This Row],[SP Initially Planned (COS)]]</f>
        <v>1</v>
      </c>
      <c r="O94"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94" s="108">
        <f>IFERROR(IF(Tabelle13245689101112[[#This Row],[Status]]=$J$5,MIN(Tabelle13245689101112[[#This Row],[Jira Story Points]],Tabelle13245689101112[[#This Row],[Carry-over]]),0),0)</f>
        <v>0</v>
      </c>
      <c r="Q94" s="108">
        <f>IFERROR(IF(Tabelle13245689101112[[#This Row],[Status]]=$J$5,0,MIN(Tabelle13245689101112[[#This Row],[Jira Story Points]],Tabelle13245689101112[[#This Row],[Carry-over]])-Tabelle13245689101112[[#This Row],[SP Completed (COS &amp; SOS)]]),0)</f>
        <v>0</v>
      </c>
    </row>
    <row r="95" spans="1:17" s="46" customFormat="1" ht="13.5" hidden="1" customHeight="1">
      <c r="A95" s="129" t="s">
        <v>2027</v>
      </c>
      <c r="B95" s="133" t="s">
        <v>2028</v>
      </c>
      <c r="C95" s="81" t="s">
        <v>372</v>
      </c>
      <c r="D95" s="81">
        <v>3</v>
      </c>
      <c r="E95" s="81" t="s">
        <v>327</v>
      </c>
      <c r="F95" s="104">
        <v>3</v>
      </c>
      <c r="G95" s="76" t="s">
        <v>27</v>
      </c>
      <c r="H95" s="83" t="s">
        <v>209</v>
      </c>
      <c r="I95" s="130"/>
      <c r="J95" s="76" t="s">
        <v>125</v>
      </c>
      <c r="K95" s="104"/>
      <c r="L95" s="104"/>
      <c r="M95" s="105">
        <f>IF(Tabelle13245689101112[[#This Row],[Pulled after Start]]="",MIN(Tabelle13245689101112[[#This Row],[Jira Story Points]],Tabelle13245689101112[[#This Row],[Carry-over]]),0)</f>
        <v>0</v>
      </c>
      <c r="N95" s="106">
        <f>MIN(Tabelle13245689101112[[#This Row],[Jira Story Points]],Tabelle13245689101112[[#This Row],[Carry-over]])-Tabelle13245689101112[[#This Row],[SP Initially Planned (COS)]]</f>
        <v>3</v>
      </c>
      <c r="O95"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95" s="108">
        <f>IFERROR(IF(Tabelle13245689101112[[#This Row],[Status]]=$J$5,MIN(Tabelle13245689101112[[#This Row],[Jira Story Points]],Tabelle13245689101112[[#This Row],[Carry-over]]),0),0)</f>
        <v>0</v>
      </c>
      <c r="Q95" s="108">
        <f>IFERROR(IF(Tabelle13245689101112[[#This Row],[Status]]=$J$5,0,MIN(Tabelle13245689101112[[#This Row],[Jira Story Points]],Tabelle13245689101112[[#This Row],[Carry-over]])-Tabelle13245689101112[[#This Row],[SP Completed (COS &amp; SOS)]]),0)</f>
        <v>0</v>
      </c>
    </row>
    <row r="96" spans="1:17" s="46" customFormat="1" ht="13.5" hidden="1" customHeight="1">
      <c r="A96" s="128" t="s">
        <v>2029</v>
      </c>
      <c r="B96" s="134" t="s">
        <v>2030</v>
      </c>
      <c r="C96" s="81" t="s">
        <v>375</v>
      </c>
      <c r="D96" s="81">
        <v>2</v>
      </c>
      <c r="E96" s="81" t="s">
        <v>324</v>
      </c>
      <c r="F96" s="104">
        <v>5</v>
      </c>
      <c r="G96" s="76" t="s">
        <v>27</v>
      </c>
      <c r="H96" s="83"/>
      <c r="I96" s="131"/>
      <c r="J96" s="76" t="s">
        <v>125</v>
      </c>
      <c r="K96" s="104"/>
      <c r="L96" s="104"/>
      <c r="M96" s="105">
        <f>IF(Tabelle13245689101112[[#This Row],[Pulled after Start]]="",MIN(Tabelle13245689101112[[#This Row],[Jira Story Points]],Tabelle13245689101112[[#This Row],[Carry-over]]),0)</f>
        <v>5</v>
      </c>
      <c r="N96" s="106">
        <f>MIN(Tabelle13245689101112[[#This Row],[Jira Story Points]],Tabelle13245689101112[[#This Row],[Carry-over]])-Tabelle13245689101112[[#This Row],[SP Initially Planned (COS)]]</f>
        <v>0</v>
      </c>
      <c r="O96"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5</v>
      </c>
      <c r="P96" s="108">
        <f>IFERROR(IF(Tabelle13245689101112[[#This Row],[Status]]=$J$5,MIN(Tabelle13245689101112[[#This Row],[Jira Story Points]],Tabelle13245689101112[[#This Row],[Carry-over]]),0),0)</f>
        <v>0</v>
      </c>
      <c r="Q96" s="108">
        <f>IFERROR(IF(Tabelle13245689101112[[#This Row],[Status]]=$J$5,0,MIN(Tabelle13245689101112[[#This Row],[Jira Story Points]],Tabelle13245689101112[[#This Row],[Carry-over]])-Tabelle13245689101112[[#This Row],[SP Completed (COS &amp; SOS)]]),0)</f>
        <v>0</v>
      </c>
    </row>
    <row r="97" spans="1:17" s="46" customFormat="1" ht="13.5" hidden="1" customHeight="1">
      <c r="A97" s="129" t="s">
        <v>2031</v>
      </c>
      <c r="B97" s="133" t="s">
        <v>2032</v>
      </c>
      <c r="C97" s="81" t="s">
        <v>372</v>
      </c>
      <c r="D97" s="81">
        <v>3</v>
      </c>
      <c r="E97" s="81" t="s">
        <v>1247</v>
      </c>
      <c r="F97" s="104">
        <v>2</v>
      </c>
      <c r="G97" s="76" t="s">
        <v>27</v>
      </c>
      <c r="H97" s="76"/>
      <c r="I97" s="130"/>
      <c r="J97" s="76" t="s">
        <v>125</v>
      </c>
      <c r="K97" s="104"/>
      <c r="L97" s="104"/>
      <c r="M97" s="105">
        <f>IF(Tabelle13245689101112[[#This Row],[Pulled after Start]]="",MIN(Tabelle13245689101112[[#This Row],[Jira Story Points]],Tabelle13245689101112[[#This Row],[Carry-over]]),0)</f>
        <v>2</v>
      </c>
      <c r="N97" s="106">
        <f>MIN(Tabelle13245689101112[[#This Row],[Jira Story Points]],Tabelle13245689101112[[#This Row],[Carry-over]])-Tabelle13245689101112[[#This Row],[SP Initially Planned (COS)]]</f>
        <v>0</v>
      </c>
      <c r="O97"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97" s="108">
        <f>IFERROR(IF(Tabelle13245689101112[[#This Row],[Status]]=$J$5,MIN(Tabelle13245689101112[[#This Row],[Jira Story Points]],Tabelle13245689101112[[#This Row],[Carry-over]]),0),0)</f>
        <v>0</v>
      </c>
      <c r="Q97" s="108">
        <f>IFERROR(IF(Tabelle13245689101112[[#This Row],[Status]]=$J$5,0,MIN(Tabelle13245689101112[[#This Row],[Jira Story Points]],Tabelle13245689101112[[#This Row],[Carry-over]])-Tabelle13245689101112[[#This Row],[SP Completed (COS &amp; SOS)]]),0)</f>
        <v>0</v>
      </c>
    </row>
    <row r="98" spans="1:17" s="46" customFormat="1" ht="13.5" hidden="1" customHeight="1">
      <c r="A98" s="128" t="s">
        <v>1707</v>
      </c>
      <c r="B98" s="134" t="s">
        <v>1708</v>
      </c>
      <c r="C98" s="81" t="s">
        <v>372</v>
      </c>
      <c r="D98" s="81">
        <v>3</v>
      </c>
      <c r="E98" s="81" t="s">
        <v>327</v>
      </c>
      <c r="F98" s="104">
        <v>5</v>
      </c>
      <c r="G98" s="76" t="s">
        <v>27</v>
      </c>
      <c r="H98" s="76"/>
      <c r="I98" s="131"/>
      <c r="J98" s="76" t="s">
        <v>127</v>
      </c>
      <c r="K98" s="104"/>
      <c r="L98" s="104">
        <v>1</v>
      </c>
      <c r="M98" s="105">
        <f>IF(Tabelle13245689101112[[#This Row],[Pulled after Start]]="",MIN(Tabelle13245689101112[[#This Row],[Jira Story Points]],Tabelle13245689101112[[#This Row],[Carry-over]]),0)</f>
        <v>5</v>
      </c>
      <c r="N98" s="106">
        <f>MIN(Tabelle13245689101112[[#This Row],[Jira Story Points]],Tabelle13245689101112[[#This Row],[Carry-over]])-Tabelle13245689101112[[#This Row],[SP Initially Planned (COS)]]</f>
        <v>0</v>
      </c>
      <c r="O98"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4</v>
      </c>
      <c r="P98" s="108">
        <f>IFERROR(IF(Tabelle13245689101112[[#This Row],[Status]]=$J$5,MIN(Tabelle13245689101112[[#This Row],[Jira Story Points]],Tabelle13245689101112[[#This Row],[Carry-over]]),0),0)</f>
        <v>0</v>
      </c>
      <c r="Q98" s="108">
        <f>IFERROR(IF(Tabelle13245689101112[[#This Row],[Status]]=$J$5,0,MIN(Tabelle13245689101112[[#This Row],[Jira Story Points]],Tabelle13245689101112[[#This Row],[Carry-over]])-Tabelle13245689101112[[#This Row],[SP Completed (COS &amp; SOS)]]),0)</f>
        <v>1</v>
      </c>
    </row>
    <row r="99" spans="1:17" s="46" customFormat="1" ht="13.5" hidden="1" customHeight="1">
      <c r="A99" s="129" t="s">
        <v>2033</v>
      </c>
      <c r="B99" s="133" t="s">
        <v>2034</v>
      </c>
      <c r="C99" s="81" t="s">
        <v>372</v>
      </c>
      <c r="D99" s="81">
        <v>3</v>
      </c>
      <c r="E99" s="81" t="s">
        <v>327</v>
      </c>
      <c r="F99" s="104">
        <v>13</v>
      </c>
      <c r="G99" s="76" t="s">
        <v>27</v>
      </c>
      <c r="H99" s="83"/>
      <c r="I99" s="130"/>
      <c r="J99" s="76" t="s">
        <v>125</v>
      </c>
      <c r="K99" s="104"/>
      <c r="L99" s="104"/>
      <c r="M99" s="105">
        <f>IF(Tabelle13245689101112[[#This Row],[Pulled after Start]]="",MIN(Tabelle13245689101112[[#This Row],[Jira Story Points]],Tabelle13245689101112[[#This Row],[Carry-over]]),0)</f>
        <v>13</v>
      </c>
      <c r="N99" s="106">
        <f>MIN(Tabelle13245689101112[[#This Row],[Jira Story Points]],Tabelle13245689101112[[#This Row],[Carry-over]])-Tabelle13245689101112[[#This Row],[SP Initially Planned (COS)]]</f>
        <v>0</v>
      </c>
      <c r="O99"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13</v>
      </c>
      <c r="P99" s="108">
        <f>IFERROR(IF(Tabelle13245689101112[[#This Row],[Status]]=$J$5,MIN(Tabelle13245689101112[[#This Row],[Jira Story Points]],Tabelle13245689101112[[#This Row],[Carry-over]]),0),0)</f>
        <v>0</v>
      </c>
      <c r="Q99" s="108">
        <f>IFERROR(IF(Tabelle13245689101112[[#This Row],[Status]]=$J$5,0,MIN(Tabelle13245689101112[[#This Row],[Jira Story Points]],Tabelle13245689101112[[#This Row],[Carry-over]])-Tabelle13245689101112[[#This Row],[SP Completed (COS &amp; SOS)]]),0)</f>
        <v>0</v>
      </c>
    </row>
    <row r="100" spans="1:17" s="46" customFormat="1" ht="13.5" hidden="1" customHeight="1">
      <c r="A100" s="128" t="s">
        <v>426</v>
      </c>
      <c r="B100" s="134" t="s">
        <v>427</v>
      </c>
      <c r="C100" s="81" t="s">
        <v>375</v>
      </c>
      <c r="D100" s="81">
        <v>3</v>
      </c>
      <c r="E100" s="81" t="s">
        <v>327</v>
      </c>
      <c r="F100" s="104">
        <v>3</v>
      </c>
      <c r="G100" s="76" t="s">
        <v>27</v>
      </c>
      <c r="H100" s="83" t="s">
        <v>209</v>
      </c>
      <c r="I100" s="131"/>
      <c r="J100" s="76" t="s">
        <v>125</v>
      </c>
      <c r="K100" s="104"/>
      <c r="L100" s="104"/>
      <c r="M100" s="105">
        <f>IF(Tabelle13245689101112[[#This Row],[Pulled after Start]]="",MIN(Tabelle13245689101112[[#This Row],[Jira Story Points]],Tabelle13245689101112[[#This Row],[Carry-over]]),0)</f>
        <v>0</v>
      </c>
      <c r="N100" s="106">
        <f>MIN(Tabelle13245689101112[[#This Row],[Jira Story Points]],Tabelle13245689101112[[#This Row],[Carry-over]])-Tabelle13245689101112[[#This Row],[SP Initially Planned (COS)]]</f>
        <v>3</v>
      </c>
      <c r="O100"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100" s="108">
        <f>IFERROR(IF(Tabelle13245689101112[[#This Row],[Status]]=$J$5,MIN(Tabelle13245689101112[[#This Row],[Jira Story Points]],Tabelle13245689101112[[#This Row],[Carry-over]]),0),0)</f>
        <v>0</v>
      </c>
      <c r="Q100" s="108">
        <f>IFERROR(IF(Tabelle13245689101112[[#This Row],[Status]]=$J$5,0,MIN(Tabelle13245689101112[[#This Row],[Jira Story Points]],Tabelle13245689101112[[#This Row],[Carry-over]])-Tabelle13245689101112[[#This Row],[SP Completed (COS &amp; SOS)]]),0)</f>
        <v>0</v>
      </c>
    </row>
    <row r="101" spans="1:17" s="46" customFormat="1" ht="13.5" hidden="1" customHeight="1">
      <c r="A101" s="129" t="s">
        <v>2035</v>
      </c>
      <c r="B101" s="133" t="s">
        <v>2036</v>
      </c>
      <c r="C101" s="81" t="s">
        <v>372</v>
      </c>
      <c r="D101" s="81">
        <v>3</v>
      </c>
      <c r="E101" s="81" t="s">
        <v>324</v>
      </c>
      <c r="F101" s="104">
        <v>1</v>
      </c>
      <c r="G101" s="76" t="s">
        <v>27</v>
      </c>
      <c r="H101" s="76"/>
      <c r="I101" s="130"/>
      <c r="J101" s="76" t="s">
        <v>125</v>
      </c>
      <c r="K101" s="104"/>
      <c r="L101" s="104"/>
      <c r="M101" s="105">
        <f>IF(Tabelle13245689101112[[#This Row],[Pulled after Start]]="",MIN(Tabelle13245689101112[[#This Row],[Jira Story Points]],Tabelle13245689101112[[#This Row],[Carry-over]]),0)</f>
        <v>1</v>
      </c>
      <c r="N101" s="106">
        <f>MIN(Tabelle13245689101112[[#This Row],[Jira Story Points]],Tabelle13245689101112[[#This Row],[Carry-over]])-Tabelle13245689101112[[#This Row],[SP Initially Planned (COS)]]</f>
        <v>0</v>
      </c>
      <c r="O101"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101" s="108">
        <f>IFERROR(IF(Tabelle13245689101112[[#This Row],[Status]]=$J$5,MIN(Tabelle13245689101112[[#This Row],[Jira Story Points]],Tabelle13245689101112[[#This Row],[Carry-over]]),0),0)</f>
        <v>0</v>
      </c>
      <c r="Q101" s="108">
        <f>IFERROR(IF(Tabelle13245689101112[[#This Row],[Status]]=$J$5,0,MIN(Tabelle13245689101112[[#This Row],[Jira Story Points]],Tabelle13245689101112[[#This Row],[Carry-over]])-Tabelle13245689101112[[#This Row],[SP Completed (COS &amp; SOS)]]),0)</f>
        <v>0</v>
      </c>
    </row>
    <row r="102" spans="1:17" s="46" customFormat="1" ht="13.5" hidden="1" customHeight="1">
      <c r="A102" s="128" t="s">
        <v>2037</v>
      </c>
      <c r="B102" s="134" t="s">
        <v>2038</v>
      </c>
      <c r="C102" s="81" t="s">
        <v>372</v>
      </c>
      <c r="D102" s="81">
        <v>3</v>
      </c>
      <c r="E102" s="81" t="s">
        <v>327</v>
      </c>
      <c r="F102" s="104">
        <v>3</v>
      </c>
      <c r="G102" s="76" t="s">
        <v>27</v>
      </c>
      <c r="H102" s="131"/>
      <c r="I102" s="131"/>
      <c r="J102" s="76" t="s">
        <v>125</v>
      </c>
      <c r="K102" s="104"/>
      <c r="L102" s="104"/>
      <c r="M102" s="105">
        <f>IF(Tabelle13245689101112[[#This Row],[Pulled after Start]]="",MIN(Tabelle13245689101112[[#This Row],[Jira Story Points]],Tabelle13245689101112[[#This Row],[Carry-over]]),0)</f>
        <v>3</v>
      </c>
      <c r="N102" s="106">
        <f>MIN(Tabelle13245689101112[[#This Row],[Jira Story Points]],Tabelle13245689101112[[#This Row],[Carry-over]])-Tabelle13245689101112[[#This Row],[SP Initially Planned (COS)]]</f>
        <v>0</v>
      </c>
      <c r="O102"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102" s="108">
        <f>IFERROR(IF(Tabelle13245689101112[[#This Row],[Status]]=$J$5,MIN(Tabelle13245689101112[[#This Row],[Jira Story Points]],Tabelle13245689101112[[#This Row],[Carry-over]]),0),0)</f>
        <v>0</v>
      </c>
      <c r="Q102" s="108">
        <f>IFERROR(IF(Tabelle13245689101112[[#This Row],[Status]]=$J$5,0,MIN(Tabelle13245689101112[[#This Row],[Jira Story Points]],Tabelle13245689101112[[#This Row],[Carry-over]])-Tabelle13245689101112[[#This Row],[SP Completed (COS &amp; SOS)]]),0)</f>
        <v>0</v>
      </c>
    </row>
    <row r="103" spans="1:17" s="46" customFormat="1" ht="13.5" hidden="1" customHeight="1">
      <c r="A103" s="88" t="s">
        <v>2039</v>
      </c>
      <c r="B103" s="135" t="s">
        <v>2040</v>
      </c>
      <c r="C103" s="81" t="s">
        <v>372</v>
      </c>
      <c r="D103" s="81">
        <v>2</v>
      </c>
      <c r="E103" s="81" t="s">
        <v>324</v>
      </c>
      <c r="F103" s="81">
        <v>3</v>
      </c>
      <c r="G103" s="76" t="s">
        <v>5</v>
      </c>
      <c r="H103" s="83"/>
      <c r="I103" s="76"/>
      <c r="J103" s="76" t="s">
        <v>125</v>
      </c>
      <c r="K103" s="104"/>
      <c r="L103" s="104"/>
      <c r="M103" s="105">
        <f>IF(Tabelle13245689101112[[#This Row],[Pulled after Start]]="",MIN(Tabelle13245689101112[[#This Row],[Jira Story Points]],Tabelle13245689101112[[#This Row],[Carry-over]]),0)</f>
        <v>3</v>
      </c>
      <c r="N103" s="106">
        <f>MIN(Tabelle13245689101112[[#This Row],[Jira Story Points]],Tabelle13245689101112[[#This Row],[Carry-over]])-Tabelle13245689101112[[#This Row],[SP Initially Planned (COS)]]</f>
        <v>0</v>
      </c>
      <c r="O103"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103" s="108">
        <f>IFERROR(IF(Tabelle13245689101112[[#This Row],[Status]]=$J$5,MIN(Tabelle13245689101112[[#This Row],[Jira Story Points]],Tabelle13245689101112[[#This Row],[Carry-over]]),0),0)</f>
        <v>0</v>
      </c>
      <c r="Q103" s="108">
        <f>IFERROR(IF(Tabelle13245689101112[[#This Row],[Status]]=$J$5,0,MIN(Tabelle13245689101112[[#This Row],[Jira Story Points]],Tabelle13245689101112[[#This Row],[Carry-over]])-Tabelle13245689101112[[#This Row],[SP Completed (COS &amp; SOS)]]),0)</f>
        <v>0</v>
      </c>
    </row>
    <row r="104" spans="1:17" s="46" customFormat="1" ht="13.5" hidden="1" customHeight="1">
      <c r="A104" s="88" t="s">
        <v>2041</v>
      </c>
      <c r="B104" s="135" t="s">
        <v>2042</v>
      </c>
      <c r="C104" s="81" t="s">
        <v>372</v>
      </c>
      <c r="D104" s="81">
        <v>3</v>
      </c>
      <c r="E104" s="81" t="s">
        <v>324</v>
      </c>
      <c r="F104" s="81">
        <v>1</v>
      </c>
      <c r="G104" s="76" t="s">
        <v>5</v>
      </c>
      <c r="H104" s="83" t="s">
        <v>209</v>
      </c>
      <c r="I104" s="76"/>
      <c r="J104" s="76" t="s">
        <v>125</v>
      </c>
      <c r="K104" s="104"/>
      <c r="L104" s="104"/>
      <c r="M104" s="105">
        <f>IF(Tabelle13245689101112[[#This Row],[Pulled after Start]]="",MIN(Tabelle13245689101112[[#This Row],[Jira Story Points]],Tabelle13245689101112[[#This Row],[Carry-over]]),0)</f>
        <v>0</v>
      </c>
      <c r="N104" s="106">
        <f>MIN(Tabelle13245689101112[[#This Row],[Jira Story Points]],Tabelle13245689101112[[#This Row],[Carry-over]])-Tabelle13245689101112[[#This Row],[SP Initially Planned (COS)]]</f>
        <v>1</v>
      </c>
      <c r="O104"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104" s="108">
        <f>IFERROR(IF(Tabelle13245689101112[[#This Row],[Status]]=$J$5,MIN(Tabelle13245689101112[[#This Row],[Jira Story Points]],Tabelle13245689101112[[#This Row],[Carry-over]]),0),0)</f>
        <v>0</v>
      </c>
      <c r="Q104" s="108">
        <f>IFERROR(IF(Tabelle13245689101112[[#This Row],[Status]]=$J$5,0,MIN(Tabelle13245689101112[[#This Row],[Jira Story Points]],Tabelle13245689101112[[#This Row],[Carry-over]])-Tabelle13245689101112[[#This Row],[SP Completed (COS &amp; SOS)]]),0)</f>
        <v>0</v>
      </c>
    </row>
    <row r="105" spans="1:17" s="46" customFormat="1" ht="13.5" hidden="1" customHeight="1">
      <c r="A105" s="88" t="s">
        <v>2043</v>
      </c>
      <c r="B105" s="135" t="s">
        <v>2044</v>
      </c>
      <c r="C105" s="81" t="s">
        <v>372</v>
      </c>
      <c r="D105" s="81">
        <v>3</v>
      </c>
      <c r="E105" s="81" t="s">
        <v>324</v>
      </c>
      <c r="F105" s="81">
        <v>1</v>
      </c>
      <c r="G105" s="76" t="s">
        <v>5</v>
      </c>
      <c r="H105" s="83"/>
      <c r="I105" s="76"/>
      <c r="J105" s="76" t="s">
        <v>125</v>
      </c>
      <c r="K105" s="104"/>
      <c r="L105" s="104"/>
      <c r="M105" s="105">
        <f>IF(Tabelle13245689101112[[#This Row],[Pulled after Start]]="",MIN(Tabelle13245689101112[[#This Row],[Jira Story Points]],Tabelle13245689101112[[#This Row],[Carry-over]]),0)</f>
        <v>1</v>
      </c>
      <c r="N105" s="106">
        <f>MIN(Tabelle13245689101112[[#This Row],[Jira Story Points]],Tabelle13245689101112[[#This Row],[Carry-over]])-Tabelle13245689101112[[#This Row],[SP Initially Planned (COS)]]</f>
        <v>0</v>
      </c>
      <c r="O105"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105" s="108">
        <f>IFERROR(IF(Tabelle13245689101112[[#This Row],[Status]]=$J$5,MIN(Tabelle13245689101112[[#This Row],[Jira Story Points]],Tabelle13245689101112[[#This Row],[Carry-over]]),0),0)</f>
        <v>0</v>
      </c>
      <c r="Q105" s="108">
        <f>IFERROR(IF(Tabelle13245689101112[[#This Row],[Status]]=$J$5,0,MIN(Tabelle13245689101112[[#This Row],[Jira Story Points]],Tabelle13245689101112[[#This Row],[Carry-over]])-Tabelle13245689101112[[#This Row],[SP Completed (COS &amp; SOS)]]),0)</f>
        <v>0</v>
      </c>
    </row>
    <row r="106" spans="1:17" s="46" customFormat="1" ht="13.5" hidden="1" customHeight="1">
      <c r="A106" s="88" t="s">
        <v>2045</v>
      </c>
      <c r="B106" s="135" t="s">
        <v>2046</v>
      </c>
      <c r="C106" s="81" t="s">
        <v>372</v>
      </c>
      <c r="D106" s="81">
        <v>3</v>
      </c>
      <c r="E106" s="81" t="s">
        <v>324</v>
      </c>
      <c r="F106" s="81">
        <v>5</v>
      </c>
      <c r="G106" s="76" t="s">
        <v>5</v>
      </c>
      <c r="H106" s="83"/>
      <c r="I106" s="76"/>
      <c r="J106" s="76" t="s">
        <v>125</v>
      </c>
      <c r="K106" s="104"/>
      <c r="L106" s="104"/>
      <c r="M106" s="105">
        <f>IF(Tabelle13245689101112[[#This Row],[Pulled after Start]]="",MIN(Tabelle13245689101112[[#This Row],[Jira Story Points]],Tabelle13245689101112[[#This Row],[Carry-over]]),0)</f>
        <v>5</v>
      </c>
      <c r="N106" s="106">
        <f>MIN(Tabelle13245689101112[[#This Row],[Jira Story Points]],Tabelle13245689101112[[#This Row],[Carry-over]])-Tabelle13245689101112[[#This Row],[SP Initially Planned (COS)]]</f>
        <v>0</v>
      </c>
      <c r="O106"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5</v>
      </c>
      <c r="P106" s="108">
        <f>IFERROR(IF(Tabelle13245689101112[[#This Row],[Status]]=$J$5,MIN(Tabelle13245689101112[[#This Row],[Jira Story Points]],Tabelle13245689101112[[#This Row],[Carry-over]]),0),0)</f>
        <v>0</v>
      </c>
      <c r="Q106" s="108">
        <f>IFERROR(IF(Tabelle13245689101112[[#This Row],[Status]]=$J$5,0,MIN(Tabelle13245689101112[[#This Row],[Jira Story Points]],Tabelle13245689101112[[#This Row],[Carry-over]])-Tabelle13245689101112[[#This Row],[SP Completed (COS &amp; SOS)]]),0)</f>
        <v>0</v>
      </c>
    </row>
    <row r="107" spans="1:17" s="46" customFormat="1" ht="13.5" hidden="1" customHeight="1">
      <c r="A107" s="88" t="s">
        <v>2047</v>
      </c>
      <c r="B107" s="135" t="s">
        <v>2048</v>
      </c>
      <c r="C107" s="81" t="s">
        <v>372</v>
      </c>
      <c r="D107" s="81">
        <v>3</v>
      </c>
      <c r="E107" s="81" t="s">
        <v>324</v>
      </c>
      <c r="F107" s="81">
        <v>2</v>
      </c>
      <c r="G107" s="76" t="s">
        <v>5</v>
      </c>
      <c r="H107" s="76" t="s">
        <v>209</v>
      </c>
      <c r="I107" s="76"/>
      <c r="J107" s="76" t="s">
        <v>125</v>
      </c>
      <c r="K107" s="104"/>
      <c r="L107" s="104"/>
      <c r="M107" s="105">
        <f>IF(Tabelle13245689101112[[#This Row],[Pulled after Start]]="",MIN(Tabelle13245689101112[[#This Row],[Jira Story Points]],Tabelle13245689101112[[#This Row],[Carry-over]]),0)</f>
        <v>0</v>
      </c>
      <c r="N107" s="106">
        <f>MIN(Tabelle13245689101112[[#This Row],[Jira Story Points]],Tabelle13245689101112[[#This Row],[Carry-over]])-Tabelle13245689101112[[#This Row],[SP Initially Planned (COS)]]</f>
        <v>2</v>
      </c>
      <c r="O107"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107" s="108">
        <f>IFERROR(IF(Tabelle13245689101112[[#This Row],[Status]]=$J$5,MIN(Tabelle13245689101112[[#This Row],[Jira Story Points]],Tabelle13245689101112[[#This Row],[Carry-over]]),0),0)</f>
        <v>0</v>
      </c>
      <c r="Q107" s="108">
        <f>IFERROR(IF(Tabelle13245689101112[[#This Row],[Status]]=$J$5,0,MIN(Tabelle13245689101112[[#This Row],[Jira Story Points]],Tabelle13245689101112[[#This Row],[Carry-over]])-Tabelle13245689101112[[#This Row],[SP Completed (COS &amp; SOS)]]),0)</f>
        <v>0</v>
      </c>
    </row>
    <row r="108" spans="1:17" s="46" customFormat="1" ht="13.5" hidden="1" customHeight="1">
      <c r="A108" s="88" t="s">
        <v>2049</v>
      </c>
      <c r="B108" s="135" t="s">
        <v>2050</v>
      </c>
      <c r="C108" s="81" t="s">
        <v>372</v>
      </c>
      <c r="D108" s="81">
        <v>3</v>
      </c>
      <c r="E108" s="81" t="s">
        <v>327</v>
      </c>
      <c r="F108" s="81">
        <v>5</v>
      </c>
      <c r="G108" s="76" t="s">
        <v>5</v>
      </c>
      <c r="H108" s="76"/>
      <c r="I108" s="76"/>
      <c r="J108" s="76" t="s">
        <v>125</v>
      </c>
      <c r="K108" s="104">
        <v>5</v>
      </c>
      <c r="L108" s="104"/>
      <c r="M108" s="105">
        <f>IF(Tabelle13245689101112[[#This Row],[Pulled after Start]]="",MIN(Tabelle13245689101112[[#This Row],[Jira Story Points]],Tabelle13245689101112[[#This Row],[Carry-over]]),0)</f>
        <v>5</v>
      </c>
      <c r="N108" s="106">
        <f>MIN(Tabelle13245689101112[[#This Row],[Jira Story Points]],Tabelle13245689101112[[#This Row],[Carry-over]])-Tabelle13245689101112[[#This Row],[SP Initially Planned (COS)]]</f>
        <v>0</v>
      </c>
      <c r="O108"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5</v>
      </c>
      <c r="P108" s="108">
        <f>IFERROR(IF(Tabelle13245689101112[[#This Row],[Status]]=$J$5,MIN(Tabelle13245689101112[[#This Row],[Jira Story Points]],Tabelle13245689101112[[#This Row],[Carry-over]]),0),0)</f>
        <v>0</v>
      </c>
      <c r="Q108" s="108">
        <f>IFERROR(IF(Tabelle13245689101112[[#This Row],[Status]]=$J$5,0,MIN(Tabelle13245689101112[[#This Row],[Jira Story Points]],Tabelle13245689101112[[#This Row],[Carry-over]])-Tabelle13245689101112[[#This Row],[SP Completed (COS &amp; SOS)]]),0)</f>
        <v>0</v>
      </c>
    </row>
    <row r="109" spans="1:17" s="46" customFormat="1" ht="13.5" hidden="1" customHeight="1">
      <c r="A109" s="88" t="s">
        <v>1824</v>
      </c>
      <c r="B109" s="135" t="s">
        <v>1825</v>
      </c>
      <c r="C109" s="81" t="s">
        <v>372</v>
      </c>
      <c r="D109" s="81">
        <v>3</v>
      </c>
      <c r="E109" s="81" t="s">
        <v>327</v>
      </c>
      <c r="F109" s="81">
        <v>8</v>
      </c>
      <c r="G109" s="76" t="s">
        <v>5</v>
      </c>
      <c r="H109" s="76"/>
      <c r="I109" s="136" t="s">
        <v>2051</v>
      </c>
      <c r="J109" s="76" t="s">
        <v>127</v>
      </c>
      <c r="K109" s="104">
        <v>5</v>
      </c>
      <c r="L109" s="104">
        <v>3</v>
      </c>
      <c r="M109" s="105">
        <f>IF(Tabelle13245689101112[[#This Row],[Pulled after Start]]="",MIN(Tabelle13245689101112[[#This Row],[Jira Story Points]],Tabelle13245689101112[[#This Row],[Carry-over]]),0)</f>
        <v>5</v>
      </c>
      <c r="N109" s="106">
        <f>MIN(Tabelle13245689101112[[#This Row],[Jira Story Points]],Tabelle13245689101112[[#This Row],[Carry-over]])-Tabelle13245689101112[[#This Row],[SP Initially Planned (COS)]]</f>
        <v>0</v>
      </c>
      <c r="O109"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109" s="108">
        <f>IFERROR(IF(Tabelle13245689101112[[#This Row],[Status]]=$J$5,MIN(Tabelle13245689101112[[#This Row],[Jira Story Points]],Tabelle13245689101112[[#This Row],[Carry-over]]),0),0)</f>
        <v>0</v>
      </c>
      <c r="Q109" s="108">
        <f>IFERROR(IF(Tabelle13245689101112[[#This Row],[Status]]=$J$5,0,MIN(Tabelle13245689101112[[#This Row],[Jira Story Points]],Tabelle13245689101112[[#This Row],[Carry-over]])-Tabelle13245689101112[[#This Row],[SP Completed (COS &amp; SOS)]]),0)</f>
        <v>3</v>
      </c>
    </row>
    <row r="110" spans="1:17" s="46" customFormat="1" ht="13.5" hidden="1" customHeight="1">
      <c r="A110" s="88" t="s">
        <v>2052</v>
      </c>
      <c r="B110" s="135" t="s">
        <v>2053</v>
      </c>
      <c r="C110" s="81" t="s">
        <v>372</v>
      </c>
      <c r="D110" s="81">
        <v>3</v>
      </c>
      <c r="E110" s="81" t="s">
        <v>327</v>
      </c>
      <c r="F110" s="81">
        <v>5</v>
      </c>
      <c r="G110" s="76" t="s">
        <v>5</v>
      </c>
      <c r="H110" s="76"/>
      <c r="I110" s="76"/>
      <c r="J110" s="76" t="s">
        <v>125</v>
      </c>
      <c r="K110" s="104"/>
      <c r="L110" s="104"/>
      <c r="M110" s="105">
        <f>IF(Tabelle13245689101112[[#This Row],[Pulled after Start]]="",MIN(Tabelle13245689101112[[#This Row],[Jira Story Points]],Tabelle13245689101112[[#This Row],[Carry-over]]),0)</f>
        <v>5</v>
      </c>
      <c r="N110" s="106">
        <f>MIN(Tabelle13245689101112[[#This Row],[Jira Story Points]],Tabelle13245689101112[[#This Row],[Carry-over]])-Tabelle13245689101112[[#This Row],[SP Initially Planned (COS)]]</f>
        <v>0</v>
      </c>
      <c r="O110"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5</v>
      </c>
      <c r="P110" s="108">
        <f>IFERROR(IF(Tabelle13245689101112[[#This Row],[Status]]=$J$5,MIN(Tabelle13245689101112[[#This Row],[Jira Story Points]],Tabelle13245689101112[[#This Row],[Carry-over]]),0),0)</f>
        <v>0</v>
      </c>
      <c r="Q110" s="108">
        <f>IFERROR(IF(Tabelle13245689101112[[#This Row],[Status]]=$J$5,0,MIN(Tabelle13245689101112[[#This Row],[Jira Story Points]],Tabelle13245689101112[[#This Row],[Carry-over]])-Tabelle13245689101112[[#This Row],[SP Completed (COS &amp; SOS)]]),0)</f>
        <v>0</v>
      </c>
    </row>
    <row r="111" spans="1:17" s="46" customFormat="1" ht="13.5" hidden="1" customHeight="1">
      <c r="A111" s="88" t="s">
        <v>2054</v>
      </c>
      <c r="B111" s="135" t="s">
        <v>2055</v>
      </c>
      <c r="C111" s="81" t="s">
        <v>372</v>
      </c>
      <c r="D111" s="81">
        <v>3</v>
      </c>
      <c r="E111" s="81" t="s">
        <v>327</v>
      </c>
      <c r="F111" s="81">
        <v>8</v>
      </c>
      <c r="G111" s="76" t="s">
        <v>5</v>
      </c>
      <c r="H111" s="76"/>
      <c r="I111" s="76"/>
      <c r="J111" s="76" t="s">
        <v>125</v>
      </c>
      <c r="K111" s="104"/>
      <c r="L111" s="104"/>
      <c r="M111" s="105">
        <f>IF(Tabelle13245689101112[[#This Row],[Pulled after Start]]="",MIN(Tabelle13245689101112[[#This Row],[Jira Story Points]],Tabelle13245689101112[[#This Row],[Carry-over]]),0)</f>
        <v>8</v>
      </c>
      <c r="N111" s="106">
        <f>MIN(Tabelle13245689101112[[#This Row],[Jira Story Points]],Tabelle13245689101112[[#This Row],[Carry-over]])-Tabelle13245689101112[[#This Row],[SP Initially Planned (COS)]]</f>
        <v>0</v>
      </c>
      <c r="O111"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8</v>
      </c>
      <c r="P111" s="108">
        <f>IFERROR(IF(Tabelle13245689101112[[#This Row],[Status]]=$J$5,MIN(Tabelle13245689101112[[#This Row],[Jira Story Points]],Tabelle13245689101112[[#This Row],[Carry-over]]),0),0)</f>
        <v>0</v>
      </c>
      <c r="Q111" s="108">
        <f>IFERROR(IF(Tabelle13245689101112[[#This Row],[Status]]=$J$5,0,MIN(Tabelle13245689101112[[#This Row],[Jira Story Points]],Tabelle13245689101112[[#This Row],[Carry-over]])-Tabelle13245689101112[[#This Row],[SP Completed (COS &amp; SOS)]]),0)</f>
        <v>0</v>
      </c>
    </row>
    <row r="112" spans="1:17" s="46" customFormat="1" ht="13.5" hidden="1" customHeight="1">
      <c r="A112" s="88" t="s">
        <v>1627</v>
      </c>
      <c r="B112" s="135" t="s">
        <v>1628</v>
      </c>
      <c r="C112" s="81" t="s">
        <v>372</v>
      </c>
      <c r="D112" s="81">
        <v>3</v>
      </c>
      <c r="E112" s="81" t="s">
        <v>327</v>
      </c>
      <c r="F112" s="81">
        <v>8</v>
      </c>
      <c r="G112" s="76" t="s">
        <v>5</v>
      </c>
      <c r="H112" s="76"/>
      <c r="I112" s="136"/>
      <c r="J112" s="76" t="s">
        <v>127</v>
      </c>
      <c r="K112" s="104">
        <v>5</v>
      </c>
      <c r="L112" s="104">
        <v>2</v>
      </c>
      <c r="M112" s="105">
        <f>IF(Tabelle13245689101112[[#This Row],[Pulled after Start]]="",MIN(Tabelle13245689101112[[#This Row],[Jira Story Points]],Tabelle13245689101112[[#This Row],[Carry-over]]),0)</f>
        <v>5</v>
      </c>
      <c r="N112" s="106">
        <f>MIN(Tabelle13245689101112[[#This Row],[Jira Story Points]],Tabelle13245689101112[[#This Row],[Carry-over]])-Tabelle13245689101112[[#This Row],[SP Initially Planned (COS)]]</f>
        <v>0</v>
      </c>
      <c r="O112"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112" s="108">
        <f>IFERROR(IF(Tabelle13245689101112[[#This Row],[Status]]=$J$5,MIN(Tabelle13245689101112[[#This Row],[Jira Story Points]],Tabelle13245689101112[[#This Row],[Carry-over]]),0),0)</f>
        <v>0</v>
      </c>
      <c r="Q112" s="108">
        <f>IFERROR(IF(Tabelle13245689101112[[#This Row],[Status]]=$J$5,0,MIN(Tabelle13245689101112[[#This Row],[Jira Story Points]],Tabelle13245689101112[[#This Row],[Carry-over]])-Tabelle13245689101112[[#This Row],[SP Completed (COS &amp; SOS)]]),0)</f>
        <v>2</v>
      </c>
    </row>
    <row r="113" spans="1:17" s="46" customFormat="1" ht="13.5" hidden="1" customHeight="1">
      <c r="A113" s="88" t="s">
        <v>2056</v>
      </c>
      <c r="B113" s="135" t="s">
        <v>2057</v>
      </c>
      <c r="C113" s="81" t="s">
        <v>372</v>
      </c>
      <c r="D113" s="81">
        <v>3</v>
      </c>
      <c r="E113" s="81" t="s">
        <v>637</v>
      </c>
      <c r="F113" s="81">
        <v>3</v>
      </c>
      <c r="G113" s="76" t="s">
        <v>5</v>
      </c>
      <c r="H113" s="83"/>
      <c r="I113" s="76"/>
      <c r="J113" s="76" t="s">
        <v>125</v>
      </c>
      <c r="K113" s="104"/>
      <c r="L113" s="104"/>
      <c r="M113" s="105">
        <f>IF(Tabelle13245689101112[[#This Row],[Pulled after Start]]="",MIN(Tabelle13245689101112[[#This Row],[Jira Story Points]],Tabelle13245689101112[[#This Row],[Carry-over]]),0)</f>
        <v>3</v>
      </c>
      <c r="N113" s="106">
        <f>MIN(Tabelle13245689101112[[#This Row],[Jira Story Points]],Tabelle13245689101112[[#This Row],[Carry-over]])-Tabelle13245689101112[[#This Row],[SP Initially Planned (COS)]]</f>
        <v>0</v>
      </c>
      <c r="O113"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113" s="108">
        <f>IFERROR(IF(Tabelle13245689101112[[#This Row],[Status]]=$J$5,MIN(Tabelle13245689101112[[#This Row],[Jira Story Points]],Tabelle13245689101112[[#This Row],[Carry-over]]),0),0)</f>
        <v>0</v>
      </c>
      <c r="Q113" s="108">
        <f>IFERROR(IF(Tabelle13245689101112[[#This Row],[Status]]=$J$5,0,MIN(Tabelle13245689101112[[#This Row],[Jira Story Points]],Tabelle13245689101112[[#This Row],[Carry-over]])-Tabelle13245689101112[[#This Row],[SP Completed (COS &amp; SOS)]]),0)</f>
        <v>0</v>
      </c>
    </row>
    <row r="114" spans="1:17" s="46" customFormat="1" ht="13.5" hidden="1" customHeight="1">
      <c r="A114" s="88" t="s">
        <v>2058</v>
      </c>
      <c r="B114" s="135" t="s">
        <v>2059</v>
      </c>
      <c r="C114" s="81" t="s">
        <v>372</v>
      </c>
      <c r="D114" s="81">
        <v>3</v>
      </c>
      <c r="E114" s="81" t="s">
        <v>327</v>
      </c>
      <c r="F114" s="81">
        <v>1</v>
      </c>
      <c r="G114" s="76" t="s">
        <v>5</v>
      </c>
      <c r="H114" s="83"/>
      <c r="I114" s="76"/>
      <c r="J114" s="76" t="s">
        <v>125</v>
      </c>
      <c r="K114" s="104"/>
      <c r="L114" s="104"/>
      <c r="M114" s="105">
        <f>IF(Tabelle13245689101112[[#This Row],[Pulled after Start]]="",MIN(Tabelle13245689101112[[#This Row],[Jira Story Points]],Tabelle13245689101112[[#This Row],[Carry-over]]),0)</f>
        <v>1</v>
      </c>
      <c r="N114" s="106">
        <f>MIN(Tabelle13245689101112[[#This Row],[Jira Story Points]],Tabelle13245689101112[[#This Row],[Carry-over]])-Tabelle13245689101112[[#This Row],[SP Initially Planned (COS)]]</f>
        <v>0</v>
      </c>
      <c r="O114"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114" s="108">
        <f>IFERROR(IF(Tabelle13245689101112[[#This Row],[Status]]=$J$5,MIN(Tabelle13245689101112[[#This Row],[Jira Story Points]],Tabelle13245689101112[[#This Row],[Carry-over]]),0),0)</f>
        <v>0</v>
      </c>
      <c r="Q114" s="108">
        <f>IFERROR(IF(Tabelle13245689101112[[#This Row],[Status]]=$J$5,0,MIN(Tabelle13245689101112[[#This Row],[Jira Story Points]],Tabelle13245689101112[[#This Row],[Carry-over]])-Tabelle13245689101112[[#This Row],[SP Completed (COS &amp; SOS)]]),0)</f>
        <v>0</v>
      </c>
    </row>
    <row r="115" spans="1:17" s="46" customFormat="1" ht="13.5" hidden="1" customHeight="1">
      <c r="A115" s="88" t="s">
        <v>2060</v>
      </c>
      <c r="B115" s="135" t="s">
        <v>2061</v>
      </c>
      <c r="C115" s="81" t="s">
        <v>372</v>
      </c>
      <c r="D115" s="81">
        <v>3</v>
      </c>
      <c r="E115" s="81" t="s">
        <v>327</v>
      </c>
      <c r="F115" s="81">
        <v>2</v>
      </c>
      <c r="G115" s="76" t="s">
        <v>5</v>
      </c>
      <c r="H115" s="83"/>
      <c r="I115" s="76"/>
      <c r="J115" s="76" t="s">
        <v>125</v>
      </c>
      <c r="K115" s="104"/>
      <c r="L115" s="104"/>
      <c r="M115" s="105">
        <f>IF(Tabelle13245689101112[[#This Row],[Pulled after Start]]="",MIN(Tabelle13245689101112[[#This Row],[Jira Story Points]],Tabelle13245689101112[[#This Row],[Carry-over]]),0)</f>
        <v>2</v>
      </c>
      <c r="N115" s="106">
        <f>MIN(Tabelle13245689101112[[#This Row],[Jira Story Points]],Tabelle13245689101112[[#This Row],[Carry-over]])-Tabelle13245689101112[[#This Row],[SP Initially Planned (COS)]]</f>
        <v>0</v>
      </c>
      <c r="O115"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115" s="108">
        <f>IFERROR(IF(Tabelle13245689101112[[#This Row],[Status]]=$J$5,MIN(Tabelle13245689101112[[#This Row],[Jira Story Points]],Tabelle13245689101112[[#This Row],[Carry-over]]),0),0)</f>
        <v>0</v>
      </c>
      <c r="Q115" s="108">
        <f>IFERROR(IF(Tabelle13245689101112[[#This Row],[Status]]=$J$5,0,MIN(Tabelle13245689101112[[#This Row],[Jira Story Points]],Tabelle13245689101112[[#This Row],[Carry-over]])-Tabelle13245689101112[[#This Row],[SP Completed (COS &amp; SOS)]]),0)</f>
        <v>0</v>
      </c>
    </row>
    <row r="116" spans="1:17" s="46" customFormat="1" ht="13.5" hidden="1" customHeight="1">
      <c r="A116" s="88" t="s">
        <v>2062</v>
      </c>
      <c r="B116" s="135" t="s">
        <v>2063</v>
      </c>
      <c r="C116" s="81" t="s">
        <v>372</v>
      </c>
      <c r="D116" s="81">
        <v>3</v>
      </c>
      <c r="E116" s="81" t="s">
        <v>324</v>
      </c>
      <c r="F116" s="81">
        <v>1</v>
      </c>
      <c r="G116" s="76" t="s">
        <v>5</v>
      </c>
      <c r="H116" s="83"/>
      <c r="I116" s="136" t="s">
        <v>2064</v>
      </c>
      <c r="J116" s="76" t="s">
        <v>125</v>
      </c>
      <c r="K116" s="104"/>
      <c r="L116" s="104"/>
      <c r="M116" s="105">
        <f>IF(Tabelle13245689101112[[#This Row],[Pulled after Start]]="",MIN(Tabelle13245689101112[[#This Row],[Jira Story Points]],Tabelle13245689101112[[#This Row],[Carry-over]]),0)</f>
        <v>1</v>
      </c>
      <c r="N116" s="106">
        <f>MIN(Tabelle13245689101112[[#This Row],[Jira Story Points]],Tabelle13245689101112[[#This Row],[Carry-over]])-Tabelle13245689101112[[#This Row],[SP Initially Planned (COS)]]</f>
        <v>0</v>
      </c>
      <c r="O116"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116" s="108">
        <f>IFERROR(IF(Tabelle13245689101112[[#This Row],[Status]]=$J$5,MIN(Tabelle13245689101112[[#This Row],[Jira Story Points]],Tabelle13245689101112[[#This Row],[Carry-over]]),0),0)</f>
        <v>0</v>
      </c>
      <c r="Q116" s="108">
        <f>IFERROR(IF(Tabelle13245689101112[[#This Row],[Status]]=$J$5,0,MIN(Tabelle13245689101112[[#This Row],[Jira Story Points]],Tabelle13245689101112[[#This Row],[Carry-over]])-Tabelle13245689101112[[#This Row],[SP Completed (COS &amp; SOS)]]),0)</f>
        <v>0</v>
      </c>
    </row>
    <row r="117" spans="1:17" s="46" customFormat="1" ht="13.5" hidden="1" customHeight="1">
      <c r="A117" s="88" t="s">
        <v>2065</v>
      </c>
      <c r="B117" s="46" t="s">
        <v>2066</v>
      </c>
      <c r="C117" s="76" t="s">
        <v>375</v>
      </c>
      <c r="D117" s="76">
        <v>1</v>
      </c>
      <c r="E117" s="76" t="s">
        <v>324</v>
      </c>
      <c r="F117" s="104">
        <v>5</v>
      </c>
      <c r="G117" s="116" t="s">
        <v>35</v>
      </c>
      <c r="H117" s="83"/>
      <c r="I117" s="103"/>
      <c r="J117" s="76" t="s">
        <v>125</v>
      </c>
      <c r="K117" s="104"/>
      <c r="L117" s="104"/>
      <c r="M117" s="105">
        <f>IF(Tabelle13245689101112[[#This Row],[Pulled after Start]]="",MIN(Tabelle13245689101112[[#This Row],[Jira Story Points]],Tabelle13245689101112[[#This Row],[Carry-over]]),0)</f>
        <v>5</v>
      </c>
      <c r="N117" s="106">
        <f>MIN(Tabelle13245689101112[[#This Row],[Jira Story Points]],Tabelle13245689101112[[#This Row],[Carry-over]])-Tabelle13245689101112[[#This Row],[SP Initially Planned (COS)]]</f>
        <v>0</v>
      </c>
      <c r="O117"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5</v>
      </c>
      <c r="P117" s="108">
        <f>IFERROR(IF(Tabelle13245689101112[[#This Row],[Status]]=$J$5,MIN(Tabelle13245689101112[[#This Row],[Jira Story Points]],Tabelle13245689101112[[#This Row],[Carry-over]]),0),0)</f>
        <v>0</v>
      </c>
      <c r="Q117" s="108">
        <f>IFERROR(IF(Tabelle13245689101112[[#This Row],[Status]]=$J$5,0,MIN(Tabelle13245689101112[[#This Row],[Jira Story Points]],Tabelle13245689101112[[#This Row],[Carry-over]])-Tabelle13245689101112[[#This Row],[SP Completed (COS &amp; SOS)]]),0)</f>
        <v>0</v>
      </c>
    </row>
    <row r="118" spans="1:17" s="46" customFormat="1" ht="13.5" hidden="1" customHeight="1">
      <c r="A118" s="88" t="s">
        <v>2067</v>
      </c>
      <c r="B118" s="46" t="s">
        <v>2068</v>
      </c>
      <c r="C118" s="76" t="s">
        <v>372</v>
      </c>
      <c r="D118" s="76">
        <v>3</v>
      </c>
      <c r="E118" s="76" t="s">
        <v>324</v>
      </c>
      <c r="F118" s="104">
        <v>3</v>
      </c>
      <c r="G118" s="116" t="s">
        <v>35</v>
      </c>
      <c r="H118" s="83"/>
      <c r="I118" s="103"/>
      <c r="J118" s="76" t="s">
        <v>125</v>
      </c>
      <c r="K118" s="104"/>
      <c r="L118" s="104"/>
      <c r="M118" s="105">
        <f>IF(Tabelle13245689101112[[#This Row],[Pulled after Start]]="",MIN(Tabelle13245689101112[[#This Row],[Jira Story Points]],Tabelle13245689101112[[#This Row],[Carry-over]]),0)</f>
        <v>3</v>
      </c>
      <c r="N118" s="106">
        <f>MIN(Tabelle13245689101112[[#This Row],[Jira Story Points]],Tabelle13245689101112[[#This Row],[Carry-over]])-Tabelle13245689101112[[#This Row],[SP Initially Planned (COS)]]</f>
        <v>0</v>
      </c>
      <c r="O118"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118" s="108">
        <f>IFERROR(IF(Tabelle13245689101112[[#This Row],[Status]]=$J$5,MIN(Tabelle13245689101112[[#This Row],[Jira Story Points]],Tabelle13245689101112[[#This Row],[Carry-over]]),0),0)</f>
        <v>0</v>
      </c>
      <c r="Q118" s="108">
        <f>IFERROR(IF(Tabelle13245689101112[[#This Row],[Status]]=$J$5,0,MIN(Tabelle13245689101112[[#This Row],[Jira Story Points]],Tabelle13245689101112[[#This Row],[Carry-over]])-Tabelle13245689101112[[#This Row],[SP Completed (COS &amp; SOS)]]),0)</f>
        <v>0</v>
      </c>
    </row>
    <row r="119" spans="1:17" s="46" customFormat="1" ht="13.5" hidden="1" customHeight="1">
      <c r="A119" s="88" t="s">
        <v>2069</v>
      </c>
      <c r="B119" s="46" t="s">
        <v>2070</v>
      </c>
      <c r="C119" s="76" t="s">
        <v>372</v>
      </c>
      <c r="D119" s="76">
        <v>3</v>
      </c>
      <c r="E119" s="76" t="s">
        <v>324</v>
      </c>
      <c r="F119" s="104">
        <v>2</v>
      </c>
      <c r="G119" s="116" t="s">
        <v>35</v>
      </c>
      <c r="H119" s="83"/>
      <c r="I119" s="103"/>
      <c r="J119" s="76" t="s">
        <v>125</v>
      </c>
      <c r="K119" s="104"/>
      <c r="L119" s="104"/>
      <c r="M119" s="105">
        <f>IF(Tabelle13245689101112[[#This Row],[Pulled after Start]]="",MIN(Tabelle13245689101112[[#This Row],[Jira Story Points]],Tabelle13245689101112[[#This Row],[Carry-over]]),0)</f>
        <v>2</v>
      </c>
      <c r="N119" s="106">
        <f>MIN(Tabelle13245689101112[[#This Row],[Jira Story Points]],Tabelle13245689101112[[#This Row],[Carry-over]])-Tabelle13245689101112[[#This Row],[SP Initially Planned (COS)]]</f>
        <v>0</v>
      </c>
      <c r="O119"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119" s="108">
        <f>IFERROR(IF(Tabelle13245689101112[[#This Row],[Status]]=$J$5,MIN(Tabelle13245689101112[[#This Row],[Jira Story Points]],Tabelle13245689101112[[#This Row],[Carry-over]]),0),0)</f>
        <v>0</v>
      </c>
      <c r="Q119" s="108">
        <f>IFERROR(IF(Tabelle13245689101112[[#This Row],[Status]]=$J$5,0,MIN(Tabelle13245689101112[[#This Row],[Jira Story Points]],Tabelle13245689101112[[#This Row],[Carry-over]])-Tabelle13245689101112[[#This Row],[SP Completed (COS &amp; SOS)]]),0)</f>
        <v>0</v>
      </c>
    </row>
    <row r="120" spans="1:17" s="46" customFormat="1" ht="13.5" hidden="1" customHeight="1">
      <c r="A120" s="88" t="s">
        <v>2071</v>
      </c>
      <c r="B120" s="46" t="s">
        <v>2072</v>
      </c>
      <c r="C120" s="76" t="s">
        <v>372</v>
      </c>
      <c r="D120" s="76">
        <v>3</v>
      </c>
      <c r="E120" s="76" t="s">
        <v>324</v>
      </c>
      <c r="F120" s="104">
        <v>1</v>
      </c>
      <c r="G120" s="116" t="s">
        <v>35</v>
      </c>
      <c r="H120" s="83"/>
      <c r="I120" s="103"/>
      <c r="J120" s="76" t="s">
        <v>125</v>
      </c>
      <c r="K120" s="104"/>
      <c r="L120" s="104"/>
      <c r="M120" s="105">
        <f>IF(Tabelle13245689101112[[#This Row],[Pulled after Start]]="",MIN(Tabelle13245689101112[[#This Row],[Jira Story Points]],Tabelle13245689101112[[#This Row],[Carry-over]]),0)</f>
        <v>1</v>
      </c>
      <c r="N120" s="106">
        <f>MIN(Tabelle13245689101112[[#This Row],[Jira Story Points]],Tabelle13245689101112[[#This Row],[Carry-over]])-Tabelle13245689101112[[#This Row],[SP Initially Planned (COS)]]</f>
        <v>0</v>
      </c>
      <c r="O120"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120" s="108">
        <f>IFERROR(IF(Tabelle13245689101112[[#This Row],[Status]]=$J$5,MIN(Tabelle13245689101112[[#This Row],[Jira Story Points]],Tabelle13245689101112[[#This Row],[Carry-over]]),0),0)</f>
        <v>0</v>
      </c>
      <c r="Q120" s="108">
        <f>IFERROR(IF(Tabelle13245689101112[[#This Row],[Status]]=$J$5,0,MIN(Tabelle13245689101112[[#This Row],[Jira Story Points]],Tabelle13245689101112[[#This Row],[Carry-over]])-Tabelle13245689101112[[#This Row],[SP Completed (COS &amp; SOS)]]),0)</f>
        <v>0</v>
      </c>
    </row>
    <row r="121" spans="1:17" s="46" customFormat="1" ht="13.5" hidden="1" customHeight="1">
      <c r="A121" s="88" t="s">
        <v>2073</v>
      </c>
      <c r="B121" s="46" t="s">
        <v>2074</v>
      </c>
      <c r="C121" s="76" t="s">
        <v>375</v>
      </c>
      <c r="D121" s="76">
        <v>1</v>
      </c>
      <c r="E121" s="76" t="s">
        <v>324</v>
      </c>
      <c r="F121" s="104">
        <v>3</v>
      </c>
      <c r="G121" s="116" t="s">
        <v>35</v>
      </c>
      <c r="H121" s="83" t="s">
        <v>209</v>
      </c>
      <c r="I121" s="103"/>
      <c r="J121" s="76" t="s">
        <v>125</v>
      </c>
      <c r="K121" s="104"/>
      <c r="L121" s="104"/>
      <c r="M121" s="105">
        <f>IF(Tabelle13245689101112[[#This Row],[Pulled after Start]]="",MIN(Tabelle13245689101112[[#This Row],[Jira Story Points]],Tabelle13245689101112[[#This Row],[Carry-over]]),0)</f>
        <v>0</v>
      </c>
      <c r="N121" s="106">
        <f>MIN(Tabelle13245689101112[[#This Row],[Jira Story Points]],Tabelle13245689101112[[#This Row],[Carry-over]])-Tabelle13245689101112[[#This Row],[SP Initially Planned (COS)]]</f>
        <v>3</v>
      </c>
      <c r="O121"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121" s="108">
        <f>IFERROR(IF(Tabelle13245689101112[[#This Row],[Status]]=$J$5,MIN(Tabelle13245689101112[[#This Row],[Jira Story Points]],Tabelle13245689101112[[#This Row],[Carry-over]]),0),0)</f>
        <v>0</v>
      </c>
      <c r="Q121" s="108">
        <f>IFERROR(IF(Tabelle13245689101112[[#This Row],[Status]]=$J$5,0,MIN(Tabelle13245689101112[[#This Row],[Jira Story Points]],Tabelle13245689101112[[#This Row],[Carry-over]])-Tabelle13245689101112[[#This Row],[SP Completed (COS &amp; SOS)]]),0)</f>
        <v>0</v>
      </c>
    </row>
    <row r="122" spans="1:17" s="46" customFormat="1" ht="13.5" hidden="1" customHeight="1">
      <c r="A122" s="117" t="s">
        <v>2075</v>
      </c>
      <c r="B122" s="47" t="s">
        <v>2076</v>
      </c>
      <c r="C122" s="76" t="s">
        <v>375</v>
      </c>
      <c r="D122" s="76">
        <v>2</v>
      </c>
      <c r="E122" s="76" t="s">
        <v>324</v>
      </c>
      <c r="F122" s="104">
        <v>3</v>
      </c>
      <c r="G122" s="116" t="s">
        <v>35</v>
      </c>
      <c r="H122" s="83"/>
      <c r="I122" s="103"/>
      <c r="J122" s="76" t="s">
        <v>125</v>
      </c>
      <c r="K122" s="104"/>
      <c r="L122" s="104"/>
      <c r="M122" s="105">
        <f>IF(Tabelle13245689101112[[#This Row],[Pulled after Start]]="",MIN(Tabelle13245689101112[[#This Row],[Jira Story Points]],Tabelle13245689101112[[#This Row],[Carry-over]]),0)</f>
        <v>3</v>
      </c>
      <c r="N122" s="106">
        <f>MIN(Tabelle13245689101112[[#This Row],[Jira Story Points]],Tabelle13245689101112[[#This Row],[Carry-over]])-Tabelle13245689101112[[#This Row],[SP Initially Planned (COS)]]</f>
        <v>0</v>
      </c>
      <c r="O122"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122" s="108">
        <f>IFERROR(IF(Tabelle13245689101112[[#This Row],[Status]]=$J$5,MIN(Tabelle13245689101112[[#This Row],[Jira Story Points]],Tabelle13245689101112[[#This Row],[Carry-over]]),0),0)</f>
        <v>0</v>
      </c>
      <c r="Q122" s="108">
        <f>IFERROR(IF(Tabelle13245689101112[[#This Row],[Status]]=$J$5,0,MIN(Tabelle13245689101112[[#This Row],[Jira Story Points]],Tabelle13245689101112[[#This Row],[Carry-over]])-Tabelle13245689101112[[#This Row],[SP Completed (COS &amp; SOS)]]),0)</f>
        <v>0</v>
      </c>
    </row>
    <row r="123" spans="1:17" s="46" customFormat="1" ht="13.5" hidden="1" customHeight="1">
      <c r="A123" s="117" t="s">
        <v>1837</v>
      </c>
      <c r="B123" s="47" t="s">
        <v>1838</v>
      </c>
      <c r="C123" s="76" t="s">
        <v>375</v>
      </c>
      <c r="D123" s="76">
        <v>2</v>
      </c>
      <c r="E123" s="76" t="s">
        <v>327</v>
      </c>
      <c r="F123" s="104">
        <v>8</v>
      </c>
      <c r="G123" s="116" t="s">
        <v>35</v>
      </c>
      <c r="H123" s="83"/>
      <c r="I123" s="103"/>
      <c r="J123" s="76" t="s">
        <v>125</v>
      </c>
      <c r="K123" s="104"/>
      <c r="L123" s="104"/>
      <c r="M123" s="105">
        <f>IF(Tabelle13245689101112[[#This Row],[Pulled after Start]]="",MIN(Tabelle13245689101112[[#This Row],[Jira Story Points]],Tabelle13245689101112[[#This Row],[Carry-over]]),0)</f>
        <v>8</v>
      </c>
      <c r="N123" s="106">
        <f>MIN(Tabelle13245689101112[[#This Row],[Jira Story Points]],Tabelle13245689101112[[#This Row],[Carry-over]])-Tabelle13245689101112[[#This Row],[SP Initially Planned (COS)]]</f>
        <v>0</v>
      </c>
      <c r="O123"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8</v>
      </c>
      <c r="P123" s="108">
        <f>IFERROR(IF(Tabelle13245689101112[[#This Row],[Status]]=$J$5,MIN(Tabelle13245689101112[[#This Row],[Jira Story Points]],Tabelle13245689101112[[#This Row],[Carry-over]]),0),0)</f>
        <v>0</v>
      </c>
      <c r="Q123" s="108">
        <f>IFERROR(IF(Tabelle13245689101112[[#This Row],[Status]]=$J$5,0,MIN(Tabelle13245689101112[[#This Row],[Jira Story Points]],Tabelle13245689101112[[#This Row],[Carry-over]])-Tabelle13245689101112[[#This Row],[SP Completed (COS &amp; SOS)]]),0)</f>
        <v>0</v>
      </c>
    </row>
    <row r="124" spans="1:17" s="46" customFormat="1" ht="13.5" hidden="1" customHeight="1">
      <c r="A124" s="117" t="s">
        <v>2077</v>
      </c>
      <c r="B124" s="47" t="s">
        <v>2078</v>
      </c>
      <c r="C124" s="76" t="s">
        <v>372</v>
      </c>
      <c r="D124" s="76">
        <v>3</v>
      </c>
      <c r="E124" s="76" t="s">
        <v>642</v>
      </c>
      <c r="F124" s="104">
        <v>13</v>
      </c>
      <c r="G124" s="116" t="s">
        <v>35</v>
      </c>
      <c r="H124" s="83"/>
      <c r="I124" s="103"/>
      <c r="J124" s="76" t="s">
        <v>125</v>
      </c>
      <c r="K124" s="104"/>
      <c r="L124" s="104"/>
      <c r="M124" s="105">
        <f>IF(Tabelle13245689101112[[#This Row],[Pulled after Start]]="",MIN(Tabelle13245689101112[[#This Row],[Jira Story Points]],Tabelle13245689101112[[#This Row],[Carry-over]]),0)</f>
        <v>13</v>
      </c>
      <c r="N124" s="106">
        <f>MIN(Tabelle13245689101112[[#This Row],[Jira Story Points]],Tabelle13245689101112[[#This Row],[Carry-over]])-Tabelle13245689101112[[#This Row],[SP Initially Planned (COS)]]</f>
        <v>0</v>
      </c>
      <c r="O124"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13</v>
      </c>
      <c r="P124" s="108">
        <f>IFERROR(IF(Tabelle13245689101112[[#This Row],[Status]]=$J$5,MIN(Tabelle13245689101112[[#This Row],[Jira Story Points]],Tabelle13245689101112[[#This Row],[Carry-over]]),0),0)</f>
        <v>0</v>
      </c>
      <c r="Q124" s="108">
        <f>IFERROR(IF(Tabelle13245689101112[[#This Row],[Status]]=$J$5,0,MIN(Tabelle13245689101112[[#This Row],[Jira Story Points]],Tabelle13245689101112[[#This Row],[Carry-over]])-Tabelle13245689101112[[#This Row],[SP Completed (COS &amp; SOS)]]),0)</f>
        <v>0</v>
      </c>
    </row>
    <row r="125" spans="1:17" s="46" customFormat="1" ht="13.5" hidden="1" customHeight="1">
      <c r="A125" s="88" t="s">
        <v>1843</v>
      </c>
      <c r="B125" s="46" t="s">
        <v>1844</v>
      </c>
      <c r="C125" s="76" t="s">
        <v>372</v>
      </c>
      <c r="D125" s="76">
        <v>3</v>
      </c>
      <c r="E125" s="76" t="s">
        <v>327</v>
      </c>
      <c r="F125" s="76">
        <v>5</v>
      </c>
      <c r="G125" s="76" t="s">
        <v>35</v>
      </c>
      <c r="H125" s="76"/>
      <c r="I125" s="103"/>
      <c r="J125" s="76" t="s">
        <v>127</v>
      </c>
      <c r="K125" s="104"/>
      <c r="L125" s="104"/>
      <c r="M125" s="105">
        <f>IF(Tabelle13245689101112[[#This Row],[Pulled after Start]]="",MIN(Tabelle13245689101112[[#This Row],[Jira Story Points]],Tabelle13245689101112[[#This Row],[Carry-over]]),0)</f>
        <v>5</v>
      </c>
      <c r="N125" s="106">
        <f>MIN(Tabelle13245689101112[[#This Row],[Jira Story Points]],Tabelle13245689101112[[#This Row],[Carry-over]])-Tabelle13245689101112[[#This Row],[SP Initially Planned (COS)]]</f>
        <v>0</v>
      </c>
      <c r="O125"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0</v>
      </c>
      <c r="P125" s="108">
        <f>IFERROR(IF(Tabelle13245689101112[[#This Row],[Status]]=$J$5,MIN(Tabelle13245689101112[[#This Row],[Jira Story Points]],Tabelle13245689101112[[#This Row],[Carry-over]]),0),0)</f>
        <v>0</v>
      </c>
      <c r="Q125" s="108">
        <f>IFERROR(IF(Tabelle13245689101112[[#This Row],[Status]]=$J$5,0,MIN(Tabelle13245689101112[[#This Row],[Jira Story Points]],Tabelle13245689101112[[#This Row],[Carry-over]])-Tabelle13245689101112[[#This Row],[SP Completed (COS &amp; SOS)]]),0)</f>
        <v>5</v>
      </c>
    </row>
    <row r="126" spans="1:17" s="46" customFormat="1" ht="13.5" hidden="1" customHeight="1">
      <c r="A126" s="88" t="s">
        <v>2079</v>
      </c>
      <c r="B126" s="46" t="s">
        <v>2080</v>
      </c>
      <c r="C126" s="76" t="s">
        <v>372</v>
      </c>
      <c r="D126" s="76">
        <v>3</v>
      </c>
      <c r="E126" s="76" t="s">
        <v>324</v>
      </c>
      <c r="F126" s="76">
        <v>3</v>
      </c>
      <c r="G126" s="76" t="s">
        <v>35</v>
      </c>
      <c r="H126" s="76"/>
      <c r="I126" s="103"/>
      <c r="J126" s="76" t="s">
        <v>125</v>
      </c>
      <c r="K126" s="104"/>
      <c r="L126" s="104"/>
      <c r="M126" s="105">
        <f>IF(Tabelle13245689101112[[#This Row],[Pulled after Start]]="",MIN(Tabelle13245689101112[[#This Row],[Jira Story Points]],Tabelle13245689101112[[#This Row],[Carry-over]]),0)</f>
        <v>3</v>
      </c>
      <c r="N126" s="106">
        <f>MIN(Tabelle13245689101112[[#This Row],[Jira Story Points]],Tabelle13245689101112[[#This Row],[Carry-over]])-Tabelle13245689101112[[#This Row],[SP Initially Planned (COS)]]</f>
        <v>0</v>
      </c>
      <c r="O126"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126" s="108">
        <f>IFERROR(IF(Tabelle13245689101112[[#This Row],[Status]]=$J$5,MIN(Tabelle13245689101112[[#This Row],[Jira Story Points]],Tabelle13245689101112[[#This Row],[Carry-over]]),0),0)</f>
        <v>0</v>
      </c>
      <c r="Q126" s="108">
        <f>IFERROR(IF(Tabelle13245689101112[[#This Row],[Status]]=$J$5,0,MIN(Tabelle13245689101112[[#This Row],[Jira Story Points]],Tabelle13245689101112[[#This Row],[Carry-over]])-Tabelle13245689101112[[#This Row],[SP Completed (COS &amp; SOS)]]),0)</f>
        <v>0</v>
      </c>
    </row>
    <row r="127" spans="1:17" s="46" customFormat="1" ht="13.5" hidden="1" customHeight="1">
      <c r="A127" s="88" t="s">
        <v>2081</v>
      </c>
      <c r="B127" s="46" t="s">
        <v>2082</v>
      </c>
      <c r="C127" s="76" t="s">
        <v>372</v>
      </c>
      <c r="D127" s="76">
        <v>3</v>
      </c>
      <c r="E127" s="76" t="s">
        <v>1247</v>
      </c>
      <c r="F127" s="76">
        <v>20</v>
      </c>
      <c r="G127" s="76" t="s">
        <v>35</v>
      </c>
      <c r="H127" s="76"/>
      <c r="I127" s="103"/>
      <c r="J127" s="76" t="s">
        <v>125</v>
      </c>
      <c r="K127" s="104"/>
      <c r="L127" s="104"/>
      <c r="M127" s="105">
        <f>IF(Tabelle13245689101112[[#This Row],[Pulled after Start]]="",MIN(Tabelle13245689101112[[#This Row],[Jira Story Points]],Tabelle13245689101112[[#This Row],[Carry-over]]),0)</f>
        <v>20</v>
      </c>
      <c r="N127" s="106">
        <f>MIN(Tabelle13245689101112[[#This Row],[Jira Story Points]],Tabelle13245689101112[[#This Row],[Carry-over]])-Tabelle13245689101112[[#This Row],[SP Initially Planned (COS)]]</f>
        <v>0</v>
      </c>
      <c r="O127"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20</v>
      </c>
      <c r="P127" s="108">
        <f>IFERROR(IF(Tabelle13245689101112[[#This Row],[Status]]=$J$5,MIN(Tabelle13245689101112[[#This Row],[Jira Story Points]],Tabelle13245689101112[[#This Row],[Carry-over]]),0),0)</f>
        <v>0</v>
      </c>
      <c r="Q127" s="108">
        <f>IFERROR(IF(Tabelle13245689101112[[#This Row],[Status]]=$J$5,0,MIN(Tabelle13245689101112[[#This Row],[Jira Story Points]],Tabelle13245689101112[[#This Row],[Carry-over]])-Tabelle13245689101112[[#This Row],[SP Completed (COS &amp; SOS)]]),0)</f>
        <v>0</v>
      </c>
    </row>
    <row r="128" spans="1:17" s="46" customFormat="1" ht="13.5" hidden="1" customHeight="1">
      <c r="A128" s="88" t="s">
        <v>1861</v>
      </c>
      <c r="B128" s="46" t="s">
        <v>1862</v>
      </c>
      <c r="C128" s="76" t="s">
        <v>372</v>
      </c>
      <c r="D128" s="76">
        <v>3</v>
      </c>
      <c r="E128" s="76" t="s">
        <v>637</v>
      </c>
      <c r="F128" s="76">
        <v>3</v>
      </c>
      <c r="G128" s="76" t="s">
        <v>35</v>
      </c>
      <c r="H128" s="76"/>
      <c r="I128" s="103"/>
      <c r="J128" s="76" t="s">
        <v>127</v>
      </c>
      <c r="K128" s="104"/>
      <c r="L128" s="104"/>
      <c r="M128" s="105">
        <f>IF(Tabelle13245689101112[[#This Row],[Pulled after Start]]="",MIN(Tabelle13245689101112[[#This Row],[Jira Story Points]],Tabelle13245689101112[[#This Row],[Carry-over]]),0)</f>
        <v>3</v>
      </c>
      <c r="N128" s="106">
        <f>MIN(Tabelle13245689101112[[#This Row],[Jira Story Points]],Tabelle13245689101112[[#This Row],[Carry-over]])-Tabelle13245689101112[[#This Row],[SP Initially Planned (COS)]]</f>
        <v>0</v>
      </c>
      <c r="O128"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0</v>
      </c>
      <c r="P128" s="108">
        <f>IFERROR(IF(Tabelle13245689101112[[#This Row],[Status]]=$J$5,MIN(Tabelle13245689101112[[#This Row],[Jira Story Points]],Tabelle13245689101112[[#This Row],[Carry-over]]),0),0)</f>
        <v>0</v>
      </c>
      <c r="Q128" s="108">
        <f>IFERROR(IF(Tabelle13245689101112[[#This Row],[Status]]=$J$5,0,MIN(Tabelle13245689101112[[#This Row],[Jira Story Points]],Tabelle13245689101112[[#This Row],[Carry-over]])-Tabelle13245689101112[[#This Row],[SP Completed (COS &amp; SOS)]]),0)</f>
        <v>3</v>
      </c>
    </row>
    <row r="129" spans="1:17" s="46" customFormat="1" ht="13.5" hidden="1" customHeight="1">
      <c r="A129" s="88" t="s">
        <v>2083</v>
      </c>
      <c r="B129" s="46" t="s">
        <v>2084</v>
      </c>
      <c r="C129" s="76" t="s">
        <v>372</v>
      </c>
      <c r="D129" s="76">
        <v>3</v>
      </c>
      <c r="E129" s="76" t="s">
        <v>324</v>
      </c>
      <c r="F129" s="76">
        <v>3</v>
      </c>
      <c r="G129" s="76" t="s">
        <v>35</v>
      </c>
      <c r="H129" s="76"/>
      <c r="I129" s="103"/>
      <c r="J129" s="76" t="s">
        <v>125</v>
      </c>
      <c r="K129" s="104"/>
      <c r="L129" s="104"/>
      <c r="M129" s="105">
        <f>IF(Tabelle13245689101112[[#This Row],[Pulled after Start]]="",MIN(Tabelle13245689101112[[#This Row],[Jira Story Points]],Tabelle13245689101112[[#This Row],[Carry-over]]),0)</f>
        <v>3</v>
      </c>
      <c r="N129" s="106">
        <f>MIN(Tabelle13245689101112[[#This Row],[Jira Story Points]],Tabelle13245689101112[[#This Row],[Carry-over]])-Tabelle13245689101112[[#This Row],[SP Initially Planned (COS)]]</f>
        <v>0</v>
      </c>
      <c r="O129"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129" s="108">
        <f>IFERROR(IF(Tabelle13245689101112[[#This Row],[Status]]=$J$5,MIN(Tabelle13245689101112[[#This Row],[Jira Story Points]],Tabelle13245689101112[[#This Row],[Carry-over]]),0),0)</f>
        <v>0</v>
      </c>
      <c r="Q129" s="108">
        <f>IFERROR(IF(Tabelle13245689101112[[#This Row],[Status]]=$J$5,0,MIN(Tabelle13245689101112[[#This Row],[Jira Story Points]],Tabelle13245689101112[[#This Row],[Carry-over]])-Tabelle13245689101112[[#This Row],[SP Completed (COS &amp; SOS)]]),0)</f>
        <v>0</v>
      </c>
    </row>
    <row r="130" spans="1:17" s="46" customFormat="1" ht="13.5" hidden="1" customHeight="1">
      <c r="A130" s="88" t="s">
        <v>1863</v>
      </c>
      <c r="B130" s="46" t="s">
        <v>1864</v>
      </c>
      <c r="C130" s="76" t="s">
        <v>375</v>
      </c>
      <c r="D130" s="76">
        <v>3</v>
      </c>
      <c r="E130" s="76" t="s">
        <v>637</v>
      </c>
      <c r="F130" s="76">
        <v>3</v>
      </c>
      <c r="G130" s="76" t="s">
        <v>35</v>
      </c>
      <c r="H130" s="76"/>
      <c r="I130" s="103"/>
      <c r="J130" s="76" t="s">
        <v>127</v>
      </c>
      <c r="K130" s="104"/>
      <c r="L130" s="104"/>
      <c r="M130" s="105">
        <f>IF(Tabelle13245689101112[[#This Row],[Pulled after Start]]="",MIN(Tabelle13245689101112[[#This Row],[Jira Story Points]],Tabelle13245689101112[[#This Row],[Carry-over]]),0)</f>
        <v>3</v>
      </c>
      <c r="N130" s="106">
        <f>MIN(Tabelle13245689101112[[#This Row],[Jira Story Points]],Tabelle13245689101112[[#This Row],[Carry-over]])-Tabelle13245689101112[[#This Row],[SP Initially Planned (COS)]]</f>
        <v>0</v>
      </c>
      <c r="O130"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0</v>
      </c>
      <c r="P130" s="108">
        <f>IFERROR(IF(Tabelle13245689101112[[#This Row],[Status]]=$J$5,MIN(Tabelle13245689101112[[#This Row],[Jira Story Points]],Tabelle13245689101112[[#This Row],[Carry-over]]),0),0)</f>
        <v>0</v>
      </c>
      <c r="Q130" s="108">
        <f>IFERROR(IF(Tabelle13245689101112[[#This Row],[Status]]=$J$5,0,MIN(Tabelle13245689101112[[#This Row],[Jira Story Points]],Tabelle13245689101112[[#This Row],[Carry-over]])-Tabelle13245689101112[[#This Row],[SP Completed (COS &amp; SOS)]]),0)</f>
        <v>3</v>
      </c>
    </row>
    <row r="131" spans="1:17" s="46" customFormat="1" ht="13.5" hidden="1" customHeight="1">
      <c r="A131" s="88" t="s">
        <v>2085</v>
      </c>
      <c r="B131" s="46" t="s">
        <v>1870</v>
      </c>
      <c r="C131" s="76" t="s">
        <v>382</v>
      </c>
      <c r="D131" s="76">
        <v>3</v>
      </c>
      <c r="E131" s="76" t="s">
        <v>324</v>
      </c>
      <c r="F131" s="76">
        <v>3</v>
      </c>
      <c r="G131" s="76" t="s">
        <v>35</v>
      </c>
      <c r="H131" s="76"/>
      <c r="I131" s="103"/>
      <c r="J131" s="76" t="s">
        <v>125</v>
      </c>
      <c r="K131" s="104"/>
      <c r="L131" s="104"/>
      <c r="M131" s="105">
        <f>IF(Tabelle13245689101112[[#This Row],[Pulled after Start]]="",MIN(Tabelle13245689101112[[#This Row],[Jira Story Points]],Tabelle13245689101112[[#This Row],[Carry-over]]),0)</f>
        <v>3</v>
      </c>
      <c r="N131" s="106">
        <f>MIN(Tabelle13245689101112[[#This Row],[Jira Story Points]],Tabelle13245689101112[[#This Row],[Carry-over]])-Tabelle13245689101112[[#This Row],[SP Initially Planned (COS)]]</f>
        <v>0</v>
      </c>
      <c r="O131"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131" s="108">
        <f>IFERROR(IF(Tabelle13245689101112[[#This Row],[Status]]=$J$5,MIN(Tabelle13245689101112[[#This Row],[Jira Story Points]],Tabelle13245689101112[[#This Row],[Carry-over]]),0),0)</f>
        <v>0</v>
      </c>
      <c r="Q131" s="108">
        <f>IFERROR(IF(Tabelle13245689101112[[#This Row],[Status]]=$J$5,0,MIN(Tabelle13245689101112[[#This Row],[Jira Story Points]],Tabelle13245689101112[[#This Row],[Carry-over]])-Tabelle13245689101112[[#This Row],[SP Completed (COS &amp; SOS)]]),0)</f>
        <v>0</v>
      </c>
    </row>
    <row r="132" spans="1:17" s="46" customFormat="1" ht="13.5" hidden="1" customHeight="1">
      <c r="A132" s="88" t="s">
        <v>2086</v>
      </c>
      <c r="B132" s="46" t="s">
        <v>2087</v>
      </c>
      <c r="C132" s="76" t="s">
        <v>372</v>
      </c>
      <c r="D132" s="76">
        <v>3</v>
      </c>
      <c r="E132" s="76" t="s">
        <v>637</v>
      </c>
      <c r="F132" s="76">
        <v>2</v>
      </c>
      <c r="G132" s="76" t="s">
        <v>35</v>
      </c>
      <c r="H132" s="76"/>
      <c r="I132" s="103"/>
      <c r="J132" s="76" t="s">
        <v>125</v>
      </c>
      <c r="K132" s="104"/>
      <c r="L132" s="104"/>
      <c r="M132" s="105">
        <f>IF(Tabelle13245689101112[[#This Row],[Pulled after Start]]="",MIN(Tabelle13245689101112[[#This Row],[Jira Story Points]],Tabelle13245689101112[[#This Row],[Carry-over]]),0)</f>
        <v>2</v>
      </c>
      <c r="N132" s="106">
        <f>MIN(Tabelle13245689101112[[#This Row],[Jira Story Points]],Tabelle13245689101112[[#This Row],[Carry-over]])-Tabelle13245689101112[[#This Row],[SP Initially Planned (COS)]]</f>
        <v>0</v>
      </c>
      <c r="O132"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132" s="108">
        <f>IFERROR(IF(Tabelle13245689101112[[#This Row],[Status]]=$J$5,MIN(Tabelle13245689101112[[#This Row],[Jira Story Points]],Tabelle13245689101112[[#This Row],[Carry-over]]),0),0)</f>
        <v>0</v>
      </c>
      <c r="Q132" s="108">
        <f>IFERROR(IF(Tabelle13245689101112[[#This Row],[Status]]=$J$5,0,MIN(Tabelle13245689101112[[#This Row],[Jira Story Points]],Tabelle13245689101112[[#This Row],[Carry-over]])-Tabelle13245689101112[[#This Row],[SP Completed (COS &amp; SOS)]]),0)</f>
        <v>0</v>
      </c>
    </row>
    <row r="133" spans="1:17" s="46" customFormat="1" ht="13.5" hidden="1" customHeight="1">
      <c r="A133" s="88" t="s">
        <v>2088</v>
      </c>
      <c r="B133" s="46" t="s">
        <v>2089</v>
      </c>
      <c r="C133" s="76" t="s">
        <v>372</v>
      </c>
      <c r="D133" s="76">
        <v>3</v>
      </c>
      <c r="E133" s="76" t="s">
        <v>324</v>
      </c>
      <c r="F133" s="76">
        <v>1</v>
      </c>
      <c r="G133" s="76" t="s">
        <v>35</v>
      </c>
      <c r="H133" s="76" t="s">
        <v>209</v>
      </c>
      <c r="I133" s="103"/>
      <c r="J133" s="76" t="s">
        <v>125</v>
      </c>
      <c r="K133" s="104"/>
      <c r="L133" s="104"/>
      <c r="M133" s="105">
        <f>IF(Tabelle13245689101112[[#This Row],[Pulled after Start]]="",MIN(Tabelle13245689101112[[#This Row],[Jira Story Points]],Tabelle13245689101112[[#This Row],[Carry-over]]),0)</f>
        <v>0</v>
      </c>
      <c r="N133" s="106">
        <f>MIN(Tabelle13245689101112[[#This Row],[Jira Story Points]],Tabelle13245689101112[[#This Row],[Carry-over]])-Tabelle13245689101112[[#This Row],[SP Initially Planned (COS)]]</f>
        <v>1</v>
      </c>
      <c r="O133"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133" s="108">
        <f>IFERROR(IF(Tabelle13245689101112[[#This Row],[Status]]=$J$5,MIN(Tabelle13245689101112[[#This Row],[Jira Story Points]],Tabelle13245689101112[[#This Row],[Carry-over]]),0),0)</f>
        <v>0</v>
      </c>
      <c r="Q133" s="108">
        <f>IFERROR(IF(Tabelle13245689101112[[#This Row],[Status]]=$J$5,0,MIN(Tabelle13245689101112[[#This Row],[Jira Story Points]],Tabelle13245689101112[[#This Row],[Carry-over]])-Tabelle13245689101112[[#This Row],[SP Completed (COS &amp; SOS)]]),0)</f>
        <v>0</v>
      </c>
    </row>
    <row r="134" spans="1:17" s="46" customFormat="1" ht="13.5" hidden="1" customHeight="1">
      <c r="A134" s="88" t="s">
        <v>2090</v>
      </c>
      <c r="B134" s="46" t="s">
        <v>2091</v>
      </c>
      <c r="C134" s="76" t="s">
        <v>375</v>
      </c>
      <c r="D134" s="76">
        <v>2</v>
      </c>
      <c r="E134" s="76" t="s">
        <v>642</v>
      </c>
      <c r="F134" s="76">
        <v>2</v>
      </c>
      <c r="G134" s="76" t="s">
        <v>35</v>
      </c>
      <c r="H134" s="76" t="s">
        <v>209</v>
      </c>
      <c r="I134" s="103"/>
      <c r="J134" s="76" t="s">
        <v>125</v>
      </c>
      <c r="K134" s="104"/>
      <c r="L134" s="104"/>
      <c r="M134" s="105">
        <f>IF(Tabelle13245689101112[[#This Row],[Pulled after Start]]="",MIN(Tabelle13245689101112[[#This Row],[Jira Story Points]],Tabelle13245689101112[[#This Row],[Carry-over]]),0)</f>
        <v>0</v>
      </c>
      <c r="N134" s="106">
        <f>MIN(Tabelle13245689101112[[#This Row],[Jira Story Points]],Tabelle13245689101112[[#This Row],[Carry-over]])-Tabelle13245689101112[[#This Row],[SP Initially Planned (COS)]]</f>
        <v>2</v>
      </c>
      <c r="O134"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134" s="108">
        <f>IFERROR(IF(Tabelle13245689101112[[#This Row],[Status]]=$J$5,MIN(Tabelle13245689101112[[#This Row],[Jira Story Points]],Tabelle13245689101112[[#This Row],[Carry-over]]),0),0)</f>
        <v>0</v>
      </c>
      <c r="Q134" s="108">
        <f>IFERROR(IF(Tabelle13245689101112[[#This Row],[Status]]=$J$5,0,MIN(Tabelle13245689101112[[#This Row],[Jira Story Points]],Tabelle13245689101112[[#This Row],[Carry-over]])-Tabelle13245689101112[[#This Row],[SP Completed (COS &amp; SOS)]]),0)</f>
        <v>0</v>
      </c>
    </row>
    <row r="135" spans="1:17" s="46" customFormat="1" ht="33.75" hidden="1" customHeight="1">
      <c r="A135" s="137" t="s">
        <v>2092</v>
      </c>
      <c r="B135" s="89" t="s">
        <v>2093</v>
      </c>
      <c r="C135" s="138" t="s">
        <v>375</v>
      </c>
      <c r="D135" s="76">
        <v>3</v>
      </c>
      <c r="E135" s="138" t="s">
        <v>324</v>
      </c>
      <c r="F135" s="139">
        <v>13</v>
      </c>
      <c r="G135" s="138" t="s">
        <v>9</v>
      </c>
      <c r="H135" s="140"/>
      <c r="I135" s="141" t="s">
        <v>2094</v>
      </c>
      <c r="J135" s="138" t="s">
        <v>901</v>
      </c>
      <c r="K135" s="104">
        <v>3</v>
      </c>
      <c r="L135" s="104"/>
      <c r="M135" s="105">
        <f>IF(Tabelle13245689101112[[#This Row],[Pulled after Start]]="",MIN(Tabelle13245689101112[[#This Row],[Jira Story Points]],Tabelle13245689101112[[#This Row],[Carry-over]]),0)</f>
        <v>3</v>
      </c>
      <c r="N135" s="106">
        <f>MIN(Tabelle13245689101112[[#This Row],[Jira Story Points]],Tabelle13245689101112[[#This Row],[Carry-over]])-Tabelle13245689101112[[#This Row],[SP Initially Planned (COS)]]</f>
        <v>0</v>
      </c>
      <c r="O135"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135" s="108">
        <f>IFERROR(IF(Tabelle13245689101112[[#This Row],[Status]]=$J$5,MIN(Tabelle13245689101112[[#This Row],[Jira Story Points]],Tabelle13245689101112[[#This Row],[Carry-over]]),0),0)</f>
        <v>0</v>
      </c>
      <c r="Q135" s="108">
        <f>IFERROR(IF(Tabelle13245689101112[[#This Row],[Status]]=$J$5,0,MIN(Tabelle13245689101112[[#This Row],[Jira Story Points]],Tabelle13245689101112[[#This Row],[Carry-over]])-Tabelle13245689101112[[#This Row],[SP Completed (COS &amp; SOS)]]),0)</f>
        <v>0</v>
      </c>
    </row>
    <row r="136" spans="1:17" s="46" customFormat="1" ht="13.5" hidden="1" customHeight="1">
      <c r="A136" s="137" t="s">
        <v>2095</v>
      </c>
      <c r="B136" s="89" t="s">
        <v>2096</v>
      </c>
      <c r="C136" s="138" t="s">
        <v>375</v>
      </c>
      <c r="D136" s="76">
        <v>3</v>
      </c>
      <c r="E136" s="138" t="s">
        <v>324</v>
      </c>
      <c r="F136" s="139">
        <v>2</v>
      </c>
      <c r="G136" s="140" t="s">
        <v>9</v>
      </c>
      <c r="H136" s="140" t="s">
        <v>209</v>
      </c>
      <c r="I136" s="103"/>
      <c r="J136" s="138" t="s">
        <v>901</v>
      </c>
      <c r="K136" s="104"/>
      <c r="L136" s="104"/>
      <c r="M136" s="105">
        <f>IF(Tabelle13245689101112[[#This Row],[Pulled after Start]]="",MIN(Tabelle13245689101112[[#This Row],[Jira Story Points]],Tabelle13245689101112[[#This Row],[Carry-over]]),0)</f>
        <v>0</v>
      </c>
      <c r="N136" s="106">
        <f>MIN(Tabelle13245689101112[[#This Row],[Jira Story Points]],Tabelle13245689101112[[#This Row],[Carry-over]])-Tabelle13245689101112[[#This Row],[SP Initially Planned (COS)]]</f>
        <v>2</v>
      </c>
      <c r="O136"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136" s="108">
        <f>IFERROR(IF(Tabelle13245689101112[[#This Row],[Status]]=$J$5,MIN(Tabelle13245689101112[[#This Row],[Jira Story Points]],Tabelle13245689101112[[#This Row],[Carry-over]]),0),0)</f>
        <v>0</v>
      </c>
      <c r="Q136" s="108">
        <f>IFERROR(IF(Tabelle13245689101112[[#This Row],[Status]]=$J$5,0,MIN(Tabelle13245689101112[[#This Row],[Jira Story Points]],Tabelle13245689101112[[#This Row],[Carry-over]])-Tabelle13245689101112[[#This Row],[SP Completed (COS &amp; SOS)]]),0)</f>
        <v>0</v>
      </c>
    </row>
    <row r="137" spans="1:17" s="46" customFormat="1" ht="13.5" hidden="1" customHeight="1">
      <c r="A137" s="137" t="s">
        <v>2097</v>
      </c>
      <c r="B137" s="89" t="s">
        <v>2098</v>
      </c>
      <c r="C137" s="138" t="s">
        <v>372</v>
      </c>
      <c r="D137" s="76">
        <v>3</v>
      </c>
      <c r="E137" s="138" t="s">
        <v>324</v>
      </c>
      <c r="F137" s="139">
        <v>3</v>
      </c>
      <c r="G137" s="138" t="s">
        <v>9</v>
      </c>
      <c r="H137" s="140"/>
      <c r="I137" s="103"/>
      <c r="J137" s="138" t="s">
        <v>901</v>
      </c>
      <c r="K137" s="104"/>
      <c r="L137" s="104"/>
      <c r="M137" s="105">
        <f>IF(Tabelle13245689101112[[#This Row],[Pulled after Start]]="",MIN(Tabelle13245689101112[[#This Row],[Jira Story Points]],Tabelle13245689101112[[#This Row],[Carry-over]]),0)</f>
        <v>3</v>
      </c>
      <c r="N137" s="106">
        <f>MIN(Tabelle13245689101112[[#This Row],[Jira Story Points]],Tabelle13245689101112[[#This Row],[Carry-over]])-Tabelle13245689101112[[#This Row],[SP Initially Planned (COS)]]</f>
        <v>0</v>
      </c>
      <c r="O137"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137" s="108">
        <f>IFERROR(IF(Tabelle13245689101112[[#This Row],[Status]]=$J$5,MIN(Tabelle13245689101112[[#This Row],[Jira Story Points]],Tabelle13245689101112[[#This Row],[Carry-over]]),0),0)</f>
        <v>0</v>
      </c>
      <c r="Q137" s="108">
        <f>IFERROR(IF(Tabelle13245689101112[[#This Row],[Status]]=$J$5,0,MIN(Tabelle13245689101112[[#This Row],[Jira Story Points]],Tabelle13245689101112[[#This Row],[Carry-over]])-Tabelle13245689101112[[#This Row],[SP Completed (COS &amp; SOS)]]),0)</f>
        <v>0</v>
      </c>
    </row>
    <row r="138" spans="1:17" s="46" customFormat="1" ht="13.5" hidden="1" customHeight="1">
      <c r="A138" s="137" t="s">
        <v>2099</v>
      </c>
      <c r="B138" s="89" t="s">
        <v>2100</v>
      </c>
      <c r="C138" s="138" t="s">
        <v>372</v>
      </c>
      <c r="D138" s="76">
        <v>3</v>
      </c>
      <c r="E138" s="138" t="s">
        <v>324</v>
      </c>
      <c r="F138" s="139">
        <v>1</v>
      </c>
      <c r="G138" s="140" t="s">
        <v>9</v>
      </c>
      <c r="H138" s="140"/>
      <c r="I138" s="103"/>
      <c r="J138" s="138" t="s">
        <v>901</v>
      </c>
      <c r="K138" s="104"/>
      <c r="L138" s="104"/>
      <c r="M138" s="105">
        <f>IF(Tabelle13245689101112[[#This Row],[Pulled after Start]]="",MIN(Tabelle13245689101112[[#This Row],[Jira Story Points]],Tabelle13245689101112[[#This Row],[Carry-over]]),0)</f>
        <v>1</v>
      </c>
      <c r="N138" s="106">
        <f>MIN(Tabelle13245689101112[[#This Row],[Jira Story Points]],Tabelle13245689101112[[#This Row],[Carry-over]])-Tabelle13245689101112[[#This Row],[SP Initially Planned (COS)]]</f>
        <v>0</v>
      </c>
      <c r="O138"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138" s="108">
        <f>IFERROR(IF(Tabelle13245689101112[[#This Row],[Status]]=$J$5,MIN(Tabelle13245689101112[[#This Row],[Jira Story Points]],Tabelle13245689101112[[#This Row],[Carry-over]]),0),0)</f>
        <v>0</v>
      </c>
      <c r="Q138" s="108">
        <f>IFERROR(IF(Tabelle13245689101112[[#This Row],[Status]]=$J$5,0,MIN(Tabelle13245689101112[[#This Row],[Jira Story Points]],Tabelle13245689101112[[#This Row],[Carry-over]])-Tabelle13245689101112[[#This Row],[SP Completed (COS &amp; SOS)]]),0)</f>
        <v>0</v>
      </c>
    </row>
    <row r="139" spans="1:17" s="46" customFormat="1" ht="13.5" hidden="1" customHeight="1">
      <c r="A139" s="137" t="s">
        <v>2101</v>
      </c>
      <c r="B139" s="89" t="s">
        <v>2102</v>
      </c>
      <c r="C139" s="138" t="s">
        <v>375</v>
      </c>
      <c r="D139" s="76">
        <v>2</v>
      </c>
      <c r="E139" s="138" t="s">
        <v>324</v>
      </c>
      <c r="F139" s="139">
        <v>2</v>
      </c>
      <c r="G139" s="138" t="s">
        <v>9</v>
      </c>
      <c r="H139" s="140" t="s">
        <v>209</v>
      </c>
      <c r="I139" s="103"/>
      <c r="J139" s="138" t="s">
        <v>2103</v>
      </c>
      <c r="K139" s="104"/>
      <c r="L139" s="104"/>
      <c r="M139" s="105">
        <f>IF(Tabelle13245689101112[[#This Row],[Pulled after Start]]="",MIN(Tabelle13245689101112[[#This Row],[Jira Story Points]],Tabelle13245689101112[[#This Row],[Carry-over]]),0)</f>
        <v>0</v>
      </c>
      <c r="N139" s="106">
        <f>MIN(Tabelle13245689101112[[#This Row],[Jira Story Points]],Tabelle13245689101112[[#This Row],[Carry-over]])-Tabelle13245689101112[[#This Row],[SP Initially Planned (COS)]]</f>
        <v>2</v>
      </c>
      <c r="O139"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139" s="108">
        <f>IFERROR(IF(Tabelle13245689101112[[#This Row],[Status]]=$J$5,MIN(Tabelle13245689101112[[#This Row],[Jira Story Points]],Tabelle13245689101112[[#This Row],[Carry-over]]),0),0)</f>
        <v>0</v>
      </c>
      <c r="Q139" s="108">
        <f>IFERROR(IF(Tabelle13245689101112[[#This Row],[Status]]=$J$5,0,MIN(Tabelle13245689101112[[#This Row],[Jira Story Points]],Tabelle13245689101112[[#This Row],[Carry-over]])-Tabelle13245689101112[[#This Row],[SP Completed (COS &amp; SOS)]]),0)</f>
        <v>0</v>
      </c>
    </row>
    <row r="140" spans="1:17" s="46" customFormat="1" ht="13.5" hidden="1" customHeight="1">
      <c r="A140" s="137" t="s">
        <v>2104</v>
      </c>
      <c r="B140" s="89" t="s">
        <v>2105</v>
      </c>
      <c r="C140" s="138" t="s">
        <v>372</v>
      </c>
      <c r="D140" s="76">
        <v>3</v>
      </c>
      <c r="E140" s="138" t="s">
        <v>324</v>
      </c>
      <c r="F140" s="139">
        <v>2</v>
      </c>
      <c r="G140" s="140" t="s">
        <v>9</v>
      </c>
      <c r="H140" s="140"/>
      <c r="I140" s="103"/>
      <c r="J140" s="138" t="s">
        <v>901</v>
      </c>
      <c r="K140" s="104"/>
      <c r="L140" s="104"/>
      <c r="M140" s="105">
        <f>IF(Tabelle13245689101112[[#This Row],[Pulled after Start]]="",MIN(Tabelle13245689101112[[#This Row],[Jira Story Points]],Tabelle13245689101112[[#This Row],[Carry-over]]),0)</f>
        <v>2</v>
      </c>
      <c r="N140" s="106">
        <f>MIN(Tabelle13245689101112[[#This Row],[Jira Story Points]],Tabelle13245689101112[[#This Row],[Carry-over]])-Tabelle13245689101112[[#This Row],[SP Initially Planned (COS)]]</f>
        <v>0</v>
      </c>
      <c r="O140"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140" s="108">
        <f>IFERROR(IF(Tabelle13245689101112[[#This Row],[Status]]=$J$5,MIN(Tabelle13245689101112[[#This Row],[Jira Story Points]],Tabelle13245689101112[[#This Row],[Carry-over]]),0),0)</f>
        <v>0</v>
      </c>
      <c r="Q140" s="108">
        <f>IFERROR(IF(Tabelle13245689101112[[#This Row],[Status]]=$J$5,0,MIN(Tabelle13245689101112[[#This Row],[Jira Story Points]],Tabelle13245689101112[[#This Row],[Carry-over]])-Tabelle13245689101112[[#This Row],[SP Completed (COS &amp; SOS)]]),0)</f>
        <v>0</v>
      </c>
    </row>
    <row r="141" spans="1:17" s="46" customFormat="1" ht="13.5" hidden="1" customHeight="1">
      <c r="A141" s="137" t="s">
        <v>2106</v>
      </c>
      <c r="B141" s="89" t="s">
        <v>2107</v>
      </c>
      <c r="C141" s="138" t="s">
        <v>372</v>
      </c>
      <c r="D141" s="76">
        <v>3</v>
      </c>
      <c r="E141" s="138" t="s">
        <v>324</v>
      </c>
      <c r="F141" s="139">
        <v>5</v>
      </c>
      <c r="G141" s="138" t="s">
        <v>9</v>
      </c>
      <c r="H141" s="140" t="s">
        <v>209</v>
      </c>
      <c r="I141" s="103"/>
      <c r="J141" s="138" t="s">
        <v>901</v>
      </c>
      <c r="K141" s="104"/>
      <c r="L141" s="104"/>
      <c r="M141" s="105">
        <f>IF(Tabelle13245689101112[[#This Row],[Pulled after Start]]="",MIN(Tabelle13245689101112[[#This Row],[Jira Story Points]],Tabelle13245689101112[[#This Row],[Carry-over]]),0)</f>
        <v>0</v>
      </c>
      <c r="N141" s="106">
        <f>MIN(Tabelle13245689101112[[#This Row],[Jira Story Points]],Tabelle13245689101112[[#This Row],[Carry-over]])-Tabelle13245689101112[[#This Row],[SP Initially Planned (COS)]]</f>
        <v>5</v>
      </c>
      <c r="O141"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5</v>
      </c>
      <c r="P141" s="108">
        <f>IFERROR(IF(Tabelle13245689101112[[#This Row],[Status]]=$J$5,MIN(Tabelle13245689101112[[#This Row],[Jira Story Points]],Tabelle13245689101112[[#This Row],[Carry-over]]),0),0)</f>
        <v>0</v>
      </c>
      <c r="Q141" s="108">
        <f>IFERROR(IF(Tabelle13245689101112[[#This Row],[Status]]=$J$5,0,MIN(Tabelle13245689101112[[#This Row],[Jira Story Points]],Tabelle13245689101112[[#This Row],[Carry-over]])-Tabelle13245689101112[[#This Row],[SP Completed (COS &amp; SOS)]]),0)</f>
        <v>0</v>
      </c>
    </row>
    <row r="142" spans="1:17" s="46" customFormat="1" ht="13.5" hidden="1" customHeight="1">
      <c r="A142" s="137" t="s">
        <v>2108</v>
      </c>
      <c r="B142" s="89" t="s">
        <v>2109</v>
      </c>
      <c r="C142" s="138" t="s">
        <v>372</v>
      </c>
      <c r="D142" s="76">
        <v>3</v>
      </c>
      <c r="E142" s="138" t="s">
        <v>324</v>
      </c>
      <c r="F142" s="139">
        <v>3</v>
      </c>
      <c r="G142" s="140" t="s">
        <v>9</v>
      </c>
      <c r="H142" s="140"/>
      <c r="I142" s="103"/>
      <c r="J142" s="138" t="s">
        <v>901</v>
      </c>
      <c r="K142" s="104">
        <v>1</v>
      </c>
      <c r="L142" s="104"/>
      <c r="M142" s="105">
        <f>IF(Tabelle13245689101112[[#This Row],[Pulled after Start]]="",MIN(Tabelle13245689101112[[#This Row],[Jira Story Points]],Tabelle13245689101112[[#This Row],[Carry-over]]),0)</f>
        <v>1</v>
      </c>
      <c r="N142" s="106">
        <f>MIN(Tabelle13245689101112[[#This Row],[Jira Story Points]],Tabelle13245689101112[[#This Row],[Carry-over]])-Tabelle13245689101112[[#This Row],[SP Initially Planned (COS)]]</f>
        <v>0</v>
      </c>
      <c r="O142"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142" s="108">
        <f>IFERROR(IF(Tabelle13245689101112[[#This Row],[Status]]=$J$5,MIN(Tabelle13245689101112[[#This Row],[Jira Story Points]],Tabelle13245689101112[[#This Row],[Carry-over]]),0),0)</f>
        <v>0</v>
      </c>
      <c r="Q142" s="108">
        <f>IFERROR(IF(Tabelle13245689101112[[#This Row],[Status]]=$J$5,0,MIN(Tabelle13245689101112[[#This Row],[Jira Story Points]],Tabelle13245689101112[[#This Row],[Carry-over]])-Tabelle13245689101112[[#This Row],[SP Completed (COS &amp; SOS)]]),0)</f>
        <v>0</v>
      </c>
    </row>
    <row r="143" spans="1:17" s="46" customFormat="1" ht="13.5" hidden="1" customHeight="1">
      <c r="A143" s="137" t="s">
        <v>1896</v>
      </c>
      <c r="B143" s="89" t="s">
        <v>1897</v>
      </c>
      <c r="C143" s="138" t="s">
        <v>372</v>
      </c>
      <c r="D143" s="76">
        <v>3</v>
      </c>
      <c r="E143" s="138" t="s">
        <v>327</v>
      </c>
      <c r="F143" s="139">
        <v>8</v>
      </c>
      <c r="G143" s="138" t="s">
        <v>9</v>
      </c>
      <c r="H143" s="140"/>
      <c r="I143" s="103"/>
      <c r="J143" s="138" t="s">
        <v>928</v>
      </c>
      <c r="K143" s="104"/>
      <c r="L143" s="104">
        <v>1</v>
      </c>
      <c r="M143" s="105">
        <f>IF(Tabelle13245689101112[[#This Row],[Pulled after Start]]="",MIN(Tabelle13245689101112[[#This Row],[Jira Story Points]],Tabelle13245689101112[[#This Row],[Carry-over]]),0)</f>
        <v>8</v>
      </c>
      <c r="N143" s="106">
        <f>MIN(Tabelle13245689101112[[#This Row],[Jira Story Points]],Tabelle13245689101112[[#This Row],[Carry-over]])-Tabelle13245689101112[[#This Row],[SP Initially Planned (COS)]]</f>
        <v>0</v>
      </c>
      <c r="O143"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7</v>
      </c>
      <c r="P143" s="108">
        <f>IFERROR(IF(Tabelle13245689101112[[#This Row],[Status]]=$J$5,MIN(Tabelle13245689101112[[#This Row],[Jira Story Points]],Tabelle13245689101112[[#This Row],[Carry-over]]),0),0)</f>
        <v>0</v>
      </c>
      <c r="Q143" s="108">
        <f>IFERROR(IF(Tabelle13245689101112[[#This Row],[Status]]=$J$5,0,MIN(Tabelle13245689101112[[#This Row],[Jira Story Points]],Tabelle13245689101112[[#This Row],[Carry-over]])-Tabelle13245689101112[[#This Row],[SP Completed (COS &amp; SOS)]]),0)</f>
        <v>1</v>
      </c>
    </row>
    <row r="144" spans="1:17" s="46" customFormat="1" ht="13.5" hidden="1" customHeight="1">
      <c r="A144" s="137" t="s">
        <v>2110</v>
      </c>
      <c r="B144" s="89" t="s">
        <v>2111</v>
      </c>
      <c r="C144" s="138" t="s">
        <v>372</v>
      </c>
      <c r="D144" s="76">
        <v>3</v>
      </c>
      <c r="E144" s="138" t="s">
        <v>324</v>
      </c>
      <c r="F144" s="139">
        <v>5</v>
      </c>
      <c r="G144" s="140" t="s">
        <v>9</v>
      </c>
      <c r="H144" s="140"/>
      <c r="I144" s="103"/>
      <c r="J144" s="138" t="s">
        <v>901</v>
      </c>
      <c r="K144" s="104">
        <v>1</v>
      </c>
      <c r="L144" s="104"/>
      <c r="M144" s="105">
        <f>IF(Tabelle13245689101112[[#This Row],[Pulled after Start]]="",MIN(Tabelle13245689101112[[#This Row],[Jira Story Points]],Tabelle13245689101112[[#This Row],[Carry-over]]),0)</f>
        <v>1</v>
      </c>
      <c r="N144" s="106">
        <f>MIN(Tabelle13245689101112[[#This Row],[Jira Story Points]],Tabelle13245689101112[[#This Row],[Carry-over]])-Tabelle13245689101112[[#This Row],[SP Initially Planned (COS)]]</f>
        <v>0</v>
      </c>
      <c r="O144"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144" s="108">
        <f>IFERROR(IF(Tabelle13245689101112[[#This Row],[Status]]=$J$5,MIN(Tabelle13245689101112[[#This Row],[Jira Story Points]],Tabelle13245689101112[[#This Row],[Carry-over]]),0),0)</f>
        <v>0</v>
      </c>
      <c r="Q144" s="108">
        <f>IFERROR(IF(Tabelle13245689101112[[#This Row],[Status]]=$J$5,0,MIN(Tabelle13245689101112[[#This Row],[Jira Story Points]],Tabelle13245689101112[[#This Row],[Carry-over]])-Tabelle13245689101112[[#This Row],[SP Completed (COS &amp; SOS)]]),0)</f>
        <v>0</v>
      </c>
    </row>
    <row r="145" spans="1:17" s="46" customFormat="1" ht="13.5" hidden="1" customHeight="1">
      <c r="A145" s="137" t="s">
        <v>2112</v>
      </c>
      <c r="B145" s="89" t="s">
        <v>2113</v>
      </c>
      <c r="C145" s="138" t="s">
        <v>372</v>
      </c>
      <c r="D145" s="76">
        <v>3</v>
      </c>
      <c r="E145" s="138" t="s">
        <v>324</v>
      </c>
      <c r="F145" s="139">
        <v>3</v>
      </c>
      <c r="G145" s="138" t="s">
        <v>9</v>
      </c>
      <c r="H145" s="140"/>
      <c r="I145" s="103"/>
      <c r="J145" s="138" t="s">
        <v>125</v>
      </c>
      <c r="K145" s="104"/>
      <c r="L145" s="104"/>
      <c r="M145" s="105">
        <f>IF(Tabelle13245689101112[[#This Row],[Pulled after Start]]="",MIN(Tabelle13245689101112[[#This Row],[Jira Story Points]],Tabelle13245689101112[[#This Row],[Carry-over]]),0)</f>
        <v>3</v>
      </c>
      <c r="N145" s="106">
        <f>MIN(Tabelle13245689101112[[#This Row],[Jira Story Points]],Tabelle13245689101112[[#This Row],[Carry-over]])-Tabelle13245689101112[[#This Row],[SP Initially Planned (COS)]]</f>
        <v>0</v>
      </c>
      <c r="O145"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145" s="108">
        <f>IFERROR(IF(Tabelle13245689101112[[#This Row],[Status]]=$J$5,MIN(Tabelle13245689101112[[#This Row],[Jira Story Points]],Tabelle13245689101112[[#This Row],[Carry-over]]),0),0)</f>
        <v>0</v>
      </c>
      <c r="Q145" s="108">
        <f>IFERROR(IF(Tabelle13245689101112[[#This Row],[Status]]=$J$5,0,MIN(Tabelle13245689101112[[#This Row],[Jira Story Points]],Tabelle13245689101112[[#This Row],[Carry-over]])-Tabelle13245689101112[[#This Row],[SP Completed (COS &amp; SOS)]]),0)</f>
        <v>0</v>
      </c>
    </row>
    <row r="146" spans="1:17" s="46" customFormat="1" ht="13.5" hidden="1" customHeight="1">
      <c r="A146" s="137" t="s">
        <v>899</v>
      </c>
      <c r="B146" s="89" t="s">
        <v>900</v>
      </c>
      <c r="C146" s="138" t="s">
        <v>372</v>
      </c>
      <c r="D146" s="76">
        <v>3</v>
      </c>
      <c r="E146" s="138" t="s">
        <v>327</v>
      </c>
      <c r="F146" s="139">
        <v>5</v>
      </c>
      <c r="G146" s="140" t="s">
        <v>9</v>
      </c>
      <c r="H146" s="140"/>
      <c r="I146" s="103"/>
      <c r="J146" s="138" t="s">
        <v>928</v>
      </c>
      <c r="K146" s="104"/>
      <c r="L146" s="104">
        <v>2</v>
      </c>
      <c r="M146" s="105">
        <f>IF(Tabelle13245689101112[[#This Row],[Pulled after Start]]="",MIN(Tabelle13245689101112[[#This Row],[Jira Story Points]],Tabelle13245689101112[[#This Row],[Carry-over]]),0)</f>
        <v>5</v>
      </c>
      <c r="N146" s="106">
        <f>MIN(Tabelle13245689101112[[#This Row],[Jira Story Points]],Tabelle13245689101112[[#This Row],[Carry-over]])-Tabelle13245689101112[[#This Row],[SP Initially Planned (COS)]]</f>
        <v>0</v>
      </c>
      <c r="O146"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146" s="108">
        <f>IFERROR(IF(Tabelle13245689101112[[#This Row],[Status]]=$J$5,MIN(Tabelle13245689101112[[#This Row],[Jira Story Points]],Tabelle13245689101112[[#This Row],[Carry-over]]),0),0)</f>
        <v>0</v>
      </c>
      <c r="Q146" s="108">
        <f>IFERROR(IF(Tabelle13245689101112[[#This Row],[Status]]=$J$5,0,MIN(Tabelle13245689101112[[#This Row],[Jira Story Points]],Tabelle13245689101112[[#This Row],[Carry-over]])-Tabelle13245689101112[[#This Row],[SP Completed (COS &amp; SOS)]]),0)</f>
        <v>2</v>
      </c>
    </row>
    <row r="147" spans="1:17" s="46" customFormat="1" ht="13.5" hidden="1" customHeight="1">
      <c r="A147" s="137" t="s">
        <v>2114</v>
      </c>
      <c r="B147" s="89" t="s">
        <v>2115</v>
      </c>
      <c r="C147" s="138" t="s">
        <v>372</v>
      </c>
      <c r="D147" s="76">
        <v>3</v>
      </c>
      <c r="E147" s="138" t="s">
        <v>324</v>
      </c>
      <c r="F147" s="139">
        <v>3</v>
      </c>
      <c r="G147" s="138" t="s">
        <v>9</v>
      </c>
      <c r="H147" s="140"/>
      <c r="I147" s="103"/>
      <c r="J147" s="138" t="s">
        <v>125</v>
      </c>
      <c r="K147" s="104">
        <v>1</v>
      </c>
      <c r="L147" s="104"/>
      <c r="M147" s="105">
        <f>IF(Tabelle13245689101112[[#This Row],[Pulled after Start]]="",MIN(Tabelle13245689101112[[#This Row],[Jira Story Points]],Tabelle13245689101112[[#This Row],[Carry-over]]),0)</f>
        <v>1</v>
      </c>
      <c r="N147" s="106">
        <f>MIN(Tabelle13245689101112[[#This Row],[Jira Story Points]],Tabelle13245689101112[[#This Row],[Carry-over]])-Tabelle13245689101112[[#This Row],[SP Initially Planned (COS)]]</f>
        <v>0</v>
      </c>
      <c r="O147"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1</v>
      </c>
      <c r="P147" s="108">
        <f>IFERROR(IF(Tabelle13245689101112[[#This Row],[Status]]=$J$5,MIN(Tabelle13245689101112[[#This Row],[Jira Story Points]],Tabelle13245689101112[[#This Row],[Carry-over]]),0),0)</f>
        <v>0</v>
      </c>
      <c r="Q147" s="108">
        <f>IFERROR(IF(Tabelle13245689101112[[#This Row],[Status]]=$J$5,0,MIN(Tabelle13245689101112[[#This Row],[Jira Story Points]],Tabelle13245689101112[[#This Row],[Carry-over]])-Tabelle13245689101112[[#This Row],[SP Completed (COS &amp; SOS)]]),0)</f>
        <v>0</v>
      </c>
    </row>
    <row r="148" spans="1:17" s="46" customFormat="1" ht="13.5" hidden="1" customHeight="1">
      <c r="A148" s="137" t="s">
        <v>2116</v>
      </c>
      <c r="B148" s="89" t="s">
        <v>2117</v>
      </c>
      <c r="C148" s="138" t="s">
        <v>372</v>
      </c>
      <c r="D148" s="76">
        <v>3</v>
      </c>
      <c r="E148" s="138" t="s">
        <v>324</v>
      </c>
      <c r="F148" s="139">
        <v>5</v>
      </c>
      <c r="G148" s="140" t="s">
        <v>9</v>
      </c>
      <c r="H148" s="140" t="s">
        <v>209</v>
      </c>
      <c r="I148" s="103"/>
      <c r="J148" s="138" t="s">
        <v>125</v>
      </c>
      <c r="K148" s="104"/>
      <c r="L148" s="104"/>
      <c r="M148" s="105">
        <f>IF(Tabelle13245689101112[[#This Row],[Pulled after Start]]="",MIN(Tabelle13245689101112[[#This Row],[Jira Story Points]],Tabelle13245689101112[[#This Row],[Carry-over]]),0)</f>
        <v>0</v>
      </c>
      <c r="N148" s="106">
        <f>MIN(Tabelle13245689101112[[#This Row],[Jira Story Points]],Tabelle13245689101112[[#This Row],[Carry-over]])-Tabelle13245689101112[[#This Row],[SP Initially Planned (COS)]]</f>
        <v>5</v>
      </c>
      <c r="O148"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5</v>
      </c>
      <c r="P148" s="108">
        <f>IFERROR(IF(Tabelle13245689101112[[#This Row],[Status]]=$J$5,MIN(Tabelle13245689101112[[#This Row],[Jira Story Points]],Tabelle13245689101112[[#This Row],[Carry-over]]),0),0)</f>
        <v>0</v>
      </c>
      <c r="Q148" s="108">
        <f>IFERROR(IF(Tabelle13245689101112[[#This Row],[Status]]=$J$5,0,MIN(Tabelle13245689101112[[#This Row],[Jira Story Points]],Tabelle13245689101112[[#This Row],[Carry-over]])-Tabelle13245689101112[[#This Row],[SP Completed (COS &amp; SOS)]]),0)</f>
        <v>0</v>
      </c>
    </row>
    <row r="149" spans="1:17" s="46" customFormat="1" ht="13.5" hidden="1" customHeight="1">
      <c r="A149" s="137" t="s">
        <v>1894</v>
      </c>
      <c r="B149" s="89" t="s">
        <v>1895</v>
      </c>
      <c r="C149" s="138" t="s">
        <v>372</v>
      </c>
      <c r="D149" s="76">
        <v>3</v>
      </c>
      <c r="E149" s="138" t="s">
        <v>327</v>
      </c>
      <c r="F149" s="139">
        <v>8</v>
      </c>
      <c r="G149" s="138" t="s">
        <v>9</v>
      </c>
      <c r="H149" s="140" t="s">
        <v>209</v>
      </c>
      <c r="I149" s="103"/>
      <c r="J149" s="138" t="s">
        <v>928</v>
      </c>
      <c r="K149" s="104"/>
      <c r="L149" s="104">
        <v>5</v>
      </c>
      <c r="M149" s="105">
        <f>IF(Tabelle13245689101112[[#This Row],[Pulled after Start]]="",MIN(Tabelle13245689101112[[#This Row],[Jira Story Points]],Tabelle13245689101112[[#This Row],[Carry-over]]),0)</f>
        <v>0</v>
      </c>
      <c r="N149" s="106">
        <f>MIN(Tabelle13245689101112[[#This Row],[Jira Story Points]],Tabelle13245689101112[[#This Row],[Carry-over]])-Tabelle13245689101112[[#This Row],[SP Initially Planned (COS)]]</f>
        <v>8</v>
      </c>
      <c r="O149"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3</v>
      </c>
      <c r="P149" s="108">
        <f>IFERROR(IF(Tabelle13245689101112[[#This Row],[Status]]=$J$5,MIN(Tabelle13245689101112[[#This Row],[Jira Story Points]],Tabelle13245689101112[[#This Row],[Carry-over]]),0),0)</f>
        <v>0</v>
      </c>
      <c r="Q149" s="108">
        <f>IFERROR(IF(Tabelle13245689101112[[#This Row],[Status]]=$J$5,0,MIN(Tabelle13245689101112[[#This Row],[Jira Story Points]],Tabelle13245689101112[[#This Row],[Carry-over]])-Tabelle13245689101112[[#This Row],[SP Completed (COS &amp; SOS)]]),0)</f>
        <v>5</v>
      </c>
    </row>
    <row r="150" spans="1:17" s="46" customFormat="1" ht="13.5" hidden="1" customHeight="1">
      <c r="A150" s="137" t="s">
        <v>2118</v>
      </c>
      <c r="B150" s="89" t="s">
        <v>2119</v>
      </c>
      <c r="C150" s="138" t="s">
        <v>375</v>
      </c>
      <c r="D150" s="76">
        <v>2</v>
      </c>
      <c r="E150" s="138" t="s">
        <v>324</v>
      </c>
      <c r="F150" s="139">
        <v>0.5</v>
      </c>
      <c r="G150" s="140" t="s">
        <v>9</v>
      </c>
      <c r="H150" s="140" t="s">
        <v>209</v>
      </c>
      <c r="I150" s="103"/>
      <c r="J150" s="138" t="s">
        <v>2103</v>
      </c>
      <c r="K150" s="104"/>
      <c r="L150" s="104"/>
      <c r="M150" s="105">
        <f>IF(Tabelle13245689101112[[#This Row],[Pulled after Start]]="",MIN(Tabelle13245689101112[[#This Row],[Jira Story Points]],Tabelle13245689101112[[#This Row],[Carry-over]]),0)</f>
        <v>0</v>
      </c>
      <c r="N150" s="106">
        <f>MIN(Tabelle13245689101112[[#This Row],[Jira Story Points]],Tabelle13245689101112[[#This Row],[Carry-over]])-Tabelle13245689101112[[#This Row],[SP Initially Planned (COS)]]</f>
        <v>0.5</v>
      </c>
      <c r="O150"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0.5</v>
      </c>
      <c r="P150" s="108">
        <f>IFERROR(IF(Tabelle13245689101112[[#This Row],[Status]]=$J$5,MIN(Tabelle13245689101112[[#This Row],[Jira Story Points]],Tabelle13245689101112[[#This Row],[Carry-over]]),0),0)</f>
        <v>0</v>
      </c>
      <c r="Q150" s="108">
        <f>IFERROR(IF(Tabelle13245689101112[[#This Row],[Status]]=$J$5,0,MIN(Tabelle13245689101112[[#This Row],[Jira Story Points]],Tabelle13245689101112[[#This Row],[Carry-over]])-Tabelle13245689101112[[#This Row],[SP Completed (COS &amp; SOS)]]),0)</f>
        <v>0</v>
      </c>
    </row>
    <row r="151" spans="1:17" s="46" customFormat="1" ht="13.5" hidden="1" customHeight="1">
      <c r="A151" s="137" t="s">
        <v>2120</v>
      </c>
      <c r="B151" s="89" t="s">
        <v>2121</v>
      </c>
      <c r="C151" s="138" t="s">
        <v>372</v>
      </c>
      <c r="D151" s="76">
        <v>3</v>
      </c>
      <c r="E151" s="138" t="s">
        <v>324</v>
      </c>
      <c r="F151" s="139">
        <v>2</v>
      </c>
      <c r="G151" s="138" t="s">
        <v>9</v>
      </c>
      <c r="H151" s="140" t="s">
        <v>209</v>
      </c>
      <c r="I151" s="103"/>
      <c r="J151" s="138" t="s">
        <v>125</v>
      </c>
      <c r="K151" s="104"/>
      <c r="L151" s="104"/>
      <c r="M151" s="105">
        <f>IF(Tabelle13245689101112[[#This Row],[Pulled after Start]]="",MIN(Tabelle13245689101112[[#This Row],[Jira Story Points]],Tabelle13245689101112[[#This Row],[Carry-over]]),0)</f>
        <v>0</v>
      </c>
      <c r="N151" s="106">
        <f>MIN(Tabelle13245689101112[[#This Row],[Jira Story Points]],Tabelle13245689101112[[#This Row],[Carry-over]])-Tabelle13245689101112[[#This Row],[SP Initially Planned (COS)]]</f>
        <v>2</v>
      </c>
      <c r="O151"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151" s="108">
        <f>IFERROR(IF(Tabelle13245689101112[[#This Row],[Status]]=$J$5,MIN(Tabelle13245689101112[[#This Row],[Jira Story Points]],Tabelle13245689101112[[#This Row],[Carry-over]]),0),0)</f>
        <v>0</v>
      </c>
      <c r="Q151" s="108">
        <f>IFERROR(IF(Tabelle13245689101112[[#This Row],[Status]]=$J$5,0,MIN(Tabelle13245689101112[[#This Row],[Jira Story Points]],Tabelle13245689101112[[#This Row],[Carry-over]])-Tabelle13245689101112[[#This Row],[SP Completed (COS &amp; SOS)]]),0)</f>
        <v>0</v>
      </c>
    </row>
    <row r="152" spans="1:17" s="46" customFormat="1" ht="13.5" hidden="1" customHeight="1">
      <c r="A152" s="137" t="s">
        <v>2122</v>
      </c>
      <c r="B152" s="89" t="s">
        <v>2123</v>
      </c>
      <c r="C152" s="138" t="s">
        <v>372</v>
      </c>
      <c r="D152" s="76">
        <v>2</v>
      </c>
      <c r="E152" s="138" t="s">
        <v>324</v>
      </c>
      <c r="F152" s="139">
        <v>0.5</v>
      </c>
      <c r="G152" s="140" t="s">
        <v>9</v>
      </c>
      <c r="H152" s="140" t="s">
        <v>209</v>
      </c>
      <c r="I152" s="103"/>
      <c r="J152" s="138" t="s">
        <v>125</v>
      </c>
      <c r="K152" s="104"/>
      <c r="L152" s="104"/>
      <c r="M152" s="105">
        <f>IF(Tabelle13245689101112[[#This Row],[Pulled after Start]]="",MIN(Tabelle13245689101112[[#This Row],[Jira Story Points]],Tabelle13245689101112[[#This Row],[Carry-over]]),0)</f>
        <v>0</v>
      </c>
      <c r="N152" s="106">
        <f>MIN(Tabelle13245689101112[[#This Row],[Jira Story Points]],Tabelle13245689101112[[#This Row],[Carry-over]])-Tabelle13245689101112[[#This Row],[SP Initially Planned (COS)]]</f>
        <v>0.5</v>
      </c>
      <c r="O152"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0.5</v>
      </c>
      <c r="P152" s="108">
        <f>IFERROR(IF(Tabelle13245689101112[[#This Row],[Status]]=$J$5,MIN(Tabelle13245689101112[[#This Row],[Jira Story Points]],Tabelle13245689101112[[#This Row],[Carry-over]]),0),0)</f>
        <v>0</v>
      </c>
      <c r="Q152" s="108">
        <f>IFERROR(IF(Tabelle13245689101112[[#This Row],[Status]]=$J$5,0,MIN(Tabelle13245689101112[[#This Row],[Jira Story Points]],Tabelle13245689101112[[#This Row],[Carry-over]])-Tabelle13245689101112[[#This Row],[SP Completed (COS &amp; SOS)]]),0)</f>
        <v>0</v>
      </c>
    </row>
    <row r="153" spans="1:17" s="46" customFormat="1" ht="13.5" hidden="1" customHeight="1">
      <c r="A153" s="137" t="s">
        <v>2124</v>
      </c>
      <c r="B153" s="89" t="s">
        <v>2125</v>
      </c>
      <c r="C153" s="138"/>
      <c r="D153" s="76">
        <v>3</v>
      </c>
      <c r="E153" s="138" t="s">
        <v>324</v>
      </c>
      <c r="F153" s="139">
        <v>0.5</v>
      </c>
      <c r="G153" s="138" t="s">
        <v>9</v>
      </c>
      <c r="H153" s="140" t="s">
        <v>209</v>
      </c>
      <c r="I153" s="103"/>
      <c r="J153" s="138" t="s">
        <v>901</v>
      </c>
      <c r="K153" s="104"/>
      <c r="L153" s="104"/>
      <c r="M153" s="105">
        <f>IF(Tabelle13245689101112[[#This Row],[Pulled after Start]]="",MIN(Tabelle13245689101112[[#This Row],[Jira Story Points]],Tabelle13245689101112[[#This Row],[Carry-over]]),0)</f>
        <v>0</v>
      </c>
      <c r="N153" s="106">
        <f>MIN(Tabelle13245689101112[[#This Row],[Jira Story Points]],Tabelle13245689101112[[#This Row],[Carry-over]])-Tabelle13245689101112[[#This Row],[SP Initially Planned (COS)]]</f>
        <v>0.5</v>
      </c>
      <c r="O153"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0.5</v>
      </c>
      <c r="P153" s="108">
        <f>IFERROR(IF(Tabelle13245689101112[[#This Row],[Status]]=$J$5,MIN(Tabelle13245689101112[[#This Row],[Jira Story Points]],Tabelle13245689101112[[#This Row],[Carry-over]]),0),0)</f>
        <v>0</v>
      </c>
      <c r="Q153" s="108">
        <f>IFERROR(IF(Tabelle13245689101112[[#This Row],[Status]]=$J$5,0,MIN(Tabelle13245689101112[[#This Row],[Jira Story Points]],Tabelle13245689101112[[#This Row],[Carry-over]])-Tabelle13245689101112[[#This Row],[SP Completed (COS &amp; SOS)]]),0)</f>
        <v>0</v>
      </c>
    </row>
    <row r="154" spans="1:17" s="46" customFormat="1" ht="13.5" hidden="1" customHeight="1">
      <c r="A154" s="137" t="s">
        <v>2126</v>
      </c>
      <c r="B154" s="89" t="s">
        <v>2127</v>
      </c>
      <c r="C154" s="138"/>
      <c r="D154" s="76">
        <v>3</v>
      </c>
      <c r="E154" s="138" t="s">
        <v>324</v>
      </c>
      <c r="F154" s="139">
        <v>2</v>
      </c>
      <c r="G154" s="140" t="s">
        <v>9</v>
      </c>
      <c r="H154" s="140" t="s">
        <v>209</v>
      </c>
      <c r="I154" s="103"/>
      <c r="J154" s="138" t="s">
        <v>125</v>
      </c>
      <c r="K154" s="104"/>
      <c r="L154" s="104"/>
      <c r="M154" s="105">
        <f>IF(Tabelle13245689101112[[#This Row],[Pulled after Start]]="",MIN(Tabelle13245689101112[[#This Row],[Jira Story Points]],Tabelle13245689101112[[#This Row],[Carry-over]]),0)</f>
        <v>0</v>
      </c>
      <c r="N154" s="106">
        <f>MIN(Tabelle13245689101112[[#This Row],[Jira Story Points]],Tabelle13245689101112[[#This Row],[Carry-over]])-Tabelle13245689101112[[#This Row],[SP Initially Planned (COS)]]</f>
        <v>2</v>
      </c>
      <c r="O154"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2</v>
      </c>
      <c r="P154" s="108">
        <f>IFERROR(IF(Tabelle13245689101112[[#This Row],[Status]]=$J$5,MIN(Tabelle13245689101112[[#This Row],[Jira Story Points]],Tabelle13245689101112[[#This Row],[Carry-over]]),0),0)</f>
        <v>0</v>
      </c>
      <c r="Q154" s="108">
        <f>IFERROR(IF(Tabelle13245689101112[[#This Row],[Status]]=$J$5,0,MIN(Tabelle13245689101112[[#This Row],[Jira Story Points]],Tabelle13245689101112[[#This Row],[Carry-over]])-Tabelle13245689101112[[#This Row],[SP Completed (COS &amp; SOS)]]),0)</f>
        <v>0</v>
      </c>
    </row>
    <row r="155" spans="1:17" s="46" customFormat="1" ht="13.5" hidden="1" customHeight="1">
      <c r="A155" s="137" t="s">
        <v>1890</v>
      </c>
      <c r="B155" s="89" t="s">
        <v>1891</v>
      </c>
      <c r="C155" s="138" t="s">
        <v>372</v>
      </c>
      <c r="D155" s="76">
        <v>3</v>
      </c>
      <c r="E155" s="138" t="s">
        <v>327</v>
      </c>
      <c r="F155" s="139">
        <v>3</v>
      </c>
      <c r="G155" s="138" t="s">
        <v>9</v>
      </c>
      <c r="H155" s="140" t="s">
        <v>209</v>
      </c>
      <c r="I155" s="103"/>
      <c r="J155" s="138" t="s">
        <v>928</v>
      </c>
      <c r="K155" s="104"/>
      <c r="L155" s="104"/>
      <c r="M155" s="105">
        <f>IF(Tabelle13245689101112[[#This Row],[Pulled after Start]]="",MIN(Tabelle13245689101112[[#This Row],[Jira Story Points]],Tabelle13245689101112[[#This Row],[Carry-over]]),0)</f>
        <v>0</v>
      </c>
      <c r="N155" s="106">
        <f>MIN(Tabelle13245689101112[[#This Row],[Jira Story Points]],Tabelle13245689101112[[#This Row],[Carry-over]])-Tabelle13245689101112[[#This Row],[SP Initially Planned (COS)]]</f>
        <v>3</v>
      </c>
      <c r="O155"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0</v>
      </c>
      <c r="P155" s="108">
        <f>IFERROR(IF(Tabelle13245689101112[[#This Row],[Status]]=$J$5,MIN(Tabelle13245689101112[[#This Row],[Jira Story Points]],Tabelle13245689101112[[#This Row],[Carry-over]]),0),0)</f>
        <v>0</v>
      </c>
      <c r="Q155" s="108">
        <f>IFERROR(IF(Tabelle13245689101112[[#This Row],[Status]]=$J$5,0,MIN(Tabelle13245689101112[[#This Row],[Jira Story Points]],Tabelle13245689101112[[#This Row],[Carry-over]])-Tabelle13245689101112[[#This Row],[SP Completed (COS &amp; SOS)]]),0)</f>
        <v>3</v>
      </c>
    </row>
    <row r="156" spans="1:17" s="46" customFormat="1" hidden="1">
      <c r="A156" s="137" t="s">
        <v>1900</v>
      </c>
      <c r="B156" s="89" t="s">
        <v>1901</v>
      </c>
      <c r="C156" s="138" t="s">
        <v>372</v>
      </c>
      <c r="D156" s="76">
        <v>3</v>
      </c>
      <c r="E156" s="138" t="s">
        <v>327</v>
      </c>
      <c r="F156" s="139">
        <v>2</v>
      </c>
      <c r="G156" s="140" t="s">
        <v>9</v>
      </c>
      <c r="H156" s="140" t="s">
        <v>209</v>
      </c>
      <c r="I156" s="103" t="s">
        <v>2128</v>
      </c>
      <c r="J156" s="138" t="s">
        <v>928</v>
      </c>
      <c r="K156" s="104"/>
      <c r="L156" s="104"/>
      <c r="M156" s="105">
        <f>IF(Tabelle13245689101112[[#This Row],[Pulled after Start]]="",MIN(Tabelle13245689101112[[#This Row],[Jira Story Points]],Tabelle13245689101112[[#This Row],[Carry-over]]),0)</f>
        <v>0</v>
      </c>
      <c r="N156" s="106">
        <f>MIN(Tabelle13245689101112[[#This Row],[Jira Story Points]],Tabelle13245689101112[[#This Row],[Carry-over]])-Tabelle13245689101112[[#This Row],[SP Initially Planned (COS)]]</f>
        <v>2</v>
      </c>
      <c r="O156"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0</v>
      </c>
      <c r="P156" s="108">
        <f>IFERROR(IF(Tabelle13245689101112[[#This Row],[Status]]=$J$5,MIN(Tabelle13245689101112[[#This Row],[Jira Story Points]],Tabelle13245689101112[[#This Row],[Carry-over]]),0),0)</f>
        <v>0</v>
      </c>
      <c r="Q156" s="108">
        <f>IFERROR(IF(Tabelle13245689101112[[#This Row],[Status]]=$J$5,0,MIN(Tabelle13245689101112[[#This Row],[Jira Story Points]],Tabelle13245689101112[[#This Row],[Carry-over]])-Tabelle13245689101112[[#This Row],[SP Completed (COS &amp; SOS)]]),0)</f>
        <v>2</v>
      </c>
    </row>
    <row r="157" spans="1:17" s="46" customFormat="1" ht="13.5" hidden="1" customHeight="1">
      <c r="A157" s="137" t="s">
        <v>2106</v>
      </c>
      <c r="B157" s="89" t="s">
        <v>2107</v>
      </c>
      <c r="C157" s="138" t="s">
        <v>372</v>
      </c>
      <c r="D157" s="76">
        <v>3</v>
      </c>
      <c r="E157" s="138" t="s">
        <v>324</v>
      </c>
      <c r="F157" s="139">
        <v>5</v>
      </c>
      <c r="G157" s="138" t="s">
        <v>9</v>
      </c>
      <c r="H157" s="140" t="s">
        <v>209</v>
      </c>
      <c r="I157" s="103"/>
      <c r="J157" s="138" t="s">
        <v>901</v>
      </c>
      <c r="K157" s="104"/>
      <c r="L157" s="104"/>
      <c r="M157" s="105">
        <f>IF(Tabelle13245689101112[[#This Row],[Pulled after Start]]="",MIN(Tabelle13245689101112[[#This Row],[Jira Story Points]],Tabelle13245689101112[[#This Row],[Carry-over]]),0)</f>
        <v>0</v>
      </c>
      <c r="N157" s="106">
        <f>MIN(Tabelle13245689101112[[#This Row],[Jira Story Points]],Tabelle13245689101112[[#This Row],[Carry-over]])-Tabelle13245689101112[[#This Row],[SP Initially Planned (COS)]]</f>
        <v>5</v>
      </c>
      <c r="O157"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5</v>
      </c>
      <c r="P157" s="108">
        <f>IFERROR(IF(Tabelle13245689101112[[#This Row],[Status]]=$J$5,MIN(Tabelle13245689101112[[#This Row],[Jira Story Points]],Tabelle13245689101112[[#This Row],[Carry-over]]),0),0)</f>
        <v>0</v>
      </c>
      <c r="Q157" s="108">
        <f>IFERROR(IF(Tabelle13245689101112[[#This Row],[Status]]=$J$5,0,MIN(Tabelle13245689101112[[#This Row],[Jira Story Points]],Tabelle13245689101112[[#This Row],[Carry-over]])-Tabelle13245689101112[[#This Row],[SP Completed (COS &amp; SOS)]]),0)</f>
        <v>0</v>
      </c>
    </row>
    <row r="158" spans="1:17" s="46" customFormat="1" ht="13.5" hidden="1" customHeight="1">
      <c r="A158" s="137" t="s">
        <v>2129</v>
      </c>
      <c r="B158" s="89" t="s">
        <v>2130</v>
      </c>
      <c r="C158" s="138" t="s">
        <v>375</v>
      </c>
      <c r="D158" s="76">
        <v>2</v>
      </c>
      <c r="E158" s="138" t="s">
        <v>324</v>
      </c>
      <c r="F158" s="139">
        <v>0.5</v>
      </c>
      <c r="G158" s="140" t="s">
        <v>9</v>
      </c>
      <c r="H158" s="140" t="s">
        <v>209</v>
      </c>
      <c r="I158" s="103"/>
      <c r="J158" s="76" t="s">
        <v>901</v>
      </c>
      <c r="K158" s="104"/>
      <c r="L158" s="104"/>
      <c r="M158" s="105">
        <f>IF(Tabelle13245689101112[[#This Row],[Pulled after Start]]="",MIN(Tabelle13245689101112[[#This Row],[Jira Story Points]],Tabelle13245689101112[[#This Row],[Carry-over]]),0)</f>
        <v>0</v>
      </c>
      <c r="N158" s="106">
        <f>MIN(Tabelle13245689101112[[#This Row],[Jira Story Points]],Tabelle13245689101112[[#This Row],[Carry-over]])-Tabelle13245689101112[[#This Row],[SP Initially Planned (COS)]]</f>
        <v>0.5</v>
      </c>
      <c r="O158"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0.5</v>
      </c>
      <c r="P158" s="108">
        <f>IFERROR(IF(Tabelle13245689101112[[#This Row],[Status]]=$J$5,MIN(Tabelle13245689101112[[#This Row],[Jira Story Points]],Tabelle13245689101112[[#This Row],[Carry-over]]),0),0)</f>
        <v>0</v>
      </c>
      <c r="Q158" s="108">
        <f>IFERROR(IF(Tabelle13245689101112[[#This Row],[Status]]=$J$5,0,MIN(Tabelle13245689101112[[#This Row],[Jira Story Points]],Tabelle13245689101112[[#This Row],[Carry-over]])-Tabelle13245689101112[[#This Row],[SP Completed (COS &amp; SOS)]]),0)</f>
        <v>0</v>
      </c>
    </row>
    <row r="159" spans="1:17" s="46" customFormat="1" ht="13.5" hidden="1" customHeight="1">
      <c r="A159" s="117"/>
      <c r="B159" s="47"/>
      <c r="C159" s="76"/>
      <c r="D159" s="76"/>
      <c r="E159" s="76"/>
      <c r="F159" s="104"/>
      <c r="G159" s="76"/>
      <c r="H159" s="83"/>
      <c r="I159" s="103"/>
      <c r="J159" s="76"/>
      <c r="K159" s="104"/>
      <c r="L159" s="104"/>
      <c r="M159" s="105">
        <f>IF(Tabelle13245689101112[[#This Row],[Pulled after Start]]="",MIN(Tabelle13245689101112[[#This Row],[Jira Story Points]],Tabelle13245689101112[[#This Row],[Carry-over]]),0)</f>
        <v>0</v>
      </c>
      <c r="N159" s="106">
        <f>MIN(Tabelle13245689101112[[#This Row],[Jira Story Points]],Tabelle13245689101112[[#This Row],[Carry-over]])-Tabelle13245689101112[[#This Row],[SP Initially Planned (COS)]]</f>
        <v>0</v>
      </c>
      <c r="O159" s="107">
        <f>IFERROR(IF(OR(Tabelle13245689101112[[#This Row],[Status]]=$J$5,ISBLANK(Tabelle13245689101112[[#This Row],[Status]])),0,IF(AND(Tabelle13245689101112[[#This Row],[Status]]=$I$5,ISBLANK(Tabelle13245689101112[[#This Row],[Spill-over]])),0,IF(NOT(ISBLANK(Tabelle13245689101112[[#This Row],[Carry-over]])),Tabelle13245689101112[[#This Row],[Carry-over]]-Tabelle13245689101112[[#This Row],[Spill-over]],Tabelle13245689101112[[#This Row],[Jira Story Points]]-Tabelle13245689101112[[#This Row],[Spill-over]]))),"-")</f>
        <v>0</v>
      </c>
      <c r="P159" s="108">
        <f>IFERROR(IF(Tabelle13245689101112[[#This Row],[Status]]=$J$5,MIN(Tabelle13245689101112[[#This Row],[Jira Story Points]],Tabelle13245689101112[[#This Row],[Carry-over]]),0),0)</f>
        <v>0</v>
      </c>
      <c r="Q159" s="108">
        <f>IFERROR(IF(Tabelle13245689101112[[#This Row],[Status]]=$J$5,0,MIN(Tabelle13245689101112[[#This Row],[Jira Story Points]],Tabelle13245689101112[[#This Row],[Carry-over]])-Tabelle13245689101112[[#This Row],[SP Completed (COS &amp; SOS)]]),0)</f>
        <v>0</v>
      </c>
    </row>
  </sheetData>
  <mergeCells count="12">
    <mergeCell ref="B6:B15"/>
    <mergeCell ref="N22:O22"/>
    <mergeCell ref="C1:J1"/>
    <mergeCell ref="G3:I3"/>
    <mergeCell ref="D4:E4"/>
    <mergeCell ref="F4:K4"/>
    <mergeCell ref="M4:R4"/>
    <mergeCell ref="D22:E22"/>
    <mergeCell ref="F22:G22"/>
    <mergeCell ref="H22:I22"/>
    <mergeCell ref="J22:K22"/>
    <mergeCell ref="L22:M22"/>
  </mergeCells>
  <dataValidations count="4">
    <dataValidation type="list" allowBlank="1" showErrorMessage="1" sqref="H32:H83 H86 H93" xr:uid="{FBAC525E-1C9C-4FBF-8637-23EFDDE12D9B}">
      <formula1>"yes"</formula1>
    </dataValidation>
    <dataValidation type="list" allowBlank="1" showErrorMessage="1" sqref="J32:J86 J88:J89 J91:J116" xr:uid="{60E78D39-1411-4DCE-98FC-C1AA3B950760}">
      <formula1>$H$5:$J$5</formula1>
    </dataValidation>
    <dataValidation allowBlank="1" showInputMessage="1" showErrorMessage="1" sqref="M32:N159 K43:L83 K32:K35 L105 L36:L42" xr:uid="{C367716E-1EA5-49DB-B584-71E884F34BB5}"/>
    <dataValidation type="list" allowBlank="1" showErrorMessage="1" sqref="G32:G54 G94:G102" xr:uid="{A2673907-AB1A-443B-8BFF-B743CBB95905}">
      <formula1>$C$6:$C$15</formula1>
    </dataValidation>
  </dataValidations>
  <hyperlinks>
    <hyperlink ref="A32" r:id="rId1" xr:uid="{BA06DA0B-C332-4E15-9F83-831E7A140EA2}"/>
    <hyperlink ref="A33" r:id="rId2" xr:uid="{9B886EC3-D695-43A3-A86D-1497C0DBCB07}"/>
    <hyperlink ref="A34" r:id="rId3" xr:uid="{0967D4AE-92BE-41A6-800B-7D2D339B9984}"/>
    <hyperlink ref="A35" r:id="rId4" xr:uid="{A259D8D1-FDAD-4F7A-966B-02E9890B0E08}"/>
    <hyperlink ref="A36" r:id="rId5" xr:uid="{DA2DB753-461C-4E20-B905-34E82A7BCC42}"/>
    <hyperlink ref="A40" r:id="rId6" xr:uid="{495F0924-7911-424D-8B87-7754491CB73F}"/>
    <hyperlink ref="A41" r:id="rId7" xr:uid="{727A4835-C8F4-4E9F-B921-A9FE37218EE4}"/>
    <hyperlink ref="A37" r:id="rId8" display="[ANP-25731] [CHOP] Status changes for card payments lead to scanning errors - Jira" xr:uid="{2CAA2421-66B3-4037-A23B-F0E2F633CF86}"/>
    <hyperlink ref="A38" r:id="rId9" display="[ANP-23958] [IT Ejournal] Error during Ejournal entry creation with EPSON Fiscal Printer - Jira" xr:uid="{76AC3F73-950E-4F65-939A-2D589019AD67}"/>
    <hyperlink ref="A39" r:id="rId10" display="[ANP-25543] [CHOP] EFT dayend only works after first cashier login - Jira" xr:uid="{DA92185B-BD14-4F28-8C34-1B25413714A2}"/>
    <hyperlink ref="A55" r:id="rId11" display="https://aldi-sued.atlassian.net/browse/NPSCO-19448" xr:uid="{D2065838-E469-4F48-BDA1-2C782EE5ECF9}"/>
    <hyperlink ref="B55" r:id="rId12" display="https://aldi-sued.atlassian.net/browse/NPSCO-19448" xr:uid="{B5C7D557-295D-4E33-A8A8-6DBD9E2F5BDB}"/>
    <hyperlink ref="A56" r:id="rId13" display="https://aldi-sued.atlassian.net/browse/NPSCO-17577" xr:uid="{598DAF28-1DEE-438D-8401-B7069CF10E8E}"/>
    <hyperlink ref="B56" r:id="rId14" display="https://aldi-sued.atlassian.net/browse/NPSCO-17577" xr:uid="{1AE37C70-1295-4454-BF7B-18C6F3BE371F}"/>
    <hyperlink ref="A57" r:id="rId15" display="https://aldi-sued.atlassian.net/browse/NPSCO-17562" xr:uid="{BC63B7C4-E9B4-432C-ABFB-8826563BA1A3}"/>
    <hyperlink ref="B57" r:id="rId16" display="https://aldi-sued.atlassian.net/browse/NPSCO-17562" xr:uid="{DAACE825-803A-47CF-8342-2B2D309D807B}"/>
    <hyperlink ref="A58" r:id="rId17" display="https://aldi-sued.atlassian.net/browse/NPSCO-19495" xr:uid="{14D754DA-E2BF-459A-BE32-F482E772221A}"/>
    <hyperlink ref="B58" r:id="rId18" display="https://aldi-sued.atlassian.net/browse/NPSCO-19495" xr:uid="{3A4BB1F3-E126-4F47-B0F9-9B8E0FF844A4}"/>
    <hyperlink ref="A59" r:id="rId19" display="https://aldi-sued.atlassian.net/browse/NPSCO-18299" xr:uid="{E136AC84-5269-403A-AE57-E01AF1C96DC6}"/>
    <hyperlink ref="B59" r:id="rId20" display="https://aldi-sued.atlassian.net/browse/NPSCO-18299" xr:uid="{8DDD6EA2-5E89-428A-839A-B65359EF8F0F}"/>
    <hyperlink ref="A60" r:id="rId21" display="https://aldi-sued.atlassian.net/browse/NPSCO-18310" xr:uid="{4BDA7D9A-474F-48AB-91EA-E30757BBE2D1}"/>
    <hyperlink ref="B60" r:id="rId22" display="https://aldi-sued.atlassian.net/browse/NPSCO-18310" xr:uid="{7BEB1604-3095-45A6-AE3B-B25E5B911953}"/>
    <hyperlink ref="A61" r:id="rId23" display="https://aldi-sued.atlassian.net/browse/NPSCO-18803" xr:uid="{97A97993-9D6B-4C8F-996B-441A43E30015}"/>
    <hyperlink ref="B61" r:id="rId24" display="https://aldi-sued.atlassian.net/browse/NPSCO-18803" xr:uid="{7BBD52AB-8EE3-4DC0-80B2-4DA9AD5DA44B}"/>
    <hyperlink ref="A62" r:id="rId25" display="https://aldi-sued.atlassian.net/browse/NPSCO-19483" xr:uid="{C6CB643C-9BC7-4565-983A-F48E97755544}"/>
    <hyperlink ref="B62" r:id="rId26" display="https://aldi-sued.atlassian.net/browse/NPSCO-19483" xr:uid="{9EACA6E7-B238-45DF-8187-1982B8995CE3}"/>
    <hyperlink ref="A63" r:id="rId27" display="https://aldi-sued.atlassian.net/browse/NPSCO-19484" xr:uid="{335EFC4B-A3F2-4857-B702-4287D6A27ED0}"/>
    <hyperlink ref="B63" r:id="rId28" display="https://aldi-sued.atlassian.net/browse/NPSCO-19484" xr:uid="{C042E57D-97CB-41B5-AEF1-4D960854FE51}"/>
    <hyperlink ref="A64" r:id="rId29" display="https://aldi-sued.atlassian.net/browse/NPSCO-19324" xr:uid="{78EF3DC6-C6E3-4014-825D-67F47F543C88}"/>
    <hyperlink ref="B64" r:id="rId30" display="https://aldi-sued.atlassian.net/browse/NPSCO-19324" xr:uid="{362DDAE3-43A4-4B2C-8A29-9F23BB9A461C}"/>
    <hyperlink ref="A65" r:id="rId31" display="https://aldi-sued.atlassian.net/browse/NPSCO-19379" xr:uid="{86683FF8-6499-4338-80A9-45EA98CD6751}"/>
    <hyperlink ref="B65" r:id="rId32" display="https://aldi-sued.atlassian.net/browse/NPSCO-19379" xr:uid="{721D6CC3-5CF0-4A4E-9DF0-E20053F8D116}"/>
    <hyperlink ref="A66" r:id="rId33" display="https://aldi-sued.atlassian.net/browse/NPSCO-18311" xr:uid="{B0630E87-5DEF-4EDF-9E7E-27E518F38376}"/>
    <hyperlink ref="B66" r:id="rId34" display="https://aldi-sued.atlassian.net/browse/NPSCO-18311" xr:uid="{87CAAB5D-4FBB-46DC-84CC-93BDAE1D45D4}"/>
    <hyperlink ref="A67" r:id="rId35" display="https://aldi-sued.atlassian.net/browse/NPSCO-19628" xr:uid="{4ED23621-44B1-472D-9E3B-22D5DD13F2D1}"/>
    <hyperlink ref="B67" r:id="rId36" display="https://aldi-sued.atlassian.net/browse/NPSCO-19628" xr:uid="{7A7296DC-FFDE-4CEB-97AB-DEDF35675E13}"/>
    <hyperlink ref="A68" r:id="rId37" xr:uid="{33907547-E336-4C46-BCE3-4C444A9CB166}"/>
    <hyperlink ref="A69" r:id="rId38" xr:uid="{9DF4DD9A-5808-4696-9C82-4D9A65EF8C24}"/>
    <hyperlink ref="A70" r:id="rId39" xr:uid="{B12849AF-6486-40B5-94F6-65C6852C09DA}"/>
    <hyperlink ref="A71" r:id="rId40" xr:uid="{0E4AFB67-8591-4454-84F4-F43C9CD92DAC}"/>
    <hyperlink ref="A72" r:id="rId41" xr:uid="{05DB4FEC-C747-44A8-91C0-756E7D34E5A5}"/>
    <hyperlink ref="A73" r:id="rId42" xr:uid="{E1DB9AF4-4728-46E4-ADCA-749D9E42DB43}"/>
    <hyperlink ref="A74" r:id="rId43" xr:uid="{7A9C32FB-5B1E-43EA-B25C-CC036128DCD3}"/>
    <hyperlink ref="A75" r:id="rId44" xr:uid="{5DE0AE41-8A32-4480-AE7E-7CEBB4391F22}"/>
    <hyperlink ref="A76" r:id="rId45" xr:uid="{AB5A5715-70AC-42E6-8EDD-051A59747788}"/>
    <hyperlink ref="A77" r:id="rId46" xr:uid="{A7296BF5-B768-427D-B0DA-48C530991F61}"/>
    <hyperlink ref="A78" r:id="rId47" xr:uid="{3C79040C-5013-4811-8557-8622132139EB}"/>
    <hyperlink ref="A79" r:id="rId48" xr:uid="{C0993B6B-D919-42F8-82DC-9DBB09C98CE2}"/>
    <hyperlink ref="A42" r:id="rId49" xr:uid="{1088F71E-491A-4316-BB95-50A35B95B183}"/>
    <hyperlink ref="A43" r:id="rId50" xr:uid="{CB80973B-DB3E-43EB-B543-350DD7EF144C}"/>
    <hyperlink ref="A44" r:id="rId51" xr:uid="{041F7FE4-660F-4EE6-9500-C6395D413632}"/>
    <hyperlink ref="A45" r:id="rId52" xr:uid="{3D60FE98-A1A8-41E7-B54A-177AD759D2CA}"/>
    <hyperlink ref="A46" r:id="rId53" xr:uid="{454DB9BE-83AF-4F79-914F-3101462A4441}"/>
    <hyperlink ref="A47" r:id="rId54" xr:uid="{1D8E026F-D592-42FA-93E3-A83E45C7D462}"/>
    <hyperlink ref="A48" r:id="rId55" xr:uid="{B86DD635-805F-4B9C-A38E-905FA0A15233}"/>
    <hyperlink ref="A49" r:id="rId56" xr:uid="{6FC776E6-B110-4D7E-A4CF-10B7D9B1E338}"/>
    <hyperlink ref="A50" r:id="rId57" xr:uid="{157D7B8F-E84E-40B6-A0E2-0F4632D1FEC1}"/>
    <hyperlink ref="A51" r:id="rId58" xr:uid="{0BC64B85-6E8D-475C-A04D-7DF9256DA61D}"/>
    <hyperlink ref="A52" r:id="rId59" xr:uid="{4113E4DB-48BB-4F7C-B5A0-6998D83FF478}"/>
    <hyperlink ref="A53" r:id="rId60" xr:uid="{383D8A7C-F9D7-465F-B24B-4F091E79B84D}"/>
    <hyperlink ref="A54" r:id="rId61" xr:uid="{299DD307-1F4B-49BB-BF67-77F8726CE54C}"/>
    <hyperlink ref="A80" r:id="rId62" xr:uid="{B209B63A-CEA0-4D3D-B37A-A11D33AEBE25}"/>
    <hyperlink ref="A94" r:id="rId63" xr:uid="{F705B137-6398-4EF3-87A2-AA47E6493A33}"/>
    <hyperlink ref="A95" r:id="rId64" xr:uid="{9840805D-90CA-41E4-BD24-F4913E723C8B}"/>
    <hyperlink ref="A96" r:id="rId65" xr:uid="{2E68B99F-F5FF-417C-B6D1-4E600C999D4C}"/>
    <hyperlink ref="A97" r:id="rId66" xr:uid="{C7CF4B41-8926-41C2-9DE5-768056D283B2}"/>
    <hyperlink ref="A98" r:id="rId67" xr:uid="{FF773E1C-07FC-42E6-B96D-99E7C6F265DD}"/>
    <hyperlink ref="A99" r:id="rId68" xr:uid="{260AA9C9-3B0A-4760-ADA1-F78D2AC6A1D8}"/>
    <hyperlink ref="A100" r:id="rId69" xr:uid="{D69B21DE-F633-42F3-97A9-CFCC0CEFEF01}"/>
    <hyperlink ref="A101" r:id="rId70" xr:uid="{0F684EA4-BD64-452C-B461-63380C6A178A}"/>
    <hyperlink ref="A102" r:id="rId71" xr:uid="{C226B146-68C7-48C3-962E-1F33D0A173C3}"/>
    <hyperlink ref="B68" r:id="rId72" display="https://aldi-sued.atlassian.net/browse/NPSCO-15480" xr:uid="{54D966BF-7610-4ACA-925B-EAA970EA2C71}"/>
    <hyperlink ref="B69" r:id="rId73" display="https://aldi-sued.atlassian.net/browse/NPSCO-19095" xr:uid="{E71AE70C-C265-4894-8083-6D463AEAA01A}"/>
    <hyperlink ref="B70" r:id="rId74" display="https://aldi-sued.atlassian.net/browse/NPSCO-19319" xr:uid="{05F098B1-CA63-40EF-B0E6-7A4E85757CA2}"/>
    <hyperlink ref="B71" r:id="rId75" display="https://aldi-sued.atlassian.net/browse/NPSCO-19180" xr:uid="{FA9AC80A-2E16-458A-B663-86DD53AD8033}"/>
    <hyperlink ref="B72" r:id="rId76" display="https://aldi-sued.atlassian.net/browse/NPSCO-19176" xr:uid="{5EB17CD0-43B7-45A7-86BF-2A51C5A978C1}"/>
    <hyperlink ref="B73" r:id="rId77" display="https://aldi-sued.atlassian.net/browse/NPSCO-19449" xr:uid="{1DC83DF0-7CEC-4BF0-83C0-B30B6F3C7829}"/>
    <hyperlink ref="B74" r:id="rId78" display="https://aldi-sued.atlassian.net/browse/NPSCO-19139" xr:uid="{A141C048-83C3-4A3D-8A6C-09AE3DA84048}"/>
    <hyperlink ref="B75" r:id="rId79" display="https://aldi-sued.atlassian.net/browse/NPSCO-19140" xr:uid="{4B25288E-3DA3-4711-929E-42114B9AD3E3}"/>
    <hyperlink ref="B76" r:id="rId80" display="https://aldi-sued.atlassian.net/browse/NPSCO-19102" xr:uid="{A2DCB5F8-AD57-4F90-B3A2-196EA4144250}"/>
    <hyperlink ref="B77" r:id="rId81" display="https://aldi-sued.atlassian.net/browse/NPSCO-19453" xr:uid="{92C1E47D-DE63-4A0F-9E41-DCD5A2D3E9A6}"/>
    <hyperlink ref="B78" r:id="rId82" display="https://aldi-sued.atlassian.net/browse/NPSCO-19485" xr:uid="{4AC57D6D-03E0-4DF1-85E5-BA5E48EB25FB}"/>
    <hyperlink ref="B79" r:id="rId83" display="https://aldi-sued.atlassian.net/browse/NPSCO-19496" xr:uid="{0D087A77-65FE-49A7-B191-2BF7E9585642}"/>
    <hyperlink ref="A103" r:id="rId84" xr:uid="{8F0168BE-446E-428A-9D00-B38D255803A4}"/>
    <hyperlink ref="A104" r:id="rId85" xr:uid="{6E143C08-CF04-4CAC-9FBF-D049481687F1}"/>
    <hyperlink ref="A105" r:id="rId86" xr:uid="{C6B34C9A-DADA-4D1C-B6D9-ACFD966D08CD}"/>
    <hyperlink ref="A106" r:id="rId87" xr:uid="{6B0E8BB1-1C56-44E3-BFDA-2E5A29D79707}"/>
    <hyperlink ref="A107" r:id="rId88" xr:uid="{8438FD76-91F6-42D3-B9FF-CC340029C087}"/>
    <hyperlink ref="A108" r:id="rId89" xr:uid="{10BBD1B7-ED76-47A4-BFEA-7CE23830A69E}"/>
    <hyperlink ref="A109" r:id="rId90" xr:uid="{87513003-3434-4BEA-9853-8A7C81511824}"/>
    <hyperlink ref="A110" r:id="rId91" xr:uid="{9E21B4B4-54A2-49D5-9C01-57B8A3C33E0A}"/>
    <hyperlink ref="A111" r:id="rId92" xr:uid="{D97ADA30-1816-4163-A4A9-22323B7F195D}"/>
    <hyperlink ref="A112" r:id="rId93" xr:uid="{F2C6E083-BCDA-4E3A-915C-1E9ABCD8C6DF}"/>
    <hyperlink ref="A113" r:id="rId94" xr:uid="{E811ABC7-4844-4FFE-A173-9DE1A8D66DDC}"/>
    <hyperlink ref="A114" r:id="rId95" xr:uid="{DF7DBA49-81EC-4BBF-9A01-DA41CB54772B}"/>
    <hyperlink ref="A115" r:id="rId96" xr:uid="{816564D2-712A-4B76-87D0-2C4FB9DFA8D7}"/>
    <hyperlink ref="A116" r:id="rId97" xr:uid="{169EC8B0-6479-4199-AC71-F56B04436448}"/>
    <hyperlink ref="A144" r:id="rId98" xr:uid="{E9D070A5-A584-418D-AEFC-0FCC18EA5985}"/>
    <hyperlink ref="A135" r:id="rId99" xr:uid="{EB3C5B63-A771-4D32-BA55-B0A4B6F776E1}"/>
    <hyperlink ref="A147" r:id="rId100" xr:uid="{6D0E30C6-2B19-40F9-90E1-318EB8504511}"/>
    <hyperlink ref="A142" r:id="rId101" xr:uid="{116192CF-B93A-4447-B3E4-BB19C6859B17}"/>
    <hyperlink ref="A141" r:id="rId102" xr:uid="{7F495FD7-0010-4B70-A42F-2950616DED56}"/>
    <hyperlink ref="A136" r:id="rId103" xr:uid="{F20E473C-6EDC-4E5C-8526-0B746ED86F28}"/>
    <hyperlink ref="A139" r:id="rId104" xr:uid="{19B6C5ED-EB39-408F-8EBA-B3DBDE2B11B7}"/>
    <hyperlink ref="A150" r:id="rId105" xr:uid="{14A691F6-AF55-47CB-8429-AC77F3C108BB}"/>
    <hyperlink ref="A148" r:id="rId106" xr:uid="{26022911-2CB7-418F-A3B5-D06391E73211}"/>
    <hyperlink ref="A145" r:id="rId107" xr:uid="{B7CC85FE-08C9-4181-9163-4C1EA9A56A0B}"/>
    <hyperlink ref="A151" r:id="rId108" xr:uid="{1F00CCCC-1223-4FB8-818F-F736E6C9C8B5}"/>
    <hyperlink ref="A149" r:id="rId109" xr:uid="{F4F511EC-D2C2-4D7E-9CF1-4859A31D605C}"/>
    <hyperlink ref="A152" r:id="rId110" xr:uid="{5EEB32C1-C037-4588-BDB1-3AC29B92B6B7}"/>
    <hyperlink ref="B152" r:id="rId111" display="https://aldi-sued.atlassian.net/browse/BF-1236" xr:uid="{0110BAD1-CFE5-41F9-BD2D-F8635A4FDF34}"/>
    <hyperlink ref="A140" r:id="rId112" xr:uid="{EC165491-F94D-43CC-9CB3-229937486645}"/>
    <hyperlink ref="A153" r:id="rId113" xr:uid="{48154455-332A-4652-9216-9EA18DB21425}"/>
    <hyperlink ref="A154" r:id="rId114" xr:uid="{9F87D6FF-B7E1-40C2-9B20-6A44BFF0D1D6}"/>
    <hyperlink ref="A155" r:id="rId115" xr:uid="{FF21A7F2-109B-4D26-AAF7-7E98911DADA1}"/>
    <hyperlink ref="A146" r:id="rId116" xr:uid="{D7D3F2B1-A163-483C-A37F-8B25EA2C373D}"/>
    <hyperlink ref="A143" r:id="rId117" xr:uid="{05D29102-1C22-45D0-9DDB-341223B732A8}"/>
    <hyperlink ref="A137" r:id="rId118" xr:uid="{2FCC9A6D-A7F4-4539-8144-3E1043839149}"/>
    <hyperlink ref="A138" r:id="rId119" xr:uid="{9A8E905F-9924-4D81-BEEE-B2F62E435795}"/>
    <hyperlink ref="A156" r:id="rId120" xr:uid="{218715D0-C71A-46AE-B3D3-3E0230BE6924}"/>
    <hyperlink ref="A157" r:id="rId121" xr:uid="{0530C04C-21CA-4588-AD4F-313D06793225}"/>
    <hyperlink ref="A158" r:id="rId122" xr:uid="{A3C72BA4-BD81-4264-BE53-84254E6CAED2}"/>
  </hyperlinks>
  <pageMargins left="0.23622047244094491" right="0.23622047244094491" top="0.35433070866141736" bottom="0.35433070866141736" header="0" footer="0"/>
  <pageSetup paperSize="9" scale="88" fitToHeight="0" orientation="landscape" r:id="rId123"/>
  <headerFooter>
    <oddFooter>&amp;CS. &amp;P / &amp;N</oddFooter>
  </headerFooter>
  <tableParts count="1">
    <tablePart r:id="rId12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98AB-5BAD-4961-9FF4-791A78188FEE}">
  <sheetPr>
    <outlinePr summaryBelow="0" summaryRight="0"/>
    <pageSetUpPr fitToPage="1"/>
  </sheetPr>
  <dimension ref="A1:AM179"/>
  <sheetViews>
    <sheetView zoomScale="90" zoomScaleNormal="90" workbookViewId="0"/>
  </sheetViews>
  <sheetFormatPr baseColWidth="10" defaultColWidth="8.85546875" defaultRowHeight="13.5" customHeight="1"/>
  <cols>
    <col min="1" max="1" width="16" style="27" customWidth="1"/>
    <col min="2" max="2" width="42.28515625" style="27" customWidth="1"/>
    <col min="3" max="8" width="15.42578125" style="28" customWidth="1"/>
    <col min="9" max="9" width="19" style="29" customWidth="1"/>
    <col min="10" max="11" width="15.42578125" style="29" customWidth="1"/>
    <col min="12" max="12" width="15.42578125" style="30" customWidth="1"/>
    <col min="13" max="13" width="15.42578125" style="28" customWidth="1"/>
    <col min="14" max="18" width="15.42578125" style="1" customWidth="1"/>
    <col min="19" max="28" width="10.42578125" style="1" customWidth="1"/>
    <col min="29" max="34" width="8.42578125" style="1" customWidth="1"/>
    <col min="35" max="35" width="3.42578125" style="1" customWidth="1"/>
    <col min="36" max="36" width="8.42578125" style="1" customWidth="1"/>
    <col min="37" max="16384" width="8.85546875" style="1"/>
  </cols>
  <sheetData>
    <row r="1" spans="2:22" ht="13.5" customHeight="1">
      <c r="C1" s="417" t="s">
        <v>2131</v>
      </c>
      <c r="D1" s="417"/>
      <c r="E1" s="417"/>
      <c r="F1" s="417"/>
      <c r="G1" s="417"/>
      <c r="H1" s="417"/>
      <c r="I1" s="417"/>
      <c r="J1" s="417"/>
      <c r="K1" s="2"/>
      <c r="L1" s="2"/>
      <c r="M1" s="2"/>
    </row>
    <row r="2" spans="2:22" ht="13.5" customHeight="1">
      <c r="C2" s="1"/>
      <c r="D2" s="1"/>
      <c r="E2" s="2"/>
      <c r="F2" s="2"/>
      <c r="G2" s="2"/>
      <c r="H2" s="2"/>
      <c r="I2" s="2"/>
      <c r="J2" s="1"/>
      <c r="K2" s="2"/>
      <c r="L2" s="2"/>
      <c r="M2" s="1"/>
    </row>
    <row r="3" spans="2:22" ht="13.5" customHeight="1" thickBot="1">
      <c r="C3" s="3" t="s">
        <v>162</v>
      </c>
      <c r="D3" s="66"/>
      <c r="E3" s="10"/>
      <c r="F3" s="10"/>
      <c r="G3" s="440" t="s">
        <v>2132</v>
      </c>
      <c r="H3" s="440"/>
      <c r="I3" s="440"/>
      <c r="J3" s="10"/>
      <c r="K3" s="4"/>
      <c r="L3" s="4"/>
      <c r="M3" s="2"/>
    </row>
    <row r="4" spans="2:22" ht="13.5" customHeight="1">
      <c r="C4" s="10"/>
      <c r="D4" s="419" t="s">
        <v>164</v>
      </c>
      <c r="E4" s="420"/>
      <c r="F4" s="421" t="s">
        <v>165</v>
      </c>
      <c r="G4" s="422"/>
      <c r="H4" s="422"/>
      <c r="I4" s="422"/>
      <c r="J4" s="422"/>
      <c r="K4" s="423"/>
      <c r="M4" s="424" t="s">
        <v>1303</v>
      </c>
      <c r="N4" s="424"/>
      <c r="O4" s="424"/>
      <c r="P4" s="424"/>
      <c r="Q4" s="424"/>
      <c r="R4" s="424"/>
    </row>
    <row r="5" spans="2:22" ht="27" customHeight="1">
      <c r="C5" s="63" t="s">
        <v>167</v>
      </c>
      <c r="D5" s="60" t="s">
        <v>171</v>
      </c>
      <c r="E5" s="73" t="str">
        <f>H5</f>
        <v>Completed</v>
      </c>
      <c r="F5" s="60" t="s">
        <v>105</v>
      </c>
      <c r="G5" s="21" t="s">
        <v>106</v>
      </c>
      <c r="H5" s="20" t="s">
        <v>125</v>
      </c>
      <c r="I5" s="20" t="s">
        <v>127</v>
      </c>
      <c r="J5" s="20" t="s">
        <v>126</v>
      </c>
      <c r="K5" s="67" t="s">
        <v>172</v>
      </c>
      <c r="M5" s="21" t="s">
        <v>105</v>
      </c>
      <c r="N5" s="21" t="s">
        <v>106</v>
      </c>
      <c r="O5" s="31" t="s">
        <v>125</v>
      </c>
      <c r="P5" s="31" t="str">
        <f>J5</f>
        <v>Removed</v>
      </c>
      <c r="Q5" s="31" t="s">
        <v>127</v>
      </c>
      <c r="R5" s="39" t="s">
        <v>173</v>
      </c>
    </row>
    <row r="6" spans="2:22" ht="13.5" customHeight="1">
      <c r="B6" s="439" t="s">
        <v>2133</v>
      </c>
      <c r="C6" s="59" t="s">
        <v>35</v>
      </c>
      <c r="D6" s="61">
        <f>COUNTIFS(Tabelle132456891011[Team],$C6)</f>
        <v>16</v>
      </c>
      <c r="E6" s="74">
        <f>COUNTIFS(Tabelle132456891011[Team],$C6,Tabelle132456891011[Status],$E$5)</f>
        <v>8</v>
      </c>
      <c r="F6" s="68">
        <f>SUMIFS(Tabelle132456891011[Jira Story Points],Tabelle132456891011[Pulled after Start],"",Tabelle132456891011[Team],$C6)</f>
        <v>58</v>
      </c>
      <c r="G6" s="6">
        <f>SUMIFS(Tabelle132456891011[Jira Story Points],Tabelle132456891011[Pulled after Start],"yes",Tabelle132456891011[Team],$C6)</f>
        <v>6</v>
      </c>
      <c r="H6" s="7">
        <f>SUMIFS(Tabelle132456891011[Jira Story Points],Tabelle132456891011[Status],$H$5,Tabelle132456891011[Team],$C6)</f>
        <v>27</v>
      </c>
      <c r="I6" s="6">
        <f>SUMIFS(Tabelle132456891011[Jira Story Points],Tabelle132456891011[Status],$I$5,Tabelle132456891011[Team],$C6)</f>
        <v>37</v>
      </c>
      <c r="J6" s="6">
        <f>SUMIFS(Tabelle132456891011[Jira Story Points],Tabelle132456891011[Status],$J$5,Tabelle132456891011[Team],$C6)</f>
        <v>0</v>
      </c>
      <c r="K6" s="69">
        <f>SUMIFS(Tabelle132456891011[Jira Story Points],Tabelle132456891011[Team],$C6)</f>
        <v>64</v>
      </c>
      <c r="L6" s="84">
        <f>H6/F6</f>
        <v>0.46551724137931033</v>
      </c>
      <c r="M6" s="6">
        <f>SUMIFS(Tabelle132456891011[SP Initially Planned (COS)],Tabelle132456891011[Pulled after Start],"",Tabelle132456891011[Team],$C6)</f>
        <v>58</v>
      </c>
      <c r="N6" s="6">
        <f>SUMIFS(Tabelle132456891011[SP Pulled after Start (COS)],Tabelle132456891011[Team],$C6)</f>
        <v>6</v>
      </c>
      <c r="O6" s="25">
        <f>SUMIFS(Tabelle132456891011[SP Completed (COS &amp; SOS)],Tabelle132456891011[Team],$C6)</f>
        <v>27</v>
      </c>
      <c r="P6" s="25">
        <f>SUMIFS(Tabelle132456891011[SP Removed (COS &amp; SOS)],Tabelle132456891011[Team],$C6)</f>
        <v>0</v>
      </c>
      <c r="Q6" s="41">
        <f>SUMIFS(Tabelle132456891011[SP Not Completed (COS &amp; SOS)],Tabelle132456891011[Team],$C6)</f>
        <v>37</v>
      </c>
      <c r="R6" s="40">
        <f t="shared" ref="R6:R15" si="0">IFERROR(O6/$M6," ")</f>
        <v>0.46551724137931033</v>
      </c>
      <c r="T6" s="43"/>
    </row>
    <row r="7" spans="2:22" ht="13.5" customHeight="1">
      <c r="B7" s="439"/>
      <c r="C7" s="59" t="s">
        <v>12</v>
      </c>
      <c r="D7" s="61">
        <f>COUNTIFS(Tabelle132456891011[Team],$C7)</f>
        <v>12</v>
      </c>
      <c r="E7" s="74">
        <f>COUNTIFS(Tabelle132456891011[Team],$C7,Tabelle132456891011[Status],$E$5)</f>
        <v>6</v>
      </c>
      <c r="F7" s="68">
        <f>SUMIFS(Tabelle132456891011[Jira Story Points],Tabelle132456891011[Pulled after Start],"",Tabelle132456891011[Team],$C7)</f>
        <v>26</v>
      </c>
      <c r="G7" s="6">
        <f>SUMIFS(Tabelle132456891011[Jira Story Points],Tabelle132456891011[Pulled after Start],"yes",Tabelle132456891011[Team],$C7)</f>
        <v>11</v>
      </c>
      <c r="H7" s="7">
        <f>SUMIFS(Tabelle132456891011[Jira Story Points],Tabelle132456891011[Status],$H$5,Tabelle132456891011[Team],$C7)</f>
        <v>13</v>
      </c>
      <c r="I7" s="6">
        <f>SUMIFS(Tabelle132456891011[Jira Story Points],Tabelle132456891011[Status],$I$5,Tabelle132456891011[Team],$C7)</f>
        <v>16</v>
      </c>
      <c r="J7" s="6">
        <f>SUMIFS(Tabelle132456891011[Jira Story Points],Tabelle132456891011[Status],$J$5,Tabelle132456891011[Team],$C7)</f>
        <v>8</v>
      </c>
      <c r="K7" s="69">
        <f>SUMIFS(Tabelle132456891011[Jira Story Points],Tabelle132456891011[Team],$C7)</f>
        <v>37</v>
      </c>
      <c r="L7" s="84">
        <f t="shared" ref="L7:L16" si="1">H7/F7</f>
        <v>0.5</v>
      </c>
      <c r="M7" s="6">
        <f>SUMIFS(Tabelle132456891011[SP Initially Planned (COS)],Tabelle132456891011[Pulled after Start],"",Tabelle132456891011[Team],$C7)</f>
        <v>16</v>
      </c>
      <c r="N7" s="6">
        <f>SUMIFS(Tabelle132456891011[SP Pulled after Start (COS)],Tabelle132456891011[Team],$C7)</f>
        <v>11</v>
      </c>
      <c r="O7" s="25">
        <f>SUMIFS(Tabelle132456891011[SP Completed (COS &amp; SOS)],Tabelle132456891011[Team],$C7)</f>
        <v>14</v>
      </c>
      <c r="P7" s="25">
        <f>SUMIFS(Tabelle132456891011[SP Removed (COS &amp; SOS)],Tabelle132456891011[Team],$C7)</f>
        <v>8</v>
      </c>
      <c r="Q7" s="41">
        <f>SUMIFS(Tabelle132456891011[SP Not Completed (COS &amp; SOS)],Tabelle132456891011[Team],$C7)</f>
        <v>5</v>
      </c>
      <c r="R7" s="40">
        <f t="shared" si="0"/>
        <v>0.875</v>
      </c>
      <c r="T7" s="43"/>
    </row>
    <row r="8" spans="2:22" ht="13.5" customHeight="1">
      <c r="B8" s="439"/>
      <c r="C8" s="59" t="s">
        <v>27</v>
      </c>
      <c r="D8" s="61">
        <f>COUNTIFS(Tabelle132456891011[Team],$C8)</f>
        <v>10</v>
      </c>
      <c r="E8" s="74">
        <f>COUNTIFS(Tabelle132456891011[Team],$C8,Tabelle132456891011[Status],$E$5)</f>
        <v>10</v>
      </c>
      <c r="F8" s="68">
        <f>SUMIFS(Tabelle132456891011[Jira Story Points],Tabelle132456891011[Pulled after Start],"",Tabelle132456891011[Team],$C8)</f>
        <v>52</v>
      </c>
      <c r="G8" s="6">
        <f>SUMIFS(Tabelle132456891011[Jira Story Points],Tabelle132456891011[Pulled after Start],"yes",Tabelle132456891011[Team],$C8)</f>
        <v>4</v>
      </c>
      <c r="H8" s="7">
        <f>SUMIFS(Tabelle132456891011[Jira Story Points],Tabelle132456891011[Status],$H$5,Tabelle132456891011[Team],$C8)</f>
        <v>56</v>
      </c>
      <c r="I8" s="6">
        <f>SUMIFS(Tabelle132456891011[Jira Story Points],Tabelle132456891011[Status],$I$5,Tabelle132456891011[Team],$C8)</f>
        <v>0</v>
      </c>
      <c r="J8" s="6">
        <f>SUMIFS(Tabelle132456891011[Jira Story Points],Tabelle132456891011[Status],$J$5,Tabelle132456891011[Team],$C8)</f>
        <v>0</v>
      </c>
      <c r="K8" s="69">
        <f>SUMIFS(Tabelle132456891011[Jira Story Points],Tabelle132456891011[Team],$C8)</f>
        <v>56</v>
      </c>
      <c r="L8" s="84">
        <f t="shared" si="1"/>
        <v>1.0769230769230769</v>
      </c>
      <c r="M8" s="6">
        <f>SUMIFS(Tabelle132456891011[SP Initially Planned (COS)],Tabelle132456891011[Pulled after Start],"",Tabelle132456891011[Team],$C8)</f>
        <v>52</v>
      </c>
      <c r="N8" s="6">
        <f>SUMIFS(Tabelle132456891011[SP Pulled after Start (COS)],Tabelle132456891011[Team],$C8)</f>
        <v>4</v>
      </c>
      <c r="O8" s="25">
        <f>SUMIFS(Tabelle132456891011[SP Completed (COS &amp; SOS)],Tabelle132456891011[Team],$C8)</f>
        <v>56</v>
      </c>
      <c r="P8" s="25">
        <f>SUMIFS(Tabelle132456891011[SP Removed (COS &amp; SOS)],Tabelle132456891011[Team],$C8)</f>
        <v>0</v>
      </c>
      <c r="Q8" s="41">
        <f>SUMIFS(Tabelle132456891011[SP Not Completed (COS &amp; SOS)],Tabelle132456891011[Team],$C8)</f>
        <v>0</v>
      </c>
      <c r="R8" s="40">
        <f t="shared" si="0"/>
        <v>1.0769230769230769</v>
      </c>
      <c r="T8" s="43"/>
    </row>
    <row r="9" spans="2:22" ht="13.5" customHeight="1">
      <c r="B9" s="439"/>
      <c r="C9" s="59" t="s">
        <v>5</v>
      </c>
      <c r="D9" s="61">
        <f>COUNTIFS(Tabelle132456891011[Team],$C9)</f>
        <v>13</v>
      </c>
      <c r="E9" s="74">
        <f>COUNTIFS(Tabelle132456891011[Team],$C9,Tabelle132456891011[Status],$E$5)</f>
        <v>9</v>
      </c>
      <c r="F9" s="68">
        <f>SUMIFS(Tabelle132456891011[Jira Story Points],Tabelle132456891011[Pulled after Start],"",Tabelle132456891011[Team],$C9)</f>
        <v>36</v>
      </c>
      <c r="G9" s="6">
        <f>SUMIFS(Tabelle132456891011[Jira Story Points],Tabelle132456891011[Pulled after Start],"yes",Tabelle132456891011[Team],$C9)</f>
        <v>21</v>
      </c>
      <c r="H9" s="7">
        <f>SUMIFS(Tabelle132456891011[Jira Story Points],Tabelle132456891011[Status],$H$5,Tabelle132456891011[Team],$C9)</f>
        <v>38</v>
      </c>
      <c r="I9" s="6">
        <f>SUMIFS(Tabelle132456891011[Jira Story Points],Tabelle132456891011[Status],$I$5,Tabelle132456891011[Team],$C9)</f>
        <v>19</v>
      </c>
      <c r="J9" s="6">
        <f>SUMIFS(Tabelle132456891011[Jira Story Points],Tabelle132456891011[Status],$J$5,Tabelle132456891011[Team],$C9)</f>
        <v>0</v>
      </c>
      <c r="K9" s="69">
        <f>SUMIFS(Tabelle132456891011[Jira Story Points],Tabelle132456891011[Team],$C9)</f>
        <v>57</v>
      </c>
      <c r="L9" s="84">
        <f t="shared" si="1"/>
        <v>1.0555555555555556</v>
      </c>
      <c r="M9" s="6">
        <f>SUMIFS(Tabelle132456891011[SP Initially Planned (COS)],Tabelle132456891011[Pulled after Start],"",Tabelle132456891011[Team],$C9)</f>
        <v>26</v>
      </c>
      <c r="N9" s="6">
        <f>SUMIFS(Tabelle132456891011[SP Pulled after Start (COS)],Tabelle132456891011[Team],$C9)</f>
        <v>21</v>
      </c>
      <c r="O9" s="25">
        <f>SUMIFS(Tabelle132456891011[SP Completed (COS &amp; SOS)],Tabelle132456891011[Team],$C9)</f>
        <v>33</v>
      </c>
      <c r="P9" s="25">
        <f>SUMIFS(Tabelle132456891011[SP Removed (COS &amp; SOS)],Tabelle132456891011[Team],$C9)</f>
        <v>0</v>
      </c>
      <c r="Q9" s="41">
        <f>SUMIFS(Tabelle132456891011[SP Not Completed (COS &amp; SOS)],Tabelle132456891011[Team],$C9)</f>
        <v>14</v>
      </c>
      <c r="R9" s="40">
        <f t="shared" si="0"/>
        <v>1.2692307692307692</v>
      </c>
      <c r="T9" s="43"/>
    </row>
    <row r="10" spans="2:22" ht="13.5" customHeight="1">
      <c r="B10" s="439"/>
      <c r="C10" s="59" t="s">
        <v>32</v>
      </c>
      <c r="D10" s="61">
        <f>COUNTIFS(Tabelle132456891011[Team],$C10)</f>
        <v>12</v>
      </c>
      <c r="E10" s="74">
        <f>COUNTIFS(Tabelle132456891011[Team],$C10,Tabelle132456891011[Status],$E$5)</f>
        <v>9</v>
      </c>
      <c r="F10" s="68">
        <f>SUMIFS(Tabelle132456891011[Jira Story Points],Tabelle132456891011[Pulled after Start],"",Tabelle132456891011[Team],$C10)</f>
        <v>36</v>
      </c>
      <c r="G10" s="6">
        <f>SUMIFS(Tabelle132456891011[Jira Story Points],Tabelle132456891011[Pulled after Start],"yes",Tabelle132456891011[Team],$C10)</f>
        <v>6</v>
      </c>
      <c r="H10" s="7">
        <f>SUMIFS(Tabelle132456891011[Jira Story Points],Tabelle132456891011[Status],$H$5,Tabelle132456891011[Team],$C10)</f>
        <v>33</v>
      </c>
      <c r="I10" s="6">
        <f>SUMIFS(Tabelle132456891011[Jira Story Points],Tabelle132456891011[Status],$I$5,Tabelle132456891011[Team],$C10)</f>
        <v>9</v>
      </c>
      <c r="J10" s="6">
        <f>SUMIFS(Tabelle132456891011[Jira Story Points],Tabelle132456891011[Status],$J$5,Tabelle132456891011[Team],$C10)</f>
        <v>0</v>
      </c>
      <c r="K10" s="69">
        <f>SUMIFS(Tabelle132456891011[Jira Story Points],Tabelle132456891011[Team],$C10)</f>
        <v>42</v>
      </c>
      <c r="L10" s="84">
        <f t="shared" si="1"/>
        <v>0.91666666666666663</v>
      </c>
      <c r="M10" s="6">
        <f>SUMIFS(Tabelle132456891011[SP Initially Planned (COS)],Tabelle132456891011[Pulled after Start],"",Tabelle132456891011[Team],$C10)</f>
        <v>36</v>
      </c>
      <c r="N10" s="6">
        <f>SUMIFS(Tabelle132456891011[SP Pulled after Start (COS)],Tabelle132456891011[Team],$C10)</f>
        <v>6</v>
      </c>
      <c r="O10" s="25">
        <f>SUMIFS(Tabelle132456891011[SP Completed (COS &amp; SOS)],Tabelle132456891011[Team],$C10)</f>
        <v>38</v>
      </c>
      <c r="P10" s="25">
        <f>SUMIFS(Tabelle132456891011[SP Removed (COS &amp; SOS)],Tabelle132456891011[Team],$C10)</f>
        <v>0</v>
      </c>
      <c r="Q10" s="41">
        <f>SUMIFS(Tabelle132456891011[SP Not Completed (COS &amp; SOS)],Tabelle132456891011[Team],$C10)</f>
        <v>4</v>
      </c>
      <c r="R10" s="40">
        <f>IFERROR(O10/$M10," ")</f>
        <v>1.0555555555555556</v>
      </c>
      <c r="T10" s="43"/>
    </row>
    <row r="11" spans="2:22" ht="13.5" customHeight="1">
      <c r="B11" s="439"/>
      <c r="C11" s="59" t="s">
        <v>24</v>
      </c>
      <c r="D11" s="61">
        <f>COUNTIFS(Tabelle132456891011[Team],$C11)</f>
        <v>12</v>
      </c>
      <c r="E11" s="74">
        <f>COUNTIFS(Tabelle132456891011[Team],$C11,Tabelle132456891011[Status],$E$5)</f>
        <v>9</v>
      </c>
      <c r="F11" s="68">
        <f>SUMIFS(Tabelle132456891011[Jira Story Points],Tabelle132456891011[Pulled after Start],"",Tabelle132456891011[Team],$C11)</f>
        <v>35</v>
      </c>
      <c r="G11" s="6">
        <f>SUMIFS(Tabelle132456891011[Jira Story Points],Tabelle132456891011[Pulled after Start],"yes",Tabelle132456891011[Team],$C11)</f>
        <v>4</v>
      </c>
      <c r="H11" s="7">
        <f>SUMIFS(Tabelle132456891011[Jira Story Points],Tabelle132456891011[Status],$H$5,Tabelle132456891011[Team],$C11)</f>
        <v>23</v>
      </c>
      <c r="I11" s="6">
        <f>SUMIFS(Tabelle132456891011[Jira Story Points],Tabelle132456891011[Status],$I$5,Tabelle132456891011[Team],$C11)</f>
        <v>16</v>
      </c>
      <c r="J11" s="6">
        <f>SUMIFS(Tabelle132456891011[Jira Story Points],Tabelle132456891011[Status],$J$5,Tabelle132456891011[Team],$C11)</f>
        <v>0</v>
      </c>
      <c r="K11" s="69">
        <f>SUMIFS(Tabelle132456891011[Jira Story Points],Tabelle132456891011[Team],$C11)</f>
        <v>39</v>
      </c>
      <c r="L11" s="84">
        <f t="shared" si="1"/>
        <v>0.65714285714285714</v>
      </c>
      <c r="M11" s="6">
        <f>SUMIFS(Tabelle132456891011[SP Initially Planned (COS)],Tabelle132456891011[Pulled after Start],"",Tabelle132456891011[Team],$C11)</f>
        <v>29</v>
      </c>
      <c r="N11" s="6">
        <f>SUMIFS(Tabelle132456891011[SP Pulled after Start (COS)],Tabelle132456891011[Team],$C11)</f>
        <v>4</v>
      </c>
      <c r="O11" s="25">
        <f>SUMIFS(Tabelle132456891011[SP Completed (COS &amp; SOS)],Tabelle132456891011[Team],$C11)</f>
        <v>27</v>
      </c>
      <c r="P11" s="25">
        <f>SUMIFS(Tabelle132456891011[SP Removed (COS &amp; SOS)],Tabelle132456891011[Team],$C11)</f>
        <v>0</v>
      </c>
      <c r="Q11" s="41">
        <f>SUMIFS(Tabelle132456891011[SP Not Completed (COS &amp; SOS)],Tabelle132456891011[Team],$C11)</f>
        <v>6</v>
      </c>
      <c r="R11" s="40">
        <f t="shared" si="0"/>
        <v>0.93103448275862066</v>
      </c>
      <c r="T11" s="43"/>
    </row>
    <row r="12" spans="2:22" ht="13.5" customHeight="1">
      <c r="B12" s="439"/>
      <c r="C12" s="59" t="s">
        <v>17</v>
      </c>
      <c r="D12" s="61">
        <f>COUNTIFS(Tabelle132456891011[Team],$C12)</f>
        <v>12</v>
      </c>
      <c r="E12" s="74">
        <f>COUNTIFS(Tabelle132456891011[Team],$C12,Tabelle132456891011[Status],$E$5)</f>
        <v>10</v>
      </c>
      <c r="F12" s="68">
        <f>SUMIFS(Tabelle132456891011[Jira Story Points],Tabelle132456891011[Pulled after Start],"",Tabelle132456891011[Team],$C12)</f>
        <v>34</v>
      </c>
      <c r="G12" s="6">
        <f>SUMIFS(Tabelle132456891011[Jira Story Points],Tabelle132456891011[Pulled after Start],"yes",Tabelle132456891011[Team],$C12)</f>
        <v>8</v>
      </c>
      <c r="H12" s="7">
        <f>SUMIFS(Tabelle132456891011[Jira Story Points],Tabelle132456891011[Status],$H$5,Tabelle132456891011[Team],$C12)</f>
        <v>34</v>
      </c>
      <c r="I12" s="6">
        <f>SUMIFS(Tabelle132456891011[Jira Story Points],Tabelle132456891011[Status],$I$5,Tabelle132456891011[Team],$C12)</f>
        <v>8</v>
      </c>
      <c r="J12" s="6">
        <f>SUMIFS(Tabelle132456891011[Jira Story Points],Tabelle132456891011[Status],$J$5,Tabelle132456891011[Team],$C12)</f>
        <v>0</v>
      </c>
      <c r="K12" s="69">
        <f>SUMIFS(Tabelle132456891011[Jira Story Points],Tabelle132456891011[Team],$C12)</f>
        <v>42</v>
      </c>
      <c r="L12" s="84">
        <f t="shared" si="1"/>
        <v>1</v>
      </c>
      <c r="M12" s="6">
        <f>SUMIFS(Tabelle132456891011[SP Initially Planned (COS)],Tabelle132456891011[Pulled after Start],"",Tabelle132456891011[Team],$C12)</f>
        <v>30</v>
      </c>
      <c r="N12" s="6">
        <f>SUMIFS(Tabelle132456891011[SP Pulled after Start (COS)],Tabelle132456891011[Team],$C12)</f>
        <v>8</v>
      </c>
      <c r="O12" s="25">
        <f>SUMIFS(Tabelle132456891011[SP Completed (COS &amp; SOS)],Tabelle132456891011[Team],$C12)</f>
        <v>33</v>
      </c>
      <c r="P12" s="25">
        <f>SUMIFS(Tabelle132456891011[SP Removed (COS &amp; SOS)],Tabelle132456891011[Team],$C12)</f>
        <v>0</v>
      </c>
      <c r="Q12" s="41">
        <f>SUMIFS(Tabelle132456891011[SP Not Completed (COS &amp; SOS)],Tabelle132456891011[Team],$C12)</f>
        <v>5</v>
      </c>
      <c r="R12" s="40">
        <f t="shared" si="0"/>
        <v>1.1000000000000001</v>
      </c>
      <c r="T12" s="43"/>
    </row>
    <row r="13" spans="2:22" ht="13.5" customHeight="1">
      <c r="B13" s="439"/>
      <c r="C13" s="64" t="s">
        <v>107</v>
      </c>
      <c r="D13" s="61">
        <f>COUNTIFS(Tabelle132456891011[Team],$C13)</f>
        <v>0</v>
      </c>
      <c r="E13" s="74">
        <f>COUNTIFS(Tabelle132456891011[Team],$C13,Tabelle132456891011[Status],$E$5)</f>
        <v>0</v>
      </c>
      <c r="F13" s="68">
        <f>SUMIFS(Tabelle132456891011[Jira Story Points],Tabelle132456891011[Pulled after Start],"",Tabelle132456891011[Team],$C13)</f>
        <v>0</v>
      </c>
      <c r="G13" s="6">
        <f>SUMIFS(Tabelle132456891011[Jira Story Points],Tabelle132456891011[Pulled after Start],"yes",Tabelle132456891011[Team],$C13)</f>
        <v>0</v>
      </c>
      <c r="H13" s="7">
        <f>SUMIFS(Tabelle132456891011[Jira Story Points],Tabelle132456891011[Status],$H$5,Tabelle132456891011[Team],$C13)</f>
        <v>0</v>
      </c>
      <c r="I13" s="6">
        <f>SUMIFS(Tabelle132456891011[Jira Story Points],Tabelle132456891011[Status],$I$5,Tabelle132456891011[Team],$C13)</f>
        <v>0</v>
      </c>
      <c r="J13" s="6">
        <f>SUMIFS(Tabelle132456891011[Jira Story Points],Tabelle132456891011[Status],$J$5,Tabelle132456891011[Team],$C13)</f>
        <v>0</v>
      </c>
      <c r="K13" s="69">
        <f>SUMIFS(Tabelle132456891011[Jira Story Points],Tabelle132456891011[Team],$C13)</f>
        <v>0</v>
      </c>
      <c r="L13" s="84"/>
      <c r="M13" s="6">
        <f>SUMIFS(Tabelle132456891011[SP Initially Planned (COS)],Tabelle132456891011[Pulled after Start],"",Tabelle132456891011[Team],$C13)</f>
        <v>0</v>
      </c>
      <c r="N13" s="6">
        <f>SUMIFS(Tabelle132456891011[SP Pulled after Start (COS)],Tabelle132456891011[Team],$C13)</f>
        <v>0</v>
      </c>
      <c r="O13" s="25">
        <f>SUMIFS(Tabelle132456891011[SP Completed (COS &amp; SOS)],Tabelle132456891011[Team],$C13)</f>
        <v>0</v>
      </c>
      <c r="P13" s="25">
        <f>SUMIFS(Tabelle132456891011[SP Removed (COS &amp; SOS)],Tabelle132456891011[Team],$C13)</f>
        <v>0</v>
      </c>
      <c r="Q13" s="41">
        <f>SUMIFS(Tabelle132456891011[SP Not Completed (COS &amp; SOS)],Tabelle132456891011[Team],$C13)</f>
        <v>0</v>
      </c>
      <c r="R13" s="40" t="str">
        <f t="shared" si="0"/>
        <v xml:space="preserve"> </v>
      </c>
      <c r="T13" s="43"/>
    </row>
    <row r="14" spans="2:22" ht="13.5" customHeight="1">
      <c r="B14" s="439"/>
      <c r="C14" s="41" t="s">
        <v>21</v>
      </c>
      <c r="D14" s="61">
        <f>COUNTIFS(Tabelle132456891011[Team],$C14)</f>
        <v>10</v>
      </c>
      <c r="E14" s="74">
        <f>COUNTIFS(Tabelle132456891011[Team],$C14,Tabelle132456891011[Status],$E$5)</f>
        <v>7</v>
      </c>
      <c r="F14" s="68">
        <f>SUMIFS(Tabelle132456891011[Jira Story Points],Tabelle132456891011[Pulled after Start],"",Tabelle132456891011[Team],$C14)</f>
        <v>32</v>
      </c>
      <c r="G14" s="6">
        <f>SUMIFS(Tabelle132456891011[Jira Story Points],Tabelle132456891011[Pulled after Start],"yes",Tabelle132456891011[Team],$C14)</f>
        <v>8</v>
      </c>
      <c r="H14" s="7">
        <f>SUMIFS(Tabelle132456891011[Jira Story Points],Tabelle132456891011[Status],$H$5,Tabelle132456891011[Team],$C14)</f>
        <v>29</v>
      </c>
      <c r="I14" s="6">
        <f>SUMIFS(Tabelle132456891011[Jira Story Points],Tabelle132456891011[Status],$I$5,Tabelle132456891011[Team],$C14)</f>
        <v>11</v>
      </c>
      <c r="J14" s="6">
        <f>SUMIFS(Tabelle132456891011[Jira Story Points],Tabelle132456891011[Status],$J$5,Tabelle132456891011[Team],$C14)</f>
        <v>0</v>
      </c>
      <c r="K14" s="69">
        <f>SUMIFS(Tabelle132456891011[Jira Story Points],Tabelle132456891011[Team],$C14)</f>
        <v>40</v>
      </c>
      <c r="L14" s="84">
        <f t="shared" si="1"/>
        <v>0.90625</v>
      </c>
      <c r="M14" s="6">
        <f>SUMIFS(Tabelle132456891011[SP Initially Planned (COS)],Tabelle132456891011[Pulled after Start],"",Tabelle132456891011[Team],$C14)</f>
        <v>27</v>
      </c>
      <c r="N14" s="6">
        <f>SUMIFS(Tabelle132456891011[SP Pulled after Start (COS)],Tabelle132456891011[Team],$C14)</f>
        <v>8</v>
      </c>
      <c r="O14" s="25">
        <f>SUMIFS(Tabelle132456891011[SP Completed (COS &amp; SOS)],Tabelle132456891011[Team],$C14)</f>
        <v>26</v>
      </c>
      <c r="P14" s="25">
        <f>SUMIFS(Tabelle132456891011[SP Removed (COS &amp; SOS)],Tabelle132456891011[Team],$C14)</f>
        <v>0</v>
      </c>
      <c r="Q14" s="41">
        <f>SUMIFS(Tabelle132456891011[SP Not Completed (COS &amp; SOS)],Tabelle132456891011[Team],$C14)</f>
        <v>9</v>
      </c>
      <c r="R14" s="40">
        <f t="shared" si="0"/>
        <v>0.96296296296296291</v>
      </c>
      <c r="T14" s="43"/>
    </row>
    <row r="15" spans="2:22" ht="13.5" customHeight="1">
      <c r="B15" s="439"/>
      <c r="C15" s="41" t="s">
        <v>9</v>
      </c>
      <c r="D15" s="61">
        <f>COUNTIFS(Tabelle132456891011[Team],$C15)</f>
        <v>23</v>
      </c>
      <c r="E15" s="74">
        <f>COUNTIFS(Tabelle132456891011[Team],$C15,Tabelle132456891011[Status],$E$5)</f>
        <v>18</v>
      </c>
      <c r="F15" s="68">
        <f>SUMIFS(Tabelle132456891011[Jira Story Points],Tabelle132456891011[Pulled after Start],"",Tabelle132456891011[Team],$C15)</f>
        <v>38</v>
      </c>
      <c r="G15" s="6">
        <f>SUMIFS(Tabelle132456891011[Jira Story Points],Tabelle132456891011[Pulled after Start],"yes",Tabelle132456891011[Team],$C15)</f>
        <v>27.5</v>
      </c>
      <c r="H15" s="7">
        <f>SUMIFS(Tabelle132456891011[Jira Story Points],Tabelle132456891011[Status],$H$5,Tabelle132456891011[Team],$C15)</f>
        <v>44.5</v>
      </c>
      <c r="I15" s="6">
        <f>SUMIFS(Tabelle132456891011[Jira Story Points],Tabelle132456891011[Status],$I$5,Tabelle132456891011[Team],$C15)</f>
        <v>16</v>
      </c>
      <c r="J15" s="6">
        <v>1</v>
      </c>
      <c r="K15" s="69">
        <f>SUMIFS(Tabelle132456891011[Jira Story Points],Tabelle132456891011[Team],$C15)</f>
        <v>65.5</v>
      </c>
      <c r="L15" s="84">
        <f t="shared" si="1"/>
        <v>1.1710526315789473</v>
      </c>
      <c r="M15" s="6">
        <f>SUMIFS(Tabelle132456891011[SP Initially Planned (COS)],Tabelle132456891011[Pulled after Start],"",Tabelle132456891011[Team],$C15)</f>
        <v>38</v>
      </c>
      <c r="N15" s="6">
        <f>SUMIFS(Tabelle132456891011[SP Pulled after Start (COS)],Tabelle132456891011[Team],$C15)</f>
        <v>27.5</v>
      </c>
      <c r="O15" s="25">
        <f>SUMIFS(Tabelle132456891011[SP Completed (COS &amp; SOS)],Tabelle132456891011[Team],$C15)</f>
        <v>44.5</v>
      </c>
      <c r="P15" s="25">
        <f>SUMIFS(Tabelle132456891011[SP Removed (COS &amp; SOS)],Tabelle132456891011[Team],$C15)</f>
        <v>5</v>
      </c>
      <c r="Q15" s="41">
        <f>SUMIFS(Tabelle132456891011[SP Not Completed (COS &amp; SOS)],Tabelle132456891011[Team],$C15)</f>
        <v>16</v>
      </c>
      <c r="R15" s="40">
        <f t="shared" si="0"/>
        <v>1.1710526315789473</v>
      </c>
      <c r="T15" s="43"/>
    </row>
    <row r="16" spans="2:22" ht="13.5" customHeight="1" thickBot="1">
      <c r="C16" s="65" t="s">
        <v>172</v>
      </c>
      <c r="D16" s="62">
        <f t="shared" ref="D16" si="2">SUM(D6:D13)</f>
        <v>87</v>
      </c>
      <c r="E16" s="75">
        <f t="shared" ref="E16:K16" si="3">SUM(E6:E13)</f>
        <v>61</v>
      </c>
      <c r="F16" s="62">
        <f t="shared" si="3"/>
        <v>277</v>
      </c>
      <c r="G16" s="70">
        <f t="shared" si="3"/>
        <v>60</v>
      </c>
      <c r="H16" s="71">
        <f t="shared" si="3"/>
        <v>224</v>
      </c>
      <c r="I16" s="71">
        <f t="shared" si="3"/>
        <v>105</v>
      </c>
      <c r="J16" s="71">
        <f t="shared" si="3"/>
        <v>8</v>
      </c>
      <c r="K16" s="72">
        <f t="shared" si="3"/>
        <v>337</v>
      </c>
      <c r="L16" s="84">
        <f t="shared" si="1"/>
        <v>0.80866425992779778</v>
      </c>
      <c r="M16" s="23">
        <f t="shared" ref="M16:N16" si="4">SUM(M6:M13)</f>
        <v>247</v>
      </c>
      <c r="N16" s="21">
        <f t="shared" si="4"/>
        <v>60</v>
      </c>
      <c r="O16" s="31">
        <f>SUM(O6:O13)</f>
        <v>228</v>
      </c>
      <c r="P16" s="31">
        <f>SUM(P6:P13)</f>
        <v>8</v>
      </c>
      <c r="Q16" s="22">
        <f>SUM(Q6:Q13)</f>
        <v>71</v>
      </c>
      <c r="R16" s="38" t="s">
        <v>185</v>
      </c>
      <c r="T16" s="42"/>
      <c r="U16" s="42"/>
      <c r="V16" s="42"/>
    </row>
    <row r="17" spans="1:39" ht="13.5" customHeight="1">
      <c r="T17" s="5"/>
      <c r="U17" s="5"/>
      <c r="V17" s="5"/>
    </row>
    <row r="18" spans="1:39" ht="13.5" customHeight="1">
      <c r="T18" s="5"/>
      <c r="U18" s="5"/>
      <c r="V18" s="5"/>
    </row>
    <row r="19" spans="1:39" ht="13.5" customHeight="1">
      <c r="T19" s="5"/>
      <c r="U19" s="5"/>
      <c r="V19" s="5"/>
    </row>
    <row r="20" spans="1:39" ht="13.5" customHeight="1">
      <c r="T20" s="5"/>
      <c r="U20" s="5"/>
      <c r="V20" s="5"/>
    </row>
    <row r="21" spans="1:39" ht="13.5" customHeight="1">
      <c r="C21" s="33" t="s">
        <v>186</v>
      </c>
      <c r="D21" s="9"/>
      <c r="E21" s="9"/>
      <c r="F21" s="9"/>
      <c r="G21" s="9"/>
      <c r="H21" s="9"/>
      <c r="I21" s="9"/>
      <c r="J21" s="9"/>
      <c r="K21" s="9"/>
      <c r="L21" s="9"/>
      <c r="M21" s="9"/>
      <c r="N21" s="9"/>
      <c r="O21" s="9"/>
      <c r="T21" s="5"/>
      <c r="U21" s="5"/>
      <c r="V21" s="5"/>
    </row>
    <row r="22" spans="1:39" ht="13.5" customHeight="1">
      <c r="C22" s="10"/>
      <c r="D22" s="425" t="s">
        <v>187</v>
      </c>
      <c r="E22" s="425"/>
      <c r="F22" s="425" t="s">
        <v>106</v>
      </c>
      <c r="G22" s="425"/>
      <c r="H22" s="425" t="s">
        <v>172</v>
      </c>
      <c r="I22" s="425"/>
      <c r="J22" s="426" t="s">
        <v>2134</v>
      </c>
      <c r="K22" s="426"/>
      <c r="L22" s="426" t="s">
        <v>189</v>
      </c>
      <c r="M22" s="426"/>
      <c r="N22" s="416" t="s">
        <v>172</v>
      </c>
      <c r="O22" s="416"/>
    </row>
    <row r="23" spans="1:39" ht="13.5" customHeight="1">
      <c r="C23" s="10"/>
      <c r="D23" s="11" t="s">
        <v>190</v>
      </c>
      <c r="E23" s="12" t="s">
        <v>191</v>
      </c>
      <c r="F23" s="11" t="s">
        <v>190</v>
      </c>
      <c r="G23" s="12" t="s">
        <v>191</v>
      </c>
      <c r="H23" s="12" t="s">
        <v>190</v>
      </c>
      <c r="I23" s="12" t="s">
        <v>191</v>
      </c>
      <c r="J23" s="34" t="s">
        <v>190</v>
      </c>
      <c r="K23" s="13" t="s">
        <v>191</v>
      </c>
      <c r="L23" s="14" t="s">
        <v>190</v>
      </c>
      <c r="M23" s="14" t="s">
        <v>191</v>
      </c>
      <c r="N23" s="14" t="s">
        <v>190</v>
      </c>
      <c r="O23" s="14" t="s">
        <v>191</v>
      </c>
    </row>
    <row r="24" spans="1:39" ht="13.5" customHeight="1">
      <c r="C24" s="15" t="s">
        <v>192</v>
      </c>
      <c r="D24" s="7">
        <f>COUNTIFS(Tabelle132456891011[Team],"*",Tabelle132456891011[Pulled after Start],"&lt;&gt;yes")</f>
        <v>83</v>
      </c>
      <c r="E24" s="7">
        <f>SUMIFS(Tabelle132456891011[Jira Story Points],Tabelle132456891011[Team],"*",Tabelle132456891011[Pulled after Start],"&lt;&gt;yes")+COUNTIFS(Tabelle132456891011[Team],"*",Tabelle132456891011[Jira Story Points],"-",Tabelle132456891011[Pulled after Start],"&lt;&gt;yes")*$M$28</f>
        <v>347</v>
      </c>
      <c r="F24" s="7">
        <f>COUNTIF(Tabelle132456891011[Pulled after Start],"yes")</f>
        <v>37</v>
      </c>
      <c r="G24" s="7">
        <f>SUMIFS(Tabelle132456891011[Jira Story Points],Tabelle132456891011[Team],"*",Tabelle132456891011[Pulled after Start],"yes")+COUNTIFS(Tabelle132456891011[Team],"*",Tabelle132456891011[Jira Story Points],"-",Tabelle132456891011[Pulled after Start],"yes")*$M$28</f>
        <v>95.5</v>
      </c>
      <c r="H24" s="7">
        <f t="shared" ref="H24:I27" si="5">D24+F24</f>
        <v>120</v>
      </c>
      <c r="I24" s="7">
        <f t="shared" si="5"/>
        <v>442.5</v>
      </c>
      <c r="J24" s="7">
        <f>COUNTIFS(Tabelle132456891011[Team],"*",Tabelle132456891011[Jira Story Points],"&lt;&gt;-")</f>
        <v>120</v>
      </c>
      <c r="K24" s="16">
        <f>SUMIFS(Tabelle132456891011[Jira Story Points],Tabelle132456891011[Team],"*",Tabelle132456891011[Jira Story Points],"&lt;&gt;-")</f>
        <v>442.5</v>
      </c>
      <c r="L24" s="8">
        <f>COUNTIFS(Tabelle132456891011[Team],"*",Tabelle132456891011[Jira Story Points],"-")</f>
        <v>0</v>
      </c>
      <c r="M24" s="8">
        <f>L24*$M$28</f>
        <v>0</v>
      </c>
      <c r="N24" s="35">
        <f t="shared" ref="N24:O27" si="6">J24+L24</f>
        <v>120</v>
      </c>
      <c r="O24" s="7">
        <f t="shared" si="6"/>
        <v>442.5</v>
      </c>
    </row>
    <row r="25" spans="1:39" ht="13.5" customHeight="1">
      <c r="C25" s="15" t="s">
        <v>125</v>
      </c>
      <c r="D25" s="7">
        <f>COUNTIFS(Tabelle132456891011[Team],"*",Tabelle132456891011[Pulled after Start],"&lt;&gt;yes",Tabelle132456891011[Status],H5)</f>
        <v>58</v>
      </c>
      <c r="E25" s="7">
        <f>SUMIFS(Tabelle132456891011[Jira Story Points],Tabelle132456891011[Team],"*",Tabelle132456891011[Pulled after Start],"&lt;&gt;yes",Tabelle132456891011[Status],H5)+COUNTIFS(Tabelle132456891011[Team],"*",Tabelle132456891011[Jira Story Points],"-",Tabelle132456891011[Pulled after Start],"&lt;&gt;yes",Tabelle132456891011[Status],H5)*$M$28</f>
        <v>240</v>
      </c>
      <c r="F25" s="7">
        <f>COUNTIFS(Tabelle132456891011[Pulled after Start],"yes",Tabelle132456891011[Status],H5)</f>
        <v>28</v>
      </c>
      <c r="G25" s="7">
        <f>SUMIFS(Tabelle132456891011[Jira Story Points],Tabelle132456891011[Team],"*",Tabelle132456891011[Pulled after Start],"yes",Tabelle132456891011[Status],H5)+COUNTIFS(Tabelle132456891011[Team],"*",Tabelle132456891011[Jira Story Points],"-",Tabelle132456891011[Pulled after Start],"yes",Tabelle132456891011[Status],H5)*$M$28</f>
        <v>57.5</v>
      </c>
      <c r="H25" s="7">
        <f t="shared" si="5"/>
        <v>86</v>
      </c>
      <c r="I25" s="7">
        <f t="shared" si="5"/>
        <v>297.5</v>
      </c>
      <c r="J25" s="7">
        <f>COUNTIFS(Tabelle132456891011[Team],"*",Tabelle132456891011[Jira Story Points],"&lt;&gt;-",Tabelle132456891011[Status],H5)</f>
        <v>86</v>
      </c>
      <c r="K25" s="7">
        <f>SUMIFS(Tabelle132456891011[Jira Story Points],Tabelle132456891011[Team],"*",Tabelle132456891011[Jira Story Points],"&lt;&gt;-",Tabelle132456891011[Status],H5)</f>
        <v>297.5</v>
      </c>
      <c r="L25" s="17">
        <f>COUNTIFS(Tabelle132456891011[Team],"*",Tabelle132456891011[Jira Story Points],"-",Tabelle132456891011[Status],H5)</f>
        <v>0</v>
      </c>
      <c r="M25" s="8">
        <f>L25*$M$28</f>
        <v>0</v>
      </c>
      <c r="N25" s="7">
        <f t="shared" si="6"/>
        <v>86</v>
      </c>
      <c r="O25" s="7">
        <f t="shared" si="6"/>
        <v>297.5</v>
      </c>
    </row>
    <row r="26" spans="1:39" ht="13.5" customHeight="1">
      <c r="C26" s="15" t="s">
        <v>127</v>
      </c>
      <c r="D26" s="7">
        <f>COUNTIFS(Tabelle132456891011[Team],"*",Tabelle132456891011[Pulled after Start],"&lt;&gt;yes",Tabelle132456891011[Status],I5)</f>
        <v>24</v>
      </c>
      <c r="E26" s="7">
        <f>SUMIFS(Tabelle132456891011[Jira Story Points],Tabelle132456891011[Team],"*",Tabelle132456891011[Pulled after Start],"&lt;&gt;yes",Tabelle132456891011[Status],I5)+COUNTIFS(Tabelle132456891011[Team],"*",Tabelle132456891011[Jira Story Points],"-",Tabelle132456891011[Pulled after Start],"&lt;&gt;yes",Tabelle132456891011[Status],I5)*$M$28</f>
        <v>104</v>
      </c>
      <c r="F26" s="7">
        <f>COUNTIFS(Tabelle132456891011[Pulled after Start],"yes",Tabelle132456891011[Status],I5)</f>
        <v>7</v>
      </c>
      <c r="G26" s="7">
        <f>SUMIFS(Tabelle132456891011[Jira Story Points],Tabelle132456891011[Team],"*",Tabelle132456891011[Pulled after Start],"yes",Tabelle132456891011[Status],I5)+COUNTIFS(Tabelle132456891011[Team],"*",Tabelle132456891011[Jira Story Points],"-",Tabelle132456891011[Pulled after Start],"yes",Tabelle132456891011[Status],I5)*$M$28</f>
        <v>28</v>
      </c>
      <c r="H26" s="7">
        <f t="shared" si="5"/>
        <v>31</v>
      </c>
      <c r="I26" s="7">
        <f t="shared" si="5"/>
        <v>132</v>
      </c>
      <c r="J26" s="7">
        <f>COUNTIFS(Tabelle132456891011[Team],"*",Tabelle132456891011[Jira Story Points],"&lt;&gt;-",Tabelle132456891011[Status],I5)</f>
        <v>31</v>
      </c>
      <c r="K26" s="7">
        <f>SUMIFS(Tabelle132456891011[Jira Story Points],Tabelle132456891011[Team],"*",Tabelle132456891011[Jira Story Points],"&lt;&gt;-",Tabelle132456891011[Status],I5)</f>
        <v>132</v>
      </c>
      <c r="L26" s="17">
        <f>COUNTIFS(Tabelle132456891011[Team],"*",Tabelle132456891011[Jira Story Points],"-",Tabelle132456891011[Status],I5)</f>
        <v>0</v>
      </c>
      <c r="M26" s="8">
        <f>L26*$M$28</f>
        <v>0</v>
      </c>
      <c r="N26" s="7">
        <f t="shared" si="6"/>
        <v>31</v>
      </c>
      <c r="O26" s="7">
        <f t="shared" si="6"/>
        <v>132</v>
      </c>
    </row>
    <row r="27" spans="1:39" ht="13.5" customHeight="1">
      <c r="C27" s="15" t="s">
        <v>126</v>
      </c>
      <c r="D27" s="7">
        <f>COUNTIFS(Tabelle132456891011[Team],"*",Tabelle132456891011[Pulled after Start],"&lt;&gt;yes",Tabelle132456891011[Status],J5)</f>
        <v>1</v>
      </c>
      <c r="E27" s="7">
        <f>SUMIFS(Tabelle132456891011[Jira Story Points],Tabelle132456891011[Team],"*",Tabelle132456891011[Pulled after Start],"&lt;&gt;yes",Tabelle132456891011[Status],J5)+COUNTIFS(Tabelle132456891011[Team],"*",Tabelle132456891011[Jira Story Points],"-",Tabelle132456891011[Pulled after Start],"&lt;&gt;yes",Tabelle132456891011[Status],J5)*$M$28</f>
        <v>3</v>
      </c>
      <c r="F27" s="7">
        <f>COUNTIFS(Tabelle132456891011[Pulled after Start],"yes",Tabelle132456891011[Status],J5)</f>
        <v>2</v>
      </c>
      <c r="G27" s="7">
        <f>SUMIFS(Tabelle132456891011[Jira Story Points],Tabelle132456891011[Team],"*",Tabelle132456891011[Pulled after Start],"yes",Tabelle132456891011[Status],J5)+COUNTIFS(Tabelle132456891011[Team],"*",Tabelle132456891011[Jira Story Points],"-",Tabelle132456891011[Pulled after Start],"yes",Tabelle132456891011[Status],J5)*$M$28</f>
        <v>10</v>
      </c>
      <c r="H27" s="7">
        <f t="shared" si="5"/>
        <v>3</v>
      </c>
      <c r="I27" s="7">
        <f t="shared" si="5"/>
        <v>13</v>
      </c>
      <c r="J27" s="7">
        <f>COUNTIFS(Tabelle132456891011[Team],"*",Tabelle132456891011[Jira Story Points],"&lt;&gt;-",Tabelle132456891011[Status],J5)</f>
        <v>3</v>
      </c>
      <c r="K27" s="7">
        <f>SUMIFS(Tabelle132456891011[Jira Story Points],Tabelle132456891011[Team],"*",Tabelle132456891011[Jira Story Points],"&lt;&gt;-",Tabelle132456891011[Status],J5)</f>
        <v>13</v>
      </c>
      <c r="L27" s="17">
        <f>COUNTIFS(Tabelle132456891011[Team],"*",Tabelle132456891011[Jira Story Points],"-",Tabelle132456891011[Status],J5)</f>
        <v>0</v>
      </c>
      <c r="M27" s="8">
        <f>L27*$M$28</f>
        <v>0</v>
      </c>
      <c r="N27" s="7">
        <f t="shared" si="6"/>
        <v>3</v>
      </c>
      <c r="O27" s="7">
        <f t="shared" si="6"/>
        <v>13</v>
      </c>
    </row>
    <row r="28" spans="1:39" ht="13.5" customHeight="1" thickBot="1">
      <c r="C28" s="1"/>
      <c r="D28" s="1"/>
      <c r="E28" s="1"/>
      <c r="F28" s="1"/>
      <c r="G28" s="1"/>
      <c r="H28" s="1"/>
      <c r="I28" s="1"/>
      <c r="J28" s="1"/>
      <c r="K28" s="1"/>
      <c r="L28" s="24" t="s">
        <v>193</v>
      </c>
      <c r="M28" s="45">
        <v>2</v>
      </c>
    </row>
    <row r="31" spans="1:39" s="116" customFormat="1" ht="27">
      <c r="A31" s="146" t="s">
        <v>194</v>
      </c>
      <c r="B31" s="150" t="s">
        <v>195</v>
      </c>
      <c r="C31" s="146" t="s">
        <v>196</v>
      </c>
      <c r="D31" s="146" t="s">
        <v>197</v>
      </c>
      <c r="E31" s="146" t="s">
        <v>198</v>
      </c>
      <c r="F31" s="146" t="s">
        <v>199</v>
      </c>
      <c r="G31" s="146" t="s">
        <v>167</v>
      </c>
      <c r="H31" s="146" t="s">
        <v>106</v>
      </c>
      <c r="I31" s="146" t="s">
        <v>200</v>
      </c>
      <c r="J31" s="146" t="s">
        <v>201</v>
      </c>
      <c r="K31" s="146" t="s">
        <v>202</v>
      </c>
      <c r="L31" s="146" t="s">
        <v>203</v>
      </c>
      <c r="M31" s="147" t="s">
        <v>1304</v>
      </c>
      <c r="N31" s="148" t="s">
        <v>1305</v>
      </c>
      <c r="O31" s="148" t="s">
        <v>1306</v>
      </c>
      <c r="P31" s="149" t="s">
        <v>1307</v>
      </c>
      <c r="Q31" s="148" t="s">
        <v>1308</v>
      </c>
    </row>
    <row r="32" spans="1:39" s="109" customFormat="1" hidden="1">
      <c r="A32" s="102" t="s">
        <v>2135</v>
      </c>
      <c r="B32" s="101" t="s">
        <v>2136</v>
      </c>
      <c r="C32" s="81" t="s">
        <v>372</v>
      </c>
      <c r="D32" s="81">
        <v>3</v>
      </c>
      <c r="E32" s="81" t="s">
        <v>324</v>
      </c>
      <c r="F32" s="81">
        <v>2</v>
      </c>
      <c r="G32" s="76" t="s">
        <v>35</v>
      </c>
      <c r="H32" s="83"/>
      <c r="I32" s="103"/>
      <c r="J32" s="76" t="s">
        <v>125</v>
      </c>
      <c r="K32" s="104"/>
      <c r="L32" s="104"/>
      <c r="M32" s="105">
        <f>IF(Tabelle132456891011[[#This Row],[Pulled after Start]]="",MIN(Tabelle132456891011[[#This Row],[Jira Story Points]],Tabelle132456891011[[#This Row],[Carry-over]]),0)</f>
        <v>2</v>
      </c>
      <c r="N32" s="106">
        <f>MIN(Tabelle132456891011[[#This Row],[Jira Story Points]],Tabelle132456891011[[#This Row],[Carry-over]])-Tabelle132456891011[[#This Row],[SP Initially Planned (COS)]]</f>
        <v>0</v>
      </c>
      <c r="O32"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2</v>
      </c>
      <c r="P32" s="108">
        <f>IFERROR(IF(Tabelle132456891011[[#This Row],[Status]]=$J$5,MIN(Tabelle132456891011[[#This Row],[Jira Story Points]],Tabelle132456891011[[#This Row],[Carry-over]]),0),0)</f>
        <v>0</v>
      </c>
      <c r="Q32" s="108">
        <f>IFERROR(IF(Tabelle132456891011[[#This Row],[Status]]=$J$5,0,MIN(Tabelle132456891011[[#This Row],[Jira Story Points]],Tabelle132456891011[[#This Row],[Carry-over]])-Tabelle132456891011[[#This Row],[SP Completed (COS &amp; SOS)]]),0)</f>
        <v>0</v>
      </c>
      <c r="AA32" s="46"/>
      <c r="AB32" s="46"/>
      <c r="AC32" s="46"/>
      <c r="AD32" s="46"/>
      <c r="AE32" s="46"/>
      <c r="AF32" s="46"/>
      <c r="AG32" s="46"/>
      <c r="AH32" s="46"/>
      <c r="AI32" s="46"/>
      <c r="AJ32" s="46"/>
      <c r="AK32" s="46"/>
      <c r="AL32" s="46"/>
      <c r="AM32" s="46"/>
    </row>
    <row r="33" spans="1:39" s="109" customFormat="1" hidden="1">
      <c r="A33" s="102" t="s">
        <v>2137</v>
      </c>
      <c r="B33" s="101" t="s">
        <v>2138</v>
      </c>
      <c r="C33" s="81" t="s">
        <v>372</v>
      </c>
      <c r="D33" s="81">
        <v>3</v>
      </c>
      <c r="E33" s="81" t="s">
        <v>324</v>
      </c>
      <c r="F33" s="81">
        <v>8</v>
      </c>
      <c r="G33" s="76" t="s">
        <v>35</v>
      </c>
      <c r="H33" s="83"/>
      <c r="I33" s="103"/>
      <c r="J33" s="76" t="s">
        <v>125</v>
      </c>
      <c r="K33" s="104"/>
      <c r="L33" s="104"/>
      <c r="M33" s="105">
        <f>IF(Tabelle132456891011[[#This Row],[Pulled after Start]]="",MIN(Tabelle132456891011[[#This Row],[Jira Story Points]],Tabelle132456891011[[#This Row],[Carry-over]]),0)</f>
        <v>8</v>
      </c>
      <c r="N33" s="106">
        <f>MIN(Tabelle132456891011[[#This Row],[Jira Story Points]],Tabelle132456891011[[#This Row],[Carry-over]])-Tabelle132456891011[[#This Row],[SP Initially Planned (COS)]]</f>
        <v>0</v>
      </c>
      <c r="O33"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8</v>
      </c>
      <c r="P33" s="108">
        <f>IFERROR(IF(Tabelle132456891011[[#This Row],[Status]]=$J$5,MIN(Tabelle132456891011[[#This Row],[Jira Story Points]],Tabelle132456891011[[#This Row],[Carry-over]]),0),0)</f>
        <v>0</v>
      </c>
      <c r="Q33" s="108">
        <f>IFERROR(IF(Tabelle132456891011[[#This Row],[Status]]=$J$5,0,MIN(Tabelle132456891011[[#This Row],[Jira Story Points]],Tabelle132456891011[[#This Row],[Carry-over]])-Tabelle132456891011[[#This Row],[SP Completed (COS &amp; SOS)]]),0)</f>
        <v>0</v>
      </c>
      <c r="AA33" s="46"/>
      <c r="AB33" s="46"/>
      <c r="AC33" s="46"/>
      <c r="AD33" s="46"/>
      <c r="AE33" s="46"/>
      <c r="AF33" s="46"/>
      <c r="AG33" s="46"/>
      <c r="AH33" s="46"/>
      <c r="AI33" s="46"/>
      <c r="AJ33" s="46"/>
      <c r="AK33" s="46"/>
      <c r="AL33" s="46"/>
      <c r="AM33" s="46"/>
    </row>
    <row r="34" spans="1:39" s="109" customFormat="1" hidden="1">
      <c r="A34" s="102" t="s">
        <v>2139</v>
      </c>
      <c r="B34" s="101" t="s">
        <v>2066</v>
      </c>
      <c r="C34" s="81" t="s">
        <v>375</v>
      </c>
      <c r="D34" s="81">
        <v>1</v>
      </c>
      <c r="E34" s="81" t="s">
        <v>448</v>
      </c>
      <c r="F34" s="81">
        <v>3</v>
      </c>
      <c r="G34" s="76" t="s">
        <v>35</v>
      </c>
      <c r="H34" s="83" t="s">
        <v>209</v>
      </c>
      <c r="I34" s="110" t="s">
        <v>2140</v>
      </c>
      <c r="J34" s="76" t="s">
        <v>127</v>
      </c>
      <c r="K34" s="111"/>
      <c r="L34" s="111"/>
      <c r="M34" s="105">
        <f>IF(Tabelle132456891011[[#This Row],[Pulled after Start]]="",MIN(Tabelle132456891011[[#This Row],[Jira Story Points]],Tabelle132456891011[[#This Row],[Carry-over]]),0)</f>
        <v>0</v>
      </c>
      <c r="N34" s="106">
        <f>MIN(Tabelle132456891011[[#This Row],[Jira Story Points]],Tabelle132456891011[[#This Row],[Carry-over]])-Tabelle132456891011[[#This Row],[SP Initially Planned (COS)]]</f>
        <v>3</v>
      </c>
      <c r="O34"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34" s="108">
        <f>IFERROR(IF(Tabelle132456891011[[#This Row],[Status]]=$J$5,MIN(Tabelle132456891011[[#This Row],[Jira Story Points]],Tabelle132456891011[[#This Row],[Carry-over]]),0),0)</f>
        <v>0</v>
      </c>
      <c r="Q34" s="108">
        <f>IFERROR(IF(Tabelle132456891011[[#This Row],[Status]]=$J$5,0,MIN(Tabelle132456891011[[#This Row],[Jira Story Points]],Tabelle132456891011[[#This Row],[Carry-over]])-Tabelle132456891011[[#This Row],[SP Completed (COS &amp; SOS)]]),0)</f>
        <v>3</v>
      </c>
      <c r="AA34" s="46"/>
      <c r="AB34" s="46"/>
      <c r="AC34" s="46"/>
      <c r="AD34" s="46"/>
      <c r="AE34" s="46"/>
      <c r="AF34" s="46"/>
      <c r="AG34" s="46"/>
      <c r="AH34" s="46"/>
      <c r="AI34" s="46"/>
      <c r="AJ34" s="46"/>
      <c r="AK34" s="46"/>
      <c r="AL34" s="46"/>
      <c r="AM34" s="46"/>
    </row>
    <row r="35" spans="1:39" s="109" customFormat="1" hidden="1">
      <c r="A35" s="102" t="s">
        <v>2141</v>
      </c>
      <c r="B35" s="101" t="s">
        <v>2142</v>
      </c>
      <c r="C35" s="81" t="s">
        <v>382</v>
      </c>
      <c r="D35" s="81">
        <v>3</v>
      </c>
      <c r="E35" s="81" t="s">
        <v>324</v>
      </c>
      <c r="F35" s="81">
        <v>1</v>
      </c>
      <c r="G35" s="76" t="s">
        <v>35</v>
      </c>
      <c r="H35" s="83"/>
      <c r="I35" s="103"/>
      <c r="J35" s="76" t="s">
        <v>125</v>
      </c>
      <c r="K35" s="104"/>
      <c r="L35" s="104"/>
      <c r="M35" s="105">
        <f>IF(Tabelle132456891011[[#This Row],[Pulled after Start]]="",MIN(Tabelle132456891011[[#This Row],[Jira Story Points]],Tabelle132456891011[[#This Row],[Carry-over]]),0)</f>
        <v>1</v>
      </c>
      <c r="N35" s="106">
        <f>MIN(Tabelle132456891011[[#This Row],[Jira Story Points]],Tabelle132456891011[[#This Row],[Carry-over]])-Tabelle132456891011[[#This Row],[SP Initially Planned (COS)]]</f>
        <v>0</v>
      </c>
      <c r="O35"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35" s="108">
        <f>IFERROR(IF(Tabelle132456891011[[#This Row],[Status]]=$J$5,MIN(Tabelle132456891011[[#This Row],[Jira Story Points]],Tabelle132456891011[[#This Row],[Carry-over]]),0),0)</f>
        <v>0</v>
      </c>
      <c r="Q35" s="108">
        <f>IFERROR(IF(Tabelle132456891011[[#This Row],[Status]]=$J$5,0,MIN(Tabelle132456891011[[#This Row],[Jira Story Points]],Tabelle132456891011[[#This Row],[Carry-over]])-Tabelle132456891011[[#This Row],[SP Completed (COS &amp; SOS)]]),0)</f>
        <v>0</v>
      </c>
      <c r="AA35" s="46"/>
      <c r="AB35" s="46"/>
      <c r="AC35" s="46"/>
      <c r="AD35" s="46"/>
      <c r="AE35" s="46"/>
      <c r="AF35" s="46"/>
      <c r="AG35" s="46"/>
      <c r="AH35" s="46"/>
      <c r="AI35" s="46"/>
      <c r="AJ35" s="46"/>
      <c r="AK35" s="46"/>
      <c r="AL35" s="46"/>
      <c r="AM35" s="46"/>
    </row>
    <row r="36" spans="1:39" s="109" customFormat="1" hidden="1">
      <c r="A36" s="102" t="s">
        <v>2143</v>
      </c>
      <c r="B36" s="101" t="s">
        <v>2144</v>
      </c>
      <c r="C36" s="81" t="s">
        <v>372</v>
      </c>
      <c r="D36" s="81">
        <v>3</v>
      </c>
      <c r="E36" s="81" t="s">
        <v>324</v>
      </c>
      <c r="F36" s="81">
        <v>3</v>
      </c>
      <c r="G36" s="76" t="s">
        <v>35</v>
      </c>
      <c r="H36" s="83"/>
      <c r="I36" s="103"/>
      <c r="J36" s="76" t="s">
        <v>125</v>
      </c>
      <c r="K36" s="104"/>
      <c r="L36" s="104"/>
      <c r="M36" s="105">
        <f>IF(Tabelle132456891011[[#This Row],[Pulled after Start]]="",MIN(Tabelle132456891011[[#This Row],[Jira Story Points]],Tabelle132456891011[[#This Row],[Carry-over]]),0)</f>
        <v>3</v>
      </c>
      <c r="N36" s="106">
        <f>MIN(Tabelle132456891011[[#This Row],[Jira Story Points]],Tabelle132456891011[[#This Row],[Carry-over]])-Tabelle132456891011[[#This Row],[SP Initially Planned (COS)]]</f>
        <v>0</v>
      </c>
      <c r="O36"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36" s="108">
        <f>IFERROR(IF(Tabelle132456891011[[#This Row],[Status]]=$J$5,MIN(Tabelle132456891011[[#This Row],[Jira Story Points]],Tabelle132456891011[[#This Row],[Carry-over]]),0),0)</f>
        <v>0</v>
      </c>
      <c r="Q36" s="108">
        <f>IFERROR(IF(Tabelle132456891011[[#This Row],[Status]]=$J$5,0,MIN(Tabelle132456891011[[#This Row],[Jira Story Points]],Tabelle132456891011[[#This Row],[Carry-over]])-Tabelle132456891011[[#This Row],[SP Completed (COS &amp; SOS)]]),0)</f>
        <v>0</v>
      </c>
      <c r="AA36" s="112"/>
      <c r="AB36" s="112"/>
      <c r="AC36" s="112"/>
      <c r="AD36" s="112"/>
      <c r="AE36" s="112"/>
      <c r="AF36" s="112"/>
      <c r="AG36" s="112"/>
      <c r="AH36" s="112"/>
      <c r="AI36" s="112"/>
      <c r="AJ36" s="112"/>
      <c r="AK36" s="112"/>
      <c r="AL36" s="112"/>
      <c r="AM36" s="112"/>
    </row>
    <row r="37" spans="1:39" s="109" customFormat="1" hidden="1">
      <c r="A37" s="102" t="s">
        <v>2145</v>
      </c>
      <c r="B37" s="101" t="s">
        <v>2146</v>
      </c>
      <c r="C37" s="81" t="s">
        <v>375</v>
      </c>
      <c r="D37" s="81">
        <v>3</v>
      </c>
      <c r="E37" s="81" t="s">
        <v>324</v>
      </c>
      <c r="F37" s="81">
        <v>3</v>
      </c>
      <c r="G37" s="76" t="s">
        <v>35</v>
      </c>
      <c r="H37" s="83"/>
      <c r="I37" s="103"/>
      <c r="J37" s="76" t="s">
        <v>125</v>
      </c>
      <c r="K37" s="104"/>
      <c r="L37" s="104"/>
      <c r="M37" s="105">
        <f>IF(Tabelle132456891011[[#This Row],[Pulled after Start]]="",MIN(Tabelle132456891011[[#This Row],[Jira Story Points]],Tabelle132456891011[[#This Row],[Carry-over]]),0)</f>
        <v>3</v>
      </c>
      <c r="N37" s="106">
        <f>MIN(Tabelle132456891011[[#This Row],[Jira Story Points]],Tabelle132456891011[[#This Row],[Carry-over]])-Tabelle132456891011[[#This Row],[SP Initially Planned (COS)]]</f>
        <v>0</v>
      </c>
      <c r="O37"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37" s="108">
        <f>IFERROR(IF(Tabelle132456891011[[#This Row],[Status]]=$J$5,MIN(Tabelle132456891011[[#This Row],[Jira Story Points]],Tabelle132456891011[[#This Row],[Carry-over]]),0),0)</f>
        <v>0</v>
      </c>
      <c r="Q37" s="108">
        <f>IFERROR(IF(Tabelle132456891011[[#This Row],[Status]]=$J$5,0,MIN(Tabelle132456891011[[#This Row],[Jira Story Points]],Tabelle132456891011[[#This Row],[Carry-over]])-Tabelle132456891011[[#This Row],[SP Completed (COS &amp; SOS)]]),0)</f>
        <v>0</v>
      </c>
      <c r="AA37" s="112"/>
      <c r="AB37" s="112"/>
      <c r="AC37" s="112"/>
      <c r="AD37" s="112"/>
      <c r="AE37" s="112"/>
      <c r="AF37" s="112"/>
      <c r="AG37" s="112"/>
      <c r="AH37" s="112"/>
      <c r="AI37" s="112"/>
      <c r="AJ37" s="112"/>
      <c r="AK37" s="112"/>
      <c r="AL37" s="112"/>
      <c r="AM37" s="112"/>
    </row>
    <row r="38" spans="1:39" s="109" customFormat="1" hidden="1">
      <c r="A38" s="102" t="s">
        <v>2147</v>
      </c>
      <c r="B38" s="101" t="s">
        <v>2148</v>
      </c>
      <c r="C38" s="81" t="s">
        <v>375</v>
      </c>
      <c r="D38" s="81">
        <v>2</v>
      </c>
      <c r="E38" s="81" t="s">
        <v>324</v>
      </c>
      <c r="F38" s="81">
        <v>3</v>
      </c>
      <c r="G38" s="76" t="s">
        <v>35</v>
      </c>
      <c r="H38" s="83" t="s">
        <v>209</v>
      </c>
      <c r="I38" s="103"/>
      <c r="J38" s="76" t="s">
        <v>125</v>
      </c>
      <c r="K38" s="104"/>
      <c r="L38" s="104"/>
      <c r="M38" s="105">
        <f>IF(Tabelle132456891011[[#This Row],[Pulled after Start]]="",MIN(Tabelle132456891011[[#This Row],[Jira Story Points]],Tabelle132456891011[[#This Row],[Carry-over]]),0)</f>
        <v>0</v>
      </c>
      <c r="N38" s="106">
        <f>MIN(Tabelle132456891011[[#This Row],[Jira Story Points]],Tabelle132456891011[[#This Row],[Carry-over]])-Tabelle132456891011[[#This Row],[SP Initially Planned (COS)]]</f>
        <v>3</v>
      </c>
      <c r="O38"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38" s="108">
        <f>IFERROR(IF(Tabelle132456891011[[#This Row],[Status]]=$J$5,MIN(Tabelle132456891011[[#This Row],[Jira Story Points]],Tabelle132456891011[[#This Row],[Carry-over]]),0),0)</f>
        <v>0</v>
      </c>
      <c r="Q38" s="108">
        <f>IFERROR(IF(Tabelle132456891011[[#This Row],[Status]]=$J$5,0,MIN(Tabelle132456891011[[#This Row],[Jira Story Points]],Tabelle132456891011[[#This Row],[Carry-over]])-Tabelle132456891011[[#This Row],[SP Completed (COS &amp; SOS)]]),0)</f>
        <v>0</v>
      </c>
      <c r="AA38" s="112"/>
      <c r="AB38" s="112"/>
      <c r="AC38" s="112"/>
      <c r="AD38" s="112"/>
      <c r="AE38" s="112"/>
      <c r="AF38" s="112"/>
      <c r="AG38" s="112"/>
      <c r="AH38" s="112"/>
      <c r="AI38" s="112"/>
      <c r="AJ38" s="112"/>
      <c r="AK38" s="112"/>
      <c r="AL38" s="112"/>
      <c r="AM38" s="112"/>
    </row>
    <row r="39" spans="1:39" s="109" customFormat="1" hidden="1">
      <c r="A39" s="102" t="s">
        <v>1837</v>
      </c>
      <c r="B39" s="101" t="s">
        <v>1838</v>
      </c>
      <c r="C39" s="81" t="s">
        <v>375</v>
      </c>
      <c r="D39" s="81">
        <v>2</v>
      </c>
      <c r="E39" s="81" t="s">
        <v>327</v>
      </c>
      <c r="F39" s="81">
        <v>8</v>
      </c>
      <c r="G39" s="76" t="s">
        <v>35</v>
      </c>
      <c r="H39" s="83"/>
      <c r="I39" s="103"/>
      <c r="J39" s="76" t="s">
        <v>127</v>
      </c>
      <c r="K39" s="104"/>
      <c r="L39" s="104"/>
      <c r="M39" s="105">
        <f>IF(Tabelle132456891011[[#This Row],[Pulled after Start]]="",MIN(Tabelle132456891011[[#This Row],[Jira Story Points]],Tabelle132456891011[[#This Row],[Carry-over]]),0)</f>
        <v>8</v>
      </c>
      <c r="N39" s="106">
        <f>MIN(Tabelle132456891011[[#This Row],[Jira Story Points]],Tabelle132456891011[[#This Row],[Carry-over]])-Tabelle132456891011[[#This Row],[SP Initially Planned (COS)]]</f>
        <v>0</v>
      </c>
      <c r="O39"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39" s="108">
        <f>IFERROR(IF(Tabelle132456891011[[#This Row],[Status]]=$J$5,MIN(Tabelle132456891011[[#This Row],[Jira Story Points]],Tabelle132456891011[[#This Row],[Carry-over]]),0),0)</f>
        <v>0</v>
      </c>
      <c r="Q39" s="108">
        <f>IFERROR(IF(Tabelle132456891011[[#This Row],[Status]]=$J$5,0,MIN(Tabelle132456891011[[#This Row],[Jira Story Points]],Tabelle132456891011[[#This Row],[Carry-over]])-Tabelle132456891011[[#This Row],[SP Completed (COS &amp; SOS)]]),0)</f>
        <v>8</v>
      </c>
      <c r="AA39" s="112"/>
      <c r="AB39" s="112"/>
      <c r="AC39" s="112"/>
      <c r="AD39" s="112"/>
      <c r="AE39" s="112"/>
      <c r="AF39" s="112"/>
      <c r="AG39" s="112"/>
      <c r="AH39" s="112"/>
      <c r="AI39" s="112"/>
      <c r="AJ39" s="112"/>
      <c r="AK39" s="112"/>
      <c r="AL39" s="112"/>
      <c r="AM39" s="112"/>
    </row>
    <row r="40" spans="1:39" s="109" customFormat="1" hidden="1">
      <c r="A40" s="102" t="s">
        <v>1839</v>
      </c>
      <c r="B40" s="101" t="s">
        <v>1840</v>
      </c>
      <c r="C40" s="81" t="s">
        <v>372</v>
      </c>
      <c r="D40" s="81">
        <v>3</v>
      </c>
      <c r="E40" s="81" t="s">
        <v>637</v>
      </c>
      <c r="F40" s="81">
        <v>2</v>
      </c>
      <c r="G40" s="76" t="s">
        <v>35</v>
      </c>
      <c r="H40" s="83"/>
      <c r="I40" s="103"/>
      <c r="J40" s="76" t="s">
        <v>127</v>
      </c>
      <c r="K40" s="104"/>
      <c r="L40" s="104"/>
      <c r="M40" s="105">
        <f>IF(Tabelle132456891011[[#This Row],[Pulled after Start]]="",MIN(Tabelle132456891011[[#This Row],[Jira Story Points]],Tabelle132456891011[[#This Row],[Carry-over]]),0)</f>
        <v>2</v>
      </c>
      <c r="N40" s="106">
        <f>MIN(Tabelle132456891011[[#This Row],[Jira Story Points]],Tabelle132456891011[[#This Row],[Carry-over]])-Tabelle132456891011[[#This Row],[SP Initially Planned (COS)]]</f>
        <v>0</v>
      </c>
      <c r="O40"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40" s="108">
        <f>IFERROR(IF(Tabelle132456891011[[#This Row],[Status]]=$J$5,MIN(Tabelle132456891011[[#This Row],[Jira Story Points]],Tabelle132456891011[[#This Row],[Carry-over]]),0),0)</f>
        <v>0</v>
      </c>
      <c r="Q40" s="108">
        <f>IFERROR(IF(Tabelle132456891011[[#This Row],[Status]]=$J$5,0,MIN(Tabelle132456891011[[#This Row],[Jira Story Points]],Tabelle132456891011[[#This Row],[Carry-over]])-Tabelle132456891011[[#This Row],[SP Completed (COS &amp; SOS)]]),0)</f>
        <v>2</v>
      </c>
      <c r="AA40" s="112"/>
      <c r="AB40" s="112"/>
      <c r="AC40" s="112"/>
      <c r="AD40" s="112"/>
      <c r="AE40" s="112"/>
      <c r="AF40" s="112"/>
      <c r="AG40" s="112"/>
      <c r="AH40" s="112"/>
      <c r="AI40" s="112"/>
      <c r="AJ40" s="112"/>
      <c r="AK40" s="112"/>
      <c r="AL40" s="112"/>
      <c r="AM40" s="112"/>
    </row>
    <row r="41" spans="1:39" s="113" customFormat="1" hidden="1">
      <c r="A41" s="102" t="s">
        <v>2077</v>
      </c>
      <c r="B41" s="101" t="s">
        <v>2078</v>
      </c>
      <c r="C41" s="81" t="s">
        <v>372</v>
      </c>
      <c r="D41" s="81">
        <v>3</v>
      </c>
      <c r="E41" s="81" t="s">
        <v>327</v>
      </c>
      <c r="F41" s="81">
        <v>8</v>
      </c>
      <c r="G41" s="76" t="s">
        <v>35</v>
      </c>
      <c r="H41" s="83"/>
      <c r="I41" s="103"/>
      <c r="J41" s="76" t="s">
        <v>127</v>
      </c>
      <c r="K41" s="104"/>
      <c r="L41" s="104"/>
      <c r="M41" s="105">
        <f>IF(Tabelle132456891011[[#This Row],[Pulled after Start]]="",MIN(Tabelle132456891011[[#This Row],[Jira Story Points]],Tabelle132456891011[[#This Row],[Carry-over]]),0)</f>
        <v>8</v>
      </c>
      <c r="N41" s="106">
        <f>MIN(Tabelle132456891011[[#This Row],[Jira Story Points]],Tabelle132456891011[[#This Row],[Carry-over]])-Tabelle132456891011[[#This Row],[SP Initially Planned (COS)]]</f>
        <v>0</v>
      </c>
      <c r="O41"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41" s="108">
        <f>IFERROR(IF(Tabelle132456891011[[#This Row],[Status]]=$J$5,MIN(Tabelle132456891011[[#This Row],[Jira Story Points]],Tabelle132456891011[[#This Row],[Carry-over]]),0),0)</f>
        <v>0</v>
      </c>
      <c r="Q41" s="108">
        <f>IFERROR(IF(Tabelle132456891011[[#This Row],[Status]]=$J$5,0,MIN(Tabelle132456891011[[#This Row],[Jira Story Points]],Tabelle132456891011[[#This Row],[Carry-over]])-Tabelle132456891011[[#This Row],[SP Completed (COS &amp; SOS)]]),0)</f>
        <v>8</v>
      </c>
      <c r="AA41" s="46"/>
      <c r="AB41" s="46"/>
      <c r="AC41" s="46"/>
      <c r="AD41" s="46"/>
      <c r="AE41" s="46"/>
      <c r="AF41" s="46"/>
      <c r="AG41" s="46"/>
      <c r="AH41" s="46"/>
      <c r="AI41" s="46"/>
      <c r="AK41" s="112"/>
      <c r="AL41" s="112"/>
      <c r="AM41" s="112"/>
    </row>
    <row r="42" spans="1:39" s="113" customFormat="1" hidden="1">
      <c r="A42" s="102" t="s">
        <v>2081</v>
      </c>
      <c r="B42" s="101" t="s">
        <v>2082</v>
      </c>
      <c r="C42" s="81" t="s">
        <v>372</v>
      </c>
      <c r="D42" s="81">
        <v>3</v>
      </c>
      <c r="E42" s="81" t="s">
        <v>327</v>
      </c>
      <c r="F42" s="81">
        <v>8</v>
      </c>
      <c r="G42" s="76" t="s">
        <v>35</v>
      </c>
      <c r="H42" s="83"/>
      <c r="I42" s="103"/>
      <c r="J42" s="76" t="s">
        <v>127</v>
      </c>
      <c r="K42" s="104"/>
      <c r="L42" s="104"/>
      <c r="M42" s="105">
        <f>IF(Tabelle132456891011[[#This Row],[Pulled after Start]]="",MIN(Tabelle132456891011[[#This Row],[Jira Story Points]],Tabelle132456891011[[#This Row],[Carry-over]]),0)</f>
        <v>8</v>
      </c>
      <c r="N42" s="106">
        <f>MIN(Tabelle132456891011[[#This Row],[Jira Story Points]],Tabelle132456891011[[#This Row],[Carry-over]])-Tabelle132456891011[[#This Row],[SP Initially Planned (COS)]]</f>
        <v>0</v>
      </c>
      <c r="O42"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42" s="108">
        <f>IFERROR(IF(Tabelle132456891011[[#This Row],[Status]]=$J$5,MIN(Tabelle132456891011[[#This Row],[Jira Story Points]],Tabelle132456891011[[#This Row],[Carry-over]]),0),0)</f>
        <v>0</v>
      </c>
      <c r="Q42" s="108">
        <f>IFERROR(IF(Tabelle132456891011[[#This Row],[Status]]=$J$5,0,MIN(Tabelle132456891011[[#This Row],[Jira Story Points]],Tabelle132456891011[[#This Row],[Carry-over]])-Tabelle132456891011[[#This Row],[SP Completed (COS &amp; SOS)]]),0)</f>
        <v>8</v>
      </c>
      <c r="AA42" s="46"/>
      <c r="AB42" s="46"/>
      <c r="AC42" s="46"/>
      <c r="AD42" s="46"/>
      <c r="AE42" s="46"/>
      <c r="AF42" s="46"/>
      <c r="AG42" s="46"/>
      <c r="AH42" s="46"/>
      <c r="AI42" s="46"/>
      <c r="AK42" s="112"/>
      <c r="AL42" s="112"/>
      <c r="AM42" s="112"/>
    </row>
    <row r="43" spans="1:39" s="113" customFormat="1" hidden="1">
      <c r="A43" s="102" t="s">
        <v>2083</v>
      </c>
      <c r="B43" s="101" t="s">
        <v>2084</v>
      </c>
      <c r="C43" s="81" t="s">
        <v>372</v>
      </c>
      <c r="D43" s="81">
        <v>3</v>
      </c>
      <c r="E43" s="81" t="s">
        <v>351</v>
      </c>
      <c r="F43" s="81">
        <v>3</v>
      </c>
      <c r="G43" s="76" t="s">
        <v>35</v>
      </c>
      <c r="H43" s="83"/>
      <c r="I43" s="103"/>
      <c r="J43" s="76" t="s">
        <v>127</v>
      </c>
      <c r="K43" s="104"/>
      <c r="L43" s="104"/>
      <c r="M43" s="105">
        <f>IF(Tabelle132456891011[[#This Row],[Pulled after Start]]="",MIN(Tabelle132456891011[[#This Row],[Jira Story Points]],Tabelle132456891011[[#This Row],[Carry-over]]),0)</f>
        <v>3</v>
      </c>
      <c r="N43" s="106">
        <f>MIN(Tabelle132456891011[[#This Row],[Jira Story Points]],Tabelle132456891011[[#This Row],[Carry-over]])-Tabelle132456891011[[#This Row],[SP Initially Planned (COS)]]</f>
        <v>0</v>
      </c>
      <c r="O43"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43" s="108">
        <f>IFERROR(IF(Tabelle132456891011[[#This Row],[Status]]=$J$5,MIN(Tabelle132456891011[[#This Row],[Jira Story Points]],Tabelle132456891011[[#This Row],[Carry-over]]),0),0)</f>
        <v>0</v>
      </c>
      <c r="Q43" s="108">
        <f>IFERROR(IF(Tabelle132456891011[[#This Row],[Status]]=$J$5,0,MIN(Tabelle132456891011[[#This Row],[Jira Story Points]],Tabelle132456891011[[#This Row],[Carry-over]])-Tabelle132456891011[[#This Row],[SP Completed (COS &amp; SOS)]]),0)</f>
        <v>3</v>
      </c>
      <c r="AA43" s="46"/>
      <c r="AB43" s="46"/>
      <c r="AC43" s="46"/>
      <c r="AD43" s="46"/>
      <c r="AE43" s="46"/>
      <c r="AF43" s="46"/>
      <c r="AG43" s="46"/>
      <c r="AH43" s="46"/>
      <c r="AI43" s="46"/>
      <c r="AK43" s="112"/>
      <c r="AL43" s="112"/>
      <c r="AM43" s="112"/>
    </row>
    <row r="44" spans="1:39" s="46" customFormat="1" hidden="1">
      <c r="A44" s="102" t="s">
        <v>2149</v>
      </c>
      <c r="B44" s="101" t="s">
        <v>2150</v>
      </c>
      <c r="C44" s="81" t="s">
        <v>375</v>
      </c>
      <c r="D44" s="81">
        <v>3</v>
      </c>
      <c r="E44" s="81" t="s">
        <v>637</v>
      </c>
      <c r="F44" s="81">
        <v>3</v>
      </c>
      <c r="G44" s="76" t="s">
        <v>35</v>
      </c>
      <c r="H44" s="83"/>
      <c r="I44" s="103"/>
      <c r="J44" s="76" t="s">
        <v>127</v>
      </c>
      <c r="K44" s="104"/>
      <c r="L44" s="104"/>
      <c r="M44" s="105">
        <f>IF(Tabelle132456891011[[#This Row],[Pulled after Start]]="",MIN(Tabelle132456891011[[#This Row],[Jira Story Points]],Tabelle132456891011[[#This Row],[Carry-over]]),0)</f>
        <v>3</v>
      </c>
      <c r="N44" s="106">
        <f>MIN(Tabelle132456891011[[#This Row],[Jira Story Points]],Tabelle132456891011[[#This Row],[Carry-over]])-Tabelle132456891011[[#This Row],[SP Initially Planned (COS)]]</f>
        <v>0</v>
      </c>
      <c r="O44"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44" s="108">
        <f>IFERROR(IF(Tabelle132456891011[[#This Row],[Status]]=$J$5,MIN(Tabelle132456891011[[#This Row],[Jira Story Points]],Tabelle132456891011[[#This Row],[Carry-over]]),0),0)</f>
        <v>0</v>
      </c>
      <c r="Q44" s="108">
        <f>IFERROR(IF(Tabelle132456891011[[#This Row],[Status]]=$J$5,0,MIN(Tabelle132456891011[[#This Row],[Jira Story Points]],Tabelle132456891011[[#This Row],[Carry-over]])-Tabelle132456891011[[#This Row],[SP Completed (COS &amp; SOS)]]),0)</f>
        <v>3</v>
      </c>
      <c r="AL44" s="112"/>
      <c r="AM44" s="112"/>
    </row>
    <row r="45" spans="1:39" s="46" customFormat="1" hidden="1">
      <c r="A45" s="102" t="s">
        <v>2069</v>
      </c>
      <c r="B45" s="101" t="s">
        <v>2070</v>
      </c>
      <c r="C45" s="81" t="s">
        <v>372</v>
      </c>
      <c r="D45" s="81">
        <v>3</v>
      </c>
      <c r="E45" s="81" t="s">
        <v>327</v>
      </c>
      <c r="F45" s="81">
        <v>2</v>
      </c>
      <c r="G45" s="76" t="s">
        <v>35</v>
      </c>
      <c r="H45" s="83"/>
      <c r="I45" s="103"/>
      <c r="J45" s="76" t="s">
        <v>127</v>
      </c>
      <c r="K45" s="104"/>
      <c r="L45" s="104"/>
      <c r="M45" s="105">
        <f>IF(Tabelle132456891011[[#This Row],[Pulled after Start]]="",MIN(Tabelle132456891011[[#This Row],[Jira Story Points]],Tabelle132456891011[[#This Row],[Carry-over]]),0)</f>
        <v>2</v>
      </c>
      <c r="N45" s="106">
        <f>MIN(Tabelle132456891011[[#This Row],[Jira Story Points]],Tabelle132456891011[[#This Row],[Carry-over]])-Tabelle132456891011[[#This Row],[SP Initially Planned (COS)]]</f>
        <v>0</v>
      </c>
      <c r="O45"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45" s="108">
        <f>IFERROR(IF(Tabelle132456891011[[#This Row],[Status]]=$J$5,MIN(Tabelle132456891011[[#This Row],[Jira Story Points]],Tabelle132456891011[[#This Row],[Carry-over]]),0),0)</f>
        <v>0</v>
      </c>
      <c r="Q45" s="108">
        <f>IFERROR(IF(Tabelle132456891011[[#This Row],[Status]]=$J$5,0,MIN(Tabelle132456891011[[#This Row],[Jira Story Points]],Tabelle132456891011[[#This Row],[Carry-over]])-Tabelle132456891011[[#This Row],[SP Completed (COS &amp; SOS)]]),0)</f>
        <v>2</v>
      </c>
      <c r="AL45" s="112"/>
      <c r="AM45" s="112"/>
    </row>
    <row r="46" spans="1:39" s="46" customFormat="1" hidden="1">
      <c r="A46" s="102" t="s">
        <v>2151</v>
      </c>
      <c r="B46" s="101" t="s">
        <v>2152</v>
      </c>
      <c r="C46" s="81" t="s">
        <v>382</v>
      </c>
      <c r="D46" s="81">
        <v>3</v>
      </c>
      <c r="E46" s="81" t="s">
        <v>324</v>
      </c>
      <c r="F46" s="81">
        <v>5</v>
      </c>
      <c r="G46" s="76" t="s">
        <v>35</v>
      </c>
      <c r="H46" s="83"/>
      <c r="I46" s="103"/>
      <c r="J46" s="76" t="s">
        <v>125</v>
      </c>
      <c r="K46" s="104"/>
      <c r="L46" s="104"/>
      <c r="M46" s="105">
        <f>IF(Tabelle132456891011[[#This Row],[Pulled after Start]]="",MIN(Tabelle132456891011[[#This Row],[Jira Story Points]],Tabelle132456891011[[#This Row],[Carry-over]]),0)</f>
        <v>5</v>
      </c>
      <c r="N46" s="106">
        <f>MIN(Tabelle132456891011[[#This Row],[Jira Story Points]],Tabelle132456891011[[#This Row],[Carry-over]])-Tabelle132456891011[[#This Row],[SP Initially Planned (COS)]]</f>
        <v>0</v>
      </c>
      <c r="O46"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5</v>
      </c>
      <c r="P46" s="108">
        <f>IFERROR(IF(Tabelle132456891011[[#This Row],[Status]]=$J$5,MIN(Tabelle132456891011[[#This Row],[Jira Story Points]],Tabelle132456891011[[#This Row],[Carry-over]]),0),0)</f>
        <v>0</v>
      </c>
      <c r="Q46" s="108">
        <f>IFERROR(IF(Tabelle132456891011[[#This Row],[Status]]=$J$5,0,MIN(Tabelle132456891011[[#This Row],[Jira Story Points]],Tabelle132456891011[[#This Row],[Carry-over]])-Tabelle132456891011[[#This Row],[SP Completed (COS &amp; SOS)]]),0)</f>
        <v>0</v>
      </c>
      <c r="AL46" s="112"/>
      <c r="AM46" s="112"/>
    </row>
    <row r="47" spans="1:39" s="46" customFormat="1" hidden="1">
      <c r="A47" s="102" t="s">
        <v>2153</v>
      </c>
      <c r="B47" s="101" t="s">
        <v>2154</v>
      </c>
      <c r="C47" s="81" t="s">
        <v>372</v>
      </c>
      <c r="D47" s="81">
        <v>3</v>
      </c>
      <c r="E47" s="81" t="s">
        <v>324</v>
      </c>
      <c r="F47" s="81">
        <v>2</v>
      </c>
      <c r="G47" s="76" t="s">
        <v>35</v>
      </c>
      <c r="H47" s="83"/>
      <c r="I47" s="103"/>
      <c r="J47" s="76" t="s">
        <v>125</v>
      </c>
      <c r="K47" s="104"/>
      <c r="L47" s="104"/>
      <c r="M47" s="105">
        <f>IF(Tabelle132456891011[[#This Row],[Pulled after Start]]="",MIN(Tabelle132456891011[[#This Row],[Jira Story Points]],Tabelle132456891011[[#This Row],[Carry-over]]),0)</f>
        <v>2</v>
      </c>
      <c r="N47" s="106">
        <f>MIN(Tabelle132456891011[[#This Row],[Jira Story Points]],Tabelle132456891011[[#This Row],[Carry-over]])-Tabelle132456891011[[#This Row],[SP Initially Planned (COS)]]</f>
        <v>0</v>
      </c>
      <c r="O47"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2</v>
      </c>
      <c r="P47" s="108">
        <f>IFERROR(IF(Tabelle132456891011[[#This Row],[Status]]=$J$5,MIN(Tabelle132456891011[[#This Row],[Jira Story Points]],Tabelle132456891011[[#This Row],[Carry-over]]),0),0)</f>
        <v>0</v>
      </c>
      <c r="Q47" s="108">
        <f>IFERROR(IF(Tabelle132456891011[[#This Row],[Status]]=$J$5,0,MIN(Tabelle132456891011[[#This Row],[Jira Story Points]],Tabelle132456891011[[#This Row],[Carry-over]])-Tabelle132456891011[[#This Row],[SP Completed (COS &amp; SOS)]]),0)</f>
        <v>0</v>
      </c>
      <c r="AL47" s="112"/>
      <c r="AM47" s="112"/>
    </row>
    <row r="48" spans="1:39" s="46" customFormat="1" hidden="1">
      <c r="A48" s="88" t="s">
        <v>2155</v>
      </c>
      <c r="B48" s="101" t="s">
        <v>2156</v>
      </c>
      <c r="C48" s="81" t="s">
        <v>372</v>
      </c>
      <c r="D48" s="81">
        <v>3</v>
      </c>
      <c r="E48" s="81" t="s">
        <v>324</v>
      </c>
      <c r="F48" s="81">
        <v>5</v>
      </c>
      <c r="G48" s="114" t="s">
        <v>9</v>
      </c>
      <c r="H48" s="83"/>
      <c r="I48" s="103"/>
      <c r="J48" s="76" t="s">
        <v>125</v>
      </c>
      <c r="K48" s="104"/>
      <c r="L48" s="104"/>
      <c r="M48" s="105">
        <f>IF(Tabelle132456891011[[#This Row],[Pulled after Start]]="",MIN(Tabelle132456891011[[#This Row],[Jira Story Points]],Tabelle132456891011[[#This Row],[Carry-over]]),0)</f>
        <v>5</v>
      </c>
      <c r="N48" s="106">
        <f>MIN(Tabelle132456891011[[#This Row],[Jira Story Points]],Tabelle132456891011[[#This Row],[Carry-over]])-Tabelle132456891011[[#This Row],[SP Initially Planned (COS)]]</f>
        <v>0</v>
      </c>
      <c r="O48"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5</v>
      </c>
      <c r="P48" s="108">
        <f>IFERROR(IF(Tabelle132456891011[[#This Row],[Status]]=$J$5,MIN(Tabelle132456891011[[#This Row],[Jira Story Points]],Tabelle132456891011[[#This Row],[Carry-over]]),0),0)</f>
        <v>0</v>
      </c>
      <c r="Q48" s="108">
        <f>IFERROR(IF(Tabelle132456891011[[#This Row],[Status]]=$J$5,0,MIN(Tabelle132456891011[[#This Row],[Jira Story Points]],Tabelle132456891011[[#This Row],[Carry-over]])-Tabelle132456891011[[#This Row],[SP Completed (COS &amp; SOS)]]),0)</f>
        <v>0</v>
      </c>
      <c r="AL48" s="112"/>
      <c r="AM48" s="112"/>
    </row>
    <row r="49" spans="1:39" s="46" customFormat="1" hidden="1">
      <c r="A49" s="88" t="s">
        <v>2157</v>
      </c>
      <c r="B49" s="101" t="s">
        <v>2158</v>
      </c>
      <c r="C49" s="81" t="s">
        <v>372</v>
      </c>
      <c r="D49" s="81">
        <v>3</v>
      </c>
      <c r="E49" s="81" t="s">
        <v>324</v>
      </c>
      <c r="F49" s="81">
        <v>5</v>
      </c>
      <c r="G49" s="114" t="s">
        <v>9</v>
      </c>
      <c r="H49" s="83"/>
      <c r="I49" s="103"/>
      <c r="J49" s="76" t="s">
        <v>125</v>
      </c>
      <c r="K49" s="104"/>
      <c r="L49" s="104"/>
      <c r="M49" s="105">
        <f>IF(Tabelle132456891011[[#This Row],[Pulled after Start]]="",MIN(Tabelle132456891011[[#This Row],[Jira Story Points]],Tabelle132456891011[[#This Row],[Carry-over]]),0)</f>
        <v>5</v>
      </c>
      <c r="N49" s="106">
        <f>MIN(Tabelle132456891011[[#This Row],[Jira Story Points]],Tabelle132456891011[[#This Row],[Carry-over]])-Tabelle132456891011[[#This Row],[SP Initially Planned (COS)]]</f>
        <v>0</v>
      </c>
      <c r="O49"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5</v>
      </c>
      <c r="P49" s="108">
        <f>IFERROR(IF(Tabelle132456891011[[#This Row],[Status]]=$J$5,MIN(Tabelle132456891011[[#This Row],[Jira Story Points]],Tabelle132456891011[[#This Row],[Carry-over]]),0),0)</f>
        <v>0</v>
      </c>
      <c r="Q49" s="108">
        <f>IFERROR(IF(Tabelle132456891011[[#This Row],[Status]]=$J$5,0,MIN(Tabelle132456891011[[#This Row],[Jira Story Points]],Tabelle132456891011[[#This Row],[Carry-over]])-Tabelle132456891011[[#This Row],[SP Completed (COS &amp; SOS)]]),0)</f>
        <v>0</v>
      </c>
      <c r="AL49" s="112"/>
      <c r="AM49" s="112"/>
    </row>
    <row r="50" spans="1:39" s="46" customFormat="1" hidden="1">
      <c r="A50" s="88" t="s">
        <v>2159</v>
      </c>
      <c r="B50" s="101" t="s">
        <v>2160</v>
      </c>
      <c r="C50" s="81" t="s">
        <v>372</v>
      </c>
      <c r="D50" s="81">
        <v>3</v>
      </c>
      <c r="E50" s="81" t="s">
        <v>324</v>
      </c>
      <c r="F50" s="81">
        <v>3</v>
      </c>
      <c r="G50" s="114" t="s">
        <v>9</v>
      </c>
      <c r="H50" s="83"/>
      <c r="I50" s="103"/>
      <c r="J50" s="76" t="s">
        <v>125</v>
      </c>
      <c r="K50" s="104"/>
      <c r="L50" s="104"/>
      <c r="M50" s="105">
        <f>IF(Tabelle132456891011[[#This Row],[Pulled after Start]]="",MIN(Tabelle132456891011[[#This Row],[Jira Story Points]],Tabelle132456891011[[#This Row],[Carry-over]]),0)</f>
        <v>3</v>
      </c>
      <c r="N50" s="106">
        <f>MIN(Tabelle132456891011[[#This Row],[Jira Story Points]],Tabelle132456891011[[#This Row],[Carry-over]])-Tabelle132456891011[[#This Row],[SP Initially Planned (COS)]]</f>
        <v>0</v>
      </c>
      <c r="O50"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50" s="108">
        <f>IFERROR(IF(Tabelle132456891011[[#This Row],[Status]]=$J$5,MIN(Tabelle132456891011[[#This Row],[Jira Story Points]],Tabelle132456891011[[#This Row],[Carry-over]]),0),0)</f>
        <v>0</v>
      </c>
      <c r="Q50" s="108">
        <f>IFERROR(IF(Tabelle132456891011[[#This Row],[Status]]=$J$5,0,MIN(Tabelle132456891011[[#This Row],[Jira Story Points]],Tabelle132456891011[[#This Row],[Carry-over]])-Tabelle132456891011[[#This Row],[SP Completed (COS &amp; SOS)]]),0)</f>
        <v>0</v>
      </c>
      <c r="AL50" s="112"/>
      <c r="AM50" s="112"/>
    </row>
    <row r="51" spans="1:39" s="46" customFormat="1" hidden="1">
      <c r="A51" s="88" t="s">
        <v>2161</v>
      </c>
      <c r="B51" s="101" t="s">
        <v>2162</v>
      </c>
      <c r="C51" s="81" t="s">
        <v>372</v>
      </c>
      <c r="D51" s="81">
        <v>3</v>
      </c>
      <c r="E51" s="81" t="s">
        <v>324</v>
      </c>
      <c r="F51" s="81">
        <v>3</v>
      </c>
      <c r="G51" s="114" t="s">
        <v>9</v>
      </c>
      <c r="H51" s="83"/>
      <c r="I51" s="103"/>
      <c r="J51" s="76" t="s">
        <v>125</v>
      </c>
      <c r="K51" s="104"/>
      <c r="L51" s="104"/>
      <c r="M51" s="105">
        <f>IF(Tabelle132456891011[[#This Row],[Pulled after Start]]="",MIN(Tabelle132456891011[[#This Row],[Jira Story Points]],Tabelle132456891011[[#This Row],[Carry-over]]),0)</f>
        <v>3</v>
      </c>
      <c r="N51" s="106">
        <f>MIN(Tabelle132456891011[[#This Row],[Jira Story Points]],Tabelle132456891011[[#This Row],[Carry-over]])-Tabelle132456891011[[#This Row],[SP Initially Planned (COS)]]</f>
        <v>0</v>
      </c>
      <c r="O51"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51" s="108">
        <f>IFERROR(IF(Tabelle132456891011[[#This Row],[Status]]=$J$5,MIN(Tabelle132456891011[[#This Row],[Jira Story Points]],Tabelle132456891011[[#This Row],[Carry-over]]),0),0)</f>
        <v>0</v>
      </c>
      <c r="Q51" s="108">
        <f>IFERROR(IF(Tabelle132456891011[[#This Row],[Status]]=$J$5,0,MIN(Tabelle132456891011[[#This Row],[Jira Story Points]],Tabelle132456891011[[#This Row],[Carry-over]])-Tabelle132456891011[[#This Row],[SP Completed (COS &amp; SOS)]]),0)</f>
        <v>0</v>
      </c>
      <c r="AL51" s="112"/>
      <c r="AM51" s="112"/>
    </row>
    <row r="52" spans="1:39" s="46" customFormat="1" hidden="1">
      <c r="A52" s="88" t="s">
        <v>2163</v>
      </c>
      <c r="B52" s="101" t="s">
        <v>2164</v>
      </c>
      <c r="C52" s="81" t="s">
        <v>372</v>
      </c>
      <c r="D52" s="81">
        <v>3</v>
      </c>
      <c r="E52" s="81" t="s">
        <v>324</v>
      </c>
      <c r="F52" s="81">
        <v>3</v>
      </c>
      <c r="G52" s="114" t="s">
        <v>9</v>
      </c>
      <c r="H52" s="83"/>
      <c r="I52" s="103"/>
      <c r="J52" s="76" t="s">
        <v>125</v>
      </c>
      <c r="K52" s="104"/>
      <c r="L52" s="104"/>
      <c r="M52" s="105">
        <f>IF(Tabelle132456891011[[#This Row],[Pulled after Start]]="",MIN(Tabelle132456891011[[#This Row],[Jira Story Points]],Tabelle132456891011[[#This Row],[Carry-over]]),0)</f>
        <v>3</v>
      </c>
      <c r="N52" s="106">
        <f>MIN(Tabelle132456891011[[#This Row],[Jira Story Points]],Tabelle132456891011[[#This Row],[Carry-over]])-Tabelle132456891011[[#This Row],[SP Initially Planned (COS)]]</f>
        <v>0</v>
      </c>
      <c r="O52"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52" s="108">
        <f>IFERROR(IF(Tabelle132456891011[[#This Row],[Status]]=$J$5,MIN(Tabelle132456891011[[#This Row],[Jira Story Points]],Tabelle132456891011[[#This Row],[Carry-over]]),0),0)</f>
        <v>0</v>
      </c>
      <c r="Q52" s="108">
        <f>IFERROR(IF(Tabelle132456891011[[#This Row],[Status]]=$J$5,0,MIN(Tabelle132456891011[[#This Row],[Jira Story Points]],Tabelle132456891011[[#This Row],[Carry-over]])-Tabelle132456891011[[#This Row],[SP Completed (COS &amp; SOS)]]),0)</f>
        <v>0</v>
      </c>
      <c r="AL52" s="112"/>
      <c r="AM52" s="112"/>
    </row>
    <row r="53" spans="1:39" s="46" customFormat="1" hidden="1">
      <c r="A53" s="88" t="s">
        <v>2165</v>
      </c>
      <c r="B53" s="101" t="s">
        <v>2166</v>
      </c>
      <c r="C53" s="81" t="s">
        <v>375</v>
      </c>
      <c r="D53" s="81">
        <v>3</v>
      </c>
      <c r="E53" s="81" t="s">
        <v>324</v>
      </c>
      <c r="F53" s="81">
        <v>2</v>
      </c>
      <c r="G53" s="114" t="s">
        <v>9</v>
      </c>
      <c r="H53" s="83"/>
      <c r="I53" s="103"/>
      <c r="J53" s="76" t="s">
        <v>125</v>
      </c>
      <c r="K53" s="104"/>
      <c r="L53" s="104"/>
      <c r="M53" s="105">
        <f>IF(Tabelle132456891011[[#This Row],[Pulled after Start]]="",MIN(Tabelle132456891011[[#This Row],[Jira Story Points]],Tabelle132456891011[[#This Row],[Carry-over]]),0)</f>
        <v>2</v>
      </c>
      <c r="N53" s="106">
        <f>MIN(Tabelle132456891011[[#This Row],[Jira Story Points]],Tabelle132456891011[[#This Row],[Carry-over]])-Tabelle132456891011[[#This Row],[SP Initially Planned (COS)]]</f>
        <v>0</v>
      </c>
      <c r="O53"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2</v>
      </c>
      <c r="P53" s="108">
        <f>IFERROR(IF(Tabelle132456891011[[#This Row],[Status]]=$J$5,MIN(Tabelle132456891011[[#This Row],[Jira Story Points]],Tabelle132456891011[[#This Row],[Carry-over]]),0),0)</f>
        <v>0</v>
      </c>
      <c r="Q53" s="108">
        <f>IFERROR(IF(Tabelle132456891011[[#This Row],[Status]]=$J$5,0,MIN(Tabelle132456891011[[#This Row],[Jira Story Points]],Tabelle132456891011[[#This Row],[Carry-over]])-Tabelle132456891011[[#This Row],[SP Completed (COS &amp; SOS)]]),0)</f>
        <v>0</v>
      </c>
      <c r="AJ53" s="112"/>
      <c r="AK53" s="112"/>
      <c r="AL53" s="112"/>
      <c r="AM53" s="112"/>
    </row>
    <row r="54" spans="1:39" s="46" customFormat="1" hidden="1">
      <c r="A54" s="88" t="s">
        <v>2167</v>
      </c>
      <c r="B54" s="101" t="s">
        <v>2168</v>
      </c>
      <c r="C54" s="81" t="s">
        <v>375</v>
      </c>
      <c r="D54" s="81">
        <v>3</v>
      </c>
      <c r="E54" s="81" t="s">
        <v>324</v>
      </c>
      <c r="F54" s="81">
        <v>1</v>
      </c>
      <c r="G54" s="114" t="s">
        <v>9</v>
      </c>
      <c r="H54" s="83"/>
      <c r="I54" s="103"/>
      <c r="J54" s="76" t="s">
        <v>125</v>
      </c>
      <c r="K54" s="104"/>
      <c r="L54" s="104"/>
      <c r="M54" s="105">
        <f>IF(Tabelle132456891011[[#This Row],[Pulled after Start]]="",MIN(Tabelle132456891011[[#This Row],[Jira Story Points]],Tabelle132456891011[[#This Row],[Carry-over]]),0)</f>
        <v>1</v>
      </c>
      <c r="N54" s="106">
        <f>MIN(Tabelle132456891011[[#This Row],[Jira Story Points]],Tabelle132456891011[[#This Row],[Carry-over]])-Tabelle132456891011[[#This Row],[SP Initially Planned (COS)]]</f>
        <v>0</v>
      </c>
      <c r="O54"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54" s="108">
        <f>IFERROR(IF(Tabelle132456891011[[#This Row],[Status]]=$J$5,MIN(Tabelle132456891011[[#This Row],[Jira Story Points]],Tabelle132456891011[[#This Row],[Carry-over]]),0),0)</f>
        <v>0</v>
      </c>
      <c r="Q54" s="108">
        <f>IFERROR(IF(Tabelle132456891011[[#This Row],[Status]]=$J$5,0,MIN(Tabelle132456891011[[#This Row],[Jira Story Points]],Tabelle132456891011[[#This Row],[Carry-over]])-Tabelle132456891011[[#This Row],[SP Completed (COS &amp; SOS)]]),0)</f>
        <v>0</v>
      </c>
      <c r="AJ54" s="112"/>
      <c r="AK54" s="112"/>
      <c r="AL54" s="112"/>
      <c r="AM54" s="112"/>
    </row>
    <row r="55" spans="1:39" s="46" customFormat="1" hidden="1">
      <c r="A55" s="88" t="s">
        <v>2169</v>
      </c>
      <c r="B55" s="101" t="s">
        <v>2170</v>
      </c>
      <c r="C55" s="81" t="s">
        <v>372</v>
      </c>
      <c r="D55" s="81">
        <v>3</v>
      </c>
      <c r="E55" s="81" t="s">
        <v>324</v>
      </c>
      <c r="F55" s="81">
        <v>1</v>
      </c>
      <c r="G55" s="114" t="s">
        <v>9</v>
      </c>
      <c r="H55" s="83"/>
      <c r="I55" s="103"/>
      <c r="J55" s="76" t="s">
        <v>125</v>
      </c>
      <c r="K55" s="104"/>
      <c r="L55" s="104"/>
      <c r="M55" s="105">
        <f>IF(Tabelle132456891011[[#This Row],[Pulled after Start]]="",MIN(Tabelle132456891011[[#This Row],[Jira Story Points]],Tabelle132456891011[[#This Row],[Carry-over]]),0)</f>
        <v>1</v>
      </c>
      <c r="N55" s="106">
        <f>MIN(Tabelle132456891011[[#This Row],[Jira Story Points]],Tabelle132456891011[[#This Row],[Carry-over]])-Tabelle132456891011[[#This Row],[SP Initially Planned (COS)]]</f>
        <v>0</v>
      </c>
      <c r="O55"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55" s="108">
        <f>IFERROR(IF(Tabelle132456891011[[#This Row],[Status]]=$J$5,MIN(Tabelle132456891011[[#This Row],[Jira Story Points]],Tabelle132456891011[[#This Row],[Carry-over]]),0),0)</f>
        <v>0</v>
      </c>
      <c r="Q55" s="108">
        <f>IFERROR(IF(Tabelle132456891011[[#This Row],[Status]]=$J$5,0,MIN(Tabelle132456891011[[#This Row],[Jira Story Points]],Tabelle132456891011[[#This Row],[Carry-over]])-Tabelle132456891011[[#This Row],[SP Completed (COS &amp; SOS)]]),0)</f>
        <v>0</v>
      </c>
      <c r="AJ55" s="112"/>
      <c r="AK55" s="112"/>
      <c r="AL55" s="112"/>
      <c r="AM55" s="112"/>
    </row>
    <row r="56" spans="1:39" s="46" customFormat="1" ht="14.45" hidden="1" customHeight="1">
      <c r="A56" s="88" t="s">
        <v>2171</v>
      </c>
      <c r="B56" s="101" t="s">
        <v>2172</v>
      </c>
      <c r="C56" s="81" t="s">
        <v>372</v>
      </c>
      <c r="D56" s="81">
        <v>3</v>
      </c>
      <c r="E56" s="81" t="s">
        <v>324</v>
      </c>
      <c r="F56" s="81">
        <v>3</v>
      </c>
      <c r="G56" s="114" t="s">
        <v>9</v>
      </c>
      <c r="H56" s="83"/>
      <c r="I56" s="103"/>
      <c r="J56" s="76" t="s">
        <v>125</v>
      </c>
      <c r="K56" s="104"/>
      <c r="L56" s="104"/>
      <c r="M56" s="105">
        <f>IF(Tabelle132456891011[[#This Row],[Pulled after Start]]="",MIN(Tabelle132456891011[[#This Row],[Jira Story Points]],Tabelle132456891011[[#This Row],[Carry-over]]),0)</f>
        <v>3</v>
      </c>
      <c r="N56" s="106">
        <f>MIN(Tabelle132456891011[[#This Row],[Jira Story Points]],Tabelle132456891011[[#This Row],[Carry-over]])-Tabelle132456891011[[#This Row],[SP Initially Planned (COS)]]</f>
        <v>0</v>
      </c>
      <c r="O56"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56" s="108">
        <f>IFERROR(IF(Tabelle132456891011[[#This Row],[Status]]=$J$5,MIN(Tabelle132456891011[[#This Row],[Jira Story Points]],Tabelle132456891011[[#This Row],[Carry-over]]),0),0)</f>
        <v>0</v>
      </c>
      <c r="Q56" s="108">
        <f>IFERROR(IF(Tabelle132456891011[[#This Row],[Status]]=$J$5,0,MIN(Tabelle132456891011[[#This Row],[Jira Story Points]],Tabelle132456891011[[#This Row],[Carry-over]])-Tabelle132456891011[[#This Row],[SP Completed (COS &amp; SOS)]]),0)</f>
        <v>0</v>
      </c>
      <c r="AJ56" s="112"/>
      <c r="AK56" s="112"/>
      <c r="AL56" s="112"/>
      <c r="AM56" s="112"/>
    </row>
    <row r="57" spans="1:39" s="46" customFormat="1" ht="14.45" hidden="1" customHeight="1">
      <c r="A57" s="88" t="s">
        <v>2173</v>
      </c>
      <c r="B57" s="101" t="s">
        <v>2174</v>
      </c>
      <c r="C57" s="81" t="s">
        <v>372</v>
      </c>
      <c r="D57" s="81">
        <v>3</v>
      </c>
      <c r="E57" s="81" t="s">
        <v>324</v>
      </c>
      <c r="F57" s="81">
        <v>5</v>
      </c>
      <c r="G57" s="114" t="s">
        <v>9</v>
      </c>
      <c r="H57" s="83"/>
      <c r="I57" s="103"/>
      <c r="J57" s="76" t="s">
        <v>125</v>
      </c>
      <c r="K57" s="104"/>
      <c r="L57" s="104"/>
      <c r="M57" s="105">
        <f>IF(Tabelle132456891011[[#This Row],[Pulled after Start]]="",MIN(Tabelle132456891011[[#This Row],[Jira Story Points]],Tabelle132456891011[[#This Row],[Carry-over]]),0)</f>
        <v>5</v>
      </c>
      <c r="N57" s="106">
        <f>MIN(Tabelle132456891011[[#This Row],[Jira Story Points]],Tabelle132456891011[[#This Row],[Carry-over]])-Tabelle132456891011[[#This Row],[SP Initially Planned (COS)]]</f>
        <v>0</v>
      </c>
      <c r="O57"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5</v>
      </c>
      <c r="P57" s="108">
        <f>IFERROR(IF(Tabelle132456891011[[#This Row],[Status]]=$J$5,MIN(Tabelle132456891011[[#This Row],[Jira Story Points]],Tabelle132456891011[[#This Row],[Carry-over]]),0),0)</f>
        <v>0</v>
      </c>
      <c r="Q57" s="108">
        <f>IFERROR(IF(Tabelle132456891011[[#This Row],[Status]]=$J$5,0,MIN(Tabelle132456891011[[#This Row],[Jira Story Points]],Tabelle132456891011[[#This Row],[Carry-over]])-Tabelle132456891011[[#This Row],[SP Completed (COS &amp; SOS)]]),0)</f>
        <v>0</v>
      </c>
      <c r="AJ57" s="112"/>
      <c r="AK57" s="112"/>
      <c r="AL57" s="112"/>
      <c r="AM57" s="112"/>
    </row>
    <row r="58" spans="1:39" s="46" customFormat="1" ht="14.45" hidden="1" customHeight="1">
      <c r="A58" s="88" t="s">
        <v>2175</v>
      </c>
      <c r="B58" s="101" t="s">
        <v>2176</v>
      </c>
      <c r="C58" s="81" t="s">
        <v>375</v>
      </c>
      <c r="D58" s="81">
        <v>3</v>
      </c>
      <c r="E58" s="81" t="s">
        <v>324</v>
      </c>
      <c r="F58" s="81">
        <v>2</v>
      </c>
      <c r="G58" s="114" t="s">
        <v>9</v>
      </c>
      <c r="H58" s="83"/>
      <c r="I58" s="103"/>
      <c r="J58" s="76" t="s">
        <v>125</v>
      </c>
      <c r="K58" s="104"/>
      <c r="L58" s="104"/>
      <c r="M58" s="105">
        <f>IF(Tabelle132456891011[[#This Row],[Pulled after Start]]="",MIN(Tabelle132456891011[[#This Row],[Jira Story Points]],Tabelle132456891011[[#This Row],[Carry-over]]),0)</f>
        <v>2</v>
      </c>
      <c r="N58" s="106">
        <f>MIN(Tabelle132456891011[[#This Row],[Jira Story Points]],Tabelle132456891011[[#This Row],[Carry-over]])-Tabelle132456891011[[#This Row],[SP Initially Planned (COS)]]</f>
        <v>0</v>
      </c>
      <c r="O58"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2</v>
      </c>
      <c r="P58" s="108">
        <f>IFERROR(IF(Tabelle132456891011[[#This Row],[Status]]=$J$5,MIN(Tabelle132456891011[[#This Row],[Jira Story Points]],Tabelle132456891011[[#This Row],[Carry-over]]),0),0)</f>
        <v>0</v>
      </c>
      <c r="Q58" s="108">
        <f>IFERROR(IF(Tabelle132456891011[[#This Row],[Status]]=$J$5,0,MIN(Tabelle132456891011[[#This Row],[Jira Story Points]],Tabelle132456891011[[#This Row],[Carry-over]])-Tabelle132456891011[[#This Row],[SP Completed (COS &amp; SOS)]]),0)</f>
        <v>0</v>
      </c>
      <c r="AJ58" s="112"/>
      <c r="AK58" s="112"/>
      <c r="AL58" s="112"/>
      <c r="AM58" s="112"/>
    </row>
    <row r="59" spans="1:39" s="46" customFormat="1" ht="14.45" hidden="1" customHeight="1">
      <c r="A59" s="88" t="s">
        <v>2177</v>
      </c>
      <c r="B59" s="101" t="s">
        <v>2178</v>
      </c>
      <c r="C59" s="81" t="s">
        <v>382</v>
      </c>
      <c r="D59" s="81">
        <v>3</v>
      </c>
      <c r="E59" s="81" t="s">
        <v>324</v>
      </c>
      <c r="F59" s="81">
        <v>3</v>
      </c>
      <c r="G59" s="114" t="s">
        <v>9</v>
      </c>
      <c r="H59" s="83" t="s">
        <v>209</v>
      </c>
      <c r="I59" s="103"/>
      <c r="J59" s="76" t="s">
        <v>125</v>
      </c>
      <c r="K59" s="104"/>
      <c r="L59" s="104"/>
      <c r="M59" s="105">
        <f>IF(Tabelle132456891011[[#This Row],[Pulled after Start]]="",MIN(Tabelle132456891011[[#This Row],[Jira Story Points]],Tabelle132456891011[[#This Row],[Carry-over]]),0)</f>
        <v>0</v>
      </c>
      <c r="N59" s="106">
        <f>MIN(Tabelle132456891011[[#This Row],[Jira Story Points]],Tabelle132456891011[[#This Row],[Carry-over]])-Tabelle132456891011[[#This Row],[SP Initially Planned (COS)]]</f>
        <v>3</v>
      </c>
      <c r="O59"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59" s="108">
        <f>IFERROR(IF(Tabelle132456891011[[#This Row],[Status]]=$J$5,MIN(Tabelle132456891011[[#This Row],[Jira Story Points]],Tabelle132456891011[[#This Row],[Carry-over]]),0),0)</f>
        <v>0</v>
      </c>
      <c r="Q59" s="108">
        <f>IFERROR(IF(Tabelle132456891011[[#This Row],[Status]]=$J$5,0,MIN(Tabelle132456891011[[#This Row],[Jira Story Points]],Tabelle132456891011[[#This Row],[Carry-over]])-Tabelle132456891011[[#This Row],[SP Completed (COS &amp; SOS)]]),0)</f>
        <v>0</v>
      </c>
      <c r="AJ59" s="112"/>
      <c r="AK59" s="112"/>
      <c r="AL59" s="112"/>
      <c r="AM59" s="112"/>
    </row>
    <row r="60" spans="1:39" s="46" customFormat="1" ht="14.45" hidden="1" customHeight="1">
      <c r="A60" s="88" t="s">
        <v>2179</v>
      </c>
      <c r="B60" s="101" t="s">
        <v>2180</v>
      </c>
      <c r="C60" s="81" t="s">
        <v>372</v>
      </c>
      <c r="D60" s="81">
        <v>3</v>
      </c>
      <c r="E60" s="81" t="s">
        <v>324</v>
      </c>
      <c r="F60" s="81">
        <v>1</v>
      </c>
      <c r="G60" s="114" t="s">
        <v>9</v>
      </c>
      <c r="H60" s="83" t="s">
        <v>209</v>
      </c>
      <c r="I60" s="103"/>
      <c r="J60" s="76" t="s">
        <v>125</v>
      </c>
      <c r="K60" s="104"/>
      <c r="L60" s="104"/>
      <c r="M60" s="105">
        <f>IF(Tabelle132456891011[[#This Row],[Pulled after Start]]="",MIN(Tabelle132456891011[[#This Row],[Jira Story Points]],Tabelle132456891011[[#This Row],[Carry-over]]),0)</f>
        <v>0</v>
      </c>
      <c r="N60" s="106">
        <f>MIN(Tabelle132456891011[[#This Row],[Jira Story Points]],Tabelle132456891011[[#This Row],[Carry-over]])-Tabelle132456891011[[#This Row],[SP Initially Planned (COS)]]</f>
        <v>1</v>
      </c>
      <c r="O60"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60" s="108">
        <f>IFERROR(IF(Tabelle132456891011[[#This Row],[Status]]=$J$5,MIN(Tabelle132456891011[[#This Row],[Jira Story Points]],Tabelle132456891011[[#This Row],[Carry-over]]),0),0)</f>
        <v>0</v>
      </c>
      <c r="Q60" s="108">
        <f>IFERROR(IF(Tabelle132456891011[[#This Row],[Status]]=$J$5,0,MIN(Tabelle132456891011[[#This Row],[Jira Story Points]],Tabelle132456891011[[#This Row],[Carry-over]])-Tabelle132456891011[[#This Row],[SP Completed (COS &amp; SOS)]]),0)</f>
        <v>0</v>
      </c>
      <c r="AJ60" s="112"/>
      <c r="AK60" s="112"/>
      <c r="AL60" s="112"/>
      <c r="AM60" s="112"/>
    </row>
    <row r="61" spans="1:39" s="46" customFormat="1" ht="14.45" hidden="1" customHeight="1">
      <c r="A61" s="88" t="s">
        <v>2181</v>
      </c>
      <c r="B61" s="101" t="s">
        <v>2182</v>
      </c>
      <c r="C61" s="81" t="s">
        <v>372</v>
      </c>
      <c r="D61" s="81">
        <v>3</v>
      </c>
      <c r="E61" s="81" t="s">
        <v>324</v>
      </c>
      <c r="F61" s="81">
        <v>1</v>
      </c>
      <c r="G61" s="114" t="s">
        <v>9</v>
      </c>
      <c r="H61" s="83" t="s">
        <v>209</v>
      </c>
      <c r="I61" s="103"/>
      <c r="J61" s="76" t="s">
        <v>125</v>
      </c>
      <c r="K61" s="104"/>
      <c r="L61" s="104"/>
      <c r="M61" s="105">
        <f>IF(Tabelle132456891011[[#This Row],[Pulled after Start]]="",MIN(Tabelle132456891011[[#This Row],[Jira Story Points]],Tabelle132456891011[[#This Row],[Carry-over]]),0)</f>
        <v>0</v>
      </c>
      <c r="N61" s="106">
        <f>MIN(Tabelle132456891011[[#This Row],[Jira Story Points]],Tabelle132456891011[[#This Row],[Carry-over]])-Tabelle132456891011[[#This Row],[SP Initially Planned (COS)]]</f>
        <v>1</v>
      </c>
      <c r="O61"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61" s="108">
        <f>IFERROR(IF(Tabelle132456891011[[#This Row],[Status]]=$J$5,MIN(Tabelle132456891011[[#This Row],[Jira Story Points]],Tabelle132456891011[[#This Row],[Carry-over]]),0),0)</f>
        <v>0</v>
      </c>
      <c r="Q61" s="108">
        <f>IFERROR(IF(Tabelle132456891011[[#This Row],[Status]]=$J$5,0,MIN(Tabelle132456891011[[#This Row],[Jira Story Points]],Tabelle132456891011[[#This Row],[Carry-over]])-Tabelle132456891011[[#This Row],[SP Completed (COS &amp; SOS)]]),0)</f>
        <v>0</v>
      </c>
      <c r="AJ61" s="112"/>
      <c r="AK61" s="112"/>
      <c r="AL61" s="112"/>
      <c r="AM61" s="112"/>
    </row>
    <row r="62" spans="1:39" s="46" customFormat="1" ht="14.45" hidden="1" customHeight="1">
      <c r="A62" s="88" t="s">
        <v>2183</v>
      </c>
      <c r="B62" s="101" t="s">
        <v>2184</v>
      </c>
      <c r="C62" s="81" t="s">
        <v>372</v>
      </c>
      <c r="D62" s="81">
        <v>3</v>
      </c>
      <c r="E62" s="81" t="s">
        <v>324</v>
      </c>
      <c r="F62" s="81">
        <v>2</v>
      </c>
      <c r="G62" s="114" t="s">
        <v>9</v>
      </c>
      <c r="H62" s="83" t="s">
        <v>209</v>
      </c>
      <c r="I62" s="103"/>
      <c r="J62" s="76" t="s">
        <v>125</v>
      </c>
      <c r="K62" s="104"/>
      <c r="L62" s="104"/>
      <c r="M62" s="105">
        <f>IF(Tabelle132456891011[[#This Row],[Pulled after Start]]="",MIN(Tabelle132456891011[[#This Row],[Jira Story Points]],Tabelle132456891011[[#This Row],[Carry-over]]),0)</f>
        <v>0</v>
      </c>
      <c r="N62" s="106">
        <f>MIN(Tabelle132456891011[[#This Row],[Jira Story Points]],Tabelle132456891011[[#This Row],[Carry-over]])-Tabelle132456891011[[#This Row],[SP Initially Planned (COS)]]</f>
        <v>2</v>
      </c>
      <c r="O62"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2</v>
      </c>
      <c r="P62" s="108">
        <f>IFERROR(IF(Tabelle132456891011[[#This Row],[Status]]=$J$5,MIN(Tabelle132456891011[[#This Row],[Jira Story Points]],Tabelle132456891011[[#This Row],[Carry-over]]),0),0)</f>
        <v>0</v>
      </c>
      <c r="Q62" s="108">
        <f>IFERROR(IF(Tabelle132456891011[[#This Row],[Status]]=$J$5,0,MIN(Tabelle132456891011[[#This Row],[Jira Story Points]],Tabelle132456891011[[#This Row],[Carry-over]])-Tabelle132456891011[[#This Row],[SP Completed (COS &amp; SOS)]]),0)</f>
        <v>0</v>
      </c>
      <c r="AJ62" s="112"/>
      <c r="AK62" s="112"/>
      <c r="AL62" s="112"/>
      <c r="AM62" s="112"/>
    </row>
    <row r="63" spans="1:39" s="46" customFormat="1" ht="14.45" hidden="1" customHeight="1">
      <c r="A63" s="88" t="s">
        <v>2185</v>
      </c>
      <c r="B63" s="101" t="s">
        <v>2186</v>
      </c>
      <c r="C63" s="81" t="s">
        <v>372</v>
      </c>
      <c r="D63" s="81">
        <v>3</v>
      </c>
      <c r="E63" s="81" t="s">
        <v>324</v>
      </c>
      <c r="F63" s="81">
        <v>2</v>
      </c>
      <c r="G63" s="114" t="s">
        <v>9</v>
      </c>
      <c r="H63" s="83" t="s">
        <v>209</v>
      </c>
      <c r="I63" s="103"/>
      <c r="J63" s="76" t="s">
        <v>125</v>
      </c>
      <c r="K63" s="104"/>
      <c r="L63" s="104"/>
      <c r="M63" s="105">
        <f>IF(Tabelle132456891011[[#This Row],[Pulled after Start]]="",MIN(Tabelle132456891011[[#This Row],[Jira Story Points]],Tabelle132456891011[[#This Row],[Carry-over]]),0)</f>
        <v>0</v>
      </c>
      <c r="N63" s="106">
        <f>MIN(Tabelle132456891011[[#This Row],[Jira Story Points]],Tabelle132456891011[[#This Row],[Carry-over]])-Tabelle132456891011[[#This Row],[SP Initially Planned (COS)]]</f>
        <v>2</v>
      </c>
      <c r="O63"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2</v>
      </c>
      <c r="P63" s="108">
        <f>IFERROR(IF(Tabelle132456891011[[#This Row],[Status]]=$J$5,MIN(Tabelle132456891011[[#This Row],[Jira Story Points]],Tabelle132456891011[[#This Row],[Carry-over]]),0),0)</f>
        <v>0</v>
      </c>
      <c r="Q63" s="108">
        <f>IFERROR(IF(Tabelle132456891011[[#This Row],[Status]]=$J$5,0,MIN(Tabelle132456891011[[#This Row],[Jira Story Points]],Tabelle132456891011[[#This Row],[Carry-over]])-Tabelle132456891011[[#This Row],[SP Completed (COS &amp; SOS)]]),0)</f>
        <v>0</v>
      </c>
      <c r="AJ63" s="112"/>
      <c r="AK63" s="112"/>
      <c r="AL63" s="112"/>
      <c r="AM63" s="112"/>
    </row>
    <row r="64" spans="1:39" s="46" customFormat="1" ht="14.45" hidden="1" customHeight="1">
      <c r="A64" s="88" t="s">
        <v>2187</v>
      </c>
      <c r="B64" s="101" t="s">
        <v>2188</v>
      </c>
      <c r="C64" s="81" t="s">
        <v>372</v>
      </c>
      <c r="D64" s="81">
        <v>3</v>
      </c>
      <c r="E64" s="81" t="s">
        <v>324</v>
      </c>
      <c r="F64" s="81">
        <v>0.5</v>
      </c>
      <c r="G64" s="114" t="s">
        <v>9</v>
      </c>
      <c r="H64" s="83" t="s">
        <v>209</v>
      </c>
      <c r="I64" s="103"/>
      <c r="J64" s="76" t="s">
        <v>125</v>
      </c>
      <c r="K64" s="104"/>
      <c r="L64" s="104"/>
      <c r="M64" s="105">
        <f>IF(Tabelle132456891011[[#This Row],[Pulled after Start]]="",MIN(Tabelle132456891011[[#This Row],[Jira Story Points]],Tabelle132456891011[[#This Row],[Carry-over]]),0)</f>
        <v>0</v>
      </c>
      <c r="N64" s="106">
        <f>MIN(Tabelle132456891011[[#This Row],[Jira Story Points]],Tabelle132456891011[[#This Row],[Carry-over]])-Tabelle132456891011[[#This Row],[SP Initially Planned (COS)]]</f>
        <v>0.5</v>
      </c>
      <c r="O64"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0.5</v>
      </c>
      <c r="P64" s="108">
        <f>IFERROR(IF(Tabelle132456891011[[#This Row],[Status]]=$J$5,MIN(Tabelle132456891011[[#This Row],[Jira Story Points]],Tabelle132456891011[[#This Row],[Carry-over]]),0),0)</f>
        <v>0</v>
      </c>
      <c r="Q64" s="108">
        <f>IFERROR(IF(Tabelle132456891011[[#This Row],[Status]]=$J$5,0,MIN(Tabelle132456891011[[#This Row],[Jira Story Points]],Tabelle132456891011[[#This Row],[Carry-over]])-Tabelle132456891011[[#This Row],[SP Completed (COS &amp; SOS)]]),0)</f>
        <v>0</v>
      </c>
      <c r="AJ64" s="112"/>
      <c r="AK64" s="112"/>
      <c r="AL64" s="112"/>
      <c r="AM64" s="112"/>
    </row>
    <row r="65" spans="1:39" s="46" customFormat="1" ht="14.45" hidden="1" customHeight="1">
      <c r="A65" s="88" t="s">
        <v>2189</v>
      </c>
      <c r="B65" s="101" t="s">
        <v>2190</v>
      </c>
      <c r="C65" s="81" t="s">
        <v>372</v>
      </c>
      <c r="D65" s="81">
        <v>3</v>
      </c>
      <c r="E65" s="81" t="s">
        <v>324</v>
      </c>
      <c r="F65" s="81">
        <v>2</v>
      </c>
      <c r="G65" s="114" t="s">
        <v>9</v>
      </c>
      <c r="H65" s="83" t="s">
        <v>209</v>
      </c>
      <c r="I65" s="103"/>
      <c r="J65" s="76" t="s">
        <v>125</v>
      </c>
      <c r="K65" s="104"/>
      <c r="L65" s="104"/>
      <c r="M65" s="105">
        <f>IF(Tabelle132456891011[[#This Row],[Pulled after Start]]="",MIN(Tabelle132456891011[[#This Row],[Jira Story Points]],Tabelle132456891011[[#This Row],[Carry-over]]),0)</f>
        <v>0</v>
      </c>
      <c r="N65" s="106">
        <f>MIN(Tabelle132456891011[[#This Row],[Jira Story Points]],Tabelle132456891011[[#This Row],[Carry-over]])-Tabelle132456891011[[#This Row],[SP Initially Planned (COS)]]</f>
        <v>2</v>
      </c>
      <c r="O65"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2</v>
      </c>
      <c r="P65" s="108">
        <f>IFERROR(IF(Tabelle132456891011[[#This Row],[Status]]=$J$5,MIN(Tabelle132456891011[[#This Row],[Jira Story Points]],Tabelle132456891011[[#This Row],[Carry-over]]),0),0)</f>
        <v>0</v>
      </c>
      <c r="Q65" s="108">
        <f>IFERROR(IF(Tabelle132456891011[[#This Row],[Status]]=$J$5,0,MIN(Tabelle132456891011[[#This Row],[Jira Story Points]],Tabelle132456891011[[#This Row],[Carry-over]])-Tabelle132456891011[[#This Row],[SP Completed (COS &amp; SOS)]]),0)</f>
        <v>0</v>
      </c>
      <c r="AJ65" s="112"/>
      <c r="AK65" s="112"/>
      <c r="AL65" s="112"/>
      <c r="AM65" s="112"/>
    </row>
    <row r="66" spans="1:39" s="46" customFormat="1" ht="14.45" hidden="1" customHeight="1">
      <c r="A66" s="88" t="s">
        <v>2191</v>
      </c>
      <c r="B66" s="101" t="s">
        <v>2115</v>
      </c>
      <c r="C66" s="81" t="s">
        <v>372</v>
      </c>
      <c r="D66" s="81">
        <v>3</v>
      </c>
      <c r="E66" s="81" t="s">
        <v>327</v>
      </c>
      <c r="F66" s="81">
        <v>3</v>
      </c>
      <c r="G66" s="114" t="s">
        <v>9</v>
      </c>
      <c r="H66" s="83" t="s">
        <v>209</v>
      </c>
      <c r="I66" s="103"/>
      <c r="J66" s="76" t="s">
        <v>127</v>
      </c>
      <c r="K66" s="104"/>
      <c r="L66" s="104"/>
      <c r="M66" s="105">
        <f>IF(Tabelle132456891011[[#This Row],[Pulled after Start]]="",MIN(Tabelle132456891011[[#This Row],[Jira Story Points]],Tabelle132456891011[[#This Row],[Carry-over]]),0)</f>
        <v>0</v>
      </c>
      <c r="N66" s="106">
        <f>MIN(Tabelle132456891011[[#This Row],[Jira Story Points]],Tabelle132456891011[[#This Row],[Carry-over]])-Tabelle132456891011[[#This Row],[SP Initially Planned (COS)]]</f>
        <v>3</v>
      </c>
      <c r="O66"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66" s="108">
        <f>IFERROR(IF(Tabelle132456891011[[#This Row],[Status]]=$J$5,MIN(Tabelle132456891011[[#This Row],[Jira Story Points]],Tabelle132456891011[[#This Row],[Carry-over]]),0),0)</f>
        <v>0</v>
      </c>
      <c r="Q66" s="108">
        <f>IFERROR(IF(Tabelle132456891011[[#This Row],[Status]]=$J$5,0,MIN(Tabelle132456891011[[#This Row],[Jira Story Points]],Tabelle132456891011[[#This Row],[Carry-over]])-Tabelle132456891011[[#This Row],[SP Completed (COS &amp; SOS)]]),0)</f>
        <v>3</v>
      </c>
      <c r="AJ66" s="112"/>
      <c r="AK66" s="112"/>
      <c r="AL66" s="112"/>
      <c r="AM66" s="112"/>
    </row>
    <row r="67" spans="1:39" s="46" customFormat="1" ht="14.45" hidden="1" customHeight="1">
      <c r="A67" s="88" t="s">
        <v>2110</v>
      </c>
      <c r="B67" s="101" t="s">
        <v>2111</v>
      </c>
      <c r="C67" s="81" t="s">
        <v>372</v>
      </c>
      <c r="D67" s="81">
        <v>3</v>
      </c>
      <c r="E67" s="81" t="s">
        <v>327</v>
      </c>
      <c r="F67" s="81">
        <v>5</v>
      </c>
      <c r="G67" s="114" t="s">
        <v>9</v>
      </c>
      <c r="H67" s="83"/>
      <c r="I67" s="103"/>
      <c r="J67" s="76" t="s">
        <v>127</v>
      </c>
      <c r="K67" s="104"/>
      <c r="L67" s="104"/>
      <c r="M67" s="105">
        <f>IF(Tabelle132456891011[[#This Row],[Pulled after Start]]="",MIN(Tabelle132456891011[[#This Row],[Jira Story Points]],Tabelle132456891011[[#This Row],[Carry-over]]),0)</f>
        <v>5</v>
      </c>
      <c r="N67" s="106">
        <f>MIN(Tabelle132456891011[[#This Row],[Jira Story Points]],Tabelle132456891011[[#This Row],[Carry-over]])-Tabelle132456891011[[#This Row],[SP Initially Planned (COS)]]</f>
        <v>0</v>
      </c>
      <c r="O67"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67" s="108">
        <f>IFERROR(IF(Tabelle132456891011[[#This Row],[Status]]=$J$5,MIN(Tabelle132456891011[[#This Row],[Jira Story Points]],Tabelle132456891011[[#This Row],[Carry-over]]),0),0)</f>
        <v>0</v>
      </c>
      <c r="Q67" s="108">
        <f>IFERROR(IF(Tabelle132456891011[[#This Row],[Status]]=$J$5,0,MIN(Tabelle132456891011[[#This Row],[Jira Story Points]],Tabelle132456891011[[#This Row],[Carry-over]])-Tabelle132456891011[[#This Row],[SP Completed (COS &amp; SOS)]]),0)</f>
        <v>5</v>
      </c>
      <c r="AJ67" s="112"/>
      <c r="AK67" s="112"/>
      <c r="AL67" s="112"/>
      <c r="AM67" s="112"/>
    </row>
    <row r="68" spans="1:39" s="46" customFormat="1" ht="14.45" hidden="1" customHeight="1">
      <c r="A68" s="88" t="s">
        <v>2192</v>
      </c>
      <c r="B68" s="101" t="s">
        <v>2109</v>
      </c>
      <c r="C68" s="81" t="s">
        <v>372</v>
      </c>
      <c r="D68" s="81">
        <v>3</v>
      </c>
      <c r="E68" s="81" t="s">
        <v>327</v>
      </c>
      <c r="F68" s="81">
        <v>3</v>
      </c>
      <c r="G68" s="114" t="s">
        <v>9</v>
      </c>
      <c r="H68" s="83" t="s">
        <v>209</v>
      </c>
      <c r="I68" s="103"/>
      <c r="J68" s="76" t="s">
        <v>127</v>
      </c>
      <c r="K68" s="104"/>
      <c r="L68" s="104"/>
      <c r="M68" s="105">
        <f>IF(Tabelle132456891011[[#This Row],[Pulled after Start]]="",MIN(Tabelle132456891011[[#This Row],[Jira Story Points]],Tabelle132456891011[[#This Row],[Carry-over]]),0)</f>
        <v>0</v>
      </c>
      <c r="N68" s="106">
        <f>MIN(Tabelle132456891011[[#This Row],[Jira Story Points]],Tabelle132456891011[[#This Row],[Carry-over]])-Tabelle132456891011[[#This Row],[SP Initially Planned (COS)]]</f>
        <v>3</v>
      </c>
      <c r="O68"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68" s="108">
        <f>IFERROR(IF(Tabelle132456891011[[#This Row],[Status]]=$J$5,MIN(Tabelle132456891011[[#This Row],[Jira Story Points]],Tabelle132456891011[[#This Row],[Carry-over]]),0),0)</f>
        <v>0</v>
      </c>
      <c r="Q68" s="108">
        <f>IFERROR(IF(Tabelle132456891011[[#This Row],[Status]]=$J$5,0,MIN(Tabelle132456891011[[#This Row],[Jira Story Points]],Tabelle132456891011[[#This Row],[Carry-over]])-Tabelle132456891011[[#This Row],[SP Completed (COS &amp; SOS)]]),0)</f>
        <v>3</v>
      </c>
      <c r="AJ68" s="112"/>
      <c r="AK68" s="112"/>
      <c r="AL68" s="112"/>
      <c r="AM68" s="112"/>
    </row>
    <row r="69" spans="1:39" s="46" customFormat="1" ht="14.45" hidden="1" customHeight="1">
      <c r="A69" s="88" t="s">
        <v>2193</v>
      </c>
      <c r="B69" s="101" t="s">
        <v>2093</v>
      </c>
      <c r="C69" s="81" t="s">
        <v>375</v>
      </c>
      <c r="D69" s="81">
        <v>3</v>
      </c>
      <c r="E69" s="81" t="s">
        <v>327</v>
      </c>
      <c r="F69" s="81">
        <v>5</v>
      </c>
      <c r="G69" s="114" t="s">
        <v>9</v>
      </c>
      <c r="H69" s="83" t="s">
        <v>209</v>
      </c>
      <c r="I69" s="103"/>
      <c r="J69" s="76" t="s">
        <v>127</v>
      </c>
      <c r="K69" s="104"/>
      <c r="L69" s="104"/>
      <c r="M69" s="105">
        <f>IF(Tabelle132456891011[[#This Row],[Pulled after Start]]="",MIN(Tabelle132456891011[[#This Row],[Jira Story Points]],Tabelle132456891011[[#This Row],[Carry-over]]),0)</f>
        <v>0</v>
      </c>
      <c r="N69" s="106">
        <f>MIN(Tabelle132456891011[[#This Row],[Jira Story Points]],Tabelle132456891011[[#This Row],[Carry-over]])-Tabelle132456891011[[#This Row],[SP Initially Planned (COS)]]</f>
        <v>5</v>
      </c>
      <c r="O69"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69" s="108">
        <f>IFERROR(IF(Tabelle132456891011[[#This Row],[Status]]=$J$5,MIN(Tabelle132456891011[[#This Row],[Jira Story Points]],Tabelle132456891011[[#This Row],[Carry-over]]),0),0)</f>
        <v>0</v>
      </c>
      <c r="Q69" s="108">
        <f>IFERROR(IF(Tabelle132456891011[[#This Row],[Status]]=$J$5,0,MIN(Tabelle132456891011[[#This Row],[Jira Story Points]],Tabelle132456891011[[#This Row],[Carry-over]])-Tabelle132456891011[[#This Row],[SP Completed (COS &amp; SOS)]]),0)</f>
        <v>5</v>
      </c>
      <c r="AJ69" s="112"/>
      <c r="AK69" s="112"/>
      <c r="AL69" s="112"/>
      <c r="AM69" s="112"/>
    </row>
    <row r="70" spans="1:39" s="46" customFormat="1" ht="14.45" hidden="1" customHeight="1">
      <c r="A70" s="88" t="s">
        <v>2194</v>
      </c>
      <c r="B70" s="101" t="s">
        <v>2107</v>
      </c>
      <c r="C70" s="81" t="s">
        <v>372</v>
      </c>
      <c r="D70" s="81">
        <v>3</v>
      </c>
      <c r="E70" s="81" t="s">
        <v>351</v>
      </c>
      <c r="F70" s="81">
        <v>5</v>
      </c>
      <c r="G70" s="114" t="s">
        <v>9</v>
      </c>
      <c r="H70" s="83" t="s">
        <v>209</v>
      </c>
      <c r="I70" s="103"/>
      <c r="J70" s="76" t="s">
        <v>126</v>
      </c>
      <c r="K70" s="104"/>
      <c r="L70" s="104"/>
      <c r="M70" s="105">
        <f>IF(Tabelle132456891011[[#This Row],[Pulled after Start]]="",MIN(Tabelle132456891011[[#This Row],[Jira Story Points]],Tabelle132456891011[[#This Row],[Carry-over]]),0)</f>
        <v>0</v>
      </c>
      <c r="N70" s="106">
        <f>MIN(Tabelle132456891011[[#This Row],[Jira Story Points]],Tabelle132456891011[[#This Row],[Carry-over]])-Tabelle132456891011[[#This Row],[SP Initially Planned (COS)]]</f>
        <v>5</v>
      </c>
      <c r="O70"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70" s="108">
        <f>IFERROR(IF(Tabelle132456891011[[#This Row],[Status]]=$J$5,MIN(Tabelle132456891011[[#This Row],[Jira Story Points]],Tabelle132456891011[[#This Row],[Carry-over]]),0),0)</f>
        <v>5</v>
      </c>
      <c r="Q70" s="108">
        <f>IFERROR(IF(Tabelle132456891011[[#This Row],[Status]]=$J$5,0,MIN(Tabelle132456891011[[#This Row],[Jira Story Points]],Tabelle132456891011[[#This Row],[Carry-over]])-Tabelle132456891011[[#This Row],[SP Completed (COS &amp; SOS)]]),0)</f>
        <v>0</v>
      </c>
      <c r="AJ70" s="112"/>
      <c r="AK70" s="112"/>
      <c r="AL70" s="112"/>
      <c r="AM70" s="112"/>
    </row>
    <row r="71" spans="1:39" s="46" customFormat="1">
      <c r="A71" s="88" t="s">
        <v>1922</v>
      </c>
      <c r="B71" s="46" t="s">
        <v>1923</v>
      </c>
      <c r="C71" s="76" t="s">
        <v>375</v>
      </c>
      <c r="D71" s="76">
        <v>2</v>
      </c>
      <c r="E71" s="76" t="s">
        <v>238</v>
      </c>
      <c r="F71" s="104">
        <v>3</v>
      </c>
      <c r="G71" s="76" t="s">
        <v>12</v>
      </c>
      <c r="H71" s="83"/>
      <c r="I71" s="103" t="s">
        <v>217</v>
      </c>
      <c r="J71" s="76" t="s">
        <v>127</v>
      </c>
      <c r="K71" s="104">
        <v>1</v>
      </c>
      <c r="L71" s="104">
        <v>1</v>
      </c>
      <c r="M71" s="105">
        <f>IF(Tabelle132456891011[[#This Row],[Pulled after Start]]="",MIN(Tabelle132456891011[[#This Row],[Jira Story Points]],Tabelle132456891011[[#This Row],[Carry-over]]),0)</f>
        <v>1</v>
      </c>
      <c r="N71" s="106">
        <f>MIN(Tabelle132456891011[[#This Row],[Jira Story Points]],Tabelle132456891011[[#This Row],[Carry-over]])-Tabelle132456891011[[#This Row],[SP Initially Planned (COS)]]</f>
        <v>0</v>
      </c>
      <c r="O71"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71" s="108">
        <f>IFERROR(IF(Tabelle132456891011[[#This Row],[Status]]=$J$5,MIN(Tabelle132456891011[[#This Row],[Jira Story Points]],Tabelle132456891011[[#This Row],[Carry-over]]),0),0)</f>
        <v>0</v>
      </c>
      <c r="Q71" s="108">
        <f>IFERROR(IF(Tabelle132456891011[[#This Row],[Status]]=$J$5,0,MIN(Tabelle132456891011[[#This Row],[Jira Story Points]],Tabelle132456891011[[#This Row],[Carry-over]])-Tabelle132456891011[[#This Row],[SP Completed (COS &amp; SOS)]]),0)</f>
        <v>1</v>
      </c>
      <c r="AJ71" s="112"/>
      <c r="AK71" s="112"/>
      <c r="AL71" s="112"/>
      <c r="AM71" s="112"/>
    </row>
    <row r="72" spans="1:39" s="46" customFormat="1">
      <c r="A72" s="88" t="s">
        <v>2195</v>
      </c>
      <c r="B72" s="46" t="s">
        <v>2196</v>
      </c>
      <c r="C72" s="76" t="s">
        <v>375</v>
      </c>
      <c r="D72" s="76">
        <v>3</v>
      </c>
      <c r="E72" s="76" t="s">
        <v>254</v>
      </c>
      <c r="F72" s="104">
        <v>3</v>
      </c>
      <c r="G72" s="76" t="s">
        <v>12</v>
      </c>
      <c r="H72" s="83"/>
      <c r="I72" s="103" t="s">
        <v>217</v>
      </c>
      <c r="J72" s="76" t="s">
        <v>126</v>
      </c>
      <c r="K72" s="104">
        <v>3</v>
      </c>
      <c r="L72" s="104"/>
      <c r="M72" s="105">
        <f>IF(Tabelle132456891011[[#This Row],[Pulled after Start]]="",MIN(Tabelle132456891011[[#This Row],[Jira Story Points]],Tabelle132456891011[[#This Row],[Carry-over]]),0)</f>
        <v>3</v>
      </c>
      <c r="N72" s="106">
        <f>MIN(Tabelle132456891011[[#This Row],[Jira Story Points]],Tabelle132456891011[[#This Row],[Carry-over]])-Tabelle132456891011[[#This Row],[SP Initially Planned (COS)]]</f>
        <v>0</v>
      </c>
      <c r="O72"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72" s="108">
        <f>IFERROR(IF(Tabelle132456891011[[#This Row],[Status]]=$J$5,MIN(Tabelle132456891011[[#This Row],[Jira Story Points]],Tabelle132456891011[[#This Row],[Carry-over]]),0),0)</f>
        <v>3</v>
      </c>
      <c r="Q72" s="108">
        <f>IFERROR(IF(Tabelle132456891011[[#This Row],[Status]]=$J$5,0,MIN(Tabelle132456891011[[#This Row],[Jira Story Points]],Tabelle132456891011[[#This Row],[Carry-over]])-Tabelle132456891011[[#This Row],[SP Completed (COS &amp; SOS)]]),0)</f>
        <v>0</v>
      </c>
      <c r="AJ72" s="112"/>
      <c r="AK72" s="112"/>
      <c r="AL72" s="112"/>
      <c r="AM72" s="112"/>
    </row>
    <row r="73" spans="1:39" s="46" customFormat="1">
      <c r="A73" s="88" t="s">
        <v>2197</v>
      </c>
      <c r="B73" s="46" t="s">
        <v>2076</v>
      </c>
      <c r="C73" s="76" t="s">
        <v>375</v>
      </c>
      <c r="D73" s="76">
        <v>2</v>
      </c>
      <c r="E73" s="76" t="s">
        <v>254</v>
      </c>
      <c r="F73" s="104">
        <v>5</v>
      </c>
      <c r="G73" s="76" t="s">
        <v>12</v>
      </c>
      <c r="H73" s="83" t="s">
        <v>209</v>
      </c>
      <c r="I73" s="103" t="s">
        <v>217</v>
      </c>
      <c r="J73" s="76" t="s">
        <v>126</v>
      </c>
      <c r="K73" s="104"/>
      <c r="L73" s="104"/>
      <c r="M73" s="105">
        <f>IF(Tabelle132456891011[[#This Row],[Pulled after Start]]="",MIN(Tabelle132456891011[[#This Row],[Jira Story Points]],Tabelle132456891011[[#This Row],[Carry-over]]),0)</f>
        <v>0</v>
      </c>
      <c r="N73" s="106">
        <f>MIN(Tabelle132456891011[[#This Row],[Jira Story Points]],Tabelle132456891011[[#This Row],[Carry-over]])-Tabelle132456891011[[#This Row],[SP Initially Planned (COS)]]</f>
        <v>5</v>
      </c>
      <c r="O73"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73" s="108">
        <f>IFERROR(IF(Tabelle132456891011[[#This Row],[Status]]=$J$5,MIN(Tabelle132456891011[[#This Row],[Jira Story Points]],Tabelle132456891011[[#This Row],[Carry-over]]),0),0)</f>
        <v>5</v>
      </c>
      <c r="Q73" s="108">
        <f>IFERROR(IF(Tabelle132456891011[[#This Row],[Status]]=$J$5,0,MIN(Tabelle132456891011[[#This Row],[Jira Story Points]],Tabelle132456891011[[#This Row],[Carry-over]])-Tabelle132456891011[[#This Row],[SP Completed (COS &amp; SOS)]]),0)</f>
        <v>0</v>
      </c>
      <c r="AJ73" s="112"/>
      <c r="AK73" s="112"/>
      <c r="AL73" s="112"/>
      <c r="AM73" s="112"/>
    </row>
    <row r="74" spans="1:39" s="46" customFormat="1">
      <c r="A74" s="88" t="s">
        <v>1679</v>
      </c>
      <c r="B74" s="46" t="s">
        <v>1680</v>
      </c>
      <c r="C74" s="76" t="s">
        <v>372</v>
      </c>
      <c r="D74" s="76">
        <v>3</v>
      </c>
      <c r="E74" s="76" t="s">
        <v>238</v>
      </c>
      <c r="F74" s="76">
        <v>8</v>
      </c>
      <c r="G74" s="76" t="s">
        <v>12</v>
      </c>
      <c r="H74" s="76"/>
      <c r="I74" s="103" t="s">
        <v>2198</v>
      </c>
      <c r="J74" s="76" t="s">
        <v>127</v>
      </c>
      <c r="K74" s="76">
        <v>2</v>
      </c>
      <c r="L74" s="76">
        <v>2</v>
      </c>
      <c r="M74" s="105">
        <f>IF(Tabelle132456891011[[#This Row],[Pulled after Start]]="",MIN(Tabelle132456891011[[#This Row],[Jira Story Points]],Tabelle132456891011[[#This Row],[Carry-over]]),0)</f>
        <v>2</v>
      </c>
      <c r="N74" s="106">
        <f>MIN(Tabelle132456891011[[#This Row],[Jira Story Points]],Tabelle132456891011[[#This Row],[Carry-over]])-Tabelle132456891011[[#This Row],[SP Initially Planned (COS)]]</f>
        <v>0</v>
      </c>
      <c r="O74"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74" s="108">
        <f>IFERROR(IF(Tabelle132456891011[[#This Row],[Status]]=$J$5,MIN(Tabelle132456891011[[#This Row],[Jira Story Points]],Tabelle132456891011[[#This Row],[Carry-over]]),0),0)</f>
        <v>0</v>
      </c>
      <c r="Q74" s="108">
        <f>IFERROR(IF(Tabelle132456891011[[#This Row],[Status]]=$J$5,0,MIN(Tabelle132456891011[[#This Row],[Jira Story Points]],Tabelle132456891011[[#This Row],[Carry-over]])-Tabelle132456891011[[#This Row],[SP Completed (COS &amp; SOS)]]),0)</f>
        <v>2</v>
      </c>
      <c r="AJ74" s="112"/>
      <c r="AK74" s="112"/>
      <c r="AL74" s="112"/>
      <c r="AM74" s="112"/>
    </row>
    <row r="75" spans="1:39" s="46" customFormat="1">
      <c r="A75" s="88" t="s">
        <v>2199</v>
      </c>
      <c r="B75" s="46" t="s">
        <v>2200</v>
      </c>
      <c r="C75" s="76" t="s">
        <v>372</v>
      </c>
      <c r="D75" s="76">
        <v>3</v>
      </c>
      <c r="E75" s="76" t="s">
        <v>216</v>
      </c>
      <c r="F75" s="76">
        <v>5</v>
      </c>
      <c r="G75" s="76" t="s">
        <v>12</v>
      </c>
      <c r="H75" s="76"/>
      <c r="I75" s="103" t="s">
        <v>2201</v>
      </c>
      <c r="J75" s="76" t="s">
        <v>125</v>
      </c>
      <c r="K75" s="104">
        <v>3</v>
      </c>
      <c r="L75" s="104"/>
      <c r="M75" s="105">
        <f>IF(Tabelle132456891011[[#This Row],[Pulled after Start]]="",MIN(Tabelle132456891011[[#This Row],[Jira Story Points]],Tabelle132456891011[[#This Row],[Carry-over]]),0)</f>
        <v>3</v>
      </c>
      <c r="N75" s="106">
        <f>MIN(Tabelle132456891011[[#This Row],[Jira Story Points]],Tabelle132456891011[[#This Row],[Carry-over]])-Tabelle132456891011[[#This Row],[SP Initially Planned (COS)]]</f>
        <v>0</v>
      </c>
      <c r="O75"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75" s="108">
        <f>IFERROR(IF(Tabelle132456891011[[#This Row],[Status]]=$J$5,MIN(Tabelle132456891011[[#This Row],[Jira Story Points]],Tabelle132456891011[[#This Row],[Carry-over]]),0),0)</f>
        <v>0</v>
      </c>
      <c r="Q75" s="108">
        <f>IFERROR(IF(Tabelle132456891011[[#This Row],[Status]]=$J$5,0,MIN(Tabelle132456891011[[#This Row],[Jira Story Points]],Tabelle132456891011[[#This Row],[Carry-over]])-Tabelle132456891011[[#This Row],[SP Completed (COS &amp; SOS)]]),0)</f>
        <v>0</v>
      </c>
      <c r="AJ75" s="112"/>
      <c r="AK75" s="112"/>
      <c r="AL75" s="112"/>
      <c r="AM75" s="112"/>
    </row>
    <row r="76" spans="1:39" s="46" customFormat="1" ht="14.45" customHeight="1">
      <c r="A76" s="88" t="s">
        <v>1682</v>
      </c>
      <c r="B76" s="46" t="s">
        <v>1683</v>
      </c>
      <c r="C76" s="76" t="s">
        <v>372</v>
      </c>
      <c r="D76" s="76">
        <v>2</v>
      </c>
      <c r="E76" s="76" t="s">
        <v>238</v>
      </c>
      <c r="F76" s="104">
        <v>3</v>
      </c>
      <c r="G76" s="76" t="s">
        <v>12</v>
      </c>
      <c r="H76" s="83"/>
      <c r="I76" s="103" t="s">
        <v>2198</v>
      </c>
      <c r="J76" s="76" t="s">
        <v>127</v>
      </c>
      <c r="K76" s="104"/>
      <c r="L76" s="104">
        <v>1</v>
      </c>
      <c r="M76" s="105">
        <f>IF(Tabelle132456891011[[#This Row],[Pulled after Start]]="",MIN(Tabelle132456891011[[#This Row],[Jira Story Points]],Tabelle132456891011[[#This Row],[Carry-over]]),0)</f>
        <v>3</v>
      </c>
      <c r="N76" s="106">
        <f>MIN(Tabelle132456891011[[#This Row],[Jira Story Points]],Tabelle132456891011[[#This Row],[Carry-over]])-Tabelle132456891011[[#This Row],[SP Initially Planned (COS)]]</f>
        <v>0</v>
      </c>
      <c r="O76"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2</v>
      </c>
      <c r="P76" s="108">
        <f>IFERROR(IF(Tabelle132456891011[[#This Row],[Status]]=$J$5,MIN(Tabelle132456891011[[#This Row],[Jira Story Points]],Tabelle132456891011[[#This Row],[Carry-over]]),0),0)</f>
        <v>0</v>
      </c>
      <c r="Q76" s="108">
        <f>IFERROR(IF(Tabelle132456891011[[#This Row],[Status]]=$J$5,0,MIN(Tabelle132456891011[[#This Row],[Jira Story Points]],Tabelle132456891011[[#This Row],[Carry-over]])-Tabelle132456891011[[#This Row],[SP Completed (COS &amp; SOS)]]),0)</f>
        <v>1</v>
      </c>
      <c r="AJ76" s="112"/>
      <c r="AK76" s="112"/>
      <c r="AL76" s="112"/>
      <c r="AM76" s="112"/>
    </row>
    <row r="77" spans="1:39" s="46" customFormat="1" ht="13.5" customHeight="1">
      <c r="A77" s="88" t="s">
        <v>1924</v>
      </c>
      <c r="B77" s="46" t="s">
        <v>1925</v>
      </c>
      <c r="C77" s="76" t="s">
        <v>372</v>
      </c>
      <c r="D77" s="76">
        <v>3</v>
      </c>
      <c r="E77" s="76" t="s">
        <v>238</v>
      </c>
      <c r="F77" s="104">
        <v>2</v>
      </c>
      <c r="G77" s="76" t="s">
        <v>12</v>
      </c>
      <c r="H77" s="83"/>
      <c r="I77" s="103" t="s">
        <v>2198</v>
      </c>
      <c r="J77" s="76" t="s">
        <v>127</v>
      </c>
      <c r="K77" s="104"/>
      <c r="L77" s="104">
        <v>1</v>
      </c>
      <c r="M77" s="105">
        <f>IF(Tabelle132456891011[[#This Row],[Pulled after Start]]="",MIN(Tabelle132456891011[[#This Row],[Jira Story Points]],Tabelle132456891011[[#This Row],[Carry-over]]),0)</f>
        <v>2</v>
      </c>
      <c r="N77" s="106">
        <f>MIN(Tabelle132456891011[[#This Row],[Jira Story Points]],Tabelle132456891011[[#This Row],[Carry-over]])-Tabelle132456891011[[#This Row],[SP Initially Planned (COS)]]</f>
        <v>0</v>
      </c>
      <c r="O77"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77" s="108">
        <f>IFERROR(IF(Tabelle132456891011[[#This Row],[Status]]=$J$5,MIN(Tabelle132456891011[[#This Row],[Jira Story Points]],Tabelle132456891011[[#This Row],[Carry-over]]),0),0)</f>
        <v>0</v>
      </c>
      <c r="Q77" s="108">
        <f>IFERROR(IF(Tabelle132456891011[[#This Row],[Status]]=$J$5,0,MIN(Tabelle132456891011[[#This Row],[Jira Story Points]],Tabelle132456891011[[#This Row],[Carry-over]])-Tabelle132456891011[[#This Row],[SP Completed (COS &amp; SOS)]]),0)</f>
        <v>1</v>
      </c>
    </row>
    <row r="78" spans="1:39" s="46" customFormat="1" ht="13.5" customHeight="1">
      <c r="A78" s="88" t="s">
        <v>2202</v>
      </c>
      <c r="B78" s="46" t="s">
        <v>2203</v>
      </c>
      <c r="C78" s="76" t="s">
        <v>372</v>
      </c>
      <c r="D78" s="76">
        <v>2</v>
      </c>
      <c r="E78" s="76" t="s">
        <v>216</v>
      </c>
      <c r="F78" s="104">
        <v>2</v>
      </c>
      <c r="G78" s="76" t="s">
        <v>12</v>
      </c>
      <c r="H78" s="83" t="s">
        <v>209</v>
      </c>
      <c r="I78" s="103" t="s">
        <v>217</v>
      </c>
      <c r="J78" s="76" t="s">
        <v>125</v>
      </c>
      <c r="K78" s="104"/>
      <c r="L78" s="104"/>
      <c r="M78" s="105">
        <f>IF(Tabelle132456891011[[#This Row],[Pulled after Start]]="",MIN(Tabelle132456891011[[#This Row],[Jira Story Points]],Tabelle132456891011[[#This Row],[Carry-over]]),0)</f>
        <v>0</v>
      </c>
      <c r="N78" s="106">
        <f>MIN(Tabelle132456891011[[#This Row],[Jira Story Points]],Tabelle132456891011[[#This Row],[Carry-over]])-Tabelle132456891011[[#This Row],[SP Initially Planned (COS)]]</f>
        <v>2</v>
      </c>
      <c r="O78"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2</v>
      </c>
      <c r="P78" s="108">
        <f>IFERROR(IF(Tabelle132456891011[[#This Row],[Status]]=$J$5,MIN(Tabelle132456891011[[#This Row],[Jira Story Points]],Tabelle132456891011[[#This Row],[Carry-over]]),0),0)</f>
        <v>0</v>
      </c>
      <c r="Q78" s="108">
        <f>IFERROR(IF(Tabelle132456891011[[#This Row],[Status]]=$J$5,0,MIN(Tabelle132456891011[[#This Row],[Jira Story Points]],Tabelle132456891011[[#This Row],[Carry-over]])-Tabelle132456891011[[#This Row],[SP Completed (COS &amp; SOS)]]),0)</f>
        <v>0</v>
      </c>
    </row>
    <row r="79" spans="1:39" s="46" customFormat="1" ht="13.5" customHeight="1">
      <c r="A79" s="88" t="s">
        <v>2204</v>
      </c>
      <c r="B79" s="46" t="s">
        <v>2205</v>
      </c>
      <c r="C79" s="76" t="s">
        <v>372</v>
      </c>
      <c r="D79" s="76">
        <v>3</v>
      </c>
      <c r="E79" s="76" t="s">
        <v>216</v>
      </c>
      <c r="F79" s="104">
        <v>2</v>
      </c>
      <c r="G79" s="76" t="s">
        <v>12</v>
      </c>
      <c r="H79" s="83" t="s">
        <v>209</v>
      </c>
      <c r="I79" s="103" t="s">
        <v>217</v>
      </c>
      <c r="J79" s="76" t="s">
        <v>125</v>
      </c>
      <c r="K79" s="104"/>
      <c r="L79" s="104"/>
      <c r="M79" s="105">
        <f>IF(Tabelle132456891011[[#This Row],[Pulled after Start]]="",MIN(Tabelle132456891011[[#This Row],[Jira Story Points]],Tabelle132456891011[[#This Row],[Carry-over]]),0)</f>
        <v>0</v>
      </c>
      <c r="N79" s="106">
        <f>MIN(Tabelle132456891011[[#This Row],[Jira Story Points]],Tabelle132456891011[[#This Row],[Carry-over]])-Tabelle132456891011[[#This Row],[SP Initially Planned (COS)]]</f>
        <v>2</v>
      </c>
      <c r="O79"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2</v>
      </c>
      <c r="P79" s="108">
        <f>IFERROR(IF(Tabelle132456891011[[#This Row],[Status]]=$J$5,MIN(Tabelle132456891011[[#This Row],[Jira Story Points]],Tabelle132456891011[[#This Row],[Carry-over]]),0),0)</f>
        <v>0</v>
      </c>
      <c r="Q79" s="108">
        <f>IFERROR(IF(Tabelle132456891011[[#This Row],[Status]]=$J$5,0,MIN(Tabelle132456891011[[#This Row],[Jira Story Points]],Tabelle132456891011[[#This Row],[Carry-over]])-Tabelle132456891011[[#This Row],[SP Completed (COS &amp; SOS)]]),0)</f>
        <v>0</v>
      </c>
    </row>
    <row r="80" spans="1:39" s="46" customFormat="1" ht="13.5" customHeight="1">
      <c r="A80" s="88" t="s">
        <v>2206</v>
      </c>
      <c r="B80" s="46" t="s">
        <v>2207</v>
      </c>
      <c r="C80" s="76" t="s">
        <v>382</v>
      </c>
      <c r="D80" s="76">
        <v>3</v>
      </c>
      <c r="E80" s="76" t="s">
        <v>216</v>
      </c>
      <c r="F80" s="76">
        <v>2</v>
      </c>
      <c r="G80" s="76" t="s">
        <v>12</v>
      </c>
      <c r="H80" s="76"/>
      <c r="I80" s="103" t="s">
        <v>2208</v>
      </c>
      <c r="J80" s="76" t="s">
        <v>125</v>
      </c>
      <c r="K80" s="76"/>
      <c r="L80" s="76"/>
      <c r="M80" s="105">
        <f>IF(Tabelle132456891011[[#This Row],[Pulled after Start]]="",MIN(Tabelle132456891011[[#This Row],[Jira Story Points]],Tabelle132456891011[[#This Row],[Carry-over]]),0)</f>
        <v>2</v>
      </c>
      <c r="N80" s="106">
        <f>MIN(Tabelle132456891011[[#This Row],[Jira Story Points]],Tabelle132456891011[[#This Row],[Carry-over]])-Tabelle132456891011[[#This Row],[SP Initially Planned (COS)]]</f>
        <v>0</v>
      </c>
      <c r="O80"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2</v>
      </c>
      <c r="P80" s="108">
        <f>IFERROR(IF(Tabelle132456891011[[#This Row],[Status]]=$J$5,MIN(Tabelle132456891011[[#This Row],[Jira Story Points]],Tabelle132456891011[[#This Row],[Carry-over]]),0),0)</f>
        <v>0</v>
      </c>
      <c r="Q80" s="108">
        <f>IFERROR(IF(Tabelle132456891011[[#This Row],[Status]]=$J$5,0,MIN(Tabelle132456891011[[#This Row],[Jira Story Points]],Tabelle132456891011[[#This Row],[Carry-over]])-Tabelle132456891011[[#This Row],[SP Completed (COS &amp; SOS)]]),0)</f>
        <v>0</v>
      </c>
    </row>
    <row r="81" spans="1:17" s="46" customFormat="1" ht="13.5" customHeight="1">
      <c r="A81" s="88" t="s">
        <v>2209</v>
      </c>
      <c r="B81" s="46" t="s">
        <v>2210</v>
      </c>
      <c r="C81" s="76" t="s">
        <v>382</v>
      </c>
      <c r="D81" s="76">
        <v>3</v>
      </c>
      <c r="E81" s="76" t="s">
        <v>216</v>
      </c>
      <c r="F81" s="104">
        <v>1</v>
      </c>
      <c r="G81" s="76" t="s">
        <v>12</v>
      </c>
      <c r="H81" s="83" t="s">
        <v>209</v>
      </c>
      <c r="I81" s="103" t="s">
        <v>2211</v>
      </c>
      <c r="J81" s="76" t="s">
        <v>125</v>
      </c>
      <c r="K81" s="104"/>
      <c r="L81" s="104"/>
      <c r="M81" s="105">
        <f>IF(Tabelle132456891011[[#This Row],[Pulled after Start]]="",MIN(Tabelle132456891011[[#This Row],[Jira Story Points]],Tabelle132456891011[[#This Row],[Carry-over]]),0)</f>
        <v>0</v>
      </c>
      <c r="N81" s="106">
        <f>MIN(Tabelle132456891011[[#This Row],[Jira Story Points]],Tabelle132456891011[[#This Row],[Carry-over]])-Tabelle132456891011[[#This Row],[SP Initially Planned (COS)]]</f>
        <v>1</v>
      </c>
      <c r="O81"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81" s="108">
        <f>IFERROR(IF(Tabelle132456891011[[#This Row],[Status]]=$J$5,MIN(Tabelle132456891011[[#This Row],[Jira Story Points]],Tabelle132456891011[[#This Row],[Carry-over]]),0),0)</f>
        <v>0</v>
      </c>
      <c r="Q81" s="108">
        <f>IFERROR(IF(Tabelle132456891011[[#This Row],[Status]]=$J$5,0,MIN(Tabelle132456891011[[#This Row],[Jira Story Points]],Tabelle132456891011[[#This Row],[Carry-over]])-Tabelle132456891011[[#This Row],[SP Completed (COS &amp; SOS)]]),0)</f>
        <v>0</v>
      </c>
    </row>
    <row r="82" spans="1:17" s="46" customFormat="1" ht="13.5" customHeight="1">
      <c r="A82" s="88" t="s">
        <v>2212</v>
      </c>
      <c r="B82" s="46" t="s">
        <v>1639</v>
      </c>
      <c r="C82" s="76" t="s">
        <v>372</v>
      </c>
      <c r="D82" s="76">
        <v>3</v>
      </c>
      <c r="E82" s="76" t="s">
        <v>216</v>
      </c>
      <c r="F82" s="104">
        <v>1</v>
      </c>
      <c r="G82" s="76" t="s">
        <v>12</v>
      </c>
      <c r="H82" s="83" t="s">
        <v>209</v>
      </c>
      <c r="I82" s="103" t="s">
        <v>2213</v>
      </c>
      <c r="J82" s="76" t="s">
        <v>125</v>
      </c>
      <c r="K82" s="104"/>
      <c r="L82" s="104"/>
      <c r="M82" s="105">
        <f>IF(Tabelle132456891011[[#This Row],[Pulled after Start]]="",MIN(Tabelle132456891011[[#This Row],[Jira Story Points]],Tabelle132456891011[[#This Row],[Carry-over]]),0)</f>
        <v>0</v>
      </c>
      <c r="N82" s="106">
        <f>MIN(Tabelle132456891011[[#This Row],[Jira Story Points]],Tabelle132456891011[[#This Row],[Carry-over]])-Tabelle132456891011[[#This Row],[SP Initially Planned (COS)]]</f>
        <v>1</v>
      </c>
      <c r="O82"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82" s="108">
        <f>IFERROR(IF(Tabelle132456891011[[#This Row],[Status]]=$J$5,MIN(Tabelle132456891011[[#This Row],[Jira Story Points]],Tabelle132456891011[[#This Row],[Carry-over]]),0),0)</f>
        <v>0</v>
      </c>
      <c r="Q82" s="108">
        <f>IFERROR(IF(Tabelle132456891011[[#This Row],[Status]]=$J$5,0,MIN(Tabelle132456891011[[#This Row],[Jira Story Points]],Tabelle132456891011[[#This Row],[Carry-over]])-Tabelle132456891011[[#This Row],[SP Completed (COS &amp; SOS)]]),0)</f>
        <v>0</v>
      </c>
    </row>
    <row r="83" spans="1:17" s="46" customFormat="1" ht="13.5" hidden="1" customHeight="1">
      <c r="A83" s="115" t="s">
        <v>2214</v>
      </c>
      <c r="B83" s="47" t="s">
        <v>2215</v>
      </c>
      <c r="C83" s="76" t="s">
        <v>382</v>
      </c>
      <c r="D83" s="76">
        <v>3</v>
      </c>
      <c r="E83" s="76" t="s">
        <v>324</v>
      </c>
      <c r="F83" s="104">
        <v>1</v>
      </c>
      <c r="G83" s="76" t="s">
        <v>27</v>
      </c>
      <c r="H83" s="83" t="s">
        <v>209</v>
      </c>
      <c r="I83" s="103"/>
      <c r="J83" s="76" t="s">
        <v>125</v>
      </c>
      <c r="K83" s="104"/>
      <c r="L83" s="104"/>
      <c r="M83" s="105">
        <f>IF(Tabelle132456891011[[#This Row],[Pulled after Start]]="",MIN(Tabelle132456891011[[#This Row],[Jira Story Points]],Tabelle132456891011[[#This Row],[Carry-over]]),0)</f>
        <v>0</v>
      </c>
      <c r="N83" s="106">
        <f>MIN(Tabelle132456891011[[#This Row],[Jira Story Points]],Tabelle132456891011[[#This Row],[Carry-over]])-Tabelle132456891011[[#This Row],[SP Initially Planned (COS)]]</f>
        <v>1</v>
      </c>
      <c r="O83"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83" s="108">
        <f>IFERROR(IF(Tabelle132456891011[[#This Row],[Status]]=$J$5,MIN(Tabelle132456891011[[#This Row],[Jira Story Points]],Tabelle132456891011[[#This Row],[Carry-over]]),0),0)</f>
        <v>0</v>
      </c>
      <c r="Q83" s="108">
        <f>IFERROR(IF(Tabelle132456891011[[#This Row],[Status]]=$J$5,0,MIN(Tabelle132456891011[[#This Row],[Jira Story Points]],Tabelle132456891011[[#This Row],[Carry-over]])-Tabelle132456891011[[#This Row],[SP Completed (COS &amp; SOS)]]),0)</f>
        <v>0</v>
      </c>
    </row>
    <row r="84" spans="1:17" s="46" customFormat="1" ht="13.5" hidden="1" customHeight="1">
      <c r="A84" s="115" t="s">
        <v>2216</v>
      </c>
      <c r="B84" s="47" t="s">
        <v>2217</v>
      </c>
      <c r="C84" s="76" t="s">
        <v>375</v>
      </c>
      <c r="D84" s="76">
        <v>2</v>
      </c>
      <c r="E84" s="76" t="s">
        <v>327</v>
      </c>
      <c r="F84" s="104">
        <v>3</v>
      </c>
      <c r="G84" s="76" t="s">
        <v>27</v>
      </c>
      <c r="H84" s="83" t="s">
        <v>209</v>
      </c>
      <c r="I84" s="103"/>
      <c r="J84" s="76" t="s">
        <v>125</v>
      </c>
      <c r="K84" s="104"/>
      <c r="L84" s="104"/>
      <c r="M84" s="105">
        <f>IF(Tabelle132456891011[[#This Row],[Pulled after Start]]="",MIN(Tabelle132456891011[[#This Row],[Jira Story Points]],Tabelle132456891011[[#This Row],[Carry-over]]),0)</f>
        <v>0</v>
      </c>
      <c r="N84" s="106">
        <f>MIN(Tabelle132456891011[[#This Row],[Jira Story Points]],Tabelle132456891011[[#This Row],[Carry-over]])-Tabelle132456891011[[#This Row],[SP Initially Planned (COS)]]</f>
        <v>3</v>
      </c>
      <c r="O84"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84" s="108">
        <f>IFERROR(IF(Tabelle132456891011[[#This Row],[Status]]=$J$5,MIN(Tabelle132456891011[[#This Row],[Jira Story Points]],Tabelle132456891011[[#This Row],[Carry-over]]),0),0)</f>
        <v>0</v>
      </c>
      <c r="Q84" s="108">
        <f>IFERROR(IF(Tabelle132456891011[[#This Row],[Status]]=$J$5,0,MIN(Tabelle132456891011[[#This Row],[Jira Story Points]],Tabelle132456891011[[#This Row],[Carry-over]])-Tabelle132456891011[[#This Row],[SP Completed (COS &amp; SOS)]]),0)</f>
        <v>0</v>
      </c>
    </row>
    <row r="85" spans="1:17" s="46" customFormat="1" ht="13.5" hidden="1" customHeight="1">
      <c r="A85" s="115" t="s">
        <v>2218</v>
      </c>
      <c r="B85" s="47" t="s">
        <v>2219</v>
      </c>
      <c r="C85" s="76" t="s">
        <v>372</v>
      </c>
      <c r="D85" s="76">
        <v>3</v>
      </c>
      <c r="E85" s="76" t="s">
        <v>324</v>
      </c>
      <c r="F85" s="104">
        <v>5</v>
      </c>
      <c r="G85" s="76" t="s">
        <v>27</v>
      </c>
      <c r="H85" s="83"/>
      <c r="I85" s="103"/>
      <c r="J85" s="76" t="s">
        <v>125</v>
      </c>
      <c r="K85" s="104"/>
      <c r="L85" s="104"/>
      <c r="M85" s="105">
        <f>IF(Tabelle132456891011[[#This Row],[Pulled after Start]]="",MIN(Tabelle132456891011[[#This Row],[Jira Story Points]],Tabelle132456891011[[#This Row],[Carry-over]]),0)</f>
        <v>5</v>
      </c>
      <c r="N85" s="106">
        <f>MIN(Tabelle132456891011[[#This Row],[Jira Story Points]],Tabelle132456891011[[#This Row],[Carry-over]])-Tabelle132456891011[[#This Row],[SP Initially Planned (COS)]]</f>
        <v>0</v>
      </c>
      <c r="O85"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5</v>
      </c>
      <c r="P85" s="108">
        <f>IFERROR(IF(Tabelle132456891011[[#This Row],[Status]]=$J$5,MIN(Tabelle132456891011[[#This Row],[Jira Story Points]],Tabelle132456891011[[#This Row],[Carry-over]]),0),0)</f>
        <v>0</v>
      </c>
      <c r="Q85" s="108">
        <f>IFERROR(IF(Tabelle132456891011[[#This Row],[Status]]=$J$5,0,MIN(Tabelle132456891011[[#This Row],[Jira Story Points]],Tabelle132456891011[[#This Row],[Carry-over]])-Tabelle132456891011[[#This Row],[SP Completed (COS &amp; SOS)]]),0)</f>
        <v>0</v>
      </c>
    </row>
    <row r="86" spans="1:17" s="46" customFormat="1" ht="13.5" hidden="1" customHeight="1">
      <c r="A86" s="115" t="s">
        <v>2220</v>
      </c>
      <c r="B86" s="47" t="s">
        <v>2221</v>
      </c>
      <c r="C86" s="76" t="s">
        <v>372</v>
      </c>
      <c r="D86" s="76">
        <v>2</v>
      </c>
      <c r="E86" s="76" t="s">
        <v>327</v>
      </c>
      <c r="F86" s="104">
        <v>3</v>
      </c>
      <c r="G86" s="76" t="s">
        <v>27</v>
      </c>
      <c r="H86" s="83"/>
      <c r="I86" s="103"/>
      <c r="J86" s="76" t="s">
        <v>125</v>
      </c>
      <c r="K86" s="104"/>
      <c r="L86" s="104"/>
      <c r="M86" s="105">
        <f>IF(Tabelle132456891011[[#This Row],[Pulled after Start]]="",MIN(Tabelle132456891011[[#This Row],[Jira Story Points]],Tabelle132456891011[[#This Row],[Carry-over]]),0)</f>
        <v>3</v>
      </c>
      <c r="N86" s="106">
        <f>MIN(Tabelle132456891011[[#This Row],[Jira Story Points]],Tabelle132456891011[[#This Row],[Carry-over]])-Tabelle132456891011[[#This Row],[SP Initially Planned (COS)]]</f>
        <v>0</v>
      </c>
      <c r="O86"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86" s="108">
        <f>IFERROR(IF(Tabelle132456891011[[#This Row],[Status]]=$J$5,MIN(Tabelle132456891011[[#This Row],[Jira Story Points]],Tabelle132456891011[[#This Row],[Carry-over]]),0),0)</f>
        <v>0</v>
      </c>
      <c r="Q86" s="108">
        <f>IFERROR(IF(Tabelle132456891011[[#This Row],[Status]]=$J$5,0,MIN(Tabelle132456891011[[#This Row],[Jira Story Points]],Tabelle132456891011[[#This Row],[Carry-over]])-Tabelle132456891011[[#This Row],[SP Completed (COS &amp; SOS)]]),0)</f>
        <v>0</v>
      </c>
    </row>
    <row r="87" spans="1:17" s="46" customFormat="1" ht="13.5" hidden="1" customHeight="1">
      <c r="A87" s="115" t="s">
        <v>2222</v>
      </c>
      <c r="B87" s="47" t="s">
        <v>2223</v>
      </c>
      <c r="C87" s="76" t="s">
        <v>372</v>
      </c>
      <c r="D87" s="76">
        <v>3</v>
      </c>
      <c r="E87" s="76" t="s">
        <v>1247</v>
      </c>
      <c r="F87" s="104">
        <v>5</v>
      </c>
      <c r="G87" s="76" t="s">
        <v>27</v>
      </c>
      <c r="H87" s="83"/>
      <c r="I87" s="103"/>
      <c r="J87" s="76" t="s">
        <v>125</v>
      </c>
      <c r="K87" s="104"/>
      <c r="L87" s="104"/>
      <c r="M87" s="105">
        <f>IF(Tabelle132456891011[[#This Row],[Pulled after Start]]="",MIN(Tabelle132456891011[[#This Row],[Jira Story Points]],Tabelle132456891011[[#This Row],[Carry-over]]),0)</f>
        <v>5</v>
      </c>
      <c r="N87" s="106">
        <f>MIN(Tabelle132456891011[[#This Row],[Jira Story Points]],Tabelle132456891011[[#This Row],[Carry-over]])-Tabelle132456891011[[#This Row],[SP Initially Planned (COS)]]</f>
        <v>0</v>
      </c>
      <c r="O87"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5</v>
      </c>
      <c r="P87" s="108">
        <f>IFERROR(IF(Tabelle132456891011[[#This Row],[Status]]=$J$5,MIN(Tabelle132456891011[[#This Row],[Jira Story Points]],Tabelle132456891011[[#This Row],[Carry-over]]),0),0)</f>
        <v>0</v>
      </c>
      <c r="Q87" s="108">
        <f>IFERROR(IF(Tabelle132456891011[[#This Row],[Status]]=$J$5,0,MIN(Tabelle132456891011[[#This Row],[Jira Story Points]],Tabelle132456891011[[#This Row],[Carry-over]])-Tabelle132456891011[[#This Row],[SP Completed (COS &amp; SOS)]]),0)</f>
        <v>0</v>
      </c>
    </row>
    <row r="88" spans="1:17" s="46" customFormat="1" ht="13.5" hidden="1" customHeight="1">
      <c r="A88" s="115" t="s">
        <v>2224</v>
      </c>
      <c r="B88" s="47" t="s">
        <v>2225</v>
      </c>
      <c r="C88" s="76" t="s">
        <v>375</v>
      </c>
      <c r="D88" s="76">
        <v>3</v>
      </c>
      <c r="E88" s="76" t="s">
        <v>324</v>
      </c>
      <c r="F88" s="104">
        <v>1</v>
      </c>
      <c r="G88" s="76" t="s">
        <v>27</v>
      </c>
      <c r="H88" s="83"/>
      <c r="I88" s="103"/>
      <c r="J88" s="76" t="s">
        <v>125</v>
      </c>
      <c r="K88" s="104"/>
      <c r="L88" s="104"/>
      <c r="M88" s="105">
        <f>IF(Tabelle132456891011[[#This Row],[Pulled after Start]]="",MIN(Tabelle132456891011[[#This Row],[Jira Story Points]],Tabelle132456891011[[#This Row],[Carry-over]]),0)</f>
        <v>1</v>
      </c>
      <c r="N88" s="106">
        <f>MIN(Tabelle132456891011[[#This Row],[Jira Story Points]],Tabelle132456891011[[#This Row],[Carry-over]])-Tabelle132456891011[[#This Row],[SP Initially Planned (COS)]]</f>
        <v>0</v>
      </c>
      <c r="O88"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88" s="108">
        <f>IFERROR(IF(Tabelle132456891011[[#This Row],[Status]]=$J$5,MIN(Tabelle132456891011[[#This Row],[Jira Story Points]],Tabelle132456891011[[#This Row],[Carry-over]]),0),0)</f>
        <v>0</v>
      </c>
      <c r="Q88" s="108">
        <f>IFERROR(IF(Tabelle132456891011[[#This Row],[Status]]=$J$5,0,MIN(Tabelle132456891011[[#This Row],[Jira Story Points]],Tabelle132456891011[[#This Row],[Carry-over]])-Tabelle132456891011[[#This Row],[SP Completed (COS &amp; SOS)]]),0)</f>
        <v>0</v>
      </c>
    </row>
    <row r="89" spans="1:17" s="46" customFormat="1" ht="13.5" hidden="1" customHeight="1">
      <c r="A89" s="115" t="s">
        <v>2226</v>
      </c>
      <c r="B89" s="47" t="s">
        <v>2227</v>
      </c>
      <c r="C89" s="76" t="s">
        <v>375</v>
      </c>
      <c r="D89" s="76">
        <v>2</v>
      </c>
      <c r="E89" s="76" t="s">
        <v>324</v>
      </c>
      <c r="F89" s="104">
        <v>20</v>
      </c>
      <c r="G89" s="76" t="s">
        <v>27</v>
      </c>
      <c r="H89" s="83"/>
      <c r="I89" s="103"/>
      <c r="J89" s="76" t="s">
        <v>125</v>
      </c>
      <c r="K89" s="104"/>
      <c r="L89" s="104"/>
      <c r="M89" s="105">
        <f>IF(Tabelle132456891011[[#This Row],[Pulled after Start]]="",MIN(Tabelle132456891011[[#This Row],[Jira Story Points]],Tabelle132456891011[[#This Row],[Carry-over]]),0)</f>
        <v>20</v>
      </c>
      <c r="N89" s="106">
        <f>MIN(Tabelle132456891011[[#This Row],[Jira Story Points]],Tabelle132456891011[[#This Row],[Carry-over]])-Tabelle132456891011[[#This Row],[SP Initially Planned (COS)]]</f>
        <v>0</v>
      </c>
      <c r="O89"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20</v>
      </c>
      <c r="P89" s="108">
        <f>IFERROR(IF(Tabelle132456891011[[#This Row],[Status]]=$J$5,MIN(Tabelle132456891011[[#This Row],[Jira Story Points]],Tabelle132456891011[[#This Row],[Carry-over]]),0),0)</f>
        <v>0</v>
      </c>
      <c r="Q89" s="108">
        <f>IFERROR(IF(Tabelle132456891011[[#This Row],[Status]]=$J$5,0,MIN(Tabelle132456891011[[#This Row],[Jira Story Points]],Tabelle132456891011[[#This Row],[Carry-over]])-Tabelle132456891011[[#This Row],[SP Completed (COS &amp; SOS)]]),0)</f>
        <v>0</v>
      </c>
    </row>
    <row r="90" spans="1:17" s="46" customFormat="1" ht="13.5" hidden="1" customHeight="1">
      <c r="A90" s="115" t="s">
        <v>2228</v>
      </c>
      <c r="B90" s="47" t="s">
        <v>2229</v>
      </c>
      <c r="C90" s="76" t="s">
        <v>372</v>
      </c>
      <c r="D90" s="76">
        <v>3</v>
      </c>
      <c r="E90" s="76" t="s">
        <v>327</v>
      </c>
      <c r="F90" s="104">
        <v>5</v>
      </c>
      <c r="G90" s="76" t="s">
        <v>27</v>
      </c>
      <c r="H90" s="83"/>
      <c r="I90" s="103"/>
      <c r="J90" s="76" t="s">
        <v>125</v>
      </c>
      <c r="K90" s="104"/>
      <c r="L90" s="104"/>
      <c r="M90" s="105">
        <f>IF(Tabelle132456891011[[#This Row],[Pulled after Start]]="",MIN(Tabelle132456891011[[#This Row],[Jira Story Points]],Tabelle132456891011[[#This Row],[Carry-over]]),0)</f>
        <v>5</v>
      </c>
      <c r="N90" s="106">
        <f>MIN(Tabelle132456891011[[#This Row],[Jira Story Points]],Tabelle132456891011[[#This Row],[Carry-over]])-Tabelle132456891011[[#This Row],[SP Initially Planned (COS)]]</f>
        <v>0</v>
      </c>
      <c r="O90"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5</v>
      </c>
      <c r="P90" s="108">
        <f>IFERROR(IF(Tabelle132456891011[[#This Row],[Status]]=$J$5,MIN(Tabelle132456891011[[#This Row],[Jira Story Points]],Tabelle132456891011[[#This Row],[Carry-over]]),0),0)</f>
        <v>0</v>
      </c>
      <c r="Q90" s="108">
        <f>IFERROR(IF(Tabelle132456891011[[#This Row],[Status]]=$J$5,0,MIN(Tabelle132456891011[[#This Row],[Jira Story Points]],Tabelle132456891011[[#This Row],[Carry-over]])-Tabelle132456891011[[#This Row],[SP Completed (COS &amp; SOS)]]),0)</f>
        <v>0</v>
      </c>
    </row>
    <row r="91" spans="1:17" s="46" customFormat="1" ht="13.5" hidden="1" customHeight="1">
      <c r="A91" s="115" t="s">
        <v>2230</v>
      </c>
      <c r="B91" s="47" t="s">
        <v>2231</v>
      </c>
      <c r="C91" s="76" t="s">
        <v>372</v>
      </c>
      <c r="D91" s="76">
        <v>3</v>
      </c>
      <c r="E91" s="76" t="s">
        <v>324</v>
      </c>
      <c r="F91" s="104">
        <v>5</v>
      </c>
      <c r="G91" s="76" t="s">
        <v>27</v>
      </c>
      <c r="H91" s="83"/>
      <c r="I91" s="103"/>
      <c r="J91" s="76" t="s">
        <v>125</v>
      </c>
      <c r="K91" s="104"/>
      <c r="L91" s="104"/>
      <c r="M91" s="105">
        <f>IF(Tabelle132456891011[[#This Row],[Pulled after Start]]="",MIN(Tabelle132456891011[[#This Row],[Jira Story Points]],Tabelle132456891011[[#This Row],[Carry-over]]),0)</f>
        <v>5</v>
      </c>
      <c r="N91" s="106">
        <f>MIN(Tabelle132456891011[[#This Row],[Jira Story Points]],Tabelle132456891011[[#This Row],[Carry-over]])-Tabelle132456891011[[#This Row],[SP Initially Planned (COS)]]</f>
        <v>0</v>
      </c>
      <c r="O91"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5</v>
      </c>
      <c r="P91" s="108">
        <f>IFERROR(IF(Tabelle132456891011[[#This Row],[Status]]=$J$5,MIN(Tabelle132456891011[[#This Row],[Jira Story Points]],Tabelle132456891011[[#This Row],[Carry-over]]),0),0)</f>
        <v>0</v>
      </c>
      <c r="Q91" s="108">
        <f>IFERROR(IF(Tabelle132456891011[[#This Row],[Status]]=$J$5,0,MIN(Tabelle132456891011[[#This Row],[Jira Story Points]],Tabelle132456891011[[#This Row],[Carry-over]])-Tabelle132456891011[[#This Row],[SP Completed (COS &amp; SOS)]]),0)</f>
        <v>0</v>
      </c>
    </row>
    <row r="92" spans="1:17" s="46" customFormat="1" ht="13.5" hidden="1" customHeight="1">
      <c r="A92" s="115" t="s">
        <v>2232</v>
      </c>
      <c r="B92" s="47" t="s">
        <v>2233</v>
      </c>
      <c r="C92" s="76" t="s">
        <v>372</v>
      </c>
      <c r="D92" s="76">
        <v>2</v>
      </c>
      <c r="E92" s="76" t="s">
        <v>324</v>
      </c>
      <c r="F92" s="104">
        <v>8</v>
      </c>
      <c r="G92" s="76" t="s">
        <v>27</v>
      </c>
      <c r="H92" s="83"/>
      <c r="I92" s="103"/>
      <c r="J92" s="76" t="s">
        <v>125</v>
      </c>
      <c r="K92" s="104"/>
      <c r="L92" s="104"/>
      <c r="M92" s="105">
        <f>IF(Tabelle132456891011[[#This Row],[Pulled after Start]]="",MIN(Tabelle132456891011[[#This Row],[Jira Story Points]],Tabelle132456891011[[#This Row],[Carry-over]]),0)</f>
        <v>8</v>
      </c>
      <c r="N92" s="106">
        <f>MIN(Tabelle132456891011[[#This Row],[Jira Story Points]],Tabelle132456891011[[#This Row],[Carry-over]])-Tabelle132456891011[[#This Row],[SP Initially Planned (COS)]]</f>
        <v>0</v>
      </c>
      <c r="O92"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8</v>
      </c>
      <c r="P92" s="108">
        <f>IFERROR(IF(Tabelle132456891011[[#This Row],[Status]]=$J$5,MIN(Tabelle132456891011[[#This Row],[Jira Story Points]],Tabelle132456891011[[#This Row],[Carry-over]]),0),0)</f>
        <v>0</v>
      </c>
      <c r="Q92" s="108">
        <f>IFERROR(IF(Tabelle132456891011[[#This Row],[Status]]=$J$5,0,MIN(Tabelle132456891011[[#This Row],[Jira Story Points]],Tabelle132456891011[[#This Row],[Carry-over]])-Tabelle132456891011[[#This Row],[SP Completed (COS &amp; SOS)]]),0)</f>
        <v>0</v>
      </c>
    </row>
    <row r="93" spans="1:17" s="46" customFormat="1" ht="13.5" hidden="1" customHeight="1">
      <c r="A93" s="118" t="s">
        <v>2234</v>
      </c>
      <c r="B93" s="47" t="s">
        <v>2235</v>
      </c>
      <c r="C93" s="76" t="s">
        <v>372</v>
      </c>
      <c r="D93" s="76">
        <v>2</v>
      </c>
      <c r="E93" s="76" t="s">
        <v>324</v>
      </c>
      <c r="F93" s="104">
        <v>8</v>
      </c>
      <c r="G93" s="76" t="s">
        <v>21</v>
      </c>
      <c r="H93" s="83"/>
      <c r="I93" s="103"/>
      <c r="J93" s="76" t="s">
        <v>125</v>
      </c>
      <c r="K93" s="104">
        <v>3</v>
      </c>
      <c r="L93" s="104"/>
      <c r="M93" s="105">
        <f>IF(Tabelle132456891011[[#This Row],[Pulled after Start]]="",MIN(Tabelle132456891011[[#This Row],[Jira Story Points]],Tabelle132456891011[[#This Row],[Carry-over]]),0)</f>
        <v>3</v>
      </c>
      <c r="N93" s="106">
        <f>MIN(Tabelle132456891011[[#This Row],[Jira Story Points]],Tabelle132456891011[[#This Row],[Carry-over]])-Tabelle132456891011[[#This Row],[SP Initially Planned (COS)]]</f>
        <v>0</v>
      </c>
      <c r="O93"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93" s="108">
        <f>IFERROR(IF(Tabelle132456891011[[#This Row],[Status]]=$J$5,MIN(Tabelle132456891011[[#This Row],[Jira Story Points]],Tabelle132456891011[[#This Row],[Carry-over]]),0),0)</f>
        <v>0</v>
      </c>
      <c r="Q93" s="108">
        <f>IFERROR(IF(Tabelle132456891011[[#This Row],[Status]]=$J$5,0,MIN(Tabelle132456891011[[#This Row],[Jira Story Points]],Tabelle132456891011[[#This Row],[Carry-over]])-Tabelle132456891011[[#This Row],[SP Completed (COS &amp; SOS)]]),0)</f>
        <v>0</v>
      </c>
    </row>
    <row r="94" spans="1:17" s="46" customFormat="1" ht="13.5" hidden="1" customHeight="1">
      <c r="A94" s="118" t="s">
        <v>2236</v>
      </c>
      <c r="B94" s="47" t="s">
        <v>2237</v>
      </c>
      <c r="C94" s="76" t="s">
        <v>372</v>
      </c>
      <c r="D94" s="76">
        <v>3</v>
      </c>
      <c r="E94" s="76" t="s">
        <v>324</v>
      </c>
      <c r="F94" s="104">
        <v>3</v>
      </c>
      <c r="G94" s="76" t="s">
        <v>21</v>
      </c>
      <c r="H94" s="83" t="s">
        <v>209</v>
      </c>
      <c r="I94" s="103"/>
      <c r="J94" s="76" t="s">
        <v>125</v>
      </c>
      <c r="K94" s="104"/>
      <c r="L94" s="104"/>
      <c r="M94" s="105">
        <f>IF(Tabelle132456891011[[#This Row],[Pulled after Start]]="",MIN(Tabelle132456891011[[#This Row],[Jira Story Points]],Tabelle132456891011[[#This Row],[Carry-over]]),0)</f>
        <v>0</v>
      </c>
      <c r="N94" s="106">
        <f>MIN(Tabelle132456891011[[#This Row],[Jira Story Points]],Tabelle132456891011[[#This Row],[Carry-over]])-Tabelle132456891011[[#This Row],[SP Initially Planned (COS)]]</f>
        <v>3</v>
      </c>
      <c r="O94"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94" s="108">
        <f>IFERROR(IF(Tabelle132456891011[[#This Row],[Status]]=$J$5,MIN(Tabelle132456891011[[#This Row],[Jira Story Points]],Tabelle132456891011[[#This Row],[Carry-over]]),0),0)</f>
        <v>0</v>
      </c>
      <c r="Q94" s="108">
        <f>IFERROR(IF(Tabelle132456891011[[#This Row],[Status]]=$J$5,0,MIN(Tabelle132456891011[[#This Row],[Jira Story Points]],Tabelle132456891011[[#This Row],[Carry-over]])-Tabelle132456891011[[#This Row],[SP Completed (COS &amp; SOS)]]),0)</f>
        <v>0</v>
      </c>
    </row>
    <row r="95" spans="1:17" s="46" customFormat="1" ht="13.5" hidden="1" customHeight="1">
      <c r="A95" s="118" t="s">
        <v>2238</v>
      </c>
      <c r="B95" s="47" t="s">
        <v>2239</v>
      </c>
      <c r="C95" s="76" t="s">
        <v>375</v>
      </c>
      <c r="D95" s="76">
        <v>3</v>
      </c>
      <c r="E95" s="76" t="s">
        <v>324</v>
      </c>
      <c r="F95" s="104">
        <v>1</v>
      </c>
      <c r="G95" s="76" t="s">
        <v>21</v>
      </c>
      <c r="H95" s="83" t="s">
        <v>209</v>
      </c>
      <c r="I95" s="103"/>
      <c r="J95" s="76" t="s">
        <v>125</v>
      </c>
      <c r="K95" s="104"/>
      <c r="L95" s="104"/>
      <c r="M95" s="105">
        <f>IF(Tabelle132456891011[[#This Row],[Pulled after Start]]="",MIN(Tabelle132456891011[[#This Row],[Jira Story Points]],Tabelle132456891011[[#This Row],[Carry-over]]),0)</f>
        <v>0</v>
      </c>
      <c r="N95" s="106">
        <f>MIN(Tabelle132456891011[[#This Row],[Jira Story Points]],Tabelle132456891011[[#This Row],[Carry-over]])-Tabelle132456891011[[#This Row],[SP Initially Planned (COS)]]</f>
        <v>1</v>
      </c>
      <c r="O95"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95" s="108">
        <f>IFERROR(IF(Tabelle132456891011[[#This Row],[Status]]=$J$5,MIN(Tabelle132456891011[[#This Row],[Jira Story Points]],Tabelle132456891011[[#This Row],[Carry-over]]),0),0)</f>
        <v>0</v>
      </c>
      <c r="Q95" s="108">
        <f>IFERROR(IF(Tabelle132456891011[[#This Row],[Status]]=$J$5,0,MIN(Tabelle132456891011[[#This Row],[Jira Story Points]],Tabelle132456891011[[#This Row],[Carry-over]])-Tabelle132456891011[[#This Row],[SP Completed (COS &amp; SOS)]]),0)</f>
        <v>0</v>
      </c>
    </row>
    <row r="96" spans="1:17" s="46" customFormat="1" ht="13.5" hidden="1" customHeight="1">
      <c r="A96" s="118" t="s">
        <v>2240</v>
      </c>
      <c r="B96" s="47" t="s">
        <v>2241</v>
      </c>
      <c r="C96" s="76" t="s">
        <v>375</v>
      </c>
      <c r="D96" s="76">
        <v>3</v>
      </c>
      <c r="E96" s="76" t="s">
        <v>637</v>
      </c>
      <c r="F96" s="104">
        <v>3</v>
      </c>
      <c r="G96" s="76" t="s">
        <v>21</v>
      </c>
      <c r="H96" s="83"/>
      <c r="I96" s="103"/>
      <c r="J96" s="76" t="s">
        <v>127</v>
      </c>
      <c r="K96" s="104"/>
      <c r="L96" s="104"/>
      <c r="M96" s="105">
        <f>IF(Tabelle132456891011[[#This Row],[Pulled after Start]]="",MIN(Tabelle132456891011[[#This Row],[Jira Story Points]],Tabelle132456891011[[#This Row],[Carry-over]]),0)</f>
        <v>3</v>
      </c>
      <c r="N96" s="106">
        <f>MIN(Tabelle132456891011[[#This Row],[Jira Story Points]],Tabelle132456891011[[#This Row],[Carry-over]])-Tabelle132456891011[[#This Row],[SP Initially Planned (COS)]]</f>
        <v>0</v>
      </c>
      <c r="O96"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96" s="108">
        <f>IFERROR(IF(Tabelle132456891011[[#This Row],[Status]]=$J$5,MIN(Tabelle132456891011[[#This Row],[Jira Story Points]],Tabelle132456891011[[#This Row],[Carry-over]]),0),0)</f>
        <v>0</v>
      </c>
      <c r="Q96" s="108">
        <f>IFERROR(IF(Tabelle132456891011[[#This Row],[Status]]=$J$5,0,MIN(Tabelle132456891011[[#This Row],[Jira Story Points]],Tabelle132456891011[[#This Row],[Carry-over]])-Tabelle132456891011[[#This Row],[SP Completed (COS &amp; SOS)]]),0)</f>
        <v>3</v>
      </c>
    </row>
    <row r="97" spans="1:17" s="46" customFormat="1" ht="13.5" hidden="1" customHeight="1">
      <c r="A97" s="118" t="s">
        <v>2242</v>
      </c>
      <c r="B97" s="47" t="s">
        <v>2243</v>
      </c>
      <c r="C97" s="76" t="s">
        <v>372</v>
      </c>
      <c r="D97" s="76">
        <v>3</v>
      </c>
      <c r="E97" s="76" t="s">
        <v>324</v>
      </c>
      <c r="F97" s="104">
        <v>5</v>
      </c>
      <c r="G97" s="76" t="s">
        <v>21</v>
      </c>
      <c r="H97" s="83"/>
      <c r="I97" s="103"/>
      <c r="J97" s="76" t="s">
        <v>125</v>
      </c>
      <c r="K97" s="104"/>
      <c r="L97" s="104"/>
      <c r="M97" s="105">
        <f>IF(Tabelle132456891011[[#This Row],[Pulled after Start]]="",MIN(Tabelle132456891011[[#This Row],[Jira Story Points]],Tabelle132456891011[[#This Row],[Carry-over]]),0)</f>
        <v>5</v>
      </c>
      <c r="N97" s="106">
        <f>MIN(Tabelle132456891011[[#This Row],[Jira Story Points]],Tabelle132456891011[[#This Row],[Carry-over]])-Tabelle132456891011[[#This Row],[SP Initially Planned (COS)]]</f>
        <v>0</v>
      </c>
      <c r="O97"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5</v>
      </c>
      <c r="P97" s="108">
        <f>IFERROR(IF(Tabelle132456891011[[#This Row],[Status]]=$J$5,MIN(Tabelle132456891011[[#This Row],[Jira Story Points]],Tabelle132456891011[[#This Row],[Carry-over]]),0),0)</f>
        <v>0</v>
      </c>
      <c r="Q97" s="108">
        <f>IFERROR(IF(Tabelle132456891011[[#This Row],[Status]]=$J$5,0,MIN(Tabelle132456891011[[#This Row],[Jira Story Points]],Tabelle132456891011[[#This Row],[Carry-over]])-Tabelle132456891011[[#This Row],[SP Completed (COS &amp; SOS)]]),0)</f>
        <v>0</v>
      </c>
    </row>
    <row r="98" spans="1:17" s="46" customFormat="1" ht="13.5" hidden="1" customHeight="1">
      <c r="A98" s="118" t="s">
        <v>1943</v>
      </c>
      <c r="B98" s="47" t="s">
        <v>1944</v>
      </c>
      <c r="C98" s="76" t="s">
        <v>372</v>
      </c>
      <c r="D98" s="76">
        <v>3</v>
      </c>
      <c r="E98" s="76" t="s">
        <v>2244</v>
      </c>
      <c r="F98" s="104">
        <v>3</v>
      </c>
      <c r="G98" s="76" t="s">
        <v>21</v>
      </c>
      <c r="H98" s="83"/>
      <c r="I98" s="103"/>
      <c r="J98" s="76" t="s">
        <v>127</v>
      </c>
      <c r="K98" s="104"/>
      <c r="L98" s="104">
        <v>1</v>
      </c>
      <c r="M98" s="105">
        <f>IF(Tabelle132456891011[[#This Row],[Pulled after Start]]="",MIN(Tabelle132456891011[[#This Row],[Jira Story Points]],Tabelle132456891011[[#This Row],[Carry-over]]),0)</f>
        <v>3</v>
      </c>
      <c r="N98" s="106">
        <f>MIN(Tabelle132456891011[[#This Row],[Jira Story Points]],Tabelle132456891011[[#This Row],[Carry-over]])-Tabelle132456891011[[#This Row],[SP Initially Planned (COS)]]</f>
        <v>0</v>
      </c>
      <c r="O98"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2</v>
      </c>
      <c r="P98" s="108">
        <f>IFERROR(IF(Tabelle132456891011[[#This Row],[Status]]=$J$5,MIN(Tabelle132456891011[[#This Row],[Jira Story Points]],Tabelle132456891011[[#This Row],[Carry-over]]),0),0)</f>
        <v>0</v>
      </c>
      <c r="Q98" s="108">
        <f>IFERROR(IF(Tabelle132456891011[[#This Row],[Status]]=$J$5,0,MIN(Tabelle132456891011[[#This Row],[Jira Story Points]],Tabelle132456891011[[#This Row],[Carry-over]])-Tabelle132456891011[[#This Row],[SP Completed (COS &amp; SOS)]]),0)</f>
        <v>1</v>
      </c>
    </row>
    <row r="99" spans="1:17" s="46" customFormat="1" ht="13.5" hidden="1" customHeight="1">
      <c r="A99" s="118" t="s">
        <v>2245</v>
      </c>
      <c r="B99" s="47" t="s">
        <v>2246</v>
      </c>
      <c r="C99" s="76" t="s">
        <v>372</v>
      </c>
      <c r="D99" s="76">
        <v>3</v>
      </c>
      <c r="E99" s="76" t="s">
        <v>324</v>
      </c>
      <c r="F99" s="104">
        <v>8</v>
      </c>
      <c r="G99" s="76" t="s">
        <v>21</v>
      </c>
      <c r="H99" s="83"/>
      <c r="I99" s="103"/>
      <c r="J99" s="76" t="s">
        <v>125</v>
      </c>
      <c r="K99" s="104"/>
      <c r="L99" s="104"/>
      <c r="M99" s="105">
        <f>IF(Tabelle132456891011[[#This Row],[Pulled after Start]]="",MIN(Tabelle132456891011[[#This Row],[Jira Story Points]],Tabelle132456891011[[#This Row],[Carry-over]]),0)</f>
        <v>8</v>
      </c>
      <c r="N99" s="106">
        <f>MIN(Tabelle132456891011[[#This Row],[Jira Story Points]],Tabelle132456891011[[#This Row],[Carry-over]])-Tabelle132456891011[[#This Row],[SP Initially Planned (COS)]]</f>
        <v>0</v>
      </c>
      <c r="O99"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8</v>
      </c>
      <c r="P99" s="108">
        <f>IFERROR(IF(Tabelle132456891011[[#This Row],[Status]]=$J$5,MIN(Tabelle132456891011[[#This Row],[Jira Story Points]],Tabelle132456891011[[#This Row],[Carry-over]]),0),0)</f>
        <v>0</v>
      </c>
      <c r="Q99" s="108">
        <f>IFERROR(IF(Tabelle132456891011[[#This Row],[Status]]=$J$5,0,MIN(Tabelle132456891011[[#This Row],[Jira Story Points]],Tabelle132456891011[[#This Row],[Carry-over]])-Tabelle132456891011[[#This Row],[SP Completed (COS &amp; SOS)]]),0)</f>
        <v>0</v>
      </c>
    </row>
    <row r="100" spans="1:17" s="46" customFormat="1" ht="13.5" hidden="1" customHeight="1">
      <c r="A100" s="118" t="s">
        <v>2247</v>
      </c>
      <c r="B100" s="47" t="s">
        <v>2248</v>
      </c>
      <c r="C100" s="76" t="s">
        <v>372</v>
      </c>
      <c r="D100" s="76">
        <v>3</v>
      </c>
      <c r="E100" s="76" t="s">
        <v>324</v>
      </c>
      <c r="F100" s="104">
        <v>2</v>
      </c>
      <c r="G100" s="76" t="s">
        <v>21</v>
      </c>
      <c r="H100" s="83" t="s">
        <v>209</v>
      </c>
      <c r="I100" s="103"/>
      <c r="J100" s="76" t="s">
        <v>125</v>
      </c>
      <c r="K100" s="104"/>
      <c r="L100" s="104"/>
      <c r="M100" s="105">
        <f>IF(Tabelle132456891011[[#This Row],[Pulled after Start]]="",MIN(Tabelle132456891011[[#This Row],[Jira Story Points]],Tabelle132456891011[[#This Row],[Carry-over]]),0)</f>
        <v>0</v>
      </c>
      <c r="N100" s="106">
        <f>MIN(Tabelle132456891011[[#This Row],[Jira Story Points]],Tabelle132456891011[[#This Row],[Carry-over]])-Tabelle132456891011[[#This Row],[SP Initially Planned (COS)]]</f>
        <v>2</v>
      </c>
      <c r="O100"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2</v>
      </c>
      <c r="P100" s="108">
        <f>IFERROR(IF(Tabelle132456891011[[#This Row],[Status]]=$J$5,MIN(Tabelle132456891011[[#This Row],[Jira Story Points]],Tabelle132456891011[[#This Row],[Carry-over]]),0),0)</f>
        <v>0</v>
      </c>
      <c r="Q100" s="108">
        <f>IFERROR(IF(Tabelle132456891011[[#This Row],[Status]]=$J$5,0,MIN(Tabelle132456891011[[#This Row],[Jira Story Points]],Tabelle132456891011[[#This Row],[Carry-over]])-Tabelle132456891011[[#This Row],[SP Completed (COS &amp; SOS)]]),0)</f>
        <v>0</v>
      </c>
    </row>
    <row r="101" spans="1:17" s="46" customFormat="1" ht="13.5" hidden="1" customHeight="1">
      <c r="A101" s="118" t="s">
        <v>2249</v>
      </c>
      <c r="B101" s="47" t="s">
        <v>2250</v>
      </c>
      <c r="C101" s="76" t="s">
        <v>375</v>
      </c>
      <c r="D101" s="76">
        <v>3</v>
      </c>
      <c r="E101" s="76" t="s">
        <v>637</v>
      </c>
      <c r="F101" s="104">
        <v>5</v>
      </c>
      <c r="G101" s="76" t="s">
        <v>21</v>
      </c>
      <c r="H101" s="83"/>
      <c r="I101" s="103"/>
      <c r="J101" s="76" t="s">
        <v>127</v>
      </c>
      <c r="K101" s="104"/>
      <c r="L101" s="104"/>
      <c r="M101" s="105">
        <f>IF(Tabelle132456891011[[#This Row],[Pulled after Start]]="",MIN(Tabelle132456891011[[#This Row],[Jira Story Points]],Tabelle132456891011[[#This Row],[Carry-over]]),0)</f>
        <v>5</v>
      </c>
      <c r="N101" s="106">
        <f>MIN(Tabelle132456891011[[#This Row],[Jira Story Points]],Tabelle132456891011[[#This Row],[Carry-over]])-Tabelle132456891011[[#This Row],[SP Initially Planned (COS)]]</f>
        <v>0</v>
      </c>
      <c r="O101"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01" s="108">
        <f>IFERROR(IF(Tabelle132456891011[[#This Row],[Status]]=$J$5,MIN(Tabelle132456891011[[#This Row],[Jira Story Points]],Tabelle132456891011[[#This Row],[Carry-over]]),0),0)</f>
        <v>0</v>
      </c>
      <c r="Q101" s="108">
        <f>IFERROR(IF(Tabelle132456891011[[#This Row],[Status]]=$J$5,0,MIN(Tabelle132456891011[[#This Row],[Jira Story Points]],Tabelle132456891011[[#This Row],[Carry-over]])-Tabelle132456891011[[#This Row],[SP Completed (COS &amp; SOS)]]),0)</f>
        <v>5</v>
      </c>
    </row>
    <row r="102" spans="1:17" s="46" customFormat="1" ht="13.5" hidden="1" customHeight="1">
      <c r="A102" s="118" t="s">
        <v>2251</v>
      </c>
      <c r="B102" s="47" t="s">
        <v>2252</v>
      </c>
      <c r="C102" s="76" t="s">
        <v>372</v>
      </c>
      <c r="D102" s="76">
        <v>3</v>
      </c>
      <c r="E102" s="76" t="s">
        <v>324</v>
      </c>
      <c r="F102" s="104">
        <v>2</v>
      </c>
      <c r="G102" s="76" t="s">
        <v>21</v>
      </c>
      <c r="H102" s="83" t="s">
        <v>209</v>
      </c>
      <c r="I102" s="103"/>
      <c r="J102" s="76" t="s">
        <v>125</v>
      </c>
      <c r="K102" s="104"/>
      <c r="L102" s="104"/>
      <c r="M102" s="105">
        <f>IF(Tabelle132456891011[[#This Row],[Pulled after Start]]="",MIN(Tabelle132456891011[[#This Row],[Jira Story Points]],Tabelle132456891011[[#This Row],[Carry-over]]),0)</f>
        <v>0</v>
      </c>
      <c r="N102" s="106">
        <f>MIN(Tabelle132456891011[[#This Row],[Jira Story Points]],Tabelle132456891011[[#This Row],[Carry-over]])-Tabelle132456891011[[#This Row],[SP Initially Planned (COS)]]</f>
        <v>2</v>
      </c>
      <c r="O102"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2</v>
      </c>
      <c r="P102" s="108">
        <f>IFERROR(IF(Tabelle132456891011[[#This Row],[Status]]=$J$5,MIN(Tabelle132456891011[[#This Row],[Jira Story Points]],Tabelle132456891011[[#This Row],[Carry-over]]),0),0)</f>
        <v>0</v>
      </c>
      <c r="Q102" s="108">
        <f>IFERROR(IF(Tabelle132456891011[[#This Row],[Status]]=$J$5,0,MIN(Tabelle132456891011[[#This Row],[Jira Story Points]],Tabelle132456891011[[#This Row],[Carry-over]])-Tabelle132456891011[[#This Row],[SP Completed (COS &amp; SOS)]]),0)</f>
        <v>0</v>
      </c>
    </row>
    <row r="103" spans="1:17" s="46" customFormat="1" ht="13.5" hidden="1" customHeight="1">
      <c r="A103" s="88" t="s">
        <v>2253</v>
      </c>
      <c r="B103" s="46" t="s">
        <v>2254</v>
      </c>
      <c r="C103" s="76" t="s">
        <v>372</v>
      </c>
      <c r="D103" s="76">
        <v>5</v>
      </c>
      <c r="E103" s="76" t="s">
        <v>216</v>
      </c>
      <c r="F103" s="76">
        <v>5</v>
      </c>
      <c r="G103" s="76" t="s">
        <v>17</v>
      </c>
      <c r="H103" s="76"/>
      <c r="I103" s="103"/>
      <c r="J103" s="76" t="s">
        <v>125</v>
      </c>
      <c r="K103" s="104">
        <v>1</v>
      </c>
      <c r="L103" s="104"/>
      <c r="M103" s="105">
        <f>IF(Tabelle132456891011[[#This Row],[Pulled after Start]]="",MIN(Tabelle132456891011[[#This Row],[Jira Story Points]],Tabelle132456891011[[#This Row],[Carry-over]]),0)</f>
        <v>1</v>
      </c>
      <c r="N103" s="106">
        <f>MIN(Tabelle132456891011[[#This Row],[Jira Story Points]],Tabelle132456891011[[#This Row],[Carry-over]])-Tabelle132456891011[[#This Row],[SP Initially Planned (COS)]]</f>
        <v>0</v>
      </c>
      <c r="O103"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103" s="108">
        <f>IFERROR(IF(Tabelle132456891011[[#This Row],[Status]]=$J$5,MIN(Tabelle132456891011[[#This Row],[Jira Story Points]],Tabelle132456891011[[#This Row],[Carry-over]]),0),0)</f>
        <v>0</v>
      </c>
      <c r="Q103" s="108">
        <f>IFERROR(IF(Tabelle132456891011[[#This Row],[Status]]=$J$5,0,MIN(Tabelle132456891011[[#This Row],[Jira Story Points]],Tabelle132456891011[[#This Row],[Carry-over]])-Tabelle132456891011[[#This Row],[SP Completed (COS &amp; SOS)]]),0)</f>
        <v>0</v>
      </c>
    </row>
    <row r="104" spans="1:17" s="46" customFormat="1" ht="13.5" hidden="1" customHeight="1">
      <c r="A104" s="88" t="s">
        <v>1982</v>
      </c>
      <c r="B104" s="46" t="s">
        <v>1983</v>
      </c>
      <c r="C104" s="76" t="s">
        <v>375</v>
      </c>
      <c r="D104" s="76">
        <v>3</v>
      </c>
      <c r="E104" s="76" t="s">
        <v>254</v>
      </c>
      <c r="F104" s="104">
        <v>3</v>
      </c>
      <c r="G104" s="76" t="s">
        <v>17</v>
      </c>
      <c r="H104" s="83"/>
      <c r="I104" s="103" t="s">
        <v>2255</v>
      </c>
      <c r="J104" s="76" t="s">
        <v>127</v>
      </c>
      <c r="K104" s="104">
        <v>3</v>
      </c>
      <c r="L104" s="104">
        <v>3</v>
      </c>
      <c r="M104" s="105">
        <f>IF(Tabelle132456891011[[#This Row],[Pulled after Start]]="",MIN(Tabelle132456891011[[#This Row],[Jira Story Points]],Tabelle132456891011[[#This Row],[Carry-over]]),0)</f>
        <v>3</v>
      </c>
      <c r="N104" s="106">
        <f>MIN(Tabelle132456891011[[#This Row],[Jira Story Points]],Tabelle132456891011[[#This Row],[Carry-over]])-Tabelle132456891011[[#This Row],[SP Initially Planned (COS)]]</f>
        <v>0</v>
      </c>
      <c r="O104"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04" s="108">
        <f>IFERROR(IF(Tabelle132456891011[[#This Row],[Status]]=$J$5,MIN(Tabelle132456891011[[#This Row],[Jira Story Points]],Tabelle132456891011[[#This Row],[Carry-over]]),0),0)</f>
        <v>0</v>
      </c>
      <c r="Q104" s="108">
        <f>IFERROR(IF(Tabelle132456891011[[#This Row],[Status]]=$J$5,0,MIN(Tabelle132456891011[[#This Row],[Jira Story Points]],Tabelle132456891011[[#This Row],[Carry-over]])-Tabelle132456891011[[#This Row],[SP Completed (COS &amp; SOS)]]),0)</f>
        <v>3</v>
      </c>
    </row>
    <row r="105" spans="1:17" s="46" customFormat="1" ht="13.5" hidden="1" customHeight="1">
      <c r="A105" s="88" t="s">
        <v>2256</v>
      </c>
      <c r="B105" s="46" t="s">
        <v>2257</v>
      </c>
      <c r="C105" s="76" t="s">
        <v>375</v>
      </c>
      <c r="D105" s="76">
        <v>2</v>
      </c>
      <c r="E105" s="76" t="s">
        <v>216</v>
      </c>
      <c r="F105" s="104">
        <v>5</v>
      </c>
      <c r="G105" s="76" t="s">
        <v>17</v>
      </c>
      <c r="H105" s="83"/>
      <c r="I105" s="103"/>
      <c r="J105" s="76" t="s">
        <v>125</v>
      </c>
      <c r="K105" s="104"/>
      <c r="L105" s="104"/>
      <c r="M105" s="105">
        <f>IF(Tabelle132456891011[[#This Row],[Pulled after Start]]="",MIN(Tabelle132456891011[[#This Row],[Jira Story Points]],Tabelle132456891011[[#This Row],[Carry-over]]),0)</f>
        <v>5</v>
      </c>
      <c r="N105" s="106">
        <f>MIN(Tabelle132456891011[[#This Row],[Jira Story Points]],Tabelle132456891011[[#This Row],[Carry-over]])-Tabelle132456891011[[#This Row],[SP Initially Planned (COS)]]</f>
        <v>0</v>
      </c>
      <c r="O105"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5</v>
      </c>
      <c r="P105" s="108">
        <f>IFERROR(IF(Tabelle132456891011[[#This Row],[Status]]=$J$5,MIN(Tabelle132456891011[[#This Row],[Jira Story Points]],Tabelle132456891011[[#This Row],[Carry-over]]),0),0)</f>
        <v>0</v>
      </c>
      <c r="Q105" s="108">
        <f>IFERROR(IF(Tabelle132456891011[[#This Row],[Status]]=$J$5,0,MIN(Tabelle132456891011[[#This Row],[Jira Story Points]],Tabelle132456891011[[#This Row],[Carry-over]])-Tabelle132456891011[[#This Row],[SP Completed (COS &amp; SOS)]]),0)</f>
        <v>0</v>
      </c>
    </row>
    <row r="106" spans="1:17" s="46" customFormat="1" ht="13.5" hidden="1" customHeight="1">
      <c r="A106" s="88" t="s">
        <v>2258</v>
      </c>
      <c r="B106" s="46" t="s">
        <v>2259</v>
      </c>
      <c r="C106" s="76" t="s">
        <v>375</v>
      </c>
      <c r="D106" s="76">
        <v>3</v>
      </c>
      <c r="E106" s="76" t="s">
        <v>216</v>
      </c>
      <c r="F106" s="104">
        <v>5</v>
      </c>
      <c r="G106" s="76" t="s">
        <v>17</v>
      </c>
      <c r="H106" s="83"/>
      <c r="I106" s="103"/>
      <c r="J106" s="76" t="s">
        <v>125</v>
      </c>
      <c r="K106" s="104"/>
      <c r="L106" s="104"/>
      <c r="M106" s="105">
        <f>IF(Tabelle132456891011[[#This Row],[Pulled after Start]]="",MIN(Tabelle132456891011[[#This Row],[Jira Story Points]],Tabelle132456891011[[#This Row],[Carry-over]]),0)</f>
        <v>5</v>
      </c>
      <c r="N106" s="106">
        <f>MIN(Tabelle132456891011[[#This Row],[Jira Story Points]],Tabelle132456891011[[#This Row],[Carry-over]])-Tabelle132456891011[[#This Row],[SP Initially Planned (COS)]]</f>
        <v>0</v>
      </c>
      <c r="O106"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5</v>
      </c>
      <c r="P106" s="108">
        <f>IFERROR(IF(Tabelle132456891011[[#This Row],[Status]]=$J$5,MIN(Tabelle132456891011[[#This Row],[Jira Story Points]],Tabelle132456891011[[#This Row],[Carry-over]]),0),0)</f>
        <v>0</v>
      </c>
      <c r="Q106" s="108">
        <f>IFERROR(IF(Tabelle132456891011[[#This Row],[Status]]=$J$5,0,MIN(Tabelle132456891011[[#This Row],[Jira Story Points]],Tabelle132456891011[[#This Row],[Carry-over]])-Tabelle132456891011[[#This Row],[SP Completed (COS &amp; SOS)]]),0)</f>
        <v>0</v>
      </c>
    </row>
    <row r="107" spans="1:17" s="46" customFormat="1" ht="13.5" hidden="1" customHeight="1">
      <c r="A107" s="88" t="s">
        <v>1025</v>
      </c>
      <c r="B107" s="46" t="s">
        <v>1026</v>
      </c>
      <c r="C107" s="76" t="s">
        <v>375</v>
      </c>
      <c r="D107" s="76">
        <v>3</v>
      </c>
      <c r="E107" s="76" t="s">
        <v>216</v>
      </c>
      <c r="F107" s="104">
        <v>3</v>
      </c>
      <c r="G107" s="76" t="s">
        <v>17</v>
      </c>
      <c r="H107" s="83"/>
      <c r="I107" s="103"/>
      <c r="J107" s="76" t="s">
        <v>125</v>
      </c>
      <c r="K107" s="104"/>
      <c r="L107" s="104"/>
      <c r="M107" s="105">
        <f>IF(Tabelle132456891011[[#This Row],[Pulled after Start]]="",MIN(Tabelle132456891011[[#This Row],[Jira Story Points]],Tabelle132456891011[[#This Row],[Carry-over]]),0)</f>
        <v>3</v>
      </c>
      <c r="N107" s="106">
        <f>MIN(Tabelle132456891011[[#This Row],[Jira Story Points]],Tabelle132456891011[[#This Row],[Carry-over]])-Tabelle132456891011[[#This Row],[SP Initially Planned (COS)]]</f>
        <v>0</v>
      </c>
      <c r="O107"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107" s="108">
        <f>IFERROR(IF(Tabelle132456891011[[#This Row],[Status]]=$J$5,MIN(Tabelle132456891011[[#This Row],[Jira Story Points]],Tabelle132456891011[[#This Row],[Carry-over]]),0),0)</f>
        <v>0</v>
      </c>
      <c r="Q107" s="108">
        <f>IFERROR(IF(Tabelle132456891011[[#This Row],[Status]]=$J$5,0,MIN(Tabelle132456891011[[#This Row],[Jira Story Points]],Tabelle132456891011[[#This Row],[Carry-over]])-Tabelle132456891011[[#This Row],[SP Completed (COS &amp; SOS)]]),0)</f>
        <v>0</v>
      </c>
    </row>
    <row r="108" spans="1:17" s="46" customFormat="1" ht="13.5" hidden="1" customHeight="1">
      <c r="A108" s="88" t="s">
        <v>1984</v>
      </c>
      <c r="B108" s="46" t="s">
        <v>1985</v>
      </c>
      <c r="C108" s="76" t="s">
        <v>375</v>
      </c>
      <c r="D108" s="76">
        <v>3</v>
      </c>
      <c r="E108" s="76" t="s">
        <v>238</v>
      </c>
      <c r="F108" s="104">
        <v>5</v>
      </c>
      <c r="G108" s="76" t="s">
        <v>17</v>
      </c>
      <c r="H108" s="83"/>
      <c r="I108" s="103"/>
      <c r="J108" s="76" t="s">
        <v>127</v>
      </c>
      <c r="K108" s="104"/>
      <c r="L108" s="104">
        <v>2</v>
      </c>
      <c r="M108" s="105">
        <f>IF(Tabelle132456891011[[#This Row],[Pulled after Start]]="",MIN(Tabelle132456891011[[#This Row],[Jira Story Points]],Tabelle132456891011[[#This Row],[Carry-over]]),0)</f>
        <v>5</v>
      </c>
      <c r="N108" s="106">
        <f>MIN(Tabelle132456891011[[#This Row],[Jira Story Points]],Tabelle132456891011[[#This Row],[Carry-over]])-Tabelle132456891011[[#This Row],[SP Initially Planned (COS)]]</f>
        <v>0</v>
      </c>
      <c r="O108"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108" s="108">
        <f>IFERROR(IF(Tabelle132456891011[[#This Row],[Status]]=$J$5,MIN(Tabelle132456891011[[#This Row],[Jira Story Points]],Tabelle132456891011[[#This Row],[Carry-over]]),0),0)</f>
        <v>0</v>
      </c>
      <c r="Q108" s="108">
        <f>IFERROR(IF(Tabelle132456891011[[#This Row],[Status]]=$J$5,0,MIN(Tabelle132456891011[[#This Row],[Jira Story Points]],Tabelle132456891011[[#This Row],[Carry-over]])-Tabelle132456891011[[#This Row],[SP Completed (COS &amp; SOS)]]),0)</f>
        <v>2</v>
      </c>
    </row>
    <row r="109" spans="1:17" s="46" customFormat="1" ht="13.5" hidden="1" customHeight="1">
      <c r="A109" s="88" t="s">
        <v>2260</v>
      </c>
      <c r="B109" s="46" t="s">
        <v>2261</v>
      </c>
      <c r="C109" s="76" t="s">
        <v>375</v>
      </c>
      <c r="D109" s="76">
        <v>3</v>
      </c>
      <c r="E109" s="76" t="s">
        <v>216</v>
      </c>
      <c r="F109" s="76">
        <v>3</v>
      </c>
      <c r="G109" s="76" t="s">
        <v>17</v>
      </c>
      <c r="H109" s="76"/>
      <c r="I109" s="103"/>
      <c r="J109" s="76" t="s">
        <v>125</v>
      </c>
      <c r="K109" s="104"/>
      <c r="L109" s="104"/>
      <c r="M109" s="105">
        <f>IF(Tabelle132456891011[[#This Row],[Pulled after Start]]="",MIN(Tabelle132456891011[[#This Row],[Jira Story Points]],Tabelle132456891011[[#This Row],[Carry-over]]),0)</f>
        <v>3</v>
      </c>
      <c r="N109" s="106">
        <f>MIN(Tabelle132456891011[[#This Row],[Jira Story Points]],Tabelle132456891011[[#This Row],[Carry-over]])-Tabelle132456891011[[#This Row],[SP Initially Planned (COS)]]</f>
        <v>0</v>
      </c>
      <c r="O109"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109" s="108">
        <f>IFERROR(IF(Tabelle132456891011[[#This Row],[Status]]=$J$5,MIN(Tabelle132456891011[[#This Row],[Jira Story Points]],Tabelle132456891011[[#This Row],[Carry-over]]),0),0)</f>
        <v>0</v>
      </c>
      <c r="Q109" s="108">
        <f>IFERROR(IF(Tabelle132456891011[[#This Row],[Status]]=$J$5,0,MIN(Tabelle132456891011[[#This Row],[Jira Story Points]],Tabelle132456891011[[#This Row],[Carry-over]])-Tabelle132456891011[[#This Row],[SP Completed (COS &amp; SOS)]]),0)</f>
        <v>0</v>
      </c>
    </row>
    <row r="110" spans="1:17" s="46" customFormat="1" ht="13.5" hidden="1" customHeight="1">
      <c r="A110" s="88" t="s">
        <v>2262</v>
      </c>
      <c r="B110" s="46" t="s">
        <v>2263</v>
      </c>
      <c r="C110" s="76" t="s">
        <v>382</v>
      </c>
      <c r="D110" s="76">
        <v>3</v>
      </c>
      <c r="E110" s="76" t="s">
        <v>216</v>
      </c>
      <c r="F110" s="76">
        <v>1</v>
      </c>
      <c r="G110" s="76" t="s">
        <v>17</v>
      </c>
      <c r="H110" s="76"/>
      <c r="I110" s="103"/>
      <c r="J110" s="76" t="s">
        <v>125</v>
      </c>
      <c r="K110" s="104"/>
      <c r="L110" s="104"/>
      <c r="M110" s="105">
        <f>IF(Tabelle132456891011[[#This Row],[Pulled after Start]]="",MIN(Tabelle132456891011[[#This Row],[Jira Story Points]],Tabelle132456891011[[#This Row],[Carry-over]]),0)</f>
        <v>1</v>
      </c>
      <c r="N110" s="106">
        <f>MIN(Tabelle132456891011[[#This Row],[Jira Story Points]],Tabelle132456891011[[#This Row],[Carry-over]])-Tabelle132456891011[[#This Row],[SP Initially Planned (COS)]]</f>
        <v>0</v>
      </c>
      <c r="O110"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110" s="108">
        <f>IFERROR(IF(Tabelle132456891011[[#This Row],[Status]]=$J$5,MIN(Tabelle132456891011[[#This Row],[Jira Story Points]],Tabelle132456891011[[#This Row],[Carry-over]]),0),0)</f>
        <v>0</v>
      </c>
      <c r="Q110" s="108">
        <f>IFERROR(IF(Tabelle132456891011[[#This Row],[Status]]=$J$5,0,MIN(Tabelle132456891011[[#This Row],[Jira Story Points]],Tabelle132456891011[[#This Row],[Carry-over]])-Tabelle132456891011[[#This Row],[SP Completed (COS &amp; SOS)]]),0)</f>
        <v>0</v>
      </c>
    </row>
    <row r="111" spans="1:17" s="46" customFormat="1" ht="13.5" hidden="1" customHeight="1">
      <c r="A111" s="88" t="s">
        <v>2264</v>
      </c>
      <c r="B111" s="46" t="s">
        <v>2265</v>
      </c>
      <c r="C111" s="76" t="s">
        <v>382</v>
      </c>
      <c r="D111" s="76">
        <v>3</v>
      </c>
      <c r="E111" s="76" t="s">
        <v>216</v>
      </c>
      <c r="F111" s="76">
        <v>1</v>
      </c>
      <c r="G111" s="76" t="s">
        <v>17</v>
      </c>
      <c r="H111" s="76"/>
      <c r="I111" s="103"/>
      <c r="J111" s="76" t="s">
        <v>125</v>
      </c>
      <c r="K111" s="104"/>
      <c r="L111" s="104"/>
      <c r="M111" s="105">
        <f>IF(Tabelle132456891011[[#This Row],[Pulled after Start]]="",MIN(Tabelle132456891011[[#This Row],[Jira Story Points]],Tabelle132456891011[[#This Row],[Carry-over]]),0)</f>
        <v>1</v>
      </c>
      <c r="N111" s="106">
        <f>MIN(Tabelle132456891011[[#This Row],[Jira Story Points]],Tabelle132456891011[[#This Row],[Carry-over]])-Tabelle132456891011[[#This Row],[SP Initially Planned (COS)]]</f>
        <v>0</v>
      </c>
      <c r="O111"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111" s="108">
        <f>IFERROR(IF(Tabelle132456891011[[#This Row],[Status]]=$J$5,MIN(Tabelle132456891011[[#This Row],[Jira Story Points]],Tabelle132456891011[[#This Row],[Carry-over]]),0),0)</f>
        <v>0</v>
      </c>
      <c r="Q111" s="108">
        <f>IFERROR(IF(Tabelle132456891011[[#This Row],[Status]]=$J$5,0,MIN(Tabelle132456891011[[#This Row],[Jira Story Points]],Tabelle132456891011[[#This Row],[Carry-over]])-Tabelle132456891011[[#This Row],[SP Completed (COS &amp; SOS)]]),0)</f>
        <v>0</v>
      </c>
    </row>
    <row r="112" spans="1:17" s="46" customFormat="1" ht="13.5" hidden="1" customHeight="1">
      <c r="A112" s="88" t="s">
        <v>2266</v>
      </c>
      <c r="B112" s="46" t="s">
        <v>1999</v>
      </c>
      <c r="C112" s="76" t="s">
        <v>382</v>
      </c>
      <c r="D112" s="76">
        <v>3</v>
      </c>
      <c r="E112" s="76" t="s">
        <v>216</v>
      </c>
      <c r="F112" s="76">
        <v>3</v>
      </c>
      <c r="G112" s="76" t="s">
        <v>17</v>
      </c>
      <c r="H112" s="76"/>
      <c r="I112" s="103"/>
      <c r="J112" s="76" t="s">
        <v>125</v>
      </c>
      <c r="K112" s="104"/>
      <c r="L112" s="104"/>
      <c r="M112" s="105">
        <f>IF(Tabelle132456891011[[#This Row],[Pulled after Start]]="",MIN(Tabelle132456891011[[#This Row],[Jira Story Points]],Tabelle132456891011[[#This Row],[Carry-over]]),0)</f>
        <v>3</v>
      </c>
      <c r="N112" s="106">
        <f>MIN(Tabelle132456891011[[#This Row],[Jira Story Points]],Tabelle132456891011[[#This Row],[Carry-over]])-Tabelle132456891011[[#This Row],[SP Initially Planned (COS)]]</f>
        <v>0</v>
      </c>
      <c r="O112"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112" s="108">
        <f>IFERROR(IF(Tabelle132456891011[[#This Row],[Status]]=$J$5,MIN(Tabelle132456891011[[#This Row],[Jira Story Points]],Tabelle132456891011[[#This Row],[Carry-over]]),0),0)</f>
        <v>0</v>
      </c>
      <c r="Q112" s="108">
        <f>IFERROR(IF(Tabelle132456891011[[#This Row],[Status]]=$J$5,0,MIN(Tabelle132456891011[[#This Row],[Jira Story Points]],Tabelle132456891011[[#This Row],[Carry-over]])-Tabelle132456891011[[#This Row],[SP Completed (COS &amp; SOS)]]),0)</f>
        <v>0</v>
      </c>
    </row>
    <row r="113" spans="1:17" s="46" customFormat="1" ht="13.5" hidden="1" customHeight="1">
      <c r="A113" s="88" t="s">
        <v>2267</v>
      </c>
      <c r="B113" s="46" t="s">
        <v>2268</v>
      </c>
      <c r="C113" s="76" t="s">
        <v>372</v>
      </c>
      <c r="D113" s="76">
        <v>3</v>
      </c>
      <c r="E113" s="76" t="s">
        <v>216</v>
      </c>
      <c r="F113" s="76">
        <v>5</v>
      </c>
      <c r="G113" s="76" t="s">
        <v>17</v>
      </c>
      <c r="H113" s="76" t="s">
        <v>209</v>
      </c>
      <c r="I113" s="103"/>
      <c r="J113" s="76" t="s">
        <v>125</v>
      </c>
      <c r="K113" s="104"/>
      <c r="L113" s="104"/>
      <c r="M113" s="105">
        <f>IF(Tabelle132456891011[[#This Row],[Pulled after Start]]="",MIN(Tabelle132456891011[[#This Row],[Jira Story Points]],Tabelle132456891011[[#This Row],[Carry-over]]),0)</f>
        <v>0</v>
      </c>
      <c r="N113" s="106">
        <f>MIN(Tabelle132456891011[[#This Row],[Jira Story Points]],Tabelle132456891011[[#This Row],[Carry-over]])-Tabelle132456891011[[#This Row],[SP Initially Planned (COS)]]</f>
        <v>5</v>
      </c>
      <c r="O113"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5</v>
      </c>
      <c r="P113" s="108">
        <f>IFERROR(IF(Tabelle132456891011[[#This Row],[Status]]=$J$5,MIN(Tabelle132456891011[[#This Row],[Jira Story Points]],Tabelle132456891011[[#This Row],[Carry-over]]),0),0)</f>
        <v>0</v>
      </c>
      <c r="Q113" s="108">
        <f>IFERROR(IF(Tabelle132456891011[[#This Row],[Status]]=$J$5,0,MIN(Tabelle132456891011[[#This Row],[Jira Story Points]],Tabelle132456891011[[#This Row],[Carry-over]])-Tabelle132456891011[[#This Row],[SP Completed (COS &amp; SOS)]]),0)</f>
        <v>0</v>
      </c>
    </row>
    <row r="114" spans="1:17" s="46" customFormat="1" ht="13.5" hidden="1" customHeight="1">
      <c r="A114" s="88" t="s">
        <v>2269</v>
      </c>
      <c r="B114" s="46" t="s">
        <v>2270</v>
      </c>
      <c r="C114" s="76" t="s">
        <v>382</v>
      </c>
      <c r="D114" s="76">
        <v>3</v>
      </c>
      <c r="E114" s="76" t="s">
        <v>238</v>
      </c>
      <c r="F114" s="76">
        <v>3</v>
      </c>
      <c r="G114" s="76" t="s">
        <v>17</v>
      </c>
      <c r="H114" s="76" t="s">
        <v>209</v>
      </c>
      <c r="I114" s="103"/>
      <c r="J114" s="76" t="s">
        <v>125</v>
      </c>
      <c r="K114" s="104"/>
      <c r="L114" s="104"/>
      <c r="M114" s="105">
        <f>IF(Tabelle132456891011[[#This Row],[Pulled after Start]]="",MIN(Tabelle132456891011[[#This Row],[Jira Story Points]],Tabelle132456891011[[#This Row],[Carry-over]]),0)</f>
        <v>0</v>
      </c>
      <c r="N114" s="106">
        <f>MIN(Tabelle132456891011[[#This Row],[Jira Story Points]],Tabelle132456891011[[#This Row],[Carry-over]])-Tabelle132456891011[[#This Row],[SP Initially Planned (COS)]]</f>
        <v>3</v>
      </c>
      <c r="O114"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114" s="108">
        <f>IFERROR(IF(Tabelle132456891011[[#This Row],[Status]]=$J$5,MIN(Tabelle132456891011[[#This Row],[Jira Story Points]],Tabelle132456891011[[#This Row],[Carry-over]]),0),0)</f>
        <v>0</v>
      </c>
      <c r="Q114" s="108">
        <f>IFERROR(IF(Tabelle132456891011[[#This Row],[Status]]=$J$5,0,MIN(Tabelle132456891011[[#This Row],[Jira Story Points]],Tabelle132456891011[[#This Row],[Carry-over]])-Tabelle132456891011[[#This Row],[SP Completed (COS &amp; SOS)]]),0)</f>
        <v>0</v>
      </c>
    </row>
    <row r="115" spans="1:17" s="46" customFormat="1" ht="13.5" hidden="1" customHeight="1">
      <c r="A115" s="88" t="s">
        <v>2271</v>
      </c>
      <c r="B115" s="46" t="s">
        <v>2272</v>
      </c>
      <c r="C115" s="76" t="s">
        <v>375</v>
      </c>
      <c r="D115" s="76">
        <v>2</v>
      </c>
      <c r="E115" s="76" t="s">
        <v>288</v>
      </c>
      <c r="F115" s="104">
        <v>3</v>
      </c>
      <c r="G115" s="116" t="s">
        <v>24</v>
      </c>
      <c r="H115" s="83"/>
      <c r="I115" s="103"/>
      <c r="J115" s="76" t="s">
        <v>125</v>
      </c>
      <c r="K115" s="104">
        <v>2</v>
      </c>
      <c r="L115" s="104"/>
      <c r="M115" s="105">
        <f>IF(Tabelle132456891011[[#This Row],[Pulled after Start]]="",MIN(Tabelle132456891011[[#This Row],[Jira Story Points]],Tabelle132456891011[[#This Row],[Carry-over]]),0)</f>
        <v>2</v>
      </c>
      <c r="N115" s="106">
        <f>MIN(Tabelle132456891011[[#This Row],[Jira Story Points]],Tabelle132456891011[[#This Row],[Carry-over]])-Tabelle132456891011[[#This Row],[SP Initially Planned (COS)]]</f>
        <v>0</v>
      </c>
      <c r="O115"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2</v>
      </c>
      <c r="P115" s="108">
        <f>IFERROR(IF(Tabelle132456891011[[#This Row],[Status]]=$J$5,MIN(Tabelle132456891011[[#This Row],[Jira Story Points]],Tabelle132456891011[[#This Row],[Carry-over]]),0),0)</f>
        <v>0</v>
      </c>
      <c r="Q115" s="108">
        <f>IFERROR(IF(Tabelle132456891011[[#This Row],[Status]]=$J$5,0,MIN(Tabelle132456891011[[#This Row],[Jira Story Points]],Tabelle132456891011[[#This Row],[Carry-over]])-Tabelle132456891011[[#This Row],[SP Completed (COS &amp; SOS)]]),0)</f>
        <v>0</v>
      </c>
    </row>
    <row r="116" spans="1:17" s="46" customFormat="1" ht="13.5" hidden="1" customHeight="1">
      <c r="A116" s="88" t="s">
        <v>2273</v>
      </c>
      <c r="B116" s="46" t="s">
        <v>2274</v>
      </c>
      <c r="C116" s="76" t="s">
        <v>372</v>
      </c>
      <c r="D116" s="76">
        <v>3</v>
      </c>
      <c r="E116" s="76" t="s">
        <v>278</v>
      </c>
      <c r="F116" s="104">
        <v>5</v>
      </c>
      <c r="G116" s="116" t="s">
        <v>24</v>
      </c>
      <c r="H116" s="83"/>
      <c r="I116" s="103"/>
      <c r="J116" s="76" t="s">
        <v>125</v>
      </c>
      <c r="K116" s="104">
        <v>4</v>
      </c>
      <c r="L116" s="104"/>
      <c r="M116" s="105">
        <f>IF(Tabelle132456891011[[#This Row],[Pulled after Start]]="",MIN(Tabelle132456891011[[#This Row],[Jira Story Points]],Tabelle132456891011[[#This Row],[Carry-over]]),0)</f>
        <v>4</v>
      </c>
      <c r="N116" s="106">
        <f>MIN(Tabelle132456891011[[#This Row],[Jira Story Points]],Tabelle132456891011[[#This Row],[Carry-over]])-Tabelle132456891011[[#This Row],[SP Initially Planned (COS)]]</f>
        <v>0</v>
      </c>
      <c r="O116"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4</v>
      </c>
      <c r="P116" s="108">
        <f>IFERROR(IF(Tabelle132456891011[[#This Row],[Status]]=$J$5,MIN(Tabelle132456891011[[#This Row],[Jira Story Points]],Tabelle132456891011[[#This Row],[Carry-over]]),0),0)</f>
        <v>0</v>
      </c>
      <c r="Q116" s="108">
        <f>IFERROR(IF(Tabelle132456891011[[#This Row],[Status]]=$J$5,0,MIN(Tabelle132456891011[[#This Row],[Jira Story Points]],Tabelle132456891011[[#This Row],[Carry-over]])-Tabelle132456891011[[#This Row],[SP Completed (COS &amp; SOS)]]),0)</f>
        <v>0</v>
      </c>
    </row>
    <row r="117" spans="1:17" s="46" customFormat="1" ht="13.5" hidden="1" customHeight="1">
      <c r="A117" s="88" t="s">
        <v>1960</v>
      </c>
      <c r="B117" s="119" t="s">
        <v>1961</v>
      </c>
      <c r="C117" s="76" t="s">
        <v>372</v>
      </c>
      <c r="D117" s="76">
        <v>3</v>
      </c>
      <c r="E117" s="76" t="s">
        <v>288</v>
      </c>
      <c r="F117" s="76">
        <v>5</v>
      </c>
      <c r="G117" s="116" t="s">
        <v>24</v>
      </c>
      <c r="H117" s="83"/>
      <c r="I117" s="103"/>
      <c r="J117" s="76" t="s">
        <v>127</v>
      </c>
      <c r="K117" s="104"/>
      <c r="L117" s="104">
        <v>2</v>
      </c>
      <c r="M117" s="105">
        <f>IF(Tabelle132456891011[[#This Row],[Pulled after Start]]="",MIN(Tabelle132456891011[[#This Row],[Jira Story Points]],Tabelle132456891011[[#This Row],[Carry-over]]),0)</f>
        <v>5</v>
      </c>
      <c r="N117" s="106">
        <f>MIN(Tabelle132456891011[[#This Row],[Jira Story Points]],Tabelle132456891011[[#This Row],[Carry-over]])-Tabelle132456891011[[#This Row],[SP Initially Planned (COS)]]</f>
        <v>0</v>
      </c>
      <c r="O117"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117" s="108">
        <f>IFERROR(IF(Tabelle132456891011[[#This Row],[Status]]=$J$5,MIN(Tabelle132456891011[[#This Row],[Jira Story Points]],Tabelle132456891011[[#This Row],[Carry-over]]),0),0)</f>
        <v>0</v>
      </c>
      <c r="Q117" s="108">
        <f>IFERROR(IF(Tabelle132456891011[[#This Row],[Status]]=$J$5,0,MIN(Tabelle132456891011[[#This Row],[Jira Story Points]],Tabelle132456891011[[#This Row],[Carry-over]])-Tabelle132456891011[[#This Row],[SP Completed (COS &amp; SOS)]]),0)</f>
        <v>2</v>
      </c>
    </row>
    <row r="118" spans="1:17" s="46" customFormat="1" ht="13.5" hidden="1" customHeight="1">
      <c r="A118" s="88" t="s">
        <v>1962</v>
      </c>
      <c r="B118" s="119" t="s">
        <v>1963</v>
      </c>
      <c r="C118" s="76" t="s">
        <v>372</v>
      </c>
      <c r="D118" s="76">
        <v>3</v>
      </c>
      <c r="E118" s="76" t="s">
        <v>288</v>
      </c>
      <c r="F118" s="76">
        <v>8</v>
      </c>
      <c r="G118" s="116" t="s">
        <v>24</v>
      </c>
      <c r="H118" s="83"/>
      <c r="I118" s="103"/>
      <c r="J118" s="76" t="s">
        <v>127</v>
      </c>
      <c r="K118" s="104"/>
      <c r="L118" s="104">
        <v>3</v>
      </c>
      <c r="M118" s="105">
        <f>IF(Tabelle132456891011[[#This Row],[Pulled after Start]]="",MIN(Tabelle132456891011[[#This Row],[Jira Story Points]],Tabelle132456891011[[#This Row],[Carry-over]]),0)</f>
        <v>8</v>
      </c>
      <c r="N118" s="106">
        <f>MIN(Tabelle132456891011[[#This Row],[Jira Story Points]],Tabelle132456891011[[#This Row],[Carry-over]])-Tabelle132456891011[[#This Row],[SP Initially Planned (COS)]]</f>
        <v>0</v>
      </c>
      <c r="O118"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5</v>
      </c>
      <c r="P118" s="108">
        <f>IFERROR(IF(Tabelle132456891011[[#This Row],[Status]]=$J$5,MIN(Tabelle132456891011[[#This Row],[Jira Story Points]],Tabelle132456891011[[#This Row],[Carry-over]]),0),0)</f>
        <v>0</v>
      </c>
      <c r="Q118" s="108">
        <f>IFERROR(IF(Tabelle132456891011[[#This Row],[Status]]=$J$5,0,MIN(Tabelle132456891011[[#This Row],[Jira Story Points]],Tabelle132456891011[[#This Row],[Carry-over]])-Tabelle132456891011[[#This Row],[SP Completed (COS &amp; SOS)]]),0)</f>
        <v>3</v>
      </c>
    </row>
    <row r="119" spans="1:17" s="46" customFormat="1" ht="13.5" hidden="1" customHeight="1">
      <c r="A119" s="88" t="s">
        <v>2275</v>
      </c>
      <c r="B119" s="46" t="s">
        <v>2276</v>
      </c>
      <c r="C119" s="76" t="s">
        <v>372</v>
      </c>
      <c r="D119" s="76">
        <v>3</v>
      </c>
      <c r="E119" s="76" t="s">
        <v>278</v>
      </c>
      <c r="F119" s="104">
        <v>5</v>
      </c>
      <c r="G119" s="116" t="s">
        <v>24</v>
      </c>
      <c r="H119" s="83"/>
      <c r="I119" s="103"/>
      <c r="J119" s="76" t="s">
        <v>125</v>
      </c>
      <c r="K119" s="104">
        <v>1</v>
      </c>
      <c r="L119" s="104"/>
      <c r="M119" s="105">
        <f>IF(Tabelle132456891011[[#This Row],[Pulled after Start]]="",MIN(Tabelle132456891011[[#This Row],[Jira Story Points]],Tabelle132456891011[[#This Row],[Carry-over]]),0)</f>
        <v>1</v>
      </c>
      <c r="N119" s="106">
        <f>MIN(Tabelle132456891011[[#This Row],[Jira Story Points]],Tabelle132456891011[[#This Row],[Carry-over]])-Tabelle132456891011[[#This Row],[SP Initially Planned (COS)]]</f>
        <v>0</v>
      </c>
      <c r="O119"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119" s="108">
        <f>IFERROR(IF(Tabelle132456891011[[#This Row],[Status]]=$J$5,MIN(Tabelle132456891011[[#This Row],[Jira Story Points]],Tabelle132456891011[[#This Row],[Carry-over]]),0),0)</f>
        <v>0</v>
      </c>
      <c r="Q119" s="108">
        <f>IFERROR(IF(Tabelle132456891011[[#This Row],[Status]]=$J$5,0,MIN(Tabelle132456891011[[#This Row],[Jira Story Points]],Tabelle132456891011[[#This Row],[Carry-over]])-Tabelle132456891011[[#This Row],[SP Completed (COS &amp; SOS)]]),0)</f>
        <v>0</v>
      </c>
    </row>
    <row r="120" spans="1:17" s="46" customFormat="1" ht="13.5" hidden="1" customHeight="1">
      <c r="A120" s="88" t="s">
        <v>1966</v>
      </c>
      <c r="B120" s="46" t="s">
        <v>1967</v>
      </c>
      <c r="C120" s="76" t="s">
        <v>372</v>
      </c>
      <c r="D120" s="76">
        <v>3</v>
      </c>
      <c r="E120" s="76" t="s">
        <v>288</v>
      </c>
      <c r="F120" s="104">
        <v>3</v>
      </c>
      <c r="G120" s="116" t="s">
        <v>24</v>
      </c>
      <c r="H120" s="83"/>
      <c r="I120" s="103"/>
      <c r="J120" s="76" t="s">
        <v>125</v>
      </c>
      <c r="K120" s="104"/>
      <c r="L120" s="104"/>
      <c r="M120" s="105">
        <f>IF(Tabelle132456891011[[#This Row],[Pulled after Start]]="",MIN(Tabelle132456891011[[#This Row],[Jira Story Points]],Tabelle132456891011[[#This Row],[Carry-over]]),0)</f>
        <v>3</v>
      </c>
      <c r="N120" s="106">
        <f>MIN(Tabelle132456891011[[#This Row],[Jira Story Points]],Tabelle132456891011[[#This Row],[Carry-over]])-Tabelle132456891011[[#This Row],[SP Initially Planned (COS)]]</f>
        <v>0</v>
      </c>
      <c r="O120"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120" s="108">
        <f>IFERROR(IF(Tabelle132456891011[[#This Row],[Status]]=$J$5,MIN(Tabelle132456891011[[#This Row],[Jira Story Points]],Tabelle132456891011[[#This Row],[Carry-over]]),0),0)</f>
        <v>0</v>
      </c>
      <c r="Q120" s="108">
        <f>IFERROR(IF(Tabelle132456891011[[#This Row],[Status]]=$J$5,0,MIN(Tabelle132456891011[[#This Row],[Jira Story Points]],Tabelle132456891011[[#This Row],[Carry-over]])-Tabelle132456891011[[#This Row],[SP Completed (COS &amp; SOS)]]),0)</f>
        <v>0</v>
      </c>
    </row>
    <row r="121" spans="1:17" s="46" customFormat="1" ht="13.5" hidden="1" customHeight="1">
      <c r="A121" s="88" t="s">
        <v>1968</v>
      </c>
      <c r="B121" s="46" t="s">
        <v>1969</v>
      </c>
      <c r="C121" s="76" t="s">
        <v>372</v>
      </c>
      <c r="D121" s="76">
        <v>3</v>
      </c>
      <c r="E121" s="76" t="s">
        <v>288</v>
      </c>
      <c r="F121" s="104">
        <v>3</v>
      </c>
      <c r="G121" s="116" t="s">
        <v>24</v>
      </c>
      <c r="H121" s="83"/>
      <c r="I121" s="103"/>
      <c r="J121" s="76" t="s">
        <v>127</v>
      </c>
      <c r="K121" s="104"/>
      <c r="L121" s="104">
        <v>1</v>
      </c>
      <c r="M121" s="105">
        <f>IF(Tabelle132456891011[[#This Row],[Pulled after Start]]="",MIN(Tabelle132456891011[[#This Row],[Jira Story Points]],Tabelle132456891011[[#This Row],[Carry-over]]),0)</f>
        <v>3</v>
      </c>
      <c r="N121" s="106">
        <f>MIN(Tabelle132456891011[[#This Row],[Jira Story Points]],Tabelle132456891011[[#This Row],[Carry-over]])-Tabelle132456891011[[#This Row],[SP Initially Planned (COS)]]</f>
        <v>0</v>
      </c>
      <c r="O121"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2</v>
      </c>
      <c r="P121" s="108">
        <f>IFERROR(IF(Tabelle132456891011[[#This Row],[Status]]=$J$5,MIN(Tabelle132456891011[[#This Row],[Jira Story Points]],Tabelle132456891011[[#This Row],[Carry-over]]),0),0)</f>
        <v>0</v>
      </c>
      <c r="Q121" s="108">
        <f>IFERROR(IF(Tabelle132456891011[[#This Row],[Status]]=$J$5,0,MIN(Tabelle132456891011[[#This Row],[Jira Story Points]],Tabelle132456891011[[#This Row],[Carry-over]])-Tabelle132456891011[[#This Row],[SP Completed (COS &amp; SOS)]]),0)</f>
        <v>1</v>
      </c>
    </row>
    <row r="122" spans="1:17" s="46" customFormat="1" ht="13.5" hidden="1" customHeight="1">
      <c r="A122" s="88" t="s">
        <v>2277</v>
      </c>
      <c r="B122" s="46" t="s">
        <v>2278</v>
      </c>
      <c r="C122" s="76" t="s">
        <v>382</v>
      </c>
      <c r="D122" s="76">
        <v>3</v>
      </c>
      <c r="E122" s="76" t="s">
        <v>278</v>
      </c>
      <c r="F122" s="104">
        <v>1</v>
      </c>
      <c r="G122" s="116" t="s">
        <v>24</v>
      </c>
      <c r="H122" s="83"/>
      <c r="I122" s="103"/>
      <c r="J122" s="76" t="s">
        <v>125</v>
      </c>
      <c r="K122" s="104"/>
      <c r="L122" s="104"/>
      <c r="M122" s="105">
        <f>IF(Tabelle132456891011[[#This Row],[Pulled after Start]]="",MIN(Tabelle132456891011[[#This Row],[Jira Story Points]],Tabelle132456891011[[#This Row],[Carry-over]]),0)</f>
        <v>1</v>
      </c>
      <c r="N122" s="106">
        <f>MIN(Tabelle132456891011[[#This Row],[Jira Story Points]],Tabelle132456891011[[#This Row],[Carry-over]])-Tabelle132456891011[[#This Row],[SP Initially Planned (COS)]]</f>
        <v>0</v>
      </c>
      <c r="O122"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122" s="108">
        <f>IFERROR(IF(Tabelle132456891011[[#This Row],[Status]]=$J$5,MIN(Tabelle132456891011[[#This Row],[Jira Story Points]],Tabelle132456891011[[#This Row],[Carry-over]]),0),0)</f>
        <v>0</v>
      </c>
      <c r="Q122" s="108">
        <f>IFERROR(IF(Tabelle132456891011[[#This Row],[Status]]=$J$5,0,MIN(Tabelle132456891011[[#This Row],[Jira Story Points]],Tabelle132456891011[[#This Row],[Carry-over]])-Tabelle132456891011[[#This Row],[SP Completed (COS &amp; SOS)]]),0)</f>
        <v>0</v>
      </c>
    </row>
    <row r="123" spans="1:17" s="46" customFormat="1" ht="13.5" hidden="1" customHeight="1">
      <c r="A123" s="88" t="s">
        <v>2279</v>
      </c>
      <c r="B123" s="46" t="s">
        <v>2280</v>
      </c>
      <c r="C123" s="76" t="s">
        <v>372</v>
      </c>
      <c r="D123" s="76">
        <v>3</v>
      </c>
      <c r="E123" s="76" t="s">
        <v>278</v>
      </c>
      <c r="F123" s="104">
        <v>1</v>
      </c>
      <c r="G123" s="116" t="s">
        <v>24</v>
      </c>
      <c r="H123" s="83"/>
      <c r="I123" s="103"/>
      <c r="J123" s="76" t="s">
        <v>125</v>
      </c>
      <c r="K123" s="104"/>
      <c r="L123" s="104"/>
      <c r="M123" s="105">
        <f>IF(Tabelle132456891011[[#This Row],[Pulled after Start]]="",MIN(Tabelle132456891011[[#This Row],[Jira Story Points]],Tabelle132456891011[[#This Row],[Carry-over]]),0)</f>
        <v>1</v>
      </c>
      <c r="N123" s="106">
        <f>MIN(Tabelle132456891011[[#This Row],[Jira Story Points]],Tabelle132456891011[[#This Row],[Carry-over]])-Tabelle132456891011[[#This Row],[SP Initially Planned (COS)]]</f>
        <v>0</v>
      </c>
      <c r="O123"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123" s="108">
        <f>IFERROR(IF(Tabelle132456891011[[#This Row],[Status]]=$J$5,MIN(Tabelle132456891011[[#This Row],[Jira Story Points]],Tabelle132456891011[[#This Row],[Carry-over]]),0),0)</f>
        <v>0</v>
      </c>
      <c r="Q123" s="108">
        <f>IFERROR(IF(Tabelle132456891011[[#This Row],[Status]]=$J$5,0,MIN(Tabelle132456891011[[#This Row],[Jira Story Points]],Tabelle132456891011[[#This Row],[Carry-over]])-Tabelle132456891011[[#This Row],[SP Completed (COS &amp; SOS)]]),0)</f>
        <v>0</v>
      </c>
    </row>
    <row r="124" spans="1:17" s="46" customFormat="1" ht="13.5" hidden="1" customHeight="1">
      <c r="A124" s="117" t="s">
        <v>2281</v>
      </c>
      <c r="B124" s="47" t="s">
        <v>2282</v>
      </c>
      <c r="C124" s="76" t="s">
        <v>382</v>
      </c>
      <c r="D124" s="76">
        <v>3</v>
      </c>
      <c r="E124" s="76" t="s">
        <v>278</v>
      </c>
      <c r="F124" s="104">
        <v>1</v>
      </c>
      <c r="G124" s="116" t="s">
        <v>24</v>
      </c>
      <c r="H124" s="83"/>
      <c r="I124" s="103"/>
      <c r="J124" s="76" t="s">
        <v>125</v>
      </c>
      <c r="K124" s="104"/>
      <c r="L124" s="104"/>
      <c r="M124" s="105">
        <f>IF(Tabelle132456891011[[#This Row],[Pulled after Start]]="",MIN(Tabelle132456891011[[#This Row],[Jira Story Points]],Tabelle132456891011[[#This Row],[Carry-over]]),0)</f>
        <v>1</v>
      </c>
      <c r="N124" s="106">
        <f>MIN(Tabelle132456891011[[#This Row],[Jira Story Points]],Tabelle132456891011[[#This Row],[Carry-over]])-Tabelle132456891011[[#This Row],[SP Initially Planned (COS)]]</f>
        <v>0</v>
      </c>
      <c r="O124"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124" s="108">
        <f>IFERROR(IF(Tabelle132456891011[[#This Row],[Status]]=$J$5,MIN(Tabelle132456891011[[#This Row],[Jira Story Points]],Tabelle132456891011[[#This Row],[Carry-over]]),0),0)</f>
        <v>0</v>
      </c>
      <c r="Q124" s="108">
        <f>IFERROR(IF(Tabelle132456891011[[#This Row],[Status]]=$J$5,0,MIN(Tabelle132456891011[[#This Row],[Jira Story Points]],Tabelle132456891011[[#This Row],[Carry-over]])-Tabelle132456891011[[#This Row],[SP Completed (COS &amp; SOS)]]),0)</f>
        <v>0</v>
      </c>
    </row>
    <row r="125" spans="1:17" s="46" customFormat="1" ht="13.5" hidden="1" customHeight="1">
      <c r="A125" s="117" t="s">
        <v>2283</v>
      </c>
      <c r="B125" s="47" t="s">
        <v>2284</v>
      </c>
      <c r="C125" s="76" t="s">
        <v>372</v>
      </c>
      <c r="D125" s="76">
        <v>3</v>
      </c>
      <c r="E125" s="76" t="s">
        <v>288</v>
      </c>
      <c r="F125" s="104">
        <v>1</v>
      </c>
      <c r="G125" s="116" t="s">
        <v>24</v>
      </c>
      <c r="H125" s="83" t="s">
        <v>209</v>
      </c>
      <c r="I125" s="103"/>
      <c r="J125" s="76" t="s">
        <v>125</v>
      </c>
      <c r="K125" s="104"/>
      <c r="L125" s="104"/>
      <c r="M125" s="105">
        <f>IF(Tabelle132456891011[[#This Row],[Pulled after Start]]="",MIN(Tabelle132456891011[[#This Row],[Jira Story Points]],Tabelle132456891011[[#This Row],[Carry-over]]),0)</f>
        <v>0</v>
      </c>
      <c r="N125" s="106">
        <f>MIN(Tabelle132456891011[[#This Row],[Jira Story Points]],Tabelle132456891011[[#This Row],[Carry-over]])-Tabelle132456891011[[#This Row],[SP Initially Planned (COS)]]</f>
        <v>1</v>
      </c>
      <c r="O125"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125" s="108">
        <f>IFERROR(IF(Tabelle132456891011[[#This Row],[Status]]=$J$5,MIN(Tabelle132456891011[[#This Row],[Jira Story Points]],Tabelle132456891011[[#This Row],[Carry-over]]),0),0)</f>
        <v>0</v>
      </c>
      <c r="Q125" s="108">
        <f>IFERROR(IF(Tabelle132456891011[[#This Row],[Status]]=$J$5,0,MIN(Tabelle132456891011[[#This Row],[Jira Story Points]],Tabelle132456891011[[#This Row],[Carry-over]])-Tabelle132456891011[[#This Row],[SP Completed (COS &amp; SOS)]]),0)</f>
        <v>0</v>
      </c>
    </row>
    <row r="126" spans="1:17" s="46" customFormat="1" ht="13.5" hidden="1" customHeight="1">
      <c r="A126" s="117" t="s">
        <v>2285</v>
      </c>
      <c r="B126" s="47" t="s">
        <v>2286</v>
      </c>
      <c r="C126" s="76" t="s">
        <v>382</v>
      </c>
      <c r="D126" s="76">
        <v>3</v>
      </c>
      <c r="E126" s="76" t="s">
        <v>1160</v>
      </c>
      <c r="F126" s="104">
        <v>3</v>
      </c>
      <c r="G126" s="116" t="s">
        <v>24</v>
      </c>
      <c r="H126" s="83" t="s">
        <v>209</v>
      </c>
      <c r="I126" s="103"/>
      <c r="J126" s="76" t="s">
        <v>125</v>
      </c>
      <c r="K126" s="104"/>
      <c r="L126" s="104"/>
      <c r="M126" s="105">
        <f>IF(Tabelle132456891011[[#This Row],[Pulled after Start]]="",MIN(Tabelle132456891011[[#This Row],[Jira Story Points]],Tabelle132456891011[[#This Row],[Carry-over]]),0)</f>
        <v>0</v>
      </c>
      <c r="N126" s="106">
        <f>MIN(Tabelle132456891011[[#This Row],[Jira Story Points]],Tabelle132456891011[[#This Row],[Carry-over]])-Tabelle132456891011[[#This Row],[SP Initially Planned (COS)]]</f>
        <v>3</v>
      </c>
      <c r="O126"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126" s="108">
        <f>IFERROR(IF(Tabelle132456891011[[#This Row],[Status]]=$J$5,MIN(Tabelle132456891011[[#This Row],[Jira Story Points]],Tabelle132456891011[[#This Row],[Carry-over]]),0),0)</f>
        <v>0</v>
      </c>
      <c r="Q126" s="108">
        <f>IFERROR(IF(Tabelle132456891011[[#This Row],[Status]]=$J$5,0,MIN(Tabelle132456891011[[#This Row],[Jira Story Points]],Tabelle132456891011[[#This Row],[Carry-over]])-Tabelle132456891011[[#This Row],[SP Completed (COS &amp; SOS)]]),0)</f>
        <v>0</v>
      </c>
    </row>
    <row r="127" spans="1:17" s="46" customFormat="1" ht="13.5" hidden="1" customHeight="1">
      <c r="A127" s="88" t="s">
        <v>2287</v>
      </c>
      <c r="B127" s="46" t="s">
        <v>2288</v>
      </c>
      <c r="C127" s="76" t="s">
        <v>382</v>
      </c>
      <c r="D127" s="76">
        <v>3</v>
      </c>
      <c r="E127" s="76" t="s">
        <v>324</v>
      </c>
      <c r="F127" s="76">
        <v>1</v>
      </c>
      <c r="G127" s="76" t="s">
        <v>32</v>
      </c>
      <c r="H127" s="76" t="s">
        <v>209</v>
      </c>
      <c r="I127" s="103"/>
      <c r="J127" s="76" t="s">
        <v>125</v>
      </c>
      <c r="K127" s="104"/>
      <c r="L127" s="104"/>
      <c r="M127" s="105">
        <f>IF(Tabelle132456891011[[#This Row],[Pulled after Start]]="",MIN(Tabelle132456891011[[#This Row],[Jira Story Points]],Tabelle132456891011[[#This Row],[Carry-over]]),0)</f>
        <v>0</v>
      </c>
      <c r="N127" s="106">
        <f>MIN(Tabelle132456891011[[#This Row],[Jira Story Points]],Tabelle132456891011[[#This Row],[Carry-over]])-Tabelle132456891011[[#This Row],[SP Initially Planned (COS)]]</f>
        <v>1</v>
      </c>
      <c r="O127"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127" s="108">
        <f>IFERROR(IF(Tabelle132456891011[[#This Row],[Status]]=$J$5,MIN(Tabelle132456891011[[#This Row],[Jira Story Points]],Tabelle132456891011[[#This Row],[Carry-over]]),0),0)</f>
        <v>0</v>
      </c>
      <c r="Q127" s="108">
        <f>IFERROR(IF(Tabelle132456891011[[#This Row],[Status]]=$J$5,0,MIN(Tabelle132456891011[[#This Row],[Jira Story Points]],Tabelle132456891011[[#This Row],[Carry-over]])-Tabelle132456891011[[#This Row],[SP Completed (COS &amp; SOS)]]),0)</f>
        <v>0</v>
      </c>
    </row>
    <row r="128" spans="1:17" s="46" customFormat="1" ht="13.5" hidden="1" customHeight="1">
      <c r="A128" s="88" t="s">
        <v>2289</v>
      </c>
      <c r="B128" s="46" t="s">
        <v>2290</v>
      </c>
      <c r="C128" s="76" t="s">
        <v>375</v>
      </c>
      <c r="D128" s="76">
        <v>2</v>
      </c>
      <c r="E128" s="76" t="s">
        <v>324</v>
      </c>
      <c r="F128" s="76">
        <v>5</v>
      </c>
      <c r="G128" s="76" t="s">
        <v>32</v>
      </c>
      <c r="H128" s="76"/>
      <c r="I128" s="103"/>
      <c r="J128" s="76" t="s">
        <v>125</v>
      </c>
      <c r="K128" s="104"/>
      <c r="L128" s="104"/>
      <c r="M128" s="105">
        <f>IF(Tabelle132456891011[[#This Row],[Pulled after Start]]="",MIN(Tabelle132456891011[[#This Row],[Jira Story Points]],Tabelle132456891011[[#This Row],[Carry-over]]),0)</f>
        <v>5</v>
      </c>
      <c r="N128" s="106">
        <f>MIN(Tabelle132456891011[[#This Row],[Jira Story Points]],Tabelle132456891011[[#This Row],[Carry-over]])-Tabelle132456891011[[#This Row],[SP Initially Planned (COS)]]</f>
        <v>0</v>
      </c>
      <c r="O128"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5</v>
      </c>
      <c r="P128" s="108">
        <f>IFERROR(IF(Tabelle132456891011[[#This Row],[Status]]=$J$5,MIN(Tabelle132456891011[[#This Row],[Jira Story Points]],Tabelle132456891011[[#This Row],[Carry-over]]),0),0)</f>
        <v>0</v>
      </c>
      <c r="Q128" s="108">
        <f>IFERROR(IF(Tabelle132456891011[[#This Row],[Status]]=$J$5,0,MIN(Tabelle132456891011[[#This Row],[Jira Story Points]],Tabelle132456891011[[#This Row],[Carry-over]])-Tabelle132456891011[[#This Row],[SP Completed (COS &amp; SOS)]]),0)</f>
        <v>0</v>
      </c>
    </row>
    <row r="129" spans="1:17" s="46" customFormat="1" ht="13.5" hidden="1" customHeight="1">
      <c r="A129" s="88" t="s">
        <v>2291</v>
      </c>
      <c r="B129" s="46" t="s">
        <v>2292</v>
      </c>
      <c r="C129" s="76" t="s">
        <v>375</v>
      </c>
      <c r="D129" s="76">
        <v>2</v>
      </c>
      <c r="E129" s="76" t="s">
        <v>324</v>
      </c>
      <c r="F129" s="76">
        <v>5</v>
      </c>
      <c r="G129" s="76" t="s">
        <v>32</v>
      </c>
      <c r="H129" s="76" t="s">
        <v>209</v>
      </c>
      <c r="I129" s="103"/>
      <c r="J129" s="76" t="s">
        <v>125</v>
      </c>
      <c r="K129" s="104"/>
      <c r="L129" s="104"/>
      <c r="M129" s="105">
        <f>IF(Tabelle132456891011[[#This Row],[Pulled after Start]]="",MIN(Tabelle132456891011[[#This Row],[Jira Story Points]],Tabelle132456891011[[#This Row],[Carry-over]]),0)</f>
        <v>0</v>
      </c>
      <c r="N129" s="106">
        <f>MIN(Tabelle132456891011[[#This Row],[Jira Story Points]],Tabelle132456891011[[#This Row],[Carry-over]])-Tabelle132456891011[[#This Row],[SP Initially Planned (COS)]]</f>
        <v>5</v>
      </c>
      <c r="O129"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5</v>
      </c>
      <c r="P129" s="108">
        <f>IFERROR(IF(Tabelle132456891011[[#This Row],[Status]]=$J$5,MIN(Tabelle132456891011[[#This Row],[Jira Story Points]],Tabelle132456891011[[#This Row],[Carry-over]]),0),0)</f>
        <v>0</v>
      </c>
      <c r="Q129" s="108">
        <f>IFERROR(IF(Tabelle132456891011[[#This Row],[Status]]=$J$5,0,MIN(Tabelle132456891011[[#This Row],[Jira Story Points]],Tabelle132456891011[[#This Row],[Carry-over]])-Tabelle132456891011[[#This Row],[SP Completed (COS &amp; SOS)]]),0)</f>
        <v>0</v>
      </c>
    </row>
    <row r="130" spans="1:17" s="46" customFormat="1" ht="13.5" hidden="1" customHeight="1">
      <c r="A130" s="88" t="s">
        <v>2293</v>
      </c>
      <c r="B130" s="46" t="s">
        <v>2294</v>
      </c>
      <c r="C130" s="76" t="s">
        <v>375</v>
      </c>
      <c r="D130" s="76">
        <v>3</v>
      </c>
      <c r="E130" s="76" t="s">
        <v>324</v>
      </c>
      <c r="F130" s="76">
        <v>5</v>
      </c>
      <c r="G130" s="76" t="s">
        <v>32</v>
      </c>
      <c r="H130" s="76"/>
      <c r="I130" s="103"/>
      <c r="J130" s="76" t="s">
        <v>125</v>
      </c>
      <c r="K130" s="104"/>
      <c r="L130" s="104"/>
      <c r="M130" s="105">
        <f>IF(Tabelle132456891011[[#This Row],[Pulled after Start]]="",MIN(Tabelle132456891011[[#This Row],[Jira Story Points]],Tabelle132456891011[[#This Row],[Carry-over]]),0)</f>
        <v>5</v>
      </c>
      <c r="N130" s="106">
        <f>MIN(Tabelle132456891011[[#This Row],[Jira Story Points]],Tabelle132456891011[[#This Row],[Carry-over]])-Tabelle132456891011[[#This Row],[SP Initially Planned (COS)]]</f>
        <v>0</v>
      </c>
      <c r="O130"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5</v>
      </c>
      <c r="P130" s="108">
        <f>IFERROR(IF(Tabelle132456891011[[#This Row],[Status]]=$J$5,MIN(Tabelle132456891011[[#This Row],[Jira Story Points]],Tabelle132456891011[[#This Row],[Carry-over]]),0),0)</f>
        <v>0</v>
      </c>
      <c r="Q130" s="108">
        <f>IFERROR(IF(Tabelle132456891011[[#This Row],[Status]]=$J$5,0,MIN(Tabelle132456891011[[#This Row],[Jira Story Points]],Tabelle132456891011[[#This Row],[Carry-over]])-Tabelle132456891011[[#This Row],[SP Completed (COS &amp; SOS)]]),0)</f>
        <v>0</v>
      </c>
    </row>
    <row r="131" spans="1:17" s="46" customFormat="1" ht="13.5" hidden="1" customHeight="1">
      <c r="A131" s="88" t="s">
        <v>2295</v>
      </c>
      <c r="B131" s="46" t="s">
        <v>2296</v>
      </c>
      <c r="C131" s="76" t="s">
        <v>375</v>
      </c>
      <c r="D131" s="76">
        <v>3</v>
      </c>
      <c r="E131" s="76" t="s">
        <v>324</v>
      </c>
      <c r="F131" s="76">
        <v>3</v>
      </c>
      <c r="G131" s="76" t="s">
        <v>32</v>
      </c>
      <c r="H131" s="76"/>
      <c r="I131" s="103"/>
      <c r="J131" s="76" t="s">
        <v>125</v>
      </c>
      <c r="K131" s="104"/>
      <c r="L131" s="104"/>
      <c r="M131" s="105">
        <f>IF(Tabelle132456891011[[#This Row],[Pulled after Start]]="",MIN(Tabelle132456891011[[#This Row],[Jira Story Points]],Tabelle132456891011[[#This Row],[Carry-over]]),0)</f>
        <v>3</v>
      </c>
      <c r="N131" s="106">
        <f>MIN(Tabelle132456891011[[#This Row],[Jira Story Points]],Tabelle132456891011[[#This Row],[Carry-over]])-Tabelle132456891011[[#This Row],[SP Initially Planned (COS)]]</f>
        <v>0</v>
      </c>
      <c r="O131"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131" s="108">
        <f>IFERROR(IF(Tabelle132456891011[[#This Row],[Status]]=$J$5,MIN(Tabelle132456891011[[#This Row],[Jira Story Points]],Tabelle132456891011[[#This Row],[Carry-over]]),0),0)</f>
        <v>0</v>
      </c>
      <c r="Q131" s="108">
        <f>IFERROR(IF(Tabelle132456891011[[#This Row],[Status]]=$J$5,0,MIN(Tabelle132456891011[[#This Row],[Jira Story Points]],Tabelle132456891011[[#This Row],[Carry-over]])-Tabelle132456891011[[#This Row],[SP Completed (COS &amp; SOS)]]),0)</f>
        <v>0</v>
      </c>
    </row>
    <row r="132" spans="1:17" s="46" customFormat="1" ht="13.5" hidden="1" customHeight="1">
      <c r="A132" s="88" t="s">
        <v>2297</v>
      </c>
      <c r="B132" s="46" t="s">
        <v>2298</v>
      </c>
      <c r="C132" s="76" t="s">
        <v>382</v>
      </c>
      <c r="D132" s="76">
        <v>3</v>
      </c>
      <c r="E132" s="76" t="s">
        <v>330</v>
      </c>
      <c r="F132" s="76">
        <v>3</v>
      </c>
      <c r="G132" s="76" t="s">
        <v>32</v>
      </c>
      <c r="H132" s="76"/>
      <c r="I132" s="103"/>
      <c r="J132" s="76" t="s">
        <v>125</v>
      </c>
      <c r="K132" s="104"/>
      <c r="L132" s="104"/>
      <c r="M132" s="105">
        <f>IF(Tabelle132456891011[[#This Row],[Pulled after Start]]="",MIN(Tabelle132456891011[[#This Row],[Jira Story Points]],Tabelle132456891011[[#This Row],[Carry-over]]),0)</f>
        <v>3</v>
      </c>
      <c r="N132" s="106">
        <f>MIN(Tabelle132456891011[[#This Row],[Jira Story Points]],Tabelle132456891011[[#This Row],[Carry-over]])-Tabelle132456891011[[#This Row],[SP Initially Planned (COS)]]</f>
        <v>0</v>
      </c>
      <c r="O132"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132" s="108">
        <f>IFERROR(IF(Tabelle132456891011[[#This Row],[Status]]=$J$5,MIN(Tabelle132456891011[[#This Row],[Jira Story Points]],Tabelle132456891011[[#This Row],[Carry-over]]),0),0)</f>
        <v>0</v>
      </c>
      <c r="Q132" s="108">
        <f>IFERROR(IF(Tabelle132456891011[[#This Row],[Status]]=$J$5,0,MIN(Tabelle132456891011[[#This Row],[Jira Story Points]],Tabelle132456891011[[#This Row],[Carry-over]])-Tabelle132456891011[[#This Row],[SP Completed (COS &amp; SOS)]]),0)</f>
        <v>0</v>
      </c>
    </row>
    <row r="133" spans="1:17" s="46" customFormat="1" ht="13.5" hidden="1" customHeight="1">
      <c r="A133" s="88" t="s">
        <v>2007</v>
      </c>
      <c r="B133" s="46" t="s">
        <v>2008</v>
      </c>
      <c r="C133" s="76" t="s">
        <v>372</v>
      </c>
      <c r="D133" s="76">
        <v>3</v>
      </c>
      <c r="E133" s="76" t="s">
        <v>628</v>
      </c>
      <c r="F133" s="76">
        <v>3</v>
      </c>
      <c r="G133" s="76" t="s">
        <v>32</v>
      </c>
      <c r="H133" s="76"/>
      <c r="I133" s="103"/>
      <c r="J133" s="76" t="s">
        <v>127</v>
      </c>
      <c r="K133" s="104"/>
      <c r="L133" s="104">
        <v>0</v>
      </c>
      <c r="M133" s="105">
        <f>IF(Tabelle132456891011[[#This Row],[Pulled after Start]]="",MIN(Tabelle132456891011[[#This Row],[Jira Story Points]],Tabelle132456891011[[#This Row],[Carry-over]]),0)</f>
        <v>3</v>
      </c>
      <c r="N133" s="106">
        <f>MIN(Tabelle132456891011[[#This Row],[Jira Story Points]],Tabelle132456891011[[#This Row],[Carry-over]])-Tabelle132456891011[[#This Row],[SP Initially Planned (COS)]]</f>
        <v>0</v>
      </c>
      <c r="O133"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133" s="108">
        <f>IFERROR(IF(Tabelle132456891011[[#This Row],[Status]]=$J$5,MIN(Tabelle132456891011[[#This Row],[Jira Story Points]],Tabelle132456891011[[#This Row],[Carry-over]]),0),0)</f>
        <v>0</v>
      </c>
      <c r="Q133" s="108">
        <f>IFERROR(IF(Tabelle132456891011[[#This Row],[Status]]=$J$5,0,MIN(Tabelle132456891011[[#This Row],[Jira Story Points]],Tabelle132456891011[[#This Row],[Carry-over]])-Tabelle132456891011[[#This Row],[SP Completed (COS &amp; SOS)]]),0)</f>
        <v>0</v>
      </c>
    </row>
    <row r="134" spans="1:17" s="46" customFormat="1" ht="13.5" hidden="1" customHeight="1">
      <c r="A134" s="88" t="s">
        <v>2299</v>
      </c>
      <c r="B134" s="46" t="s">
        <v>2300</v>
      </c>
      <c r="C134" s="76" t="s">
        <v>372</v>
      </c>
      <c r="D134" s="76">
        <v>3</v>
      </c>
      <c r="E134" s="76" t="s">
        <v>327</v>
      </c>
      <c r="F134" s="76">
        <v>5</v>
      </c>
      <c r="G134" s="76" t="s">
        <v>32</v>
      </c>
      <c r="H134" s="76"/>
      <c r="I134" s="103"/>
      <c r="J134" s="76" t="s">
        <v>125</v>
      </c>
      <c r="K134" s="104"/>
      <c r="L134" s="104"/>
      <c r="M134" s="105">
        <f>IF(Tabelle132456891011[[#This Row],[Pulled after Start]]="",MIN(Tabelle132456891011[[#This Row],[Jira Story Points]],Tabelle132456891011[[#This Row],[Carry-over]]),0)</f>
        <v>5</v>
      </c>
      <c r="N134" s="106">
        <f>MIN(Tabelle132456891011[[#This Row],[Jira Story Points]],Tabelle132456891011[[#This Row],[Carry-over]])-Tabelle132456891011[[#This Row],[SP Initially Planned (COS)]]</f>
        <v>0</v>
      </c>
      <c r="O134"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5</v>
      </c>
      <c r="P134" s="108">
        <f>IFERROR(IF(Tabelle132456891011[[#This Row],[Status]]=$J$5,MIN(Tabelle132456891011[[#This Row],[Jira Story Points]],Tabelle132456891011[[#This Row],[Carry-over]]),0),0)</f>
        <v>0</v>
      </c>
      <c r="Q134" s="108">
        <f>IFERROR(IF(Tabelle132456891011[[#This Row],[Status]]=$J$5,0,MIN(Tabelle132456891011[[#This Row],[Jira Story Points]],Tabelle132456891011[[#This Row],[Carry-over]])-Tabelle132456891011[[#This Row],[SP Completed (COS &amp; SOS)]]),0)</f>
        <v>0</v>
      </c>
    </row>
    <row r="135" spans="1:17" s="46" customFormat="1" ht="13.5" hidden="1" customHeight="1">
      <c r="A135" s="88" t="s">
        <v>2009</v>
      </c>
      <c r="B135" s="46" t="s">
        <v>2010</v>
      </c>
      <c r="C135" s="76" t="s">
        <v>372</v>
      </c>
      <c r="D135" s="76">
        <v>3</v>
      </c>
      <c r="E135" s="76" t="s">
        <v>327</v>
      </c>
      <c r="F135" s="76">
        <v>3</v>
      </c>
      <c r="G135" s="76" t="s">
        <v>32</v>
      </c>
      <c r="H135" s="76"/>
      <c r="I135" s="103"/>
      <c r="J135" s="76" t="s">
        <v>127</v>
      </c>
      <c r="K135" s="104"/>
      <c r="L135" s="104">
        <v>2</v>
      </c>
      <c r="M135" s="105">
        <f>IF(Tabelle132456891011[[#This Row],[Pulled after Start]]="",MIN(Tabelle132456891011[[#This Row],[Jira Story Points]],Tabelle132456891011[[#This Row],[Carry-over]]),0)</f>
        <v>3</v>
      </c>
      <c r="N135" s="106">
        <f>MIN(Tabelle132456891011[[#This Row],[Jira Story Points]],Tabelle132456891011[[#This Row],[Carry-over]])-Tabelle132456891011[[#This Row],[SP Initially Planned (COS)]]</f>
        <v>0</v>
      </c>
      <c r="O135"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135" s="108">
        <f>IFERROR(IF(Tabelle132456891011[[#This Row],[Status]]=$J$5,MIN(Tabelle132456891011[[#This Row],[Jira Story Points]],Tabelle132456891011[[#This Row],[Carry-over]]),0),0)</f>
        <v>0</v>
      </c>
      <c r="Q135" s="108">
        <f>IFERROR(IF(Tabelle132456891011[[#This Row],[Status]]=$J$5,0,MIN(Tabelle132456891011[[#This Row],[Jira Story Points]],Tabelle132456891011[[#This Row],[Carry-over]])-Tabelle132456891011[[#This Row],[SP Completed (COS &amp; SOS)]]),0)</f>
        <v>2</v>
      </c>
    </row>
    <row r="136" spans="1:17" s="46" customFormat="1" ht="13.5" hidden="1" customHeight="1">
      <c r="A136" s="88" t="s">
        <v>2301</v>
      </c>
      <c r="B136" s="46" t="s">
        <v>2302</v>
      </c>
      <c r="C136" s="76" t="s">
        <v>372</v>
      </c>
      <c r="D136" s="76">
        <v>3</v>
      </c>
      <c r="E136" s="76" t="s">
        <v>327</v>
      </c>
      <c r="F136" s="76">
        <v>3</v>
      </c>
      <c r="G136" s="76" t="s">
        <v>32</v>
      </c>
      <c r="H136" s="76"/>
      <c r="I136" s="103"/>
      <c r="J136" s="76" t="s">
        <v>125</v>
      </c>
      <c r="K136" s="104"/>
      <c r="L136" s="104"/>
      <c r="M136" s="105">
        <f>IF(Tabelle132456891011[[#This Row],[Pulled after Start]]="",MIN(Tabelle132456891011[[#This Row],[Jira Story Points]],Tabelle132456891011[[#This Row],[Carry-over]]),0)</f>
        <v>3</v>
      </c>
      <c r="N136" s="106">
        <f>MIN(Tabelle132456891011[[#This Row],[Jira Story Points]],Tabelle132456891011[[#This Row],[Carry-over]])-Tabelle132456891011[[#This Row],[SP Initially Planned (COS)]]</f>
        <v>0</v>
      </c>
      <c r="O136"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136" s="108">
        <f>IFERROR(IF(Tabelle132456891011[[#This Row],[Status]]=$J$5,MIN(Tabelle132456891011[[#This Row],[Jira Story Points]],Tabelle132456891011[[#This Row],[Carry-over]]),0),0)</f>
        <v>0</v>
      </c>
      <c r="Q136" s="108">
        <f>IFERROR(IF(Tabelle132456891011[[#This Row],[Status]]=$J$5,0,MIN(Tabelle132456891011[[#This Row],[Jira Story Points]],Tabelle132456891011[[#This Row],[Carry-over]])-Tabelle132456891011[[#This Row],[SP Completed (COS &amp; SOS)]]),0)</f>
        <v>0</v>
      </c>
    </row>
    <row r="137" spans="1:17" s="46" customFormat="1" ht="13.5" hidden="1" customHeight="1">
      <c r="A137" s="88" t="s">
        <v>2011</v>
      </c>
      <c r="B137" s="46" t="s">
        <v>2012</v>
      </c>
      <c r="C137" s="76" t="s">
        <v>372</v>
      </c>
      <c r="D137" s="76">
        <v>3</v>
      </c>
      <c r="E137" s="76" t="s">
        <v>327</v>
      </c>
      <c r="F137" s="76">
        <v>3</v>
      </c>
      <c r="G137" s="76" t="s">
        <v>32</v>
      </c>
      <c r="H137" s="76"/>
      <c r="I137" s="103"/>
      <c r="J137" s="76" t="s">
        <v>127</v>
      </c>
      <c r="K137" s="104"/>
      <c r="L137" s="104">
        <v>2</v>
      </c>
      <c r="M137" s="105">
        <f>IF(Tabelle132456891011[[#This Row],[Pulled after Start]]="",MIN(Tabelle132456891011[[#This Row],[Jira Story Points]],Tabelle132456891011[[#This Row],[Carry-over]]),0)</f>
        <v>3</v>
      </c>
      <c r="N137" s="106">
        <f>MIN(Tabelle132456891011[[#This Row],[Jira Story Points]],Tabelle132456891011[[#This Row],[Carry-over]])-Tabelle132456891011[[#This Row],[SP Initially Planned (COS)]]</f>
        <v>0</v>
      </c>
      <c r="O137"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137" s="108">
        <f>IFERROR(IF(Tabelle132456891011[[#This Row],[Status]]=$J$5,MIN(Tabelle132456891011[[#This Row],[Jira Story Points]],Tabelle132456891011[[#This Row],[Carry-over]]),0),0)</f>
        <v>0</v>
      </c>
      <c r="Q137" s="108">
        <f>IFERROR(IF(Tabelle132456891011[[#This Row],[Status]]=$J$5,0,MIN(Tabelle132456891011[[#This Row],[Jira Story Points]],Tabelle132456891011[[#This Row],[Carry-over]])-Tabelle132456891011[[#This Row],[SP Completed (COS &amp; SOS)]]),0)</f>
        <v>2</v>
      </c>
    </row>
    <row r="138" spans="1:17" s="46" customFormat="1" ht="13.5" hidden="1" customHeight="1">
      <c r="A138" s="88" t="s">
        <v>2303</v>
      </c>
      <c r="B138" s="46" t="s">
        <v>2304</v>
      </c>
      <c r="C138" s="76" t="s">
        <v>372</v>
      </c>
      <c r="D138" s="76">
        <v>3</v>
      </c>
      <c r="E138" s="76" t="s">
        <v>324</v>
      </c>
      <c r="F138" s="76">
        <v>3</v>
      </c>
      <c r="G138" s="76" t="s">
        <v>32</v>
      </c>
      <c r="H138" s="76"/>
      <c r="I138" s="103"/>
      <c r="J138" s="76" t="s">
        <v>125</v>
      </c>
      <c r="K138" s="104"/>
      <c r="L138" s="104"/>
      <c r="M138" s="105">
        <f>IF(Tabelle132456891011[[#This Row],[Pulled after Start]]="",MIN(Tabelle132456891011[[#This Row],[Jira Story Points]],Tabelle132456891011[[#This Row],[Carry-over]]),0)</f>
        <v>3</v>
      </c>
      <c r="N138" s="106">
        <f>MIN(Tabelle132456891011[[#This Row],[Jira Story Points]],Tabelle132456891011[[#This Row],[Carry-over]])-Tabelle132456891011[[#This Row],[SP Initially Planned (COS)]]</f>
        <v>0</v>
      </c>
      <c r="O138"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138" s="108">
        <f>IFERROR(IF(Tabelle132456891011[[#This Row],[Status]]=$J$5,MIN(Tabelle132456891011[[#This Row],[Jira Story Points]],Tabelle132456891011[[#This Row],[Carry-over]]),0),0)</f>
        <v>0</v>
      </c>
      <c r="Q138" s="108">
        <f>IFERROR(IF(Tabelle132456891011[[#This Row],[Status]]=$J$5,0,MIN(Tabelle132456891011[[#This Row],[Jira Story Points]],Tabelle132456891011[[#This Row],[Carry-over]])-Tabelle132456891011[[#This Row],[SP Completed (COS &amp; SOS)]]),0)</f>
        <v>0</v>
      </c>
    </row>
    <row r="139" spans="1:17" s="46" customFormat="1" ht="13.5" hidden="1" customHeight="1">
      <c r="A139" s="88" t="s">
        <v>2305</v>
      </c>
      <c r="B139" s="101" t="s">
        <v>2306</v>
      </c>
      <c r="C139" s="81" t="s">
        <v>372</v>
      </c>
      <c r="D139" s="81">
        <v>3</v>
      </c>
      <c r="E139" s="81" t="s">
        <v>324</v>
      </c>
      <c r="F139" s="81">
        <v>5</v>
      </c>
      <c r="G139" s="76" t="s">
        <v>5</v>
      </c>
      <c r="H139" s="76"/>
      <c r="I139" s="79"/>
      <c r="J139" s="76" t="s">
        <v>125</v>
      </c>
      <c r="K139" s="104">
        <v>2</v>
      </c>
      <c r="L139" s="104"/>
      <c r="M139" s="105">
        <f>IF(Tabelle132456891011[[#This Row],[Pulled after Start]]="",MIN(Tabelle132456891011[[#This Row],[Jira Story Points]],Tabelle132456891011[[#This Row],[Carry-over]]),0)</f>
        <v>2</v>
      </c>
      <c r="N139" s="106">
        <f>MIN(Tabelle132456891011[[#This Row],[Jira Story Points]],Tabelle132456891011[[#This Row],[Carry-over]])-Tabelle132456891011[[#This Row],[SP Initially Planned (COS)]]</f>
        <v>0</v>
      </c>
      <c r="O139"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2</v>
      </c>
      <c r="P139" s="108">
        <f>IFERROR(IF(Tabelle132456891011[[#This Row],[Status]]=$J$5,MIN(Tabelle132456891011[[#This Row],[Jira Story Points]],Tabelle132456891011[[#This Row],[Carry-over]]),0),0)</f>
        <v>0</v>
      </c>
      <c r="Q139" s="108">
        <f>IFERROR(IF(Tabelle132456891011[[#This Row],[Status]]=$J$5,0,MIN(Tabelle132456891011[[#This Row],[Jira Story Points]],Tabelle132456891011[[#This Row],[Carry-over]])-Tabelle132456891011[[#This Row],[SP Completed (COS &amp; SOS)]]),0)</f>
        <v>0</v>
      </c>
    </row>
    <row r="140" spans="1:17" s="46" customFormat="1" ht="13.5" hidden="1" customHeight="1">
      <c r="A140" s="88" t="s">
        <v>2307</v>
      </c>
      <c r="B140" s="101" t="s">
        <v>2308</v>
      </c>
      <c r="C140" s="81" t="s">
        <v>372</v>
      </c>
      <c r="D140" s="81">
        <v>3</v>
      </c>
      <c r="E140" s="81" t="s">
        <v>324</v>
      </c>
      <c r="F140" s="81">
        <v>2</v>
      </c>
      <c r="G140" s="76" t="s">
        <v>5</v>
      </c>
      <c r="H140" s="83" t="s">
        <v>209</v>
      </c>
      <c r="I140" s="103"/>
      <c r="J140" s="76" t="s">
        <v>125</v>
      </c>
      <c r="K140" s="104"/>
      <c r="L140" s="104"/>
      <c r="M140" s="105">
        <f>IF(Tabelle132456891011[[#This Row],[Pulled after Start]]="",MIN(Tabelle132456891011[[#This Row],[Jira Story Points]],Tabelle132456891011[[#This Row],[Carry-over]]),0)</f>
        <v>0</v>
      </c>
      <c r="N140" s="106">
        <f>MIN(Tabelle132456891011[[#This Row],[Jira Story Points]],Tabelle132456891011[[#This Row],[Carry-over]])-Tabelle132456891011[[#This Row],[SP Initially Planned (COS)]]</f>
        <v>2</v>
      </c>
      <c r="O140"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2</v>
      </c>
      <c r="P140" s="108">
        <f>IFERROR(IF(Tabelle132456891011[[#This Row],[Status]]=$J$5,MIN(Tabelle132456891011[[#This Row],[Jira Story Points]],Tabelle132456891011[[#This Row],[Carry-over]]),0),0)</f>
        <v>0</v>
      </c>
      <c r="Q140" s="108">
        <f>IFERROR(IF(Tabelle132456891011[[#This Row],[Status]]=$J$5,0,MIN(Tabelle132456891011[[#This Row],[Jira Story Points]],Tabelle132456891011[[#This Row],[Carry-over]])-Tabelle132456891011[[#This Row],[SP Completed (COS &amp; SOS)]]),0)</f>
        <v>0</v>
      </c>
    </row>
    <row r="141" spans="1:17" s="46" customFormat="1" ht="13.5" hidden="1" customHeight="1">
      <c r="A141" s="88" t="s">
        <v>2309</v>
      </c>
      <c r="B141" s="101" t="s">
        <v>1639</v>
      </c>
      <c r="C141" s="81" t="s">
        <v>372</v>
      </c>
      <c r="D141" s="81">
        <v>3</v>
      </c>
      <c r="E141" s="81" t="s">
        <v>324</v>
      </c>
      <c r="F141" s="81">
        <v>1</v>
      </c>
      <c r="G141" s="76" t="s">
        <v>5</v>
      </c>
      <c r="H141" s="83" t="s">
        <v>209</v>
      </c>
      <c r="I141" s="103"/>
      <c r="J141" s="76" t="s">
        <v>125</v>
      </c>
      <c r="K141" s="104"/>
      <c r="L141" s="104"/>
      <c r="M141" s="105">
        <f>IF(Tabelle132456891011[[#This Row],[Pulled after Start]]="",MIN(Tabelle132456891011[[#This Row],[Jira Story Points]],Tabelle132456891011[[#This Row],[Carry-over]]),0)</f>
        <v>0</v>
      </c>
      <c r="N141" s="106">
        <f>MIN(Tabelle132456891011[[#This Row],[Jira Story Points]],Tabelle132456891011[[#This Row],[Carry-over]])-Tabelle132456891011[[#This Row],[SP Initially Planned (COS)]]</f>
        <v>1</v>
      </c>
      <c r="O141"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141" s="108">
        <f>IFERROR(IF(Tabelle132456891011[[#This Row],[Status]]=$J$5,MIN(Tabelle132456891011[[#This Row],[Jira Story Points]],Tabelle132456891011[[#This Row],[Carry-over]]),0),0)</f>
        <v>0</v>
      </c>
      <c r="Q141" s="108">
        <f>IFERROR(IF(Tabelle132456891011[[#This Row],[Status]]=$J$5,0,MIN(Tabelle132456891011[[#This Row],[Jira Story Points]],Tabelle132456891011[[#This Row],[Carry-over]])-Tabelle132456891011[[#This Row],[SP Completed (COS &amp; SOS)]]),0)</f>
        <v>0</v>
      </c>
    </row>
    <row r="142" spans="1:17" s="46" customFormat="1" ht="13.5" hidden="1" customHeight="1">
      <c r="A142" s="88" t="s">
        <v>2049</v>
      </c>
      <c r="B142" s="101" t="s">
        <v>2050</v>
      </c>
      <c r="C142" s="81" t="s">
        <v>372</v>
      </c>
      <c r="D142" s="81">
        <v>3</v>
      </c>
      <c r="E142" s="81" t="s">
        <v>327</v>
      </c>
      <c r="F142" s="81">
        <v>5</v>
      </c>
      <c r="G142" s="76" t="s">
        <v>5</v>
      </c>
      <c r="H142" s="83"/>
      <c r="I142" s="103"/>
      <c r="J142" s="76" t="s">
        <v>127</v>
      </c>
      <c r="K142" s="104">
        <v>5</v>
      </c>
      <c r="L142" s="104">
        <v>5</v>
      </c>
      <c r="M142" s="105">
        <f>IF(Tabelle132456891011[[#This Row],[Pulled after Start]]="",MIN(Tabelle132456891011[[#This Row],[Jira Story Points]],Tabelle132456891011[[#This Row],[Carry-over]]),0)</f>
        <v>5</v>
      </c>
      <c r="N142" s="106">
        <f>MIN(Tabelle132456891011[[#This Row],[Jira Story Points]],Tabelle132456891011[[#This Row],[Carry-over]])-Tabelle132456891011[[#This Row],[SP Initially Planned (COS)]]</f>
        <v>0</v>
      </c>
      <c r="O142"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42" s="108">
        <f>IFERROR(IF(Tabelle132456891011[[#This Row],[Status]]=$J$5,MIN(Tabelle132456891011[[#This Row],[Jira Story Points]],Tabelle132456891011[[#This Row],[Carry-over]]),0),0)</f>
        <v>0</v>
      </c>
      <c r="Q142" s="108">
        <f>IFERROR(IF(Tabelle132456891011[[#This Row],[Status]]=$J$5,0,MIN(Tabelle132456891011[[#This Row],[Jira Story Points]],Tabelle132456891011[[#This Row],[Carry-over]])-Tabelle132456891011[[#This Row],[SP Completed (COS &amp; SOS)]]),0)</f>
        <v>5</v>
      </c>
    </row>
    <row r="143" spans="1:17" s="46" customFormat="1" ht="13.5" hidden="1" customHeight="1">
      <c r="A143" s="88" t="s">
        <v>2310</v>
      </c>
      <c r="B143" s="101" t="s">
        <v>1825</v>
      </c>
      <c r="C143" s="81" t="s">
        <v>372</v>
      </c>
      <c r="D143" s="81">
        <v>3</v>
      </c>
      <c r="E143" s="81" t="s">
        <v>327</v>
      </c>
      <c r="F143" s="81">
        <v>5</v>
      </c>
      <c r="G143" s="76" t="s">
        <v>5</v>
      </c>
      <c r="H143" s="83" t="s">
        <v>209</v>
      </c>
      <c r="I143" s="103"/>
      <c r="J143" s="76" t="s">
        <v>127</v>
      </c>
      <c r="K143" s="104"/>
      <c r="L143" s="104">
        <v>3</v>
      </c>
      <c r="M143" s="105">
        <f>IF(Tabelle132456891011[[#This Row],[Pulled after Start]]="",MIN(Tabelle132456891011[[#This Row],[Jira Story Points]],Tabelle132456891011[[#This Row],[Carry-over]]),0)</f>
        <v>0</v>
      </c>
      <c r="N143" s="106">
        <f>MIN(Tabelle132456891011[[#This Row],[Jira Story Points]],Tabelle132456891011[[#This Row],[Carry-over]])-Tabelle132456891011[[#This Row],[SP Initially Planned (COS)]]</f>
        <v>5</v>
      </c>
      <c r="O143"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2</v>
      </c>
      <c r="P143" s="108">
        <f>IFERROR(IF(Tabelle132456891011[[#This Row],[Status]]=$J$5,MIN(Tabelle132456891011[[#This Row],[Jira Story Points]],Tabelle132456891011[[#This Row],[Carry-over]]),0),0)</f>
        <v>0</v>
      </c>
      <c r="Q143" s="108">
        <f>IFERROR(IF(Tabelle132456891011[[#This Row],[Status]]=$J$5,0,MIN(Tabelle132456891011[[#This Row],[Jira Story Points]],Tabelle132456891011[[#This Row],[Carry-over]])-Tabelle132456891011[[#This Row],[SP Completed (COS &amp; SOS)]]),0)</f>
        <v>3</v>
      </c>
    </row>
    <row r="144" spans="1:17" s="46" customFormat="1" ht="13.5" hidden="1" customHeight="1">
      <c r="A144" s="88" t="s">
        <v>2311</v>
      </c>
      <c r="B144" s="101" t="s">
        <v>2312</v>
      </c>
      <c r="C144" s="81" t="s">
        <v>372</v>
      </c>
      <c r="D144" s="81">
        <v>3</v>
      </c>
      <c r="E144" s="81" t="s">
        <v>324</v>
      </c>
      <c r="F144" s="81">
        <v>5</v>
      </c>
      <c r="G144" s="76" t="s">
        <v>5</v>
      </c>
      <c r="H144" s="83"/>
      <c r="I144" s="103"/>
      <c r="J144" s="76" t="s">
        <v>125</v>
      </c>
      <c r="K144" s="104"/>
      <c r="L144" s="104"/>
      <c r="M144" s="105">
        <f>IF(Tabelle132456891011[[#This Row],[Pulled after Start]]="",MIN(Tabelle132456891011[[#This Row],[Jira Story Points]],Tabelle132456891011[[#This Row],[Carry-over]]),0)</f>
        <v>5</v>
      </c>
      <c r="N144" s="106">
        <f>MIN(Tabelle132456891011[[#This Row],[Jira Story Points]],Tabelle132456891011[[#This Row],[Carry-over]])-Tabelle132456891011[[#This Row],[SP Initially Planned (COS)]]</f>
        <v>0</v>
      </c>
      <c r="O144"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5</v>
      </c>
      <c r="P144" s="108">
        <f>IFERROR(IF(Tabelle132456891011[[#This Row],[Status]]=$J$5,MIN(Tabelle132456891011[[#This Row],[Jira Story Points]],Tabelle132456891011[[#This Row],[Carry-over]]),0),0)</f>
        <v>0</v>
      </c>
      <c r="Q144" s="108">
        <f>IFERROR(IF(Tabelle132456891011[[#This Row],[Status]]=$J$5,0,MIN(Tabelle132456891011[[#This Row],[Jira Story Points]],Tabelle132456891011[[#This Row],[Carry-over]])-Tabelle132456891011[[#This Row],[SP Completed (COS &amp; SOS)]]),0)</f>
        <v>0</v>
      </c>
    </row>
    <row r="145" spans="1:17" s="46" customFormat="1" ht="13.5" hidden="1" customHeight="1">
      <c r="A145" s="88" t="s">
        <v>2313</v>
      </c>
      <c r="B145" s="101" t="s">
        <v>2314</v>
      </c>
      <c r="C145" s="81" t="s">
        <v>372</v>
      </c>
      <c r="D145" s="81">
        <v>3</v>
      </c>
      <c r="E145" s="81" t="s">
        <v>324</v>
      </c>
      <c r="F145" s="81">
        <v>8</v>
      </c>
      <c r="G145" s="76" t="s">
        <v>5</v>
      </c>
      <c r="H145" s="83"/>
      <c r="I145" s="103"/>
      <c r="J145" s="76" t="s">
        <v>125</v>
      </c>
      <c r="K145" s="104">
        <v>1</v>
      </c>
      <c r="L145" s="104"/>
      <c r="M145" s="105">
        <f>IF(Tabelle132456891011[[#This Row],[Pulled after Start]]="",MIN(Tabelle132456891011[[#This Row],[Jira Story Points]],Tabelle132456891011[[#This Row],[Carry-over]]),0)</f>
        <v>1</v>
      </c>
      <c r="N145" s="106">
        <f>MIN(Tabelle132456891011[[#This Row],[Jira Story Points]],Tabelle132456891011[[#This Row],[Carry-over]])-Tabelle132456891011[[#This Row],[SP Initially Planned (COS)]]</f>
        <v>0</v>
      </c>
      <c r="O145"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145" s="108">
        <f>IFERROR(IF(Tabelle132456891011[[#This Row],[Status]]=$J$5,MIN(Tabelle132456891011[[#This Row],[Jira Story Points]],Tabelle132456891011[[#This Row],[Carry-over]]),0),0)</f>
        <v>0</v>
      </c>
      <c r="Q145" s="108">
        <f>IFERROR(IF(Tabelle132456891011[[#This Row],[Status]]=$J$5,0,MIN(Tabelle132456891011[[#This Row],[Jira Story Points]],Tabelle132456891011[[#This Row],[Carry-over]])-Tabelle132456891011[[#This Row],[SP Completed (COS &amp; SOS)]]),0)</f>
        <v>0</v>
      </c>
    </row>
    <row r="146" spans="1:17" s="46" customFormat="1" ht="13.5" hidden="1" customHeight="1">
      <c r="A146" s="88" t="s">
        <v>2054</v>
      </c>
      <c r="B146" s="101" t="s">
        <v>2055</v>
      </c>
      <c r="C146" s="81" t="s">
        <v>372</v>
      </c>
      <c r="D146" s="81">
        <v>3</v>
      </c>
      <c r="E146" s="81" t="s">
        <v>327</v>
      </c>
      <c r="F146" s="81">
        <v>8</v>
      </c>
      <c r="G146" s="76" t="s">
        <v>5</v>
      </c>
      <c r="H146" s="83"/>
      <c r="I146" s="103"/>
      <c r="J146" s="76" t="s">
        <v>125</v>
      </c>
      <c r="K146" s="104"/>
      <c r="L146" s="104"/>
      <c r="M146" s="105">
        <f>IF(Tabelle132456891011[[#This Row],[Pulled after Start]]="",MIN(Tabelle132456891011[[#This Row],[Jira Story Points]],Tabelle132456891011[[#This Row],[Carry-over]]),0)</f>
        <v>8</v>
      </c>
      <c r="N146" s="106">
        <f>MIN(Tabelle132456891011[[#This Row],[Jira Story Points]],Tabelle132456891011[[#This Row],[Carry-over]])-Tabelle132456891011[[#This Row],[SP Initially Planned (COS)]]</f>
        <v>0</v>
      </c>
      <c r="O146"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8</v>
      </c>
      <c r="P146" s="108">
        <f>IFERROR(IF(Tabelle132456891011[[#This Row],[Status]]=$J$5,MIN(Tabelle132456891011[[#This Row],[Jira Story Points]],Tabelle132456891011[[#This Row],[Carry-over]]),0),0)</f>
        <v>0</v>
      </c>
      <c r="Q146" s="108">
        <f>IFERROR(IF(Tabelle132456891011[[#This Row],[Status]]=$J$5,0,MIN(Tabelle132456891011[[#This Row],[Jira Story Points]],Tabelle132456891011[[#This Row],[Carry-over]])-Tabelle132456891011[[#This Row],[SP Completed (COS &amp; SOS)]]),0)</f>
        <v>0</v>
      </c>
    </row>
    <row r="147" spans="1:17" s="46" customFormat="1" ht="13.5" hidden="1" customHeight="1">
      <c r="A147" s="88" t="s">
        <v>2315</v>
      </c>
      <c r="B147" s="101" t="s">
        <v>2316</v>
      </c>
      <c r="C147" s="81" t="s">
        <v>372</v>
      </c>
      <c r="D147" s="81">
        <v>3</v>
      </c>
      <c r="E147" s="81" t="s">
        <v>324</v>
      </c>
      <c r="F147" s="81">
        <v>5</v>
      </c>
      <c r="G147" s="76" t="s">
        <v>5</v>
      </c>
      <c r="H147" s="83"/>
      <c r="I147" s="103"/>
      <c r="J147" s="76" t="s">
        <v>125</v>
      </c>
      <c r="K147" s="104"/>
      <c r="L147" s="104"/>
      <c r="M147" s="105">
        <f>IF(Tabelle132456891011[[#This Row],[Pulled after Start]]="",MIN(Tabelle132456891011[[#This Row],[Jira Story Points]],Tabelle132456891011[[#This Row],[Carry-over]]),0)</f>
        <v>5</v>
      </c>
      <c r="N147" s="106">
        <f>MIN(Tabelle132456891011[[#This Row],[Jira Story Points]],Tabelle132456891011[[#This Row],[Carry-over]])-Tabelle132456891011[[#This Row],[SP Initially Planned (COS)]]</f>
        <v>0</v>
      </c>
      <c r="O147"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5</v>
      </c>
      <c r="P147" s="108">
        <f>IFERROR(IF(Tabelle132456891011[[#This Row],[Status]]=$J$5,MIN(Tabelle132456891011[[#This Row],[Jira Story Points]],Tabelle132456891011[[#This Row],[Carry-over]]),0),0)</f>
        <v>0</v>
      </c>
      <c r="Q147" s="108">
        <f>IFERROR(IF(Tabelle132456891011[[#This Row],[Status]]=$J$5,0,MIN(Tabelle132456891011[[#This Row],[Jira Story Points]],Tabelle132456891011[[#This Row],[Carry-over]])-Tabelle132456891011[[#This Row],[SP Completed (COS &amp; SOS)]]),0)</f>
        <v>0</v>
      </c>
    </row>
    <row r="148" spans="1:17" s="46" customFormat="1" ht="13.5" hidden="1" customHeight="1">
      <c r="A148" s="88" t="s">
        <v>2317</v>
      </c>
      <c r="B148" s="101" t="s">
        <v>2318</v>
      </c>
      <c r="C148" s="81" t="s">
        <v>372</v>
      </c>
      <c r="D148" s="81">
        <v>3</v>
      </c>
      <c r="E148" s="81" t="s">
        <v>324</v>
      </c>
      <c r="F148" s="81">
        <v>3</v>
      </c>
      <c r="G148" s="76" t="s">
        <v>5</v>
      </c>
      <c r="H148" s="83" t="s">
        <v>209</v>
      </c>
      <c r="I148" s="103"/>
      <c r="J148" s="76" t="s">
        <v>125</v>
      </c>
      <c r="K148" s="104"/>
      <c r="L148" s="104"/>
      <c r="M148" s="105">
        <f>IF(Tabelle132456891011[[#This Row],[Pulled after Start]]="",MIN(Tabelle132456891011[[#This Row],[Jira Story Points]],Tabelle132456891011[[#This Row],[Carry-over]]),0)</f>
        <v>0</v>
      </c>
      <c r="N148" s="106">
        <f>MIN(Tabelle132456891011[[#This Row],[Jira Story Points]],Tabelle132456891011[[#This Row],[Carry-over]])-Tabelle132456891011[[#This Row],[SP Initially Planned (COS)]]</f>
        <v>3</v>
      </c>
      <c r="O148"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148" s="108">
        <f>IFERROR(IF(Tabelle132456891011[[#This Row],[Status]]=$J$5,MIN(Tabelle132456891011[[#This Row],[Jira Story Points]],Tabelle132456891011[[#This Row],[Carry-over]]),0),0)</f>
        <v>0</v>
      </c>
      <c r="Q148" s="108">
        <f>IFERROR(IF(Tabelle132456891011[[#This Row],[Status]]=$J$5,0,MIN(Tabelle132456891011[[#This Row],[Jira Story Points]],Tabelle132456891011[[#This Row],[Carry-over]])-Tabelle132456891011[[#This Row],[SP Completed (COS &amp; SOS)]]),0)</f>
        <v>0</v>
      </c>
    </row>
    <row r="149" spans="1:17" s="46" customFormat="1" ht="13.5" hidden="1" customHeight="1">
      <c r="A149" s="88" t="s">
        <v>2319</v>
      </c>
      <c r="B149" s="101" t="s">
        <v>1628</v>
      </c>
      <c r="C149" s="81" t="s">
        <v>372</v>
      </c>
      <c r="D149" s="81">
        <v>3</v>
      </c>
      <c r="E149" s="81" t="s">
        <v>327</v>
      </c>
      <c r="F149" s="81">
        <v>8</v>
      </c>
      <c r="G149" s="76" t="s">
        <v>5</v>
      </c>
      <c r="H149" s="83" t="s">
        <v>209</v>
      </c>
      <c r="I149" s="103"/>
      <c r="J149" s="76" t="s">
        <v>127</v>
      </c>
      <c r="K149" s="104"/>
      <c r="L149" s="104">
        <v>5</v>
      </c>
      <c r="M149" s="105">
        <f>IF(Tabelle132456891011[[#This Row],[Pulled after Start]]="",MIN(Tabelle132456891011[[#This Row],[Jira Story Points]],Tabelle132456891011[[#This Row],[Carry-over]]),0)</f>
        <v>0</v>
      </c>
      <c r="N149" s="106">
        <f>MIN(Tabelle132456891011[[#This Row],[Jira Story Points]],Tabelle132456891011[[#This Row],[Carry-over]])-Tabelle132456891011[[#This Row],[SP Initially Planned (COS)]]</f>
        <v>8</v>
      </c>
      <c r="O149"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3</v>
      </c>
      <c r="P149" s="108">
        <f>IFERROR(IF(Tabelle132456891011[[#This Row],[Status]]=$J$5,MIN(Tabelle132456891011[[#This Row],[Jira Story Points]],Tabelle132456891011[[#This Row],[Carry-over]]),0),0)</f>
        <v>0</v>
      </c>
      <c r="Q149" s="108">
        <f>IFERROR(IF(Tabelle132456891011[[#This Row],[Status]]=$J$5,0,MIN(Tabelle132456891011[[#This Row],[Jira Story Points]],Tabelle132456891011[[#This Row],[Carry-over]])-Tabelle132456891011[[#This Row],[SP Completed (COS &amp; SOS)]]),0)</f>
        <v>5</v>
      </c>
    </row>
    <row r="150" spans="1:17" s="46" customFormat="1" ht="13.5" hidden="1" customHeight="1">
      <c r="A150" s="88" t="s">
        <v>2320</v>
      </c>
      <c r="B150" s="101" t="s">
        <v>2321</v>
      </c>
      <c r="C150" s="81" t="s">
        <v>372</v>
      </c>
      <c r="D150" s="81">
        <v>3</v>
      </c>
      <c r="E150" s="81" t="s">
        <v>324</v>
      </c>
      <c r="F150" s="82">
        <v>1</v>
      </c>
      <c r="G150" s="76" t="s">
        <v>5</v>
      </c>
      <c r="H150" s="83" t="s">
        <v>209</v>
      </c>
      <c r="I150" s="103"/>
      <c r="J150" s="76" t="s">
        <v>125</v>
      </c>
      <c r="K150" s="104"/>
      <c r="L150" s="104"/>
      <c r="M150" s="105">
        <f>IF(Tabelle132456891011[[#This Row],[Pulled after Start]]="",MIN(Tabelle132456891011[[#This Row],[Jira Story Points]],Tabelle132456891011[[#This Row],[Carry-over]]),0)</f>
        <v>0</v>
      </c>
      <c r="N150" s="106">
        <f>MIN(Tabelle132456891011[[#This Row],[Jira Story Points]],Tabelle132456891011[[#This Row],[Carry-over]])-Tabelle132456891011[[#This Row],[SP Initially Planned (COS)]]</f>
        <v>1</v>
      </c>
      <c r="O150"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1</v>
      </c>
      <c r="P150" s="108">
        <f>IFERROR(IF(Tabelle132456891011[[#This Row],[Status]]=$J$5,MIN(Tabelle132456891011[[#This Row],[Jira Story Points]],Tabelle132456891011[[#This Row],[Carry-over]]),0),0)</f>
        <v>0</v>
      </c>
      <c r="Q150" s="108">
        <f>IFERROR(IF(Tabelle132456891011[[#This Row],[Status]]=$J$5,0,MIN(Tabelle132456891011[[#This Row],[Jira Story Points]],Tabelle132456891011[[#This Row],[Carry-over]])-Tabelle132456891011[[#This Row],[SP Completed (COS &amp; SOS)]]),0)</f>
        <v>0</v>
      </c>
    </row>
    <row r="151" spans="1:17" s="46" customFormat="1" ht="13.5" hidden="1" customHeight="1">
      <c r="A151" s="88" t="s">
        <v>2322</v>
      </c>
      <c r="B151" s="101" t="s">
        <v>2044</v>
      </c>
      <c r="C151" s="81" t="s">
        <v>372</v>
      </c>
      <c r="D151" s="81">
        <v>3</v>
      </c>
      <c r="E151" s="81" t="s">
        <v>327</v>
      </c>
      <c r="F151" s="82">
        <v>1</v>
      </c>
      <c r="G151" s="76" t="s">
        <v>5</v>
      </c>
      <c r="H151" s="83" t="s">
        <v>209</v>
      </c>
      <c r="I151" s="103"/>
      <c r="J151" s="76" t="s">
        <v>127</v>
      </c>
      <c r="K151" s="104"/>
      <c r="L151" s="104"/>
      <c r="M151" s="105">
        <f>IF(Tabelle132456891011[[#This Row],[Pulled after Start]]="",MIN(Tabelle132456891011[[#This Row],[Jira Story Points]],Tabelle132456891011[[#This Row],[Carry-over]]),0)</f>
        <v>0</v>
      </c>
      <c r="N151" s="106">
        <f>MIN(Tabelle132456891011[[#This Row],[Jira Story Points]],Tabelle132456891011[[#This Row],[Carry-over]])-Tabelle132456891011[[#This Row],[SP Initially Planned (COS)]]</f>
        <v>1</v>
      </c>
      <c r="O151"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51" s="108">
        <f>IFERROR(IF(Tabelle132456891011[[#This Row],[Status]]=$J$5,MIN(Tabelle132456891011[[#This Row],[Jira Story Points]],Tabelle132456891011[[#This Row],[Carry-over]]),0),0)</f>
        <v>0</v>
      </c>
      <c r="Q151" s="108">
        <f>IFERROR(IF(Tabelle132456891011[[#This Row],[Status]]=$J$5,0,MIN(Tabelle132456891011[[#This Row],[Jira Story Points]],Tabelle132456891011[[#This Row],[Carry-over]])-Tabelle132456891011[[#This Row],[SP Completed (COS &amp; SOS)]]),0)</f>
        <v>1</v>
      </c>
    </row>
    <row r="152" spans="1:17" s="46" customFormat="1" ht="13.5" hidden="1" customHeight="1">
      <c r="A152" s="117"/>
      <c r="B152" s="47"/>
      <c r="C152" s="76"/>
      <c r="D152" s="76"/>
      <c r="E152" s="76"/>
      <c r="F152" s="104"/>
      <c r="G152" s="76"/>
      <c r="H152" s="83"/>
      <c r="I152" s="103"/>
      <c r="J152" s="76"/>
      <c r="K152" s="104"/>
      <c r="L152" s="104"/>
      <c r="M152" s="105">
        <f>IF(Tabelle132456891011[[#This Row],[Pulled after Start]]="",MIN(Tabelle132456891011[[#This Row],[Jira Story Points]],Tabelle132456891011[[#This Row],[Carry-over]]),0)</f>
        <v>0</v>
      </c>
      <c r="N152" s="106">
        <f>MIN(Tabelle132456891011[[#This Row],[Jira Story Points]],Tabelle132456891011[[#This Row],[Carry-over]])-Tabelle132456891011[[#This Row],[SP Initially Planned (COS)]]</f>
        <v>0</v>
      </c>
      <c r="O152"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52" s="108">
        <f>IFERROR(IF(Tabelle132456891011[[#This Row],[Status]]=$J$5,MIN(Tabelle132456891011[[#This Row],[Jira Story Points]],Tabelle132456891011[[#This Row],[Carry-over]]),0),0)</f>
        <v>0</v>
      </c>
      <c r="Q152" s="108">
        <f>IFERROR(IF(Tabelle132456891011[[#This Row],[Status]]=$J$5,0,MIN(Tabelle132456891011[[#This Row],[Jira Story Points]],Tabelle132456891011[[#This Row],[Carry-over]])-Tabelle132456891011[[#This Row],[SP Completed (COS &amp; SOS)]]),0)</f>
        <v>0</v>
      </c>
    </row>
    <row r="153" spans="1:17" s="46" customFormat="1" ht="13.5" hidden="1" customHeight="1">
      <c r="A153" s="117"/>
      <c r="B153" s="47"/>
      <c r="C153" s="76"/>
      <c r="D153" s="76"/>
      <c r="E153" s="76"/>
      <c r="F153" s="104"/>
      <c r="G153" s="76"/>
      <c r="H153" s="83"/>
      <c r="I153" s="103"/>
      <c r="J153" s="76"/>
      <c r="K153" s="104"/>
      <c r="L153" s="104"/>
      <c r="M153" s="105">
        <f>IF(Tabelle132456891011[[#This Row],[Pulled after Start]]="",MIN(Tabelle132456891011[[#This Row],[Jira Story Points]],Tabelle132456891011[[#This Row],[Carry-over]]),0)</f>
        <v>0</v>
      </c>
      <c r="N153" s="106">
        <f>MIN(Tabelle132456891011[[#This Row],[Jira Story Points]],Tabelle132456891011[[#This Row],[Carry-over]])-Tabelle132456891011[[#This Row],[SP Initially Planned (COS)]]</f>
        <v>0</v>
      </c>
      <c r="O153"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53" s="108">
        <f>IFERROR(IF(Tabelle132456891011[[#This Row],[Status]]=$J$5,MIN(Tabelle132456891011[[#This Row],[Jira Story Points]],Tabelle132456891011[[#This Row],[Carry-over]]),0),0)</f>
        <v>0</v>
      </c>
      <c r="Q153" s="108">
        <f>IFERROR(IF(Tabelle132456891011[[#This Row],[Status]]=$J$5,0,MIN(Tabelle132456891011[[#This Row],[Jira Story Points]],Tabelle132456891011[[#This Row],[Carry-over]])-Tabelle132456891011[[#This Row],[SP Completed (COS &amp; SOS)]]),0)</f>
        <v>0</v>
      </c>
    </row>
    <row r="154" spans="1:17" s="46" customFormat="1" ht="13.5" hidden="1" customHeight="1">
      <c r="A154" s="117"/>
      <c r="B154" s="47"/>
      <c r="C154" s="76"/>
      <c r="D154" s="76"/>
      <c r="E154" s="76"/>
      <c r="F154" s="104"/>
      <c r="G154" s="76"/>
      <c r="H154" s="83"/>
      <c r="I154" s="103"/>
      <c r="J154" s="76"/>
      <c r="K154" s="104"/>
      <c r="L154" s="104"/>
      <c r="M154" s="105">
        <f>IF(Tabelle132456891011[[#This Row],[Pulled after Start]]="",MIN(Tabelle132456891011[[#This Row],[Jira Story Points]],Tabelle132456891011[[#This Row],[Carry-over]]),0)</f>
        <v>0</v>
      </c>
      <c r="N154" s="106">
        <f>MIN(Tabelle132456891011[[#This Row],[Jira Story Points]],Tabelle132456891011[[#This Row],[Carry-over]])-Tabelle132456891011[[#This Row],[SP Initially Planned (COS)]]</f>
        <v>0</v>
      </c>
      <c r="O154"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54" s="108">
        <f>IFERROR(IF(Tabelle132456891011[[#This Row],[Status]]=$J$5,MIN(Tabelle132456891011[[#This Row],[Jira Story Points]],Tabelle132456891011[[#This Row],[Carry-over]]),0),0)</f>
        <v>0</v>
      </c>
      <c r="Q154" s="108">
        <f>IFERROR(IF(Tabelle132456891011[[#This Row],[Status]]=$J$5,0,MIN(Tabelle132456891011[[#This Row],[Jira Story Points]],Tabelle132456891011[[#This Row],[Carry-over]])-Tabelle132456891011[[#This Row],[SP Completed (COS &amp; SOS)]]),0)</f>
        <v>0</v>
      </c>
    </row>
    <row r="155" spans="1:17" s="46" customFormat="1" ht="13.5" hidden="1" customHeight="1">
      <c r="A155" s="117"/>
      <c r="B155" s="47"/>
      <c r="C155" s="76"/>
      <c r="D155" s="76"/>
      <c r="E155" s="76"/>
      <c r="F155" s="104"/>
      <c r="G155" s="76"/>
      <c r="H155" s="83"/>
      <c r="I155" s="103"/>
      <c r="J155" s="76"/>
      <c r="K155" s="104"/>
      <c r="L155" s="104"/>
      <c r="M155" s="105">
        <f>IF(Tabelle132456891011[[#This Row],[Pulled after Start]]="",MIN(Tabelle132456891011[[#This Row],[Jira Story Points]],Tabelle132456891011[[#This Row],[Carry-over]]),0)</f>
        <v>0</v>
      </c>
      <c r="N155" s="106">
        <f>MIN(Tabelle132456891011[[#This Row],[Jira Story Points]],Tabelle132456891011[[#This Row],[Carry-over]])-Tabelle132456891011[[#This Row],[SP Initially Planned (COS)]]</f>
        <v>0</v>
      </c>
      <c r="O155"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55" s="108">
        <f>IFERROR(IF(Tabelle132456891011[[#This Row],[Status]]=$J$5,MIN(Tabelle132456891011[[#This Row],[Jira Story Points]],Tabelle132456891011[[#This Row],[Carry-over]]),0),0)</f>
        <v>0</v>
      </c>
      <c r="Q155" s="108">
        <f>IFERROR(IF(Tabelle132456891011[[#This Row],[Status]]=$J$5,0,MIN(Tabelle132456891011[[#This Row],[Jira Story Points]],Tabelle132456891011[[#This Row],[Carry-over]])-Tabelle132456891011[[#This Row],[SP Completed (COS &amp; SOS)]]),0)</f>
        <v>0</v>
      </c>
    </row>
    <row r="156" spans="1:17" s="46" customFormat="1" ht="13.5" hidden="1" customHeight="1">
      <c r="A156" s="117"/>
      <c r="B156" s="47"/>
      <c r="C156" s="76"/>
      <c r="D156" s="76"/>
      <c r="E156" s="76"/>
      <c r="F156" s="104"/>
      <c r="G156" s="76"/>
      <c r="H156" s="83"/>
      <c r="I156" s="103"/>
      <c r="J156" s="76"/>
      <c r="K156" s="104"/>
      <c r="L156" s="104"/>
      <c r="M156" s="105">
        <f>IF(Tabelle132456891011[[#This Row],[Pulled after Start]]="",MIN(Tabelle132456891011[[#This Row],[Jira Story Points]],Tabelle132456891011[[#This Row],[Carry-over]]),0)</f>
        <v>0</v>
      </c>
      <c r="N156" s="106">
        <f>MIN(Tabelle132456891011[[#This Row],[Jira Story Points]],Tabelle132456891011[[#This Row],[Carry-over]])-Tabelle132456891011[[#This Row],[SP Initially Planned (COS)]]</f>
        <v>0</v>
      </c>
      <c r="O156"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56" s="108">
        <f>IFERROR(IF(Tabelle132456891011[[#This Row],[Status]]=$J$5,MIN(Tabelle132456891011[[#This Row],[Jira Story Points]],Tabelle132456891011[[#This Row],[Carry-over]]),0),0)</f>
        <v>0</v>
      </c>
      <c r="Q156" s="108">
        <f>IFERROR(IF(Tabelle132456891011[[#This Row],[Status]]=$J$5,0,MIN(Tabelle132456891011[[#This Row],[Jira Story Points]],Tabelle132456891011[[#This Row],[Carry-over]])-Tabelle132456891011[[#This Row],[SP Completed (COS &amp; SOS)]]),0)</f>
        <v>0</v>
      </c>
    </row>
    <row r="157" spans="1:17" s="46" customFormat="1" ht="13.5" hidden="1" customHeight="1">
      <c r="A157" s="117"/>
      <c r="B157" s="47"/>
      <c r="C157" s="76"/>
      <c r="D157" s="76"/>
      <c r="E157" s="76"/>
      <c r="F157" s="104"/>
      <c r="G157" s="76"/>
      <c r="H157" s="83"/>
      <c r="I157" s="103"/>
      <c r="J157" s="76"/>
      <c r="K157" s="104"/>
      <c r="L157" s="104"/>
      <c r="M157" s="105">
        <f>IF(Tabelle132456891011[[#This Row],[Pulled after Start]]="",MIN(Tabelle132456891011[[#This Row],[Jira Story Points]],Tabelle132456891011[[#This Row],[Carry-over]]),0)</f>
        <v>0</v>
      </c>
      <c r="N157" s="106">
        <f>MIN(Tabelle132456891011[[#This Row],[Jira Story Points]],Tabelle132456891011[[#This Row],[Carry-over]])-Tabelle132456891011[[#This Row],[SP Initially Planned (COS)]]</f>
        <v>0</v>
      </c>
      <c r="O157"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57" s="108">
        <f>IFERROR(IF(Tabelle132456891011[[#This Row],[Status]]=$J$5,MIN(Tabelle132456891011[[#This Row],[Jira Story Points]],Tabelle132456891011[[#This Row],[Carry-over]]),0),0)</f>
        <v>0</v>
      </c>
      <c r="Q157" s="108">
        <f>IFERROR(IF(Tabelle132456891011[[#This Row],[Status]]=$J$5,0,MIN(Tabelle132456891011[[#This Row],[Jira Story Points]],Tabelle132456891011[[#This Row],[Carry-over]])-Tabelle132456891011[[#This Row],[SP Completed (COS &amp; SOS)]]),0)</f>
        <v>0</v>
      </c>
    </row>
    <row r="158" spans="1:17" s="46" customFormat="1" ht="13.5" hidden="1" customHeight="1">
      <c r="A158" s="117"/>
      <c r="B158" s="47"/>
      <c r="C158" s="76"/>
      <c r="D158" s="76"/>
      <c r="E158" s="76"/>
      <c r="F158" s="104"/>
      <c r="G158" s="76"/>
      <c r="H158" s="83"/>
      <c r="I158" s="103"/>
      <c r="J158" s="76"/>
      <c r="K158" s="104"/>
      <c r="L158" s="104"/>
      <c r="M158" s="105">
        <f>IF(Tabelle132456891011[[#This Row],[Pulled after Start]]="",MIN(Tabelle132456891011[[#This Row],[Jira Story Points]],Tabelle132456891011[[#This Row],[Carry-over]]),0)</f>
        <v>0</v>
      </c>
      <c r="N158" s="106">
        <f>MIN(Tabelle132456891011[[#This Row],[Jira Story Points]],Tabelle132456891011[[#This Row],[Carry-over]])-Tabelle132456891011[[#This Row],[SP Initially Planned (COS)]]</f>
        <v>0</v>
      </c>
      <c r="O158"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58" s="108">
        <f>IFERROR(IF(Tabelle132456891011[[#This Row],[Status]]=$J$5,MIN(Tabelle132456891011[[#This Row],[Jira Story Points]],Tabelle132456891011[[#This Row],[Carry-over]]),0),0)</f>
        <v>0</v>
      </c>
      <c r="Q158" s="108">
        <f>IFERROR(IF(Tabelle132456891011[[#This Row],[Status]]=$J$5,0,MIN(Tabelle132456891011[[#This Row],[Jira Story Points]],Tabelle132456891011[[#This Row],[Carry-over]])-Tabelle132456891011[[#This Row],[SP Completed (COS &amp; SOS)]]),0)</f>
        <v>0</v>
      </c>
    </row>
    <row r="159" spans="1:17" s="46" customFormat="1" ht="13.5" hidden="1" customHeight="1">
      <c r="A159" s="117"/>
      <c r="B159" s="47"/>
      <c r="C159" s="76"/>
      <c r="D159" s="76"/>
      <c r="E159" s="76"/>
      <c r="F159" s="104"/>
      <c r="G159" s="76"/>
      <c r="H159" s="83"/>
      <c r="I159" s="103"/>
      <c r="J159" s="76"/>
      <c r="K159" s="104"/>
      <c r="L159" s="104"/>
      <c r="M159" s="105">
        <f>IF(Tabelle132456891011[[#This Row],[Pulled after Start]]="",MIN(Tabelle132456891011[[#This Row],[Jira Story Points]],Tabelle132456891011[[#This Row],[Carry-over]]),0)</f>
        <v>0</v>
      </c>
      <c r="N159" s="106">
        <f>MIN(Tabelle132456891011[[#This Row],[Jira Story Points]],Tabelle132456891011[[#This Row],[Carry-over]])-Tabelle132456891011[[#This Row],[SP Initially Planned (COS)]]</f>
        <v>0</v>
      </c>
      <c r="O159"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59" s="108">
        <f>IFERROR(IF(Tabelle132456891011[[#This Row],[Status]]=$J$5,MIN(Tabelle132456891011[[#This Row],[Jira Story Points]],Tabelle132456891011[[#This Row],[Carry-over]]),0),0)</f>
        <v>0</v>
      </c>
      <c r="Q159" s="108">
        <f>IFERROR(IF(Tabelle132456891011[[#This Row],[Status]]=$J$5,0,MIN(Tabelle132456891011[[#This Row],[Jira Story Points]],Tabelle132456891011[[#This Row],[Carry-over]])-Tabelle132456891011[[#This Row],[SP Completed (COS &amp; SOS)]]),0)</f>
        <v>0</v>
      </c>
    </row>
    <row r="160" spans="1:17" s="46" customFormat="1" ht="13.5" hidden="1" customHeight="1">
      <c r="A160" s="117"/>
      <c r="B160" s="47"/>
      <c r="C160" s="76"/>
      <c r="D160" s="76"/>
      <c r="E160" s="76"/>
      <c r="F160" s="104"/>
      <c r="G160" s="76"/>
      <c r="H160" s="83"/>
      <c r="I160" s="103"/>
      <c r="J160" s="76"/>
      <c r="K160" s="104"/>
      <c r="L160" s="104"/>
      <c r="M160" s="105">
        <f>IF(Tabelle132456891011[[#This Row],[Pulled after Start]]="",MIN(Tabelle132456891011[[#This Row],[Jira Story Points]],Tabelle132456891011[[#This Row],[Carry-over]]),0)</f>
        <v>0</v>
      </c>
      <c r="N160" s="106">
        <f>MIN(Tabelle132456891011[[#This Row],[Jira Story Points]],Tabelle132456891011[[#This Row],[Carry-over]])-Tabelle132456891011[[#This Row],[SP Initially Planned (COS)]]</f>
        <v>0</v>
      </c>
      <c r="O160"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60" s="108">
        <f>IFERROR(IF(Tabelle132456891011[[#This Row],[Status]]=$J$5,MIN(Tabelle132456891011[[#This Row],[Jira Story Points]],Tabelle132456891011[[#This Row],[Carry-over]]),0),0)</f>
        <v>0</v>
      </c>
      <c r="Q160" s="108">
        <f>IFERROR(IF(Tabelle132456891011[[#This Row],[Status]]=$J$5,0,MIN(Tabelle132456891011[[#This Row],[Jira Story Points]],Tabelle132456891011[[#This Row],[Carry-over]])-Tabelle132456891011[[#This Row],[SP Completed (COS &amp; SOS)]]),0)</f>
        <v>0</v>
      </c>
    </row>
    <row r="161" spans="1:17" s="46" customFormat="1" ht="13.5" hidden="1" customHeight="1">
      <c r="A161" s="117"/>
      <c r="B161" s="47"/>
      <c r="C161" s="76"/>
      <c r="D161" s="76"/>
      <c r="E161" s="76"/>
      <c r="F161" s="104"/>
      <c r="G161" s="76"/>
      <c r="H161" s="83"/>
      <c r="I161" s="103"/>
      <c r="J161" s="76"/>
      <c r="K161" s="104"/>
      <c r="L161" s="104"/>
      <c r="M161" s="105">
        <f>IF(Tabelle132456891011[[#This Row],[Pulled after Start]]="",MIN(Tabelle132456891011[[#This Row],[Jira Story Points]],Tabelle132456891011[[#This Row],[Carry-over]]),0)</f>
        <v>0</v>
      </c>
      <c r="N161" s="106">
        <f>MIN(Tabelle132456891011[[#This Row],[Jira Story Points]],Tabelle132456891011[[#This Row],[Carry-over]])-Tabelle132456891011[[#This Row],[SP Initially Planned (COS)]]</f>
        <v>0</v>
      </c>
      <c r="O161"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61" s="108">
        <f>IFERROR(IF(Tabelle132456891011[[#This Row],[Status]]=$J$5,MIN(Tabelle132456891011[[#This Row],[Jira Story Points]],Tabelle132456891011[[#This Row],[Carry-over]]),0),0)</f>
        <v>0</v>
      </c>
      <c r="Q161" s="108">
        <f>IFERROR(IF(Tabelle132456891011[[#This Row],[Status]]=$J$5,0,MIN(Tabelle132456891011[[#This Row],[Jira Story Points]],Tabelle132456891011[[#This Row],[Carry-over]])-Tabelle132456891011[[#This Row],[SP Completed (COS &amp; SOS)]]),0)</f>
        <v>0</v>
      </c>
    </row>
    <row r="162" spans="1:17" s="46" customFormat="1" ht="13.5" hidden="1" customHeight="1">
      <c r="A162" s="117"/>
      <c r="B162" s="47"/>
      <c r="C162" s="76"/>
      <c r="D162" s="76"/>
      <c r="E162" s="76"/>
      <c r="F162" s="104"/>
      <c r="G162" s="76"/>
      <c r="H162" s="83"/>
      <c r="I162" s="103"/>
      <c r="J162" s="76"/>
      <c r="K162" s="104"/>
      <c r="L162" s="104"/>
      <c r="M162" s="105">
        <f>IF(Tabelle132456891011[[#This Row],[Pulled after Start]]="",MIN(Tabelle132456891011[[#This Row],[Jira Story Points]],Tabelle132456891011[[#This Row],[Carry-over]]),0)</f>
        <v>0</v>
      </c>
      <c r="N162" s="106">
        <f>MIN(Tabelle132456891011[[#This Row],[Jira Story Points]],Tabelle132456891011[[#This Row],[Carry-over]])-Tabelle132456891011[[#This Row],[SP Initially Planned (COS)]]</f>
        <v>0</v>
      </c>
      <c r="O162"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62" s="108">
        <f>IFERROR(IF(Tabelle132456891011[[#This Row],[Status]]=$J$5,MIN(Tabelle132456891011[[#This Row],[Jira Story Points]],Tabelle132456891011[[#This Row],[Carry-over]]),0),0)</f>
        <v>0</v>
      </c>
      <c r="Q162" s="108">
        <f>IFERROR(IF(Tabelle132456891011[[#This Row],[Status]]=$J$5,0,MIN(Tabelle132456891011[[#This Row],[Jira Story Points]],Tabelle132456891011[[#This Row],[Carry-over]])-Tabelle132456891011[[#This Row],[SP Completed (COS &amp; SOS)]]),0)</f>
        <v>0</v>
      </c>
    </row>
    <row r="163" spans="1:17" s="46" customFormat="1" ht="13.5" hidden="1" customHeight="1">
      <c r="A163" s="117"/>
      <c r="B163" s="47"/>
      <c r="C163" s="76"/>
      <c r="D163" s="76"/>
      <c r="E163" s="76"/>
      <c r="F163" s="104"/>
      <c r="G163" s="76"/>
      <c r="H163" s="83"/>
      <c r="I163" s="103"/>
      <c r="J163" s="76"/>
      <c r="K163" s="104"/>
      <c r="L163" s="104"/>
      <c r="M163" s="105">
        <f>IF(Tabelle132456891011[[#This Row],[Pulled after Start]]="",MIN(Tabelle132456891011[[#This Row],[Jira Story Points]],Tabelle132456891011[[#This Row],[Carry-over]]),0)</f>
        <v>0</v>
      </c>
      <c r="N163" s="106">
        <f>MIN(Tabelle132456891011[[#This Row],[Jira Story Points]],Tabelle132456891011[[#This Row],[Carry-over]])-Tabelle132456891011[[#This Row],[SP Initially Planned (COS)]]</f>
        <v>0</v>
      </c>
      <c r="O163"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63" s="108">
        <f>IFERROR(IF(Tabelle132456891011[[#This Row],[Status]]=$J$5,MIN(Tabelle132456891011[[#This Row],[Jira Story Points]],Tabelle132456891011[[#This Row],[Carry-over]]),0),0)</f>
        <v>0</v>
      </c>
      <c r="Q163" s="108">
        <f>IFERROR(IF(Tabelle132456891011[[#This Row],[Status]]=$J$5,0,MIN(Tabelle132456891011[[#This Row],[Jira Story Points]],Tabelle132456891011[[#This Row],[Carry-over]])-Tabelle132456891011[[#This Row],[SP Completed (COS &amp; SOS)]]),0)</f>
        <v>0</v>
      </c>
    </row>
    <row r="164" spans="1:17" s="46" customFormat="1" ht="13.5" hidden="1" customHeight="1">
      <c r="A164" s="117"/>
      <c r="B164" s="47"/>
      <c r="C164" s="76"/>
      <c r="D164" s="76"/>
      <c r="E164" s="76"/>
      <c r="F164" s="104"/>
      <c r="G164" s="76"/>
      <c r="H164" s="83"/>
      <c r="I164" s="103"/>
      <c r="J164" s="76"/>
      <c r="K164" s="104"/>
      <c r="L164" s="104"/>
      <c r="M164" s="105">
        <f>IF(Tabelle132456891011[[#This Row],[Pulled after Start]]="",MIN(Tabelle132456891011[[#This Row],[Jira Story Points]],Tabelle132456891011[[#This Row],[Carry-over]]),0)</f>
        <v>0</v>
      </c>
      <c r="N164" s="106">
        <f>MIN(Tabelle132456891011[[#This Row],[Jira Story Points]],Tabelle132456891011[[#This Row],[Carry-over]])-Tabelle132456891011[[#This Row],[SP Initially Planned (COS)]]</f>
        <v>0</v>
      </c>
      <c r="O164"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64" s="108">
        <f>IFERROR(IF(Tabelle132456891011[[#This Row],[Status]]=$J$5,MIN(Tabelle132456891011[[#This Row],[Jira Story Points]],Tabelle132456891011[[#This Row],[Carry-over]]),0),0)</f>
        <v>0</v>
      </c>
      <c r="Q164" s="108">
        <f>IFERROR(IF(Tabelle132456891011[[#This Row],[Status]]=$J$5,0,MIN(Tabelle132456891011[[#This Row],[Jira Story Points]],Tabelle132456891011[[#This Row],[Carry-over]])-Tabelle132456891011[[#This Row],[SP Completed (COS &amp; SOS)]]),0)</f>
        <v>0</v>
      </c>
    </row>
    <row r="165" spans="1:17" s="46" customFormat="1" ht="13.5" hidden="1" customHeight="1">
      <c r="A165" s="117"/>
      <c r="B165" s="47"/>
      <c r="C165" s="76"/>
      <c r="D165" s="76"/>
      <c r="E165" s="76"/>
      <c r="F165" s="104"/>
      <c r="G165" s="76"/>
      <c r="H165" s="83"/>
      <c r="I165" s="103"/>
      <c r="J165" s="76"/>
      <c r="K165" s="104"/>
      <c r="L165" s="104"/>
      <c r="M165" s="105">
        <f>IF(Tabelle132456891011[[#This Row],[Pulled after Start]]="",MIN(Tabelle132456891011[[#This Row],[Jira Story Points]],Tabelle132456891011[[#This Row],[Carry-over]]),0)</f>
        <v>0</v>
      </c>
      <c r="N165" s="106">
        <f>MIN(Tabelle132456891011[[#This Row],[Jira Story Points]],Tabelle132456891011[[#This Row],[Carry-over]])-Tabelle132456891011[[#This Row],[SP Initially Planned (COS)]]</f>
        <v>0</v>
      </c>
      <c r="O165"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65" s="108">
        <f>IFERROR(IF(Tabelle132456891011[[#This Row],[Status]]=$J$5,MIN(Tabelle132456891011[[#This Row],[Jira Story Points]],Tabelle132456891011[[#This Row],[Carry-over]]),0),0)</f>
        <v>0</v>
      </c>
      <c r="Q165" s="108">
        <f>IFERROR(IF(Tabelle132456891011[[#This Row],[Status]]=$J$5,0,MIN(Tabelle132456891011[[#This Row],[Jira Story Points]],Tabelle132456891011[[#This Row],[Carry-over]])-Tabelle132456891011[[#This Row],[SP Completed (COS &amp; SOS)]]),0)</f>
        <v>0</v>
      </c>
    </row>
    <row r="166" spans="1:17" s="46" customFormat="1" ht="13.5" hidden="1" customHeight="1">
      <c r="A166" s="117"/>
      <c r="B166" s="47"/>
      <c r="C166" s="76"/>
      <c r="D166" s="76"/>
      <c r="E166" s="76"/>
      <c r="F166" s="104"/>
      <c r="G166" s="76"/>
      <c r="H166" s="83"/>
      <c r="I166" s="103"/>
      <c r="J166" s="76"/>
      <c r="K166" s="104"/>
      <c r="L166" s="104"/>
      <c r="M166" s="105">
        <f>IF(Tabelle132456891011[[#This Row],[Pulled after Start]]="",MIN(Tabelle132456891011[[#This Row],[Jira Story Points]],Tabelle132456891011[[#This Row],[Carry-over]]),0)</f>
        <v>0</v>
      </c>
      <c r="N166" s="106">
        <f>MIN(Tabelle132456891011[[#This Row],[Jira Story Points]],Tabelle132456891011[[#This Row],[Carry-over]])-Tabelle132456891011[[#This Row],[SP Initially Planned (COS)]]</f>
        <v>0</v>
      </c>
      <c r="O166"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66" s="108">
        <f>IFERROR(IF(Tabelle132456891011[[#This Row],[Status]]=$J$5,MIN(Tabelle132456891011[[#This Row],[Jira Story Points]],Tabelle132456891011[[#This Row],[Carry-over]]),0),0)</f>
        <v>0</v>
      </c>
      <c r="Q166" s="108">
        <f>IFERROR(IF(Tabelle132456891011[[#This Row],[Status]]=$J$5,0,MIN(Tabelle132456891011[[#This Row],[Jira Story Points]],Tabelle132456891011[[#This Row],[Carry-over]])-Tabelle132456891011[[#This Row],[SP Completed (COS &amp; SOS)]]),0)</f>
        <v>0</v>
      </c>
    </row>
    <row r="167" spans="1:17" s="46" customFormat="1" ht="13.5" hidden="1" customHeight="1">
      <c r="A167" s="117"/>
      <c r="B167" s="47"/>
      <c r="C167" s="76"/>
      <c r="D167" s="76"/>
      <c r="E167" s="76"/>
      <c r="F167" s="104"/>
      <c r="G167" s="76"/>
      <c r="H167" s="83"/>
      <c r="I167" s="103"/>
      <c r="J167" s="76"/>
      <c r="K167" s="104"/>
      <c r="L167" s="104"/>
      <c r="M167" s="105">
        <f>IF(Tabelle132456891011[[#This Row],[Pulled after Start]]="",MIN(Tabelle132456891011[[#This Row],[Jira Story Points]],Tabelle132456891011[[#This Row],[Carry-over]]),0)</f>
        <v>0</v>
      </c>
      <c r="N167" s="106">
        <f>MIN(Tabelle132456891011[[#This Row],[Jira Story Points]],Tabelle132456891011[[#This Row],[Carry-over]])-Tabelle132456891011[[#This Row],[SP Initially Planned (COS)]]</f>
        <v>0</v>
      </c>
      <c r="O167"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67" s="108">
        <f>IFERROR(IF(Tabelle132456891011[[#This Row],[Status]]=$J$5,MIN(Tabelle132456891011[[#This Row],[Jira Story Points]],Tabelle132456891011[[#This Row],[Carry-over]]),0),0)</f>
        <v>0</v>
      </c>
      <c r="Q167" s="108">
        <f>IFERROR(IF(Tabelle132456891011[[#This Row],[Status]]=$J$5,0,MIN(Tabelle132456891011[[#This Row],[Jira Story Points]],Tabelle132456891011[[#This Row],[Carry-over]])-Tabelle132456891011[[#This Row],[SP Completed (COS &amp; SOS)]]),0)</f>
        <v>0</v>
      </c>
    </row>
    <row r="168" spans="1:17" s="46" customFormat="1" ht="13.5" hidden="1" customHeight="1">
      <c r="A168" s="117"/>
      <c r="B168" s="47"/>
      <c r="C168" s="76"/>
      <c r="D168" s="76"/>
      <c r="E168" s="76"/>
      <c r="F168" s="104"/>
      <c r="G168" s="76"/>
      <c r="H168" s="83"/>
      <c r="I168" s="103"/>
      <c r="J168" s="76"/>
      <c r="K168" s="104"/>
      <c r="L168" s="104"/>
      <c r="M168" s="105">
        <f>IF(Tabelle132456891011[[#This Row],[Pulled after Start]]="",MIN(Tabelle132456891011[[#This Row],[Jira Story Points]],Tabelle132456891011[[#This Row],[Carry-over]]),0)</f>
        <v>0</v>
      </c>
      <c r="N168" s="106">
        <f>MIN(Tabelle132456891011[[#This Row],[Jira Story Points]],Tabelle132456891011[[#This Row],[Carry-over]])-Tabelle132456891011[[#This Row],[SP Initially Planned (COS)]]</f>
        <v>0</v>
      </c>
      <c r="O168"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68" s="108">
        <f>IFERROR(IF(Tabelle132456891011[[#This Row],[Status]]=$J$5,MIN(Tabelle132456891011[[#This Row],[Jira Story Points]],Tabelle132456891011[[#This Row],[Carry-over]]),0),0)</f>
        <v>0</v>
      </c>
      <c r="Q168" s="108">
        <f>IFERROR(IF(Tabelle132456891011[[#This Row],[Status]]=$J$5,0,MIN(Tabelle132456891011[[#This Row],[Jira Story Points]],Tabelle132456891011[[#This Row],[Carry-over]])-Tabelle132456891011[[#This Row],[SP Completed (COS &amp; SOS)]]),0)</f>
        <v>0</v>
      </c>
    </row>
    <row r="169" spans="1:17" s="46" customFormat="1" ht="13.5" hidden="1" customHeight="1">
      <c r="A169" s="117"/>
      <c r="B169" s="47"/>
      <c r="C169" s="76"/>
      <c r="D169" s="76"/>
      <c r="E169" s="76"/>
      <c r="F169" s="104"/>
      <c r="G169" s="76"/>
      <c r="H169" s="83"/>
      <c r="I169" s="103"/>
      <c r="J169" s="76"/>
      <c r="K169" s="104"/>
      <c r="L169" s="104"/>
      <c r="M169" s="105">
        <f>IF(Tabelle132456891011[[#This Row],[Pulled after Start]]="",MIN(Tabelle132456891011[[#This Row],[Jira Story Points]],Tabelle132456891011[[#This Row],[Carry-over]]),0)</f>
        <v>0</v>
      </c>
      <c r="N169" s="106">
        <f>MIN(Tabelle132456891011[[#This Row],[Jira Story Points]],Tabelle132456891011[[#This Row],[Carry-over]])-Tabelle132456891011[[#This Row],[SP Initially Planned (COS)]]</f>
        <v>0</v>
      </c>
      <c r="O169"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69" s="108">
        <f>IFERROR(IF(Tabelle132456891011[[#This Row],[Status]]=$J$5,MIN(Tabelle132456891011[[#This Row],[Jira Story Points]],Tabelle132456891011[[#This Row],[Carry-over]]),0),0)</f>
        <v>0</v>
      </c>
      <c r="Q169" s="108">
        <f>IFERROR(IF(Tabelle132456891011[[#This Row],[Status]]=$J$5,0,MIN(Tabelle132456891011[[#This Row],[Jira Story Points]],Tabelle132456891011[[#This Row],[Carry-over]])-Tabelle132456891011[[#This Row],[SP Completed (COS &amp; SOS)]]),0)</f>
        <v>0</v>
      </c>
    </row>
    <row r="170" spans="1:17" s="46" customFormat="1" ht="13.5" hidden="1" customHeight="1">
      <c r="A170" s="117"/>
      <c r="B170" s="47"/>
      <c r="C170" s="76"/>
      <c r="D170" s="76"/>
      <c r="E170" s="76"/>
      <c r="F170" s="104"/>
      <c r="G170" s="76"/>
      <c r="H170" s="83"/>
      <c r="I170" s="103"/>
      <c r="J170" s="76"/>
      <c r="K170" s="104"/>
      <c r="L170" s="104"/>
      <c r="M170" s="105">
        <f>IF(Tabelle132456891011[[#This Row],[Pulled after Start]]="",MIN(Tabelle132456891011[[#This Row],[Jira Story Points]],Tabelle132456891011[[#This Row],[Carry-over]]),0)</f>
        <v>0</v>
      </c>
      <c r="N170" s="106">
        <f>MIN(Tabelle132456891011[[#This Row],[Jira Story Points]],Tabelle132456891011[[#This Row],[Carry-over]])-Tabelle132456891011[[#This Row],[SP Initially Planned (COS)]]</f>
        <v>0</v>
      </c>
      <c r="O170"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70" s="108">
        <f>IFERROR(IF(Tabelle132456891011[[#This Row],[Status]]=$J$5,MIN(Tabelle132456891011[[#This Row],[Jira Story Points]],Tabelle132456891011[[#This Row],[Carry-over]]),0),0)</f>
        <v>0</v>
      </c>
      <c r="Q170" s="108">
        <f>IFERROR(IF(Tabelle132456891011[[#This Row],[Status]]=$J$5,0,MIN(Tabelle132456891011[[#This Row],[Jira Story Points]],Tabelle132456891011[[#This Row],[Carry-over]])-Tabelle132456891011[[#This Row],[SP Completed (COS &amp; SOS)]]),0)</f>
        <v>0</v>
      </c>
    </row>
    <row r="171" spans="1:17" s="46" customFormat="1" ht="13.5" hidden="1" customHeight="1">
      <c r="A171" s="117"/>
      <c r="B171" s="47"/>
      <c r="C171" s="76"/>
      <c r="D171" s="76"/>
      <c r="E171" s="76"/>
      <c r="F171" s="104"/>
      <c r="G171" s="76"/>
      <c r="H171" s="83"/>
      <c r="I171" s="103"/>
      <c r="J171" s="76"/>
      <c r="K171" s="104"/>
      <c r="L171" s="104"/>
      <c r="M171" s="105">
        <f>IF(Tabelle132456891011[[#This Row],[Pulled after Start]]="",MIN(Tabelle132456891011[[#This Row],[Jira Story Points]],Tabelle132456891011[[#This Row],[Carry-over]]),0)</f>
        <v>0</v>
      </c>
      <c r="N171" s="106">
        <f>MIN(Tabelle132456891011[[#This Row],[Jira Story Points]],Tabelle132456891011[[#This Row],[Carry-over]])-Tabelle132456891011[[#This Row],[SP Initially Planned (COS)]]</f>
        <v>0</v>
      </c>
      <c r="O171"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71" s="108">
        <f>IFERROR(IF(Tabelle132456891011[[#This Row],[Status]]=$J$5,MIN(Tabelle132456891011[[#This Row],[Jira Story Points]],Tabelle132456891011[[#This Row],[Carry-over]]),0),0)</f>
        <v>0</v>
      </c>
      <c r="Q171" s="108">
        <f>IFERROR(IF(Tabelle132456891011[[#This Row],[Status]]=$J$5,0,MIN(Tabelle132456891011[[#This Row],[Jira Story Points]],Tabelle132456891011[[#This Row],[Carry-over]])-Tabelle132456891011[[#This Row],[SP Completed (COS &amp; SOS)]]),0)</f>
        <v>0</v>
      </c>
    </row>
    <row r="172" spans="1:17" s="46" customFormat="1" ht="13.5" hidden="1" customHeight="1">
      <c r="A172" s="117"/>
      <c r="B172" s="47"/>
      <c r="C172" s="76"/>
      <c r="D172" s="76"/>
      <c r="E172" s="76"/>
      <c r="F172" s="104"/>
      <c r="G172" s="76"/>
      <c r="H172" s="83"/>
      <c r="I172" s="103"/>
      <c r="J172" s="76"/>
      <c r="K172" s="104"/>
      <c r="L172" s="104"/>
      <c r="M172" s="105">
        <f>IF(Tabelle132456891011[[#This Row],[Pulled after Start]]="",MIN(Tabelle132456891011[[#This Row],[Jira Story Points]],Tabelle132456891011[[#This Row],[Carry-over]]),0)</f>
        <v>0</v>
      </c>
      <c r="N172" s="106">
        <f>MIN(Tabelle132456891011[[#This Row],[Jira Story Points]],Tabelle132456891011[[#This Row],[Carry-over]])-Tabelle132456891011[[#This Row],[SP Initially Planned (COS)]]</f>
        <v>0</v>
      </c>
      <c r="O172"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72" s="108">
        <f>IFERROR(IF(Tabelle132456891011[[#This Row],[Status]]=$J$5,MIN(Tabelle132456891011[[#This Row],[Jira Story Points]],Tabelle132456891011[[#This Row],[Carry-over]]),0),0)</f>
        <v>0</v>
      </c>
      <c r="Q172" s="108">
        <f>IFERROR(IF(Tabelle132456891011[[#This Row],[Status]]=$J$5,0,MIN(Tabelle132456891011[[#This Row],[Jira Story Points]],Tabelle132456891011[[#This Row],[Carry-over]])-Tabelle132456891011[[#This Row],[SP Completed (COS &amp; SOS)]]),0)</f>
        <v>0</v>
      </c>
    </row>
    <row r="173" spans="1:17" s="46" customFormat="1" ht="13.5" hidden="1" customHeight="1">
      <c r="A173" s="117"/>
      <c r="B173" s="47"/>
      <c r="C173" s="76"/>
      <c r="D173" s="76"/>
      <c r="E173" s="76"/>
      <c r="F173" s="104"/>
      <c r="G173" s="76"/>
      <c r="H173" s="83"/>
      <c r="I173" s="103"/>
      <c r="J173" s="76"/>
      <c r="K173" s="104"/>
      <c r="L173" s="104"/>
      <c r="M173" s="105">
        <f>IF(Tabelle132456891011[[#This Row],[Pulled after Start]]="",MIN(Tabelle132456891011[[#This Row],[Jira Story Points]],Tabelle132456891011[[#This Row],[Carry-over]]),0)</f>
        <v>0</v>
      </c>
      <c r="N173" s="106">
        <f>MIN(Tabelle132456891011[[#This Row],[Jira Story Points]],Tabelle132456891011[[#This Row],[Carry-over]])-Tabelle132456891011[[#This Row],[SP Initially Planned (COS)]]</f>
        <v>0</v>
      </c>
      <c r="O173"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73" s="108">
        <f>IFERROR(IF(Tabelle132456891011[[#This Row],[Status]]=$J$5,MIN(Tabelle132456891011[[#This Row],[Jira Story Points]],Tabelle132456891011[[#This Row],[Carry-over]]),0),0)</f>
        <v>0</v>
      </c>
      <c r="Q173" s="108">
        <f>IFERROR(IF(Tabelle132456891011[[#This Row],[Status]]=$J$5,0,MIN(Tabelle132456891011[[#This Row],[Jira Story Points]],Tabelle132456891011[[#This Row],[Carry-over]])-Tabelle132456891011[[#This Row],[SP Completed (COS &amp; SOS)]]),0)</f>
        <v>0</v>
      </c>
    </row>
    <row r="174" spans="1:17" s="46" customFormat="1" ht="13.5" hidden="1" customHeight="1">
      <c r="A174" s="117"/>
      <c r="B174" s="47"/>
      <c r="C174" s="76"/>
      <c r="D174" s="76"/>
      <c r="E174" s="76"/>
      <c r="F174" s="104"/>
      <c r="G174" s="76"/>
      <c r="H174" s="83"/>
      <c r="I174" s="103"/>
      <c r="J174" s="76"/>
      <c r="K174" s="104"/>
      <c r="L174" s="104"/>
      <c r="M174" s="105">
        <f>IF(Tabelle132456891011[[#This Row],[Pulled after Start]]="",MIN(Tabelle132456891011[[#This Row],[Jira Story Points]],Tabelle132456891011[[#This Row],[Carry-over]]),0)</f>
        <v>0</v>
      </c>
      <c r="N174" s="106">
        <f>MIN(Tabelle132456891011[[#This Row],[Jira Story Points]],Tabelle132456891011[[#This Row],[Carry-over]])-Tabelle132456891011[[#This Row],[SP Initially Planned (COS)]]</f>
        <v>0</v>
      </c>
      <c r="O174"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74" s="108">
        <f>IFERROR(IF(Tabelle132456891011[[#This Row],[Status]]=$J$5,MIN(Tabelle132456891011[[#This Row],[Jira Story Points]],Tabelle132456891011[[#This Row],[Carry-over]]),0),0)</f>
        <v>0</v>
      </c>
      <c r="Q174" s="108">
        <f>IFERROR(IF(Tabelle132456891011[[#This Row],[Status]]=$J$5,0,MIN(Tabelle132456891011[[#This Row],[Jira Story Points]],Tabelle132456891011[[#This Row],[Carry-over]])-Tabelle132456891011[[#This Row],[SP Completed (COS &amp; SOS)]]),0)</f>
        <v>0</v>
      </c>
    </row>
    <row r="175" spans="1:17" s="46" customFormat="1" ht="13.5" hidden="1" customHeight="1">
      <c r="A175" s="117"/>
      <c r="B175" s="47"/>
      <c r="C175" s="76"/>
      <c r="D175" s="76"/>
      <c r="E175" s="76"/>
      <c r="F175" s="104"/>
      <c r="G175" s="76"/>
      <c r="H175" s="83"/>
      <c r="I175" s="103"/>
      <c r="J175" s="76"/>
      <c r="K175" s="104"/>
      <c r="L175" s="104"/>
      <c r="M175" s="105">
        <f>IF(Tabelle132456891011[[#This Row],[Pulled after Start]]="",MIN(Tabelle132456891011[[#This Row],[Jira Story Points]],Tabelle132456891011[[#This Row],[Carry-over]]),0)</f>
        <v>0</v>
      </c>
      <c r="N175" s="106">
        <f>MIN(Tabelle132456891011[[#This Row],[Jira Story Points]],Tabelle132456891011[[#This Row],[Carry-over]])-Tabelle132456891011[[#This Row],[SP Initially Planned (COS)]]</f>
        <v>0</v>
      </c>
      <c r="O175"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75" s="108">
        <f>IFERROR(IF(Tabelle132456891011[[#This Row],[Status]]=$J$5,MIN(Tabelle132456891011[[#This Row],[Jira Story Points]],Tabelle132456891011[[#This Row],[Carry-over]]),0),0)</f>
        <v>0</v>
      </c>
      <c r="Q175" s="108">
        <f>IFERROR(IF(Tabelle132456891011[[#This Row],[Status]]=$J$5,0,MIN(Tabelle132456891011[[#This Row],[Jira Story Points]],Tabelle132456891011[[#This Row],[Carry-over]])-Tabelle132456891011[[#This Row],[SP Completed (COS &amp; SOS)]]),0)</f>
        <v>0</v>
      </c>
    </row>
    <row r="176" spans="1:17" s="46" customFormat="1" ht="13.5" hidden="1" customHeight="1">
      <c r="A176" s="117"/>
      <c r="B176" s="47"/>
      <c r="C176" s="76"/>
      <c r="D176" s="76"/>
      <c r="E176" s="76"/>
      <c r="F176" s="104"/>
      <c r="G176" s="76"/>
      <c r="H176" s="83"/>
      <c r="I176" s="103"/>
      <c r="J176" s="76"/>
      <c r="K176" s="104"/>
      <c r="L176" s="104"/>
      <c r="M176" s="105">
        <f>IF(Tabelle132456891011[[#This Row],[Pulled after Start]]="",MIN(Tabelle132456891011[[#This Row],[Jira Story Points]],Tabelle132456891011[[#This Row],[Carry-over]]),0)</f>
        <v>0</v>
      </c>
      <c r="N176" s="106">
        <f>MIN(Tabelle132456891011[[#This Row],[Jira Story Points]],Tabelle132456891011[[#This Row],[Carry-over]])-Tabelle132456891011[[#This Row],[SP Initially Planned (COS)]]</f>
        <v>0</v>
      </c>
      <c r="O176"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76" s="108">
        <f>IFERROR(IF(Tabelle132456891011[[#This Row],[Status]]=$J$5,MIN(Tabelle132456891011[[#This Row],[Jira Story Points]],Tabelle132456891011[[#This Row],[Carry-over]]),0),0)</f>
        <v>0</v>
      </c>
      <c r="Q176" s="108">
        <f>IFERROR(IF(Tabelle132456891011[[#This Row],[Status]]=$J$5,0,MIN(Tabelle132456891011[[#This Row],[Jira Story Points]],Tabelle132456891011[[#This Row],[Carry-over]])-Tabelle132456891011[[#This Row],[SP Completed (COS &amp; SOS)]]),0)</f>
        <v>0</v>
      </c>
    </row>
    <row r="177" spans="1:17" s="46" customFormat="1" ht="13.5" hidden="1" customHeight="1">
      <c r="A177" s="117"/>
      <c r="B177" s="47"/>
      <c r="C177" s="76"/>
      <c r="D177" s="76"/>
      <c r="E177" s="76"/>
      <c r="F177" s="104"/>
      <c r="G177" s="76"/>
      <c r="H177" s="83"/>
      <c r="I177" s="103"/>
      <c r="J177" s="76"/>
      <c r="K177" s="104"/>
      <c r="L177" s="104"/>
      <c r="M177" s="105">
        <f>IF(Tabelle132456891011[[#This Row],[Pulled after Start]]="",MIN(Tabelle132456891011[[#This Row],[Jira Story Points]],Tabelle132456891011[[#This Row],[Carry-over]]),0)</f>
        <v>0</v>
      </c>
      <c r="N177" s="106">
        <f>MIN(Tabelle132456891011[[#This Row],[Jira Story Points]],Tabelle132456891011[[#This Row],[Carry-over]])-Tabelle132456891011[[#This Row],[SP Initially Planned (COS)]]</f>
        <v>0</v>
      </c>
      <c r="O177"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77" s="108">
        <f>IFERROR(IF(Tabelle132456891011[[#This Row],[Status]]=$J$5,MIN(Tabelle132456891011[[#This Row],[Jira Story Points]],Tabelle132456891011[[#This Row],[Carry-over]]),0),0)</f>
        <v>0</v>
      </c>
      <c r="Q177" s="108">
        <f>IFERROR(IF(Tabelle132456891011[[#This Row],[Status]]=$J$5,0,MIN(Tabelle132456891011[[#This Row],[Jira Story Points]],Tabelle132456891011[[#This Row],[Carry-over]])-Tabelle132456891011[[#This Row],[SP Completed (COS &amp; SOS)]]),0)</f>
        <v>0</v>
      </c>
    </row>
    <row r="178" spans="1:17" s="46" customFormat="1" ht="13.5" hidden="1" customHeight="1">
      <c r="A178" s="117"/>
      <c r="B178" s="47"/>
      <c r="C178" s="76"/>
      <c r="D178" s="76"/>
      <c r="E178" s="76"/>
      <c r="F178" s="104"/>
      <c r="G178" s="76"/>
      <c r="H178" s="83"/>
      <c r="I178" s="103"/>
      <c r="J178" s="76"/>
      <c r="K178" s="104"/>
      <c r="L178" s="104"/>
      <c r="M178" s="105">
        <f>IF(Tabelle132456891011[[#This Row],[Pulled after Start]]="",MIN(Tabelle132456891011[[#This Row],[Jira Story Points]],Tabelle132456891011[[#This Row],[Carry-over]]),0)</f>
        <v>0</v>
      </c>
      <c r="N178" s="106">
        <f>MIN(Tabelle132456891011[[#This Row],[Jira Story Points]],Tabelle132456891011[[#This Row],[Carry-over]])-Tabelle132456891011[[#This Row],[SP Initially Planned (COS)]]</f>
        <v>0</v>
      </c>
      <c r="O178"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78" s="108">
        <f>IFERROR(IF(Tabelle132456891011[[#This Row],[Status]]=$J$5,MIN(Tabelle132456891011[[#This Row],[Jira Story Points]],Tabelle132456891011[[#This Row],[Carry-over]]),0),0)</f>
        <v>0</v>
      </c>
      <c r="Q178" s="108">
        <f>IFERROR(IF(Tabelle132456891011[[#This Row],[Status]]=$J$5,0,MIN(Tabelle132456891011[[#This Row],[Jira Story Points]],Tabelle132456891011[[#This Row],[Carry-over]])-Tabelle132456891011[[#This Row],[SP Completed (COS &amp; SOS)]]),0)</f>
        <v>0</v>
      </c>
    </row>
    <row r="179" spans="1:17" s="46" customFormat="1" ht="13.5" hidden="1" customHeight="1">
      <c r="A179" s="117"/>
      <c r="B179" s="47"/>
      <c r="C179" s="76"/>
      <c r="D179" s="76"/>
      <c r="E179" s="76"/>
      <c r="F179" s="104"/>
      <c r="G179" s="76"/>
      <c r="H179" s="83"/>
      <c r="I179" s="103"/>
      <c r="J179" s="76"/>
      <c r="K179" s="104"/>
      <c r="L179" s="104"/>
      <c r="M179" s="105">
        <f>IF(Tabelle132456891011[[#This Row],[Pulled after Start]]="",MIN(Tabelle132456891011[[#This Row],[Jira Story Points]],Tabelle132456891011[[#This Row],[Carry-over]]),0)</f>
        <v>0</v>
      </c>
      <c r="N179" s="106">
        <f>MIN(Tabelle132456891011[[#This Row],[Jira Story Points]],Tabelle132456891011[[#This Row],[Carry-over]])-Tabelle132456891011[[#This Row],[SP Initially Planned (COS)]]</f>
        <v>0</v>
      </c>
      <c r="O179" s="107">
        <f>IFERROR(IF(OR(Tabelle132456891011[[#This Row],[Status]]=$J$5,ISBLANK(Tabelle132456891011[[#This Row],[Status]])),0,IF(AND(Tabelle132456891011[[#This Row],[Status]]=$I$5,ISBLANK(Tabelle132456891011[[#This Row],[Spill-over]])),0,IF(NOT(ISBLANK(Tabelle132456891011[[#This Row],[Carry-over]])),Tabelle132456891011[[#This Row],[Carry-over]]-Tabelle132456891011[[#This Row],[Spill-over]],Tabelle132456891011[[#This Row],[Jira Story Points]]-Tabelle132456891011[[#This Row],[Spill-over]]))),"-")</f>
        <v>0</v>
      </c>
      <c r="P179" s="108">
        <f>IFERROR(IF(Tabelle132456891011[[#This Row],[Status]]=$J$5,MIN(Tabelle132456891011[[#This Row],[Jira Story Points]],Tabelle132456891011[[#This Row],[Carry-over]]),0),0)</f>
        <v>0</v>
      </c>
      <c r="Q179" s="108">
        <f>IFERROR(IF(Tabelle132456891011[[#This Row],[Status]]=$J$5,0,MIN(Tabelle132456891011[[#This Row],[Jira Story Points]],Tabelle132456891011[[#This Row],[Carry-over]])-Tabelle132456891011[[#This Row],[SP Completed (COS &amp; SOS)]]),0)</f>
        <v>0</v>
      </c>
    </row>
  </sheetData>
  <mergeCells count="12">
    <mergeCell ref="B6:B15"/>
    <mergeCell ref="N22:O22"/>
    <mergeCell ref="C1:J1"/>
    <mergeCell ref="G3:I3"/>
    <mergeCell ref="D4:E4"/>
    <mergeCell ref="F4:K4"/>
    <mergeCell ref="M4:R4"/>
    <mergeCell ref="D22:E22"/>
    <mergeCell ref="F22:G22"/>
    <mergeCell ref="H22:I22"/>
    <mergeCell ref="J22:K22"/>
    <mergeCell ref="L22:M22"/>
  </mergeCells>
  <dataValidations count="4">
    <dataValidation type="list" allowBlank="1" showErrorMessage="1" sqref="J151 J106:J115 J32:J83" xr:uid="{E4B05E76-EF5E-4D25-AE5E-503E077C0159}">
      <formula1>$H$5:$J$5</formula1>
    </dataValidation>
    <dataValidation type="list" allowBlank="1" showErrorMessage="1" sqref="H32:H84" xr:uid="{6C05D5F4-2BB9-4812-A3E6-41C8FBED4200}">
      <formula1>"yes"</formula1>
    </dataValidation>
    <dataValidation allowBlank="1" showInputMessage="1" showErrorMessage="1" sqref="M32:N179 L107 K32:K35 K41:L83 L36:L40" xr:uid="{33074E99-A426-4B58-B4C5-51BCFF38C47B}"/>
    <dataValidation type="list" allowBlank="1" showErrorMessage="1" sqref="G32:G54" xr:uid="{72CD20C7-C4C7-4F01-9D7F-EC56981351AB}">
      <formula1>$C$6:$C$15</formula1>
    </dataValidation>
  </dataValidations>
  <hyperlinks>
    <hyperlink ref="A71" r:id="rId1" display="https://aldi-sued.atlassian.net/browse/ANP-23202" xr:uid="{7866D890-7A84-4C29-8DF2-DA25751AFFA6}"/>
    <hyperlink ref="A72" r:id="rId2" display="https://aldi-sued.atlassian.net/browse/ANP-24330" xr:uid="{A07000FB-791A-44ED-93F6-938DBA341D7B}"/>
    <hyperlink ref="A74" r:id="rId3" display="https://aldi-sued.atlassian.net/browse/ANP-21583" xr:uid="{EE82DF86-A8A1-4B9B-A608-855F37ECF932}"/>
    <hyperlink ref="A75" r:id="rId4" display="https://aldi-sued.atlassian.net/browse/ANP-23610" xr:uid="{07A693F7-D184-437D-B604-A2D22E5B6E6F}"/>
    <hyperlink ref="A76" r:id="rId5" display="https://aldi-sued.atlassian.net/browse/ANP-25381" xr:uid="{FC4A88A5-4AC2-47D3-BB77-BD453D062B89}"/>
    <hyperlink ref="A77" r:id="rId6" display="https://aldi-sued.atlassian.net/browse/ANP-24918" xr:uid="{B9C33703-DA8A-43AC-8CCA-98DBD05D6FCF}"/>
    <hyperlink ref="A80" r:id="rId7" display="https://aldi-sued.atlassian.net/browse/ANP-25410" xr:uid="{EBCE4A51-324B-464A-AE77-6511E96AD36D}"/>
    <hyperlink ref="A78" r:id="rId8" display="[ANP-25588] Analyse Prio 3 Bug ANP-25541 - Jira" xr:uid="{77ADB75E-76F9-48E9-9159-70EDBA7C3237}"/>
    <hyperlink ref="A79" r:id="rId9" display="[ANP-25485] Analyse Prio 3 Bug ANP-23958 - Jira" xr:uid="{95BC8193-5C58-43F0-BC41-984294A671CE}"/>
    <hyperlink ref="A81" r:id="rId10" display="[ANP-25590] investigate on historical double entries, see ANP-25036 - Jira" xr:uid="{A2636DBB-2DB5-4334-BF32-F504D567613E}"/>
    <hyperlink ref="A103" r:id="rId11" display="https://aldi-sued.atlassian.net/browse/NPSCO-18702" xr:uid="{336CB285-D4E7-4D29-9D7D-A4F86A53A8C4}"/>
    <hyperlink ref="A104" r:id="rId12" display="https://aldi-sued.atlassian.net/browse/NPSCO-15480" xr:uid="{2A45CB68-0D69-40EC-8726-7C3B66F8D5AD}"/>
    <hyperlink ref="A105" r:id="rId13" display="https://aldi-sued.atlassian.net/browse/NPSCO-19179" xr:uid="{9206C934-4A2C-4B7F-AC85-DB976B72DB01}"/>
    <hyperlink ref="A107" r:id="rId14" display="https://aldi-sued.atlassian.net/browse/NPSCO-19093" xr:uid="{2BADC9A6-BC29-4177-BB83-4968167D1F88}"/>
    <hyperlink ref="A111" r:id="rId15" display="https://aldi-sued.atlassian.net/browse/NPSCO-19210" xr:uid="{4EB12137-37DB-4CF9-AFD8-03EC9E3C86A7}"/>
    <hyperlink ref="A73" r:id="rId16" display="[ANP-25604] MI | CHOP Scale - store was unable to trade on 2/3 tills due to error message: Waage inaktiv - Jira" xr:uid="{5AFBA912-DFCD-4289-9520-652EEA497600}"/>
    <hyperlink ref="A114" r:id="rId17" display="https://aldi-sued.atlassian.net/browse/NPSCO-19413" xr:uid="{E49C1988-EBCA-4020-AFCB-9FDD711CFE17}"/>
    <hyperlink ref="A127" r:id="rId18" display="https://aldi-sued.atlassian.net/browse/NPSCO-19388" xr:uid="{D2D0C8D4-FA4E-442E-A174-B630BE945504}"/>
    <hyperlink ref="B127" r:id="rId19" display="https://aldi-sued.atlassian.net/browse/NPSCO-19388" xr:uid="{35A2274E-6F9D-40A8-A1ED-5A5335778459}"/>
    <hyperlink ref="G127" r:id="rId20" display="https://aldi-sued.atlassian.net/issues/?jql=%22cf%5B12600%5D%22%20%3D%20Checkout_Base" xr:uid="{3ECE5EED-7717-452D-BB51-9C148ED91D82}"/>
    <hyperlink ref="A128" r:id="rId21" display="https://aldi-sued.atlassian.net/browse/NPSCO-19177" xr:uid="{561FDB06-F5AF-4A88-B741-B1B58C55E5B5}"/>
    <hyperlink ref="B128" r:id="rId22" display="https://aldi-sued.atlassian.net/browse/NPSCO-19177" xr:uid="{1140EA81-AE4C-45C3-BB1F-F46328FA5E6D}"/>
    <hyperlink ref="A129" r:id="rId23" display="https://aldi-sued.atlassian.net/browse/NPSCO-19083" xr:uid="{A0071232-1F46-42DE-9258-9A2BC7F67278}"/>
    <hyperlink ref="B129" r:id="rId24" display="https://aldi-sued.atlassian.net/browse/NPSCO-19083" xr:uid="{FF24E39D-413D-4887-ABAA-0A050B72E8D0}"/>
    <hyperlink ref="A130" r:id="rId25" display="https://aldi-sued.atlassian.net/browse/NPSCO-19157" xr:uid="{89CC759E-4F3D-4044-A020-851609BE67B6}"/>
    <hyperlink ref="B130" r:id="rId26" display="https://aldi-sued.atlassian.net/browse/NPSCO-19157" xr:uid="{10B89E50-3510-469D-B598-ACBB7175EA06}"/>
    <hyperlink ref="A131" r:id="rId27" display="https://aldi-sued.atlassian.net/browse/NPSCO-17387" xr:uid="{25EC58E5-14B6-4EA3-B611-643AB02146DF}"/>
    <hyperlink ref="B131" r:id="rId28" display="https://aldi-sued.atlassian.net/browse/NPSCO-17387" xr:uid="{431C3A9C-936E-49F6-9975-C890110D7E22}"/>
    <hyperlink ref="A132" r:id="rId29" display="https://aldi-sued.atlassian.net/browse/NPSCO-19170" xr:uid="{6284BBB2-91ED-4B0C-9AA2-B01A0BB7D994}"/>
    <hyperlink ref="B132" r:id="rId30" display="https://aldi-sued.atlassian.net/browse/NPSCO-19170" xr:uid="{E6BCA139-D72F-465D-830D-875A93305395}"/>
    <hyperlink ref="A133" r:id="rId31" display="https://aldi-sued.atlassian.net/browse/NPSCO-19103" xr:uid="{7CEA7424-282F-4D67-A717-DCD8D4243206}"/>
    <hyperlink ref="B133" r:id="rId32" display="https://aldi-sued.atlassian.net/browse/NPSCO-19103" xr:uid="{AA9A9AE8-C640-4C71-A7F7-F1417E214056}"/>
    <hyperlink ref="A134" r:id="rId33" display="https://aldi-sued.atlassian.net/browse/NPSCO-18884" xr:uid="{2D4FF627-DD41-4449-B543-EE875C522245}"/>
    <hyperlink ref="B134" r:id="rId34" display="https://aldi-sued.atlassian.net/browse/NPSCO-18884" xr:uid="{D680655A-F6DB-4925-B399-F35DE921B70A}"/>
    <hyperlink ref="A135" r:id="rId35" display="https://aldi-sued.atlassian.net/browse/NPSCO-18885" xr:uid="{7685BCD1-7A30-47C2-AC50-716641380BA3}"/>
    <hyperlink ref="B135" r:id="rId36" display="https://aldi-sued.atlassian.net/browse/NPSCO-18885" xr:uid="{E2685A70-08DA-4881-9CA6-65E11CD054F7}"/>
    <hyperlink ref="A136" r:id="rId37" display="https://aldi-sued.atlassian.net/browse/NPSCO-18693" xr:uid="{2877C79F-B62D-466A-8EA8-01BCACFB8835}"/>
    <hyperlink ref="B136" r:id="rId38" display="https://aldi-sued.atlassian.net/browse/NPSCO-18693" xr:uid="{86411AF3-9660-42E8-B8F8-FE67973E037A}"/>
    <hyperlink ref="A137" r:id="rId39" display="https://aldi-sued.atlassian.net/browse/NPSCO-19076" xr:uid="{8EA46821-AD9B-4C88-8549-79130BA4AC60}"/>
    <hyperlink ref="B137" r:id="rId40" display="https://aldi-sued.atlassian.net/browse/NPSCO-19076" xr:uid="{6B746B4E-AB5D-4527-8AD4-6B961945C65F}"/>
    <hyperlink ref="A138" r:id="rId41" display="https://aldi-sued.atlassian.net/browse/NPSCO-19171" xr:uid="{6777BB62-C719-4991-A774-D611F9D33682}"/>
    <hyperlink ref="B138" r:id="rId42" display="https://aldi-sued.atlassian.net/browse/NPSCO-19171" xr:uid="{BCD1984C-6AFD-4A07-9A48-1119E1CEBC8D}"/>
    <hyperlink ref="G118:G128" r:id="rId43" display="https://aldi-sued.atlassian.net/issues/?jql=%22cf%5B12600%5D%22%20%3D%20Checkout_Base" xr:uid="{13AC5883-01F3-4DE9-ABD7-E3A3C6CDD529}"/>
    <hyperlink ref="A93" r:id="rId44" display="ANP-24687 *" xr:uid="{EBDCE8BD-49E2-4E8C-A4CA-9EA402FA774D}"/>
    <hyperlink ref="A94" r:id="rId45" display="ANP-25633 *" xr:uid="{CA7E29A9-BEF5-47D1-A3FF-32473AD1455A}"/>
    <hyperlink ref="A95" r:id="rId46" display="ANP-25714 *" xr:uid="{4EB71EBD-8AF6-45BB-8A8A-046893EF5040}"/>
    <hyperlink ref="A96" r:id="rId47" display="ANP-24060 *" xr:uid="{C99AD219-BA73-43C8-A263-31A77B7B994B}"/>
    <hyperlink ref="A97" r:id="rId48" xr:uid="{6715AF1D-2061-40BE-BB4F-C221B33A1D8D}"/>
    <hyperlink ref="A98" r:id="rId49" xr:uid="{0A13CE4D-799C-4307-8CB1-6CE433E6C502}"/>
    <hyperlink ref="A99" r:id="rId50" xr:uid="{64F6CF6B-E635-4224-B43E-1393AFD7BFA8}"/>
    <hyperlink ref="A100" r:id="rId51" display="ANP-25375 *" xr:uid="{18E87B3D-8234-4E80-97A6-2C4FB6AC4CA6}"/>
    <hyperlink ref="A101" r:id="rId52" xr:uid="{64C1D51D-84FC-483B-B798-380DD70B327F}"/>
    <hyperlink ref="A102" r:id="rId53" display="ANP-25578 *" xr:uid="{6DAF7635-89BA-467F-A5CA-B062A258D10A}"/>
    <hyperlink ref="A82" r:id="rId54" display="[ANP-25719] Standards &amp; Trainings - Jira" xr:uid="{FCC42785-8ED4-41DB-8AC1-ACC399CC2C91}"/>
    <hyperlink ref="A139" r:id="rId55" xr:uid="{E5D98F3B-FFCF-4D05-996F-8871EF943A9B}"/>
    <hyperlink ref="A140" r:id="rId56" xr:uid="{41FEFEDF-A573-4B3A-9F02-3D556C147BEF}"/>
    <hyperlink ref="A141" r:id="rId57" xr:uid="{C74A485D-69A8-4EC9-B7C0-CA04691E93A1}"/>
    <hyperlink ref="A142" r:id="rId58" xr:uid="{3965D57B-11B5-4AFD-B046-4919B0FF6B07}"/>
    <hyperlink ref="A143" r:id="rId59" xr:uid="{100B0B96-4CB9-4D16-8F4E-CECFB0A4F6BC}"/>
    <hyperlink ref="A144" r:id="rId60" xr:uid="{C4DA047F-3EC8-47F9-BEE3-B3316ED33D3A}"/>
    <hyperlink ref="A145" r:id="rId61" xr:uid="{34E38FBE-1708-4C06-9E42-FC450A51BDBA}"/>
    <hyperlink ref="A146" r:id="rId62" xr:uid="{C637FA36-B737-498B-936F-C79500493B2B}"/>
    <hyperlink ref="A147" r:id="rId63" xr:uid="{84D0D8E6-B8A7-4B1B-A80B-9BAD69F2E38E}"/>
    <hyperlink ref="A148" r:id="rId64" xr:uid="{A910B248-00FD-4EC9-B18A-C4FC5F0D686A}"/>
    <hyperlink ref="A149" r:id="rId65" xr:uid="{626FD2F0-751E-44A2-8CF1-B6A49DFEC0A8}"/>
    <hyperlink ref="A150" r:id="rId66" xr:uid="{754EE13E-9594-4B6B-B07E-92515EDA6BDB}"/>
    <hyperlink ref="A151" r:id="rId67" xr:uid="{8467B917-7DA1-46C2-B400-3DDCB7DA6834}"/>
    <hyperlink ref="A83" r:id="rId68" xr:uid="{25F81FA7-5BD4-4A7B-8946-D4DDB1BF10BA}"/>
    <hyperlink ref="A84" r:id="rId69" xr:uid="{04695FC9-D3E9-4BC9-9D47-7FEF21F7241B}"/>
    <hyperlink ref="A85" r:id="rId70" xr:uid="{3549A32E-1F0B-452B-9FA8-57011D9DD84C}"/>
    <hyperlink ref="A86" r:id="rId71" xr:uid="{FD1379BA-6FB8-409D-8E3D-82A2C571F273}"/>
    <hyperlink ref="A87" r:id="rId72" xr:uid="{B86D805E-8B13-454C-B346-12B177343F62}"/>
    <hyperlink ref="A88" r:id="rId73" xr:uid="{67DB42E9-D2B8-435E-9F57-024E63C06F91}"/>
    <hyperlink ref="A89" r:id="rId74" xr:uid="{0ABB2C92-B6C4-493B-B7C3-B9D02EF08A4A}"/>
    <hyperlink ref="A90" r:id="rId75" xr:uid="{DE551BE0-417F-40F7-B4FD-C304562ED690}"/>
    <hyperlink ref="A91" r:id="rId76" xr:uid="{3B1B34B6-69BE-42E5-8D08-E1BF065B8093}"/>
    <hyperlink ref="A92" r:id="rId77" xr:uid="{59DB75E5-217D-48B2-AD29-29925F377F0C}"/>
    <hyperlink ref="A48" r:id="rId78" display="https://aldi-sued.atlassian.net/browse/BF-331" xr:uid="{7A707CA6-8FFB-4877-8A9D-C0EC13E4D895}"/>
    <hyperlink ref="A49" r:id="rId79" display="https://aldi-sued.atlassian.net/browse/BF-336" xr:uid="{E5358AFB-F1CF-44FE-A8C3-EB659875AE20}"/>
    <hyperlink ref="A50" r:id="rId80" display="https://aldi-sued.atlassian.net/browse/BF-577" xr:uid="{BA6FEFFF-B058-4266-A9B9-DD4B77D79F3F}"/>
    <hyperlink ref="A51" r:id="rId81" display="https://aldi-sued.atlassian.net/browse/BF-624" xr:uid="{32FECD3C-E9D8-4334-A8FC-D0A1490F6330}"/>
    <hyperlink ref="A52" r:id="rId82" display="https://aldi-sued.atlassian.net/browse/BF-969" xr:uid="{566DAAB6-57E7-4725-A6D1-0294268C4D67}"/>
    <hyperlink ref="A53" r:id="rId83" display="https://aldi-sued.atlassian.net/browse/BF-995" xr:uid="{FD701F02-60BC-4AFA-BA15-1DB2CE7444F8}"/>
    <hyperlink ref="A54" r:id="rId84" display="https://aldi-sued.atlassian.net/browse/BF-1009" xr:uid="{5F2A34EF-7216-4A9F-A6FA-AA37435B1FFC}"/>
    <hyperlink ref="A55" r:id="rId85" display="https://aldi-sued.atlassian.net/browse/BF-1010" xr:uid="{6CE3C035-B452-40FB-8FED-C66002A841D7}"/>
    <hyperlink ref="A56" r:id="rId86" display="https://aldi-sued.atlassian.net/browse/BF-1032" xr:uid="{8740904A-48E6-4E36-8036-B7D15CAE87E1}"/>
    <hyperlink ref="A57" r:id="rId87" display="https://aldi-sued.atlassian.net/browse/BF-1033" xr:uid="{765D0DC9-6A14-4A74-AF55-CFCFDDE83251}"/>
    <hyperlink ref="A58" r:id="rId88" display="https://aldi-sued.atlassian.net/browse/BF-1047" xr:uid="{473E0F82-AAA0-48E5-AEC1-D27009FD102D}"/>
    <hyperlink ref="A59" r:id="rId89" display="https://aldi-sued.atlassian.net/browse/BF-1062" xr:uid="{75100FF8-0D9C-4F58-A2F2-C238F99A5FCE}"/>
    <hyperlink ref="A60" r:id="rId90" display="https://aldi-sued.atlassian.net/browse/BF-1072" xr:uid="{76894E89-7459-4D17-80A3-1E2FA58A88DF}"/>
    <hyperlink ref="A61" r:id="rId91" display="https://aldi-sued.atlassian.net/browse/BF-1073" xr:uid="{192A02C8-5805-47C7-B763-5D1136F47746}"/>
    <hyperlink ref="A62" r:id="rId92" display="https://aldi-sued.atlassian.net/browse/BF-1074" xr:uid="{E1472912-1419-4236-8FD4-E7FC3001AB8B}"/>
    <hyperlink ref="A63" r:id="rId93" display="https://aldi-sued.atlassian.net/browse/BF-1075" xr:uid="{0D548C45-7C1C-4608-8A0C-BD8411C42B0C}"/>
    <hyperlink ref="A64" r:id="rId94" display="https://aldi-sued.atlassian.net/browse/BF-1078" xr:uid="{2FFE08AD-C251-4F29-A776-5F5D7C39F651}"/>
    <hyperlink ref="A65" r:id="rId95" display="https://aldi-sued.atlassian.net/browse/BF-1120" xr:uid="{DED05931-3F0B-440D-8504-AD8583D4FBCF}"/>
    <hyperlink ref="A66" r:id="rId96" display="https://aldi-sued.atlassian.net/browse/BF-506" xr:uid="{B565EA6D-444C-4DFA-96A8-A2D34E08BC35}"/>
    <hyperlink ref="A67" r:id="rId97" display="https://aldi-sued.atlassian.net/browse/BF-868" xr:uid="{2E16E3BD-C8E8-476E-9C71-20B2AC79A054}"/>
    <hyperlink ref="A68" r:id="rId98" display="https://aldi-sued.atlassian.net/browse/BF-1021" xr:uid="{2F1B84ED-CBC4-4821-A84C-80B3D944D312}"/>
    <hyperlink ref="A69" r:id="rId99" display="https://aldi-sued.atlassian.net/browse/NPSCO-19352" xr:uid="{3F82ABF2-61F8-4BBD-A06A-159FDB6DFFA8}"/>
    <hyperlink ref="A70" r:id="rId100" display="https://aldi-sued.atlassian.net/browse/BF-1094" xr:uid="{49F6298E-05E9-49AD-8FF8-BB50D1A4EBFC}"/>
  </hyperlinks>
  <pageMargins left="0.23622047244094491" right="0.23622047244094491" top="0.35433070866141736" bottom="0.35433070866141736" header="0" footer="0"/>
  <pageSetup paperSize="9" scale="88" fitToHeight="0" orientation="landscape"/>
  <headerFooter>
    <oddFooter>&amp;CS. &amp;P / &amp;N</oddFooter>
  </headerFooter>
  <tableParts count="1">
    <tablePart r:id="rId10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5A150-73E9-47A0-998E-2A12CACBF86A}">
  <sheetPr codeName="Tabelle1">
    <outlinePr summaryBelow="0" summaryRight="0"/>
    <pageSetUpPr fitToPage="1"/>
  </sheetPr>
  <dimension ref="A1:AM209"/>
  <sheetViews>
    <sheetView zoomScale="90" zoomScaleNormal="90" workbookViewId="0"/>
  </sheetViews>
  <sheetFormatPr baseColWidth="10" defaultColWidth="8.85546875" defaultRowHeight="13.5" customHeight="1"/>
  <cols>
    <col min="1" max="1" width="16" style="27" customWidth="1"/>
    <col min="2" max="2" width="82.28515625" style="27" customWidth="1"/>
    <col min="3" max="8" width="15.42578125" style="28" customWidth="1"/>
    <col min="9" max="9" width="19" style="29" customWidth="1"/>
    <col min="10" max="11" width="15.42578125" style="29" customWidth="1"/>
    <col min="12" max="12" width="15.42578125" style="30" customWidth="1"/>
    <col min="13" max="13" width="15.42578125" style="28" customWidth="1"/>
    <col min="14" max="18" width="15.42578125" style="1" customWidth="1"/>
    <col min="19" max="28" width="10.42578125" style="1" customWidth="1"/>
    <col min="29" max="34" width="8.42578125" style="1" customWidth="1"/>
    <col min="35" max="35" width="3.42578125" style="1" customWidth="1"/>
    <col min="36" max="36" width="8.42578125" style="1" customWidth="1"/>
    <col min="37" max="16384" width="8.85546875" style="1"/>
  </cols>
  <sheetData>
    <row r="1" spans="2:22" ht="13.5" customHeight="1">
      <c r="C1" s="417" t="s">
        <v>2131</v>
      </c>
      <c r="D1" s="417"/>
      <c r="E1" s="417"/>
      <c r="F1" s="417"/>
      <c r="G1" s="417"/>
      <c r="H1" s="417"/>
      <c r="I1" s="417"/>
      <c r="J1" s="417"/>
      <c r="K1" s="2"/>
      <c r="L1" s="2"/>
      <c r="M1" s="2"/>
    </row>
    <row r="2" spans="2:22" ht="13.5" customHeight="1">
      <c r="C2" s="1"/>
      <c r="D2" s="1"/>
      <c r="E2" s="2"/>
      <c r="F2" s="2"/>
      <c r="G2" s="2"/>
      <c r="H2" s="2"/>
      <c r="I2" s="2"/>
      <c r="J2" s="1"/>
      <c r="K2" s="2"/>
      <c r="L2" s="2"/>
      <c r="M2" s="1"/>
    </row>
    <row r="3" spans="2:22" ht="13.5" customHeight="1">
      <c r="C3" s="3" t="s">
        <v>162</v>
      </c>
      <c r="D3" s="66"/>
      <c r="E3" s="10"/>
      <c r="F3" s="10"/>
      <c r="G3" s="440" t="s">
        <v>2132</v>
      </c>
      <c r="H3" s="440"/>
      <c r="I3" s="440"/>
      <c r="J3" s="10"/>
      <c r="K3" s="4"/>
      <c r="L3" s="4"/>
      <c r="M3" s="2"/>
    </row>
    <row r="4" spans="2:22" ht="13.5" customHeight="1">
      <c r="C4" s="10"/>
      <c r="D4" s="419" t="s">
        <v>164</v>
      </c>
      <c r="E4" s="420"/>
      <c r="F4" s="421" t="s">
        <v>165</v>
      </c>
      <c r="G4" s="422"/>
      <c r="H4" s="422"/>
      <c r="I4" s="422"/>
      <c r="J4" s="422"/>
      <c r="K4" s="423"/>
      <c r="M4" s="424" t="s">
        <v>1303</v>
      </c>
      <c r="N4" s="424"/>
      <c r="O4" s="424"/>
      <c r="P4" s="424"/>
      <c r="Q4" s="424"/>
      <c r="R4" s="424"/>
    </row>
    <row r="5" spans="2:22" ht="27" customHeight="1">
      <c r="C5" s="63" t="s">
        <v>167</v>
      </c>
      <c r="D5" s="60" t="s">
        <v>171</v>
      </c>
      <c r="E5" s="73" t="str">
        <f>H5</f>
        <v>Completed</v>
      </c>
      <c r="F5" s="60" t="s">
        <v>105</v>
      </c>
      <c r="G5" s="21" t="s">
        <v>106</v>
      </c>
      <c r="H5" s="20" t="s">
        <v>125</v>
      </c>
      <c r="I5" s="20" t="s">
        <v>127</v>
      </c>
      <c r="J5" s="20" t="s">
        <v>126</v>
      </c>
      <c r="K5" s="67" t="s">
        <v>172</v>
      </c>
      <c r="M5" s="21" t="s">
        <v>105</v>
      </c>
      <c r="N5" s="21" t="s">
        <v>106</v>
      </c>
      <c r="O5" s="31" t="s">
        <v>125</v>
      </c>
      <c r="P5" s="31" t="str">
        <f>J5</f>
        <v>Removed</v>
      </c>
      <c r="Q5" s="31" t="s">
        <v>127</v>
      </c>
      <c r="R5" s="39" t="s">
        <v>173</v>
      </c>
    </row>
    <row r="6" spans="2:22" ht="13.5" customHeight="1">
      <c r="B6" s="415" t="s">
        <v>2133</v>
      </c>
      <c r="C6" s="59" t="s">
        <v>35</v>
      </c>
      <c r="D6" s="61">
        <f>COUNTIFS(Tabelle1324568910[Team],$C6)</f>
        <v>28</v>
      </c>
      <c r="E6" s="74">
        <f>COUNTIFS(Tabelle1324568910[Team],$C6,Tabelle1324568910[Status],$E$5)</f>
        <v>20</v>
      </c>
      <c r="F6" s="68">
        <f>SUMIFS(Tabelle1324568910[Jira Story Points],Tabelle1324568910[Pulled after Start],"",Tabelle1324568910[Team],$C6)</f>
        <v>74</v>
      </c>
      <c r="G6" s="6">
        <f>SUMIFS(Tabelle1324568910[Jira Story Points],Tabelle1324568910[Pulled after Start],"yes",Tabelle1324568910[Team],$C6)</f>
        <v>10</v>
      </c>
      <c r="H6" s="7">
        <f>SUMIFS(Tabelle1324568910[Jira Story Points],Tabelle1324568910[Status],$H$5,Tabelle1324568910[Team],$C6)</f>
        <v>54</v>
      </c>
      <c r="I6" s="6">
        <f>SUMIFS(Tabelle1324568910[Jira Story Points],Tabelle1324568910[Status],$I$5,Tabelle1324568910[Team],$C6)</f>
        <v>24</v>
      </c>
      <c r="J6" s="6">
        <f>SUMIFS(Tabelle1324568910[Jira Story Points],Tabelle1324568910[Status],$J$5,Tabelle1324568910[Team],$C6)</f>
        <v>6</v>
      </c>
      <c r="K6" s="69">
        <f>SUMIFS(Tabelle1324568910[Jira Story Points],Tabelle1324568910[Team],$C6)</f>
        <v>84</v>
      </c>
      <c r="L6" s="84">
        <f>H6/F6</f>
        <v>0.72972972972972971</v>
      </c>
      <c r="M6" s="6">
        <f>SUMIFS(Tabelle1324568910[SP Initially Planned (COS)],Tabelle1324568910[Pulled after Start],"",Tabelle1324568910[Team],$C6)</f>
        <v>74</v>
      </c>
      <c r="N6" s="6">
        <f>SUMIFS(Tabelle1324568910[SP Pulled after Start (COS)],Tabelle1324568910[Team],$C6)</f>
        <v>10</v>
      </c>
      <c r="O6" s="25">
        <f>SUMIFS(Tabelle1324568910[SP Completed (COS &amp; SOS)],Tabelle1324568910[Team],$C6)</f>
        <v>54</v>
      </c>
      <c r="P6" s="25">
        <f>SUMIFS(Tabelle1324568910[SP Removed (COS &amp; SOS)],Tabelle1324568910[Team],$C6)</f>
        <v>6</v>
      </c>
      <c r="Q6" s="41">
        <f>SUMIFS(Tabelle1324568910[SP Not Completed (COS &amp; SOS)],Tabelle1324568910[Team],$C6)</f>
        <v>24</v>
      </c>
      <c r="R6" s="40">
        <f t="shared" ref="R6:R15" si="0">IFERROR(O6/$M6," ")</f>
        <v>0.72972972972972971</v>
      </c>
      <c r="T6" s="43"/>
    </row>
    <row r="7" spans="2:22" ht="13.5" customHeight="1">
      <c r="B7" s="415"/>
      <c r="C7" s="59" t="s">
        <v>12</v>
      </c>
      <c r="D7" s="61">
        <f>COUNTIFS(Tabelle1324568910[Team],$C7)</f>
        <v>13</v>
      </c>
      <c r="E7" s="74">
        <f>COUNTIFS(Tabelle1324568910[Team],$C7,Tabelle1324568910[Status],$E$5)</f>
        <v>7</v>
      </c>
      <c r="F7" s="68">
        <f>SUMIFS(Tabelle1324568910[Jira Story Points],Tabelle1324568910[Pulled after Start],"",Tabelle1324568910[Team],$C7)</f>
        <v>34</v>
      </c>
      <c r="G7" s="6">
        <f>SUMIFS(Tabelle1324568910[Jira Story Points],Tabelle1324568910[Pulled after Start],"yes",Tabelle1324568910[Team],$C7)</f>
        <v>3</v>
      </c>
      <c r="H7" s="7">
        <f>SUMIFS(Tabelle1324568910[Jira Story Points],Tabelle1324568910[Status],$H$5,Tabelle1324568910[Team],$C7)</f>
        <v>16</v>
      </c>
      <c r="I7" s="6">
        <f>SUMIFS(Tabelle1324568910[Jira Story Points],Tabelle1324568910[Status],$I$5,Tabelle1324568910[Team],$C7)</f>
        <v>21</v>
      </c>
      <c r="J7" s="6">
        <f>SUMIFS(Tabelle1324568910[Jira Story Points],Tabelle1324568910[Status],$J$5,Tabelle1324568910[Team],$C7)</f>
        <v>0</v>
      </c>
      <c r="K7" s="69">
        <f>SUMIFS(Tabelle1324568910[Jira Story Points],Tabelle1324568910[Team],$C7)</f>
        <v>37</v>
      </c>
      <c r="L7" s="84">
        <f t="shared" ref="L7:L16" si="1">H7/F7</f>
        <v>0.47058823529411764</v>
      </c>
      <c r="M7" s="6">
        <f>SUMIFS(Tabelle1324568910[SP Initially Planned (COS)],Tabelle1324568910[Pulled after Start],"",Tabelle1324568910[Team],$C7)</f>
        <v>21</v>
      </c>
      <c r="N7" s="6">
        <f>SUMIFS(Tabelle1324568910[SP Pulled after Start (COS)],Tabelle1324568910[Team],$C7)</f>
        <v>3</v>
      </c>
      <c r="O7" s="25">
        <f>SUMIFS(Tabelle1324568910[SP Completed (COS &amp; SOS)],Tabelle1324568910[Team],$C7)</f>
        <v>13</v>
      </c>
      <c r="P7" s="25">
        <f>SUMIFS(Tabelle1324568910[SP Removed (COS &amp; SOS)],Tabelle1324568910[Team],$C7)</f>
        <v>0</v>
      </c>
      <c r="Q7" s="41">
        <f>SUMIFS(Tabelle1324568910[SP Not Completed (COS &amp; SOS)],Tabelle1324568910[Team],$C7)</f>
        <v>11</v>
      </c>
      <c r="R7" s="40">
        <f t="shared" si="0"/>
        <v>0.61904761904761907</v>
      </c>
      <c r="T7" s="43"/>
    </row>
    <row r="8" spans="2:22" ht="13.5" customHeight="1">
      <c r="B8" s="415"/>
      <c r="C8" s="59" t="s">
        <v>27</v>
      </c>
      <c r="D8" s="61">
        <f>COUNTIFS(Tabelle1324568910[Team],$C8)</f>
        <v>15</v>
      </c>
      <c r="E8" s="74">
        <f>COUNTIFS(Tabelle1324568910[Team],$C8,Tabelle1324568910[Status],$E$5)</f>
        <v>11</v>
      </c>
      <c r="F8" s="68">
        <f>SUMIFS(Tabelle1324568910[Jira Story Points],Tabelle1324568910[Pulled after Start],"",Tabelle1324568910[Team],$C8)</f>
        <v>37</v>
      </c>
      <c r="G8" s="6">
        <f>SUMIFS(Tabelle1324568910[Jira Story Points],Tabelle1324568910[Pulled after Start],"yes",Tabelle1324568910[Team],$C8)</f>
        <v>18</v>
      </c>
      <c r="H8" s="7">
        <f>SUMIFS(Tabelle1324568910[Jira Story Points],Tabelle1324568910[Status],$H$5,Tabelle1324568910[Team],$C8)</f>
        <v>34</v>
      </c>
      <c r="I8" s="6">
        <f>SUMIFS(Tabelle1324568910[Jira Story Points],Tabelle1324568910[Status],$I$5,Tabelle1324568910[Team],$C8)</f>
        <v>21</v>
      </c>
      <c r="J8" s="6">
        <f>SUMIFS(Tabelle1324568910[Jira Story Points],Tabelle1324568910[Status],$J$5,Tabelle1324568910[Team],$C8)</f>
        <v>0</v>
      </c>
      <c r="K8" s="69">
        <f>SUMIFS(Tabelle1324568910[Jira Story Points],Tabelle1324568910[Team],$C8)</f>
        <v>55</v>
      </c>
      <c r="L8" s="84">
        <f t="shared" si="1"/>
        <v>0.91891891891891897</v>
      </c>
      <c r="M8" s="6">
        <f>SUMIFS(Tabelle1324568910[SP Initially Planned (COS)],Tabelle1324568910[Pulled after Start],"",Tabelle1324568910[Team],$C8)</f>
        <v>37</v>
      </c>
      <c r="N8" s="6">
        <f>SUMIFS(Tabelle1324568910[SP Pulled after Start (COS)],Tabelle1324568910[Team],$C8)</f>
        <v>18</v>
      </c>
      <c r="O8" s="25">
        <f>SUMIFS(Tabelle1324568910[SP Completed (COS &amp; SOS)],Tabelle1324568910[Team],$C8)</f>
        <v>34</v>
      </c>
      <c r="P8" s="25">
        <f>SUMIFS(Tabelle1324568910[SP Removed (COS &amp; SOS)],Tabelle1324568910[Team],$C8)</f>
        <v>0</v>
      </c>
      <c r="Q8" s="41">
        <f>SUMIFS(Tabelle1324568910[SP Not Completed (COS &amp; SOS)],Tabelle1324568910[Team],$C8)</f>
        <v>21</v>
      </c>
      <c r="R8" s="40">
        <f t="shared" si="0"/>
        <v>0.91891891891891897</v>
      </c>
      <c r="T8" s="43"/>
    </row>
    <row r="9" spans="2:22" ht="13.5" customHeight="1">
      <c r="B9" s="415"/>
      <c r="C9" s="59" t="s">
        <v>5</v>
      </c>
      <c r="D9" s="61">
        <f>COUNTIFS(Tabelle1324568910[Team],$C9)</f>
        <v>9</v>
      </c>
      <c r="E9" s="74">
        <f>COUNTIFS(Tabelle1324568910[Team],$C9,Tabelle1324568910[Status],$E$5)</f>
        <v>6</v>
      </c>
      <c r="F9" s="68">
        <f>SUMIFS(Tabelle1324568910[Jira Story Points],Tabelle1324568910[Pulled after Start],"",Tabelle1324568910[Team],$C9)</f>
        <v>44</v>
      </c>
      <c r="G9" s="6">
        <f>SUMIFS(Tabelle1324568910[Jira Story Points],Tabelle1324568910[Pulled after Start],"yes",Tabelle1324568910[Team],$C9)</f>
        <v>0</v>
      </c>
      <c r="H9" s="7">
        <f>SUMIFS(Tabelle1324568910[Jira Story Points],Tabelle1324568910[Status],$H$5,Tabelle1324568910[Team],$C9)</f>
        <v>26</v>
      </c>
      <c r="I9" s="6">
        <f>SUMIFS(Tabelle1324568910[Jira Story Points],Tabelle1324568910[Status],$I$5,Tabelle1324568910[Team],$C9)</f>
        <v>18</v>
      </c>
      <c r="J9" s="6">
        <f>SUMIFS(Tabelle1324568910[Jira Story Points],Tabelle1324568910[Status],$J$5,Tabelle1324568910[Team],$C9)</f>
        <v>0</v>
      </c>
      <c r="K9" s="69">
        <f>SUMIFS(Tabelle1324568910[Jira Story Points],Tabelle1324568910[Team],$C9)</f>
        <v>44</v>
      </c>
      <c r="L9" s="84">
        <f t="shared" si="1"/>
        <v>0.59090909090909094</v>
      </c>
      <c r="M9" s="6">
        <f>SUMIFS(Tabelle1324568910[SP Initially Planned (COS)],Tabelle1324568910[Pulled after Start],"",Tabelle1324568910[Team],$C9)</f>
        <v>41</v>
      </c>
      <c r="N9" s="6">
        <f>SUMIFS(Tabelle1324568910[SP Pulled after Start (COS)],Tabelle1324568910[Team],$C9)</f>
        <v>0</v>
      </c>
      <c r="O9" s="25">
        <f>SUMIFS(Tabelle1324568910[SP Completed (COS &amp; SOS)],Tabelle1324568910[Team],$C9)</f>
        <v>33</v>
      </c>
      <c r="P9" s="25">
        <f>SUMIFS(Tabelle1324568910[SP Removed (COS &amp; SOS)],Tabelle1324568910[Team],$C9)</f>
        <v>0</v>
      </c>
      <c r="Q9" s="41">
        <f>SUMIFS(Tabelle1324568910[SP Not Completed (COS &amp; SOS)],Tabelle1324568910[Team],$C9)</f>
        <v>8</v>
      </c>
      <c r="R9" s="40">
        <f t="shared" si="0"/>
        <v>0.80487804878048785</v>
      </c>
      <c r="T9" s="43"/>
    </row>
    <row r="10" spans="2:22" ht="13.5" customHeight="1">
      <c r="B10" s="415"/>
      <c r="C10" s="59" t="s">
        <v>32</v>
      </c>
      <c r="D10" s="61">
        <f>COUNTIFS(Tabelle1324568910[Team],$C10)</f>
        <v>15</v>
      </c>
      <c r="E10" s="74">
        <f>COUNTIFS(Tabelle1324568910[Team],$C10,Tabelle1324568910[Status],$E$5)</f>
        <v>11</v>
      </c>
      <c r="F10" s="68">
        <f>SUMIFS(Tabelle1324568910[Jira Story Points],Tabelle1324568910[Pulled after Start],"",Tabelle1324568910[Team],$C10)</f>
        <v>41</v>
      </c>
      <c r="G10" s="6">
        <f>SUMIFS(Tabelle1324568910[Jira Story Points],Tabelle1324568910[Pulled after Start],"yes",Tabelle1324568910[Team],$C10)</f>
        <v>0</v>
      </c>
      <c r="H10" s="7">
        <f>SUMIFS(Tabelle1324568910[Jira Story Points],Tabelle1324568910[Status],$H$5,Tabelle1324568910[Team],$C10)</f>
        <v>29</v>
      </c>
      <c r="I10" s="6">
        <f>SUMIFS(Tabelle1324568910[Jira Story Points],Tabelle1324568910[Status],$I$5,Tabelle1324568910[Team],$C10)</f>
        <v>12</v>
      </c>
      <c r="J10" s="6">
        <f>SUMIFS(Tabelle1324568910[Jira Story Points],Tabelle1324568910[Status],$J$5,Tabelle1324568910[Team],$C10)</f>
        <v>0</v>
      </c>
      <c r="K10" s="69">
        <f>SUMIFS(Tabelle1324568910[Jira Story Points],Tabelle1324568910[Team],$C10)</f>
        <v>41</v>
      </c>
      <c r="L10" s="84">
        <f t="shared" si="1"/>
        <v>0.70731707317073167</v>
      </c>
      <c r="M10" s="6">
        <f>SUMIFS(Tabelle1324568910[SP Initially Planned (COS)],Tabelle1324568910[Pulled after Start],"",Tabelle1324568910[Team],$C10)</f>
        <v>41</v>
      </c>
      <c r="N10" s="6">
        <f>SUMIFS(Tabelle1324568910[SP Pulled after Start (COS)],Tabelle1324568910[Team],$C10)</f>
        <v>0</v>
      </c>
      <c r="O10" s="25">
        <f>SUMIFS(Tabelle1324568910[SP Completed (COS &amp; SOS)],Tabelle1324568910[Team],$C10)</f>
        <v>29</v>
      </c>
      <c r="P10" s="25">
        <f>SUMIFS(Tabelle1324568910[SP Removed (COS &amp; SOS)],Tabelle1324568910[Team],$C10)</f>
        <v>0</v>
      </c>
      <c r="Q10" s="41">
        <f>SUMIFS(Tabelle1324568910[SP Not Completed (COS &amp; SOS)],Tabelle1324568910[Team],$C10)</f>
        <v>12</v>
      </c>
      <c r="R10" s="40">
        <f t="shared" si="0"/>
        <v>0.70731707317073167</v>
      </c>
      <c r="T10" s="43"/>
    </row>
    <row r="11" spans="2:22" ht="13.5" customHeight="1">
      <c r="B11" s="415"/>
      <c r="C11" s="59" t="s">
        <v>24</v>
      </c>
      <c r="D11" s="61">
        <f>COUNTIFS(Tabelle1324568910[Team],$C11)</f>
        <v>15</v>
      </c>
      <c r="E11" s="74">
        <f>COUNTIFS(Tabelle1324568910[Team],$C11,Tabelle1324568910[Status],$E$5)</f>
        <v>10</v>
      </c>
      <c r="F11" s="68">
        <f>SUMIFS(Tabelle1324568910[Jira Story Points],Tabelle1324568910[Pulled after Start],"",Tabelle1324568910[Team],$C11)</f>
        <v>36</v>
      </c>
      <c r="G11" s="6">
        <f>SUMIFS(Tabelle1324568910[Jira Story Points],Tabelle1324568910[Pulled after Start],"yes",Tabelle1324568910[Team],$C11)</f>
        <v>13</v>
      </c>
      <c r="H11" s="7">
        <f>SUMIFS(Tabelle1324568910[Jira Story Points],Tabelle1324568910[Status],$H$5,Tabelle1324568910[Team],$C11)</f>
        <v>27</v>
      </c>
      <c r="I11" s="6">
        <f>SUMIFS(Tabelle1324568910[Jira Story Points],Tabelle1324568910[Status],$I$5,Tabelle1324568910[Team],$C11)</f>
        <v>22</v>
      </c>
      <c r="J11" s="6">
        <f>SUMIFS(Tabelle1324568910[Jira Story Points],Tabelle1324568910[Status],$J$5,Tabelle1324568910[Team],$C11)</f>
        <v>0</v>
      </c>
      <c r="K11" s="69">
        <f>SUMIFS(Tabelle1324568910[Jira Story Points],Tabelle1324568910[Team],$C11)</f>
        <v>49</v>
      </c>
      <c r="L11" s="84">
        <f t="shared" si="1"/>
        <v>0.75</v>
      </c>
      <c r="M11" s="6">
        <f>SUMIFS(Tabelle1324568910[SP Initially Planned (COS)],Tabelle1324568910[Pulled after Start],"",Tabelle1324568910[Team],$C11)</f>
        <v>36</v>
      </c>
      <c r="N11" s="6">
        <f>SUMIFS(Tabelle1324568910[SP Pulled after Start (COS)],Tabelle1324568910[Team],$C11)</f>
        <v>13</v>
      </c>
      <c r="O11" s="25">
        <f>SUMIFS(Tabelle1324568910[SP Completed (COS &amp; SOS)],Tabelle1324568910[Team],$C11)</f>
        <v>34</v>
      </c>
      <c r="P11" s="25">
        <f>SUMIFS(Tabelle1324568910[SP Removed (COS &amp; SOS)],Tabelle1324568910[Team],$C11)</f>
        <v>0</v>
      </c>
      <c r="Q11" s="41">
        <f>SUMIFS(Tabelle1324568910[SP Not Completed (COS &amp; SOS)],Tabelle1324568910[Team],$C11)</f>
        <v>15</v>
      </c>
      <c r="R11" s="40">
        <f t="shared" si="0"/>
        <v>0.94444444444444442</v>
      </c>
      <c r="T11" s="43"/>
    </row>
    <row r="12" spans="2:22" ht="13.5" customHeight="1">
      <c r="B12" s="415"/>
      <c r="C12" s="59" t="s">
        <v>17</v>
      </c>
      <c r="D12" s="61">
        <f>COUNTIFS(Tabelle1324568910[Team],$C12)</f>
        <v>11</v>
      </c>
      <c r="E12" s="74">
        <f>COUNTIFS(Tabelle1324568910[Team],$C12,Tabelle1324568910[Status],$E$5)</f>
        <v>9</v>
      </c>
      <c r="F12" s="68">
        <f>SUMIFS(Tabelle1324568910[Jira Story Points],Tabelle1324568910[Pulled after Start],"",Tabelle1324568910[Team],$C12)</f>
        <v>25</v>
      </c>
      <c r="G12" s="6">
        <f>SUMIFS(Tabelle1324568910[Jira Story Points],Tabelle1324568910[Pulled after Start],"yes",Tabelle1324568910[Team],$C12)</f>
        <v>8</v>
      </c>
      <c r="H12" s="7">
        <f>SUMIFS(Tabelle1324568910[Jira Story Points],Tabelle1324568910[Status],$H$5,Tabelle1324568910[Team],$C12)</f>
        <v>25</v>
      </c>
      <c r="I12" s="6">
        <f>SUMIFS(Tabelle1324568910[Jira Story Points],Tabelle1324568910[Status],$I$5,Tabelle1324568910[Team],$C12)</f>
        <v>8</v>
      </c>
      <c r="J12" s="6">
        <f>SUMIFS(Tabelle1324568910[Jira Story Points],Tabelle1324568910[Status],$J$5,Tabelle1324568910[Team],$C12)</f>
        <v>0</v>
      </c>
      <c r="K12" s="69">
        <f>SUMIFS(Tabelle1324568910[Jira Story Points],Tabelle1324568910[Team],$C12)</f>
        <v>33</v>
      </c>
      <c r="L12" s="84">
        <f t="shared" si="1"/>
        <v>1</v>
      </c>
      <c r="M12" s="6">
        <f>SUMIFS(Tabelle1324568910[SP Initially Planned (COS)],Tabelle1324568910[Pulled after Start],"",Tabelle1324568910[Team],$C12)</f>
        <v>23</v>
      </c>
      <c r="N12" s="6">
        <f>SUMIFS(Tabelle1324568910[SP Pulled after Start (COS)],Tabelle1324568910[Team],$C12)</f>
        <v>8</v>
      </c>
      <c r="O12" s="25">
        <f>SUMIFS(Tabelle1324568910[SP Completed (COS &amp; SOS)],Tabelle1324568910[Team],$C12)</f>
        <v>27</v>
      </c>
      <c r="P12" s="25">
        <f>SUMIFS(Tabelle1324568910[SP Removed (COS &amp; SOS)],Tabelle1324568910[Team],$C12)</f>
        <v>0</v>
      </c>
      <c r="Q12" s="41">
        <f>SUMIFS(Tabelle1324568910[SP Not Completed (COS &amp; SOS)],Tabelle1324568910[Team],$C12)</f>
        <v>4</v>
      </c>
      <c r="R12" s="40">
        <f t="shared" si="0"/>
        <v>1.173913043478261</v>
      </c>
      <c r="T12" s="43"/>
    </row>
    <row r="13" spans="2:22" ht="13.5" customHeight="1">
      <c r="B13" s="415"/>
      <c r="C13" s="64" t="s">
        <v>107</v>
      </c>
      <c r="D13" s="61">
        <f>COUNTIFS(Tabelle1324568910[Team],$C13)</f>
        <v>0</v>
      </c>
      <c r="E13" s="74">
        <f>COUNTIFS(Tabelle1324568910[Team],$C13,Tabelle1324568910[Status],$E$5)</f>
        <v>0</v>
      </c>
      <c r="F13" s="68">
        <f>SUMIFS(Tabelle1324568910[Jira Story Points],Tabelle1324568910[Pulled after Start],"",Tabelle1324568910[Team],$C13)</f>
        <v>0</v>
      </c>
      <c r="G13" s="6">
        <f>SUMIFS(Tabelle1324568910[Jira Story Points],Tabelle1324568910[Pulled after Start],"yes",Tabelle1324568910[Team],$C13)</f>
        <v>0</v>
      </c>
      <c r="H13" s="7">
        <f>SUMIFS(Tabelle1324568910[Jira Story Points],Tabelle1324568910[Status],$H$5,Tabelle1324568910[Team],$C13)</f>
        <v>0</v>
      </c>
      <c r="I13" s="6">
        <f>SUMIFS(Tabelle1324568910[Jira Story Points],Tabelle1324568910[Status],$I$5,Tabelle1324568910[Team],$C13)</f>
        <v>0</v>
      </c>
      <c r="J13" s="6">
        <f>SUMIFS(Tabelle1324568910[Jira Story Points],Tabelle1324568910[Status],$J$5,Tabelle1324568910[Team],$C13)</f>
        <v>0</v>
      </c>
      <c r="K13" s="69">
        <f>SUMIFS(Tabelle1324568910[Jira Story Points],Tabelle1324568910[Team],$C13)</f>
        <v>0</v>
      </c>
      <c r="L13" s="84"/>
      <c r="M13" s="6">
        <f>SUMIFS(Tabelle1324568910[SP Initially Planned (COS)],Tabelle1324568910[Pulled after Start],"",Tabelle1324568910[Team],$C13)</f>
        <v>0</v>
      </c>
      <c r="N13" s="6">
        <f>SUMIFS(Tabelle1324568910[SP Pulled after Start (COS)],Tabelle1324568910[Team],$C13)</f>
        <v>0</v>
      </c>
      <c r="O13" s="25">
        <f>SUMIFS(Tabelle1324568910[SP Completed (COS &amp; SOS)],Tabelle1324568910[Team],$C13)</f>
        <v>0</v>
      </c>
      <c r="P13" s="25">
        <f>SUMIFS(Tabelle1324568910[SP Removed (COS &amp; SOS)],Tabelle1324568910[Team],$C13)</f>
        <v>0</v>
      </c>
      <c r="Q13" s="41">
        <f>SUMIFS(Tabelle1324568910[SP Not Completed (COS &amp; SOS)],Tabelle1324568910[Team],$C13)</f>
        <v>0</v>
      </c>
      <c r="R13" s="40" t="str">
        <f t="shared" si="0"/>
        <v xml:space="preserve"> </v>
      </c>
      <c r="T13" s="43"/>
    </row>
    <row r="14" spans="2:22" ht="13.5" customHeight="1">
      <c r="B14" s="415"/>
      <c r="C14" s="41" t="s">
        <v>21</v>
      </c>
      <c r="D14" s="61">
        <f>COUNTIFS(Tabelle1324568910[Team],$C14)</f>
        <v>6</v>
      </c>
      <c r="E14" s="74">
        <f>COUNTIFS(Tabelle1324568910[Team],$C14,Tabelle1324568910[Status],$E$5)</f>
        <v>4</v>
      </c>
      <c r="F14" s="68">
        <f>SUMIFS(Tabelle1324568910[Jira Story Points],Tabelle1324568910[Pulled after Start],"",Tabelle1324568910[Team],$C14)</f>
        <v>19</v>
      </c>
      <c r="G14" s="6">
        <f>SUMIFS(Tabelle1324568910[Jira Story Points],Tabelle1324568910[Pulled after Start],"yes",Tabelle1324568910[Team],$C14)</f>
        <v>8</v>
      </c>
      <c r="H14" s="7">
        <f>SUMIFS(Tabelle1324568910[Jira Story Points],Tabelle1324568910[Status],$H$5,Tabelle1324568910[Team],$C14)</f>
        <v>16</v>
      </c>
      <c r="I14" s="6">
        <f>SUMIFS(Tabelle1324568910[Jira Story Points],Tabelle1324568910[Status],$I$5,Tabelle1324568910[Team],$C14)</f>
        <v>11</v>
      </c>
      <c r="J14" s="6">
        <f>SUMIFS(Tabelle1324568910[Jira Story Points],Tabelle1324568910[Status],$J$5,Tabelle1324568910[Team],$C14)</f>
        <v>0</v>
      </c>
      <c r="K14" s="69">
        <f>SUMIFS(Tabelle1324568910[Jira Story Points],Tabelle1324568910[Team],$C14)</f>
        <v>27</v>
      </c>
      <c r="L14" s="84">
        <f t="shared" si="1"/>
        <v>0.84210526315789469</v>
      </c>
      <c r="M14" s="6">
        <f>SUMIFS(Tabelle1324568910[SP Initially Planned (COS)],Tabelle1324568910[Pulled after Start],"",Tabelle1324568910[Team],$C14)</f>
        <v>19</v>
      </c>
      <c r="N14" s="6">
        <f>SUMIFS(Tabelle1324568910[SP Pulled after Start (COS)],Tabelle1324568910[Team],$C14)</f>
        <v>8</v>
      </c>
      <c r="O14" s="25">
        <f>SUMIFS(Tabelle1324568910[SP Completed (COS &amp; SOS)],Tabelle1324568910[Team],$C14)</f>
        <v>21</v>
      </c>
      <c r="P14" s="25">
        <f>SUMIFS(Tabelle1324568910[SP Removed (COS &amp; SOS)],Tabelle1324568910[Team],$C14)</f>
        <v>0</v>
      </c>
      <c r="Q14" s="41">
        <f>SUMIFS(Tabelle1324568910[SP Not Completed (COS &amp; SOS)],Tabelle1324568910[Team],$C14)</f>
        <v>6</v>
      </c>
      <c r="R14" s="40">
        <f t="shared" si="0"/>
        <v>1.1052631578947369</v>
      </c>
      <c r="T14" s="43"/>
    </row>
    <row r="15" spans="2:22" ht="13.5" customHeight="1">
      <c r="B15" s="415"/>
      <c r="C15" s="41" t="s">
        <v>9</v>
      </c>
      <c r="D15" s="61">
        <f>COUNTIFS(Tabelle1324568910[Team],$C15)</f>
        <v>28</v>
      </c>
      <c r="E15" s="74">
        <f>COUNTIFS(Tabelle1324568910[Team],$C15,Tabelle1324568910[Status],$E$5)</f>
        <v>22</v>
      </c>
      <c r="F15" s="68">
        <f>SUMIFS(Tabelle1324568910[Jira Story Points],Tabelle1324568910[Pulled after Start],"",Tabelle1324568910[Team],$C15)</f>
        <v>35</v>
      </c>
      <c r="G15" s="6">
        <f>SUMIFS(Tabelle1324568910[Jira Story Points],Tabelle1324568910[Pulled after Start],"yes",Tabelle1324568910[Team],$C15)</f>
        <v>52</v>
      </c>
      <c r="H15" s="7">
        <f>SUMIFS(Tabelle1324568910[Jira Story Points],Tabelle1324568910[Status],$H$5,Tabelle1324568910[Team],$C15)</f>
        <v>61</v>
      </c>
      <c r="I15" s="6">
        <f>SUMIFS(Tabelle1324568910[Jira Story Points],Tabelle1324568910[Status],$I$5,Tabelle1324568910[Team],$C15)</f>
        <v>18</v>
      </c>
      <c r="J15" s="6">
        <v>1</v>
      </c>
      <c r="K15" s="69">
        <f>SUMIFS(Tabelle1324568910[Jira Story Points],Tabelle1324568910[Team],$C15)</f>
        <v>87</v>
      </c>
      <c r="L15" s="84">
        <f t="shared" si="1"/>
        <v>1.7428571428571429</v>
      </c>
      <c r="M15" s="6">
        <f>SUMIFS(Tabelle1324568910[SP Initially Planned (COS)],Tabelle1324568910[Pulled after Start],"",Tabelle1324568910[Team],$C15)</f>
        <v>35</v>
      </c>
      <c r="N15" s="6">
        <f>SUMIFS(Tabelle1324568910[SP Pulled after Start (COS)],Tabelle1324568910[Team],$C15)</f>
        <v>52</v>
      </c>
      <c r="O15" s="25">
        <f>SUMIFS(Tabelle1324568910[SP Completed (COS &amp; SOS)],Tabelle1324568910[Team],$C15)</f>
        <v>61</v>
      </c>
      <c r="P15" s="25">
        <f>SUMIFS(Tabelle1324568910[SP Removed (COS &amp; SOS)],Tabelle1324568910[Team],$C15)</f>
        <v>8</v>
      </c>
      <c r="Q15" s="41">
        <f>SUMIFS(Tabelle1324568910[SP Not Completed (COS &amp; SOS)],Tabelle1324568910[Team],$C15)</f>
        <v>18</v>
      </c>
      <c r="R15" s="40">
        <f t="shared" si="0"/>
        <v>1.7428571428571429</v>
      </c>
      <c r="T15" s="43"/>
    </row>
    <row r="16" spans="2:22" ht="13.5" customHeight="1">
      <c r="C16" s="65" t="s">
        <v>172</v>
      </c>
      <c r="D16" s="62">
        <f t="shared" ref="D16" si="2">SUM(D6:D13)</f>
        <v>106</v>
      </c>
      <c r="E16" s="75">
        <f t="shared" ref="E16:K16" si="3">SUM(E6:E13)</f>
        <v>74</v>
      </c>
      <c r="F16" s="62">
        <f t="shared" si="3"/>
        <v>291</v>
      </c>
      <c r="G16" s="70">
        <f t="shared" si="3"/>
        <v>52</v>
      </c>
      <c r="H16" s="71">
        <f t="shared" si="3"/>
        <v>211</v>
      </c>
      <c r="I16" s="71">
        <f t="shared" si="3"/>
        <v>126</v>
      </c>
      <c r="J16" s="71">
        <f t="shared" si="3"/>
        <v>6</v>
      </c>
      <c r="K16" s="72">
        <f t="shared" si="3"/>
        <v>343</v>
      </c>
      <c r="L16" s="84">
        <f t="shared" si="1"/>
        <v>0.72508591065292094</v>
      </c>
      <c r="M16" s="23">
        <f t="shared" ref="M16:N16" si="4">SUM(M6:M13)</f>
        <v>273</v>
      </c>
      <c r="N16" s="21">
        <f t="shared" si="4"/>
        <v>52</v>
      </c>
      <c r="O16" s="31">
        <f>SUM(O6:O13)</f>
        <v>224</v>
      </c>
      <c r="P16" s="31">
        <f>SUM(P6:P13)</f>
        <v>6</v>
      </c>
      <c r="Q16" s="22">
        <f>SUM(Q6:Q13)</f>
        <v>95</v>
      </c>
      <c r="R16" s="38" t="s">
        <v>185</v>
      </c>
      <c r="T16" s="42"/>
      <c r="U16" s="42"/>
      <c r="V16" s="42"/>
    </row>
    <row r="17" spans="1:39" ht="13.5" customHeight="1">
      <c r="T17" s="5"/>
      <c r="U17" s="5"/>
      <c r="V17" s="5"/>
    </row>
    <row r="18" spans="1:39" ht="13.5" customHeight="1">
      <c r="T18" s="5"/>
      <c r="U18" s="5"/>
      <c r="V18" s="5"/>
    </row>
    <row r="19" spans="1:39" ht="13.5" customHeight="1">
      <c r="T19" s="5"/>
      <c r="U19" s="5"/>
      <c r="V19" s="5"/>
    </row>
    <row r="20" spans="1:39" ht="13.5" customHeight="1">
      <c r="T20" s="5"/>
      <c r="U20" s="5"/>
      <c r="V20" s="5"/>
    </row>
    <row r="21" spans="1:39" ht="13.5" customHeight="1">
      <c r="C21" s="33" t="s">
        <v>186</v>
      </c>
      <c r="D21" s="9"/>
      <c r="E21" s="9"/>
      <c r="F21" s="9"/>
      <c r="G21" s="9"/>
      <c r="H21" s="9"/>
      <c r="I21" s="9"/>
      <c r="J21" s="9"/>
      <c r="K21" s="9"/>
      <c r="L21" s="9"/>
      <c r="M21" s="9"/>
      <c r="N21" s="9"/>
      <c r="O21" s="9"/>
      <c r="T21" s="5"/>
      <c r="U21" s="5"/>
      <c r="V21" s="5"/>
    </row>
    <row r="22" spans="1:39" ht="13.5" customHeight="1">
      <c r="C22" s="10"/>
      <c r="D22" s="425" t="s">
        <v>187</v>
      </c>
      <c r="E22" s="425"/>
      <c r="F22" s="425" t="s">
        <v>106</v>
      </c>
      <c r="G22" s="425"/>
      <c r="H22" s="425" t="s">
        <v>172</v>
      </c>
      <c r="I22" s="425"/>
      <c r="J22" s="426" t="s">
        <v>2134</v>
      </c>
      <c r="K22" s="426"/>
      <c r="L22" s="426" t="s">
        <v>189</v>
      </c>
      <c r="M22" s="426"/>
      <c r="N22" s="416" t="s">
        <v>172</v>
      </c>
      <c r="O22" s="416"/>
    </row>
    <row r="23" spans="1:39" ht="13.5" customHeight="1">
      <c r="C23" s="10"/>
      <c r="D23" s="11" t="s">
        <v>190</v>
      </c>
      <c r="E23" s="12" t="s">
        <v>191</v>
      </c>
      <c r="F23" s="11" t="s">
        <v>190</v>
      </c>
      <c r="G23" s="12" t="s">
        <v>191</v>
      </c>
      <c r="H23" s="12" t="s">
        <v>190</v>
      </c>
      <c r="I23" s="12" t="s">
        <v>191</v>
      </c>
      <c r="J23" s="34" t="s">
        <v>190</v>
      </c>
      <c r="K23" s="13" t="s">
        <v>191</v>
      </c>
      <c r="L23" s="14" t="s">
        <v>190</v>
      </c>
      <c r="M23" s="14" t="s">
        <v>191</v>
      </c>
      <c r="N23" s="14" t="s">
        <v>190</v>
      </c>
      <c r="O23" s="14" t="s">
        <v>191</v>
      </c>
    </row>
    <row r="24" spans="1:39" ht="13.5" customHeight="1">
      <c r="C24" s="15" t="s">
        <v>192</v>
      </c>
      <c r="D24" s="7">
        <f>COUNTIFS(Tabelle1324568910[Team],"*",Tabelle1324568910[Pulled after Start],"&lt;&gt;yes")</f>
        <v>100</v>
      </c>
      <c r="E24" s="7">
        <f>SUMIFS(Tabelle1324568910[Jira Story Points],Tabelle1324568910[Team],"*",Tabelle1324568910[Pulled after Start],"&lt;&gt;yes")+COUNTIFS(Tabelle1324568910[Team],"*",Tabelle1324568910[Jira Story Points],"-",Tabelle1324568910[Pulled after Start],"&lt;&gt;yes")*$M$28</f>
        <v>347</v>
      </c>
      <c r="F24" s="7">
        <f>COUNTIF(Tabelle1324568910[Pulled after Start],"yes")</f>
        <v>40</v>
      </c>
      <c r="G24" s="7">
        <f>SUMIFS(Tabelle1324568910[Jira Story Points],Tabelle1324568910[Team],"*",Tabelle1324568910[Pulled after Start],"yes")+COUNTIFS(Tabelle1324568910[Team],"*",Tabelle1324568910[Jira Story Points],"-",Tabelle1324568910[Pulled after Start],"yes")*$M$28</f>
        <v>114</v>
      </c>
      <c r="H24" s="7">
        <f t="shared" ref="H24:I27" si="5">D24+F24</f>
        <v>140</v>
      </c>
      <c r="I24" s="7">
        <f t="shared" si="5"/>
        <v>461</v>
      </c>
      <c r="J24" s="7">
        <f>COUNTIFS(Tabelle1324568910[Team],"*",Tabelle1324568910[Jira Story Points],"&lt;&gt;-")</f>
        <v>138</v>
      </c>
      <c r="K24" s="16">
        <f>SUMIFS(Tabelle1324568910[Jira Story Points],Tabelle1324568910[Team],"*",Tabelle1324568910[Jira Story Points],"&lt;&gt;-")</f>
        <v>457</v>
      </c>
      <c r="L24" s="8">
        <f>COUNTIFS(Tabelle1324568910[Team],"*",Tabelle1324568910[Jira Story Points],"-")</f>
        <v>2</v>
      </c>
      <c r="M24" s="8">
        <f>L24*$M$28</f>
        <v>4</v>
      </c>
      <c r="N24" s="35">
        <f t="shared" ref="N24:O27" si="6">J24+L24</f>
        <v>140</v>
      </c>
      <c r="O24" s="7">
        <f t="shared" si="6"/>
        <v>461</v>
      </c>
    </row>
    <row r="25" spans="1:39" ht="13.5" customHeight="1">
      <c r="C25" s="15" t="s">
        <v>125</v>
      </c>
      <c r="D25" s="7">
        <f>COUNTIFS(Tabelle1324568910[Team],"*",Tabelle1324568910[Pulled after Start],"&lt;&gt;yes",Tabelle1324568910[Status],H5)</f>
        <v>73</v>
      </c>
      <c r="E25" s="7">
        <f>SUMIFS(Tabelle1324568910[Jira Story Points],Tabelle1324568910[Team],"*",Tabelle1324568910[Pulled after Start],"&lt;&gt;yes",Tabelle1324568910[Status],H5)+COUNTIFS(Tabelle1324568910[Team],"*",Tabelle1324568910[Jira Story Points],"-",Tabelle1324568910[Pulled after Start],"&lt;&gt;yes",Tabelle1324568910[Status],H5)*$M$28</f>
        <v>225</v>
      </c>
      <c r="F25" s="7">
        <f>COUNTIFS(Tabelle1324568910[Pulled after Start],"yes",Tabelle1324568910[Status],H5)</f>
        <v>27</v>
      </c>
      <c r="G25" s="7">
        <f>SUMIFS(Tabelle1324568910[Jira Story Points],Tabelle1324568910[Team],"*",Tabelle1324568910[Pulled after Start],"yes",Tabelle1324568910[Status],H5)+COUNTIFS(Tabelle1324568910[Team],"*",Tabelle1324568910[Jira Story Points],"-",Tabelle1324568910[Pulled after Start],"yes",Tabelle1324568910[Status],H5)*$M$28</f>
        <v>65</v>
      </c>
      <c r="H25" s="7">
        <f t="shared" si="5"/>
        <v>100</v>
      </c>
      <c r="I25" s="7">
        <f t="shared" si="5"/>
        <v>290</v>
      </c>
      <c r="J25" s="7">
        <f>COUNTIFS(Tabelle1324568910[Team],"*",Tabelle1324568910[Jira Story Points],"&lt;&gt;-",Tabelle1324568910[Status],H5)</f>
        <v>99</v>
      </c>
      <c r="K25" s="7">
        <f>SUMIFS(Tabelle1324568910[Jira Story Points],Tabelle1324568910[Team],"*",Tabelle1324568910[Jira Story Points],"&lt;&gt;-",Tabelle1324568910[Status],H5)</f>
        <v>288</v>
      </c>
      <c r="L25" s="17">
        <f>COUNTIFS(Tabelle1324568910[Team],"*",Tabelle1324568910[Jira Story Points],"-",Tabelle1324568910[Status],H5)</f>
        <v>1</v>
      </c>
      <c r="M25" s="8">
        <f>L25*$M$28</f>
        <v>2</v>
      </c>
      <c r="N25" s="7">
        <f t="shared" si="6"/>
        <v>100</v>
      </c>
      <c r="O25" s="7">
        <f t="shared" si="6"/>
        <v>290</v>
      </c>
    </row>
    <row r="26" spans="1:39" ht="13.5" customHeight="1">
      <c r="C26" s="15" t="s">
        <v>127</v>
      </c>
      <c r="D26" s="7">
        <f>COUNTIFS(Tabelle1324568910[Team],"*",Tabelle1324568910[Pulled after Start],"&lt;&gt;yes",Tabelle1324568910[Status],I5)</f>
        <v>25</v>
      </c>
      <c r="E26" s="7">
        <f>SUMIFS(Tabelle1324568910[Jira Story Points],Tabelle1324568910[Team],"*",Tabelle1324568910[Pulled after Start],"&lt;&gt;yes",Tabelle1324568910[Status],I5)+COUNTIFS(Tabelle1324568910[Team],"*",Tabelle1324568910[Jira Story Points],"-",Tabelle1324568910[Pulled after Start],"&lt;&gt;yes",Tabelle1324568910[Status],I5)*$M$28</f>
        <v>116</v>
      </c>
      <c r="F26" s="7">
        <f>COUNTIFS(Tabelle1324568910[Pulled after Start],"yes",Tabelle1324568910[Status],I5)</f>
        <v>12</v>
      </c>
      <c r="G26" s="7">
        <f>SUMIFS(Tabelle1324568910[Jira Story Points],Tabelle1324568910[Team],"*",Tabelle1324568910[Pulled after Start],"yes",Tabelle1324568910[Status],I5)+COUNTIFS(Tabelle1324568910[Team],"*",Tabelle1324568910[Jira Story Points],"-",Tabelle1324568910[Pulled after Start],"yes",Tabelle1324568910[Status],I5)*$M$28</f>
        <v>41</v>
      </c>
      <c r="H26" s="7">
        <f t="shared" si="5"/>
        <v>37</v>
      </c>
      <c r="I26" s="7">
        <f t="shared" si="5"/>
        <v>157</v>
      </c>
      <c r="J26" s="7">
        <f>COUNTIFS(Tabelle1324568910[Team],"*",Tabelle1324568910[Jira Story Points],"&lt;&gt;-",Tabelle1324568910[Status],I5)</f>
        <v>36</v>
      </c>
      <c r="K26" s="7">
        <f>SUMIFS(Tabelle1324568910[Jira Story Points],Tabelle1324568910[Team],"*",Tabelle1324568910[Jira Story Points],"&lt;&gt;-",Tabelle1324568910[Status],I5)</f>
        <v>155</v>
      </c>
      <c r="L26" s="17">
        <f>COUNTIFS(Tabelle1324568910[Team],"*",Tabelle1324568910[Jira Story Points],"-",Tabelle1324568910[Status],I5)</f>
        <v>1</v>
      </c>
      <c r="M26" s="8">
        <f>L26*$M$28</f>
        <v>2</v>
      </c>
      <c r="N26" s="7">
        <f t="shared" si="6"/>
        <v>37</v>
      </c>
      <c r="O26" s="7">
        <f t="shared" si="6"/>
        <v>157</v>
      </c>
    </row>
    <row r="27" spans="1:39" ht="13.5" customHeight="1">
      <c r="C27" s="15" t="s">
        <v>126</v>
      </c>
      <c r="D27" s="7">
        <f>COUNTIFS(Tabelle1324568910[Team],"*",Tabelle1324568910[Pulled after Start],"&lt;&gt;yes",Tabelle1324568910[Status],J5)</f>
        <v>2</v>
      </c>
      <c r="E27" s="7">
        <f>SUMIFS(Tabelle1324568910[Jira Story Points],Tabelle1324568910[Team],"*",Tabelle1324568910[Pulled after Start],"&lt;&gt;yes",Tabelle1324568910[Status],J5)+COUNTIFS(Tabelle1324568910[Team],"*",Tabelle1324568910[Jira Story Points],"-",Tabelle1324568910[Pulled after Start],"&lt;&gt;yes",Tabelle1324568910[Status],J5)*$M$28</f>
        <v>6</v>
      </c>
      <c r="F27" s="7">
        <f>COUNTIFS(Tabelle1324568910[Pulled after Start],"yes",Tabelle1324568910[Status],J5)</f>
        <v>1</v>
      </c>
      <c r="G27" s="7">
        <f>SUMIFS(Tabelle1324568910[Jira Story Points],Tabelle1324568910[Team],"*",Tabelle1324568910[Pulled after Start],"yes",Tabelle1324568910[Status],J5)+COUNTIFS(Tabelle1324568910[Team],"*",Tabelle1324568910[Jira Story Points],"-",Tabelle1324568910[Pulled after Start],"yes",Tabelle1324568910[Status],J5)*$M$28</f>
        <v>8</v>
      </c>
      <c r="H27" s="7">
        <f t="shared" si="5"/>
        <v>3</v>
      </c>
      <c r="I27" s="7">
        <f t="shared" si="5"/>
        <v>14</v>
      </c>
      <c r="J27" s="7">
        <f>COUNTIFS(Tabelle1324568910[Team],"*",Tabelle1324568910[Jira Story Points],"&lt;&gt;-",Tabelle1324568910[Status],J5)</f>
        <v>3</v>
      </c>
      <c r="K27" s="7">
        <f>SUMIFS(Tabelle1324568910[Jira Story Points],Tabelle1324568910[Team],"*",Tabelle1324568910[Jira Story Points],"&lt;&gt;-",Tabelle1324568910[Status],J5)</f>
        <v>14</v>
      </c>
      <c r="L27" s="17">
        <f>COUNTIFS(Tabelle1324568910[Team],"*",Tabelle1324568910[Jira Story Points],"-",Tabelle1324568910[Status],J5)</f>
        <v>0</v>
      </c>
      <c r="M27" s="8">
        <f>L27*$M$28</f>
        <v>0</v>
      </c>
      <c r="N27" s="7">
        <f t="shared" si="6"/>
        <v>3</v>
      </c>
      <c r="O27" s="7">
        <f t="shared" si="6"/>
        <v>14</v>
      </c>
    </row>
    <row r="28" spans="1:39" ht="13.5" customHeight="1">
      <c r="C28" s="1"/>
      <c r="D28" s="1"/>
      <c r="E28" s="1"/>
      <c r="F28" s="1"/>
      <c r="G28" s="1"/>
      <c r="H28" s="1"/>
      <c r="I28" s="1"/>
      <c r="J28" s="1"/>
      <c r="K28" s="1"/>
      <c r="L28" s="24" t="s">
        <v>193</v>
      </c>
      <c r="M28" s="45">
        <v>2</v>
      </c>
    </row>
    <row r="31" spans="1:39" s="116" customFormat="1" ht="27">
      <c r="A31" s="146" t="s">
        <v>194</v>
      </c>
      <c r="B31" s="146" t="s">
        <v>195</v>
      </c>
      <c r="C31" s="146" t="s">
        <v>196</v>
      </c>
      <c r="D31" s="146" t="s">
        <v>197</v>
      </c>
      <c r="E31" s="146" t="s">
        <v>198</v>
      </c>
      <c r="F31" s="146" t="s">
        <v>199</v>
      </c>
      <c r="G31" s="146" t="s">
        <v>167</v>
      </c>
      <c r="H31" s="146" t="s">
        <v>106</v>
      </c>
      <c r="I31" s="146" t="s">
        <v>200</v>
      </c>
      <c r="J31" s="146" t="s">
        <v>201</v>
      </c>
      <c r="K31" s="146" t="s">
        <v>202</v>
      </c>
      <c r="L31" s="146" t="s">
        <v>203</v>
      </c>
      <c r="M31" s="147" t="s">
        <v>1304</v>
      </c>
      <c r="N31" s="148" t="s">
        <v>1305</v>
      </c>
      <c r="O31" s="148" t="s">
        <v>1306</v>
      </c>
      <c r="P31" s="149" t="s">
        <v>1307</v>
      </c>
      <c r="Q31" s="148" t="s">
        <v>1308</v>
      </c>
    </row>
    <row r="32" spans="1:39" s="109" customFormat="1">
      <c r="A32" s="88" t="s">
        <v>1922</v>
      </c>
      <c r="B32" s="46" t="s">
        <v>1923</v>
      </c>
      <c r="C32" s="76" t="s">
        <v>375</v>
      </c>
      <c r="D32" s="76">
        <v>2</v>
      </c>
      <c r="E32" s="76" t="s">
        <v>238</v>
      </c>
      <c r="F32" s="104">
        <v>3</v>
      </c>
      <c r="G32" s="76" t="s">
        <v>12</v>
      </c>
      <c r="H32" s="83"/>
      <c r="I32" s="103"/>
      <c r="J32" s="76" t="s">
        <v>127</v>
      </c>
      <c r="K32" s="104">
        <v>2</v>
      </c>
      <c r="L32" s="104">
        <v>1</v>
      </c>
      <c r="M32" s="105">
        <f>IF(Tabelle1324568910[[#This Row],[Pulled after Start]]="",MIN(Tabelle1324568910[[#This Row],[Jira Story Points]],Tabelle1324568910[[#This Row],[Carry-over]]),0)</f>
        <v>2</v>
      </c>
      <c r="N32" s="106">
        <f>MIN(Tabelle1324568910[[#This Row],[Jira Story Points]],Tabelle1324568910[[#This Row],[Carry-over]])-Tabelle1324568910[[#This Row],[SP Initially Planned (COS)]]</f>
        <v>0</v>
      </c>
      <c r="O32"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32" s="108">
        <f>IFERROR(IF(Tabelle1324568910[[#This Row],[Status]]=$J$5,MIN(Tabelle1324568910[[#This Row],[Jira Story Points]],Tabelle1324568910[[#This Row],[Carry-over]]),0),0)</f>
        <v>0</v>
      </c>
      <c r="Q32" s="108">
        <f>IFERROR(IF(Tabelle1324568910[[#This Row],[Status]]=$J$5,0,MIN(Tabelle1324568910[[#This Row],[Jira Story Points]],Tabelle1324568910[[#This Row],[Carry-over]])-Tabelle1324568910[[#This Row],[SP Completed (COS &amp; SOS)]]),0)</f>
        <v>1</v>
      </c>
      <c r="AA32" s="46"/>
      <c r="AB32" s="46"/>
      <c r="AC32" s="46"/>
      <c r="AD32" s="46"/>
      <c r="AE32" s="46"/>
      <c r="AF32" s="46"/>
      <c r="AG32" s="46"/>
      <c r="AH32" s="46"/>
      <c r="AI32" s="46"/>
      <c r="AJ32" s="46"/>
      <c r="AK32" s="46"/>
      <c r="AL32" s="46"/>
      <c r="AM32" s="46"/>
    </row>
    <row r="33" spans="1:39" s="109" customFormat="1">
      <c r="A33" s="88" t="s">
        <v>2323</v>
      </c>
      <c r="B33" s="46" t="s">
        <v>2324</v>
      </c>
      <c r="C33" s="76" t="s">
        <v>375</v>
      </c>
      <c r="D33" s="76">
        <v>2</v>
      </c>
      <c r="E33" s="76" t="s">
        <v>216</v>
      </c>
      <c r="F33" s="104">
        <v>3</v>
      </c>
      <c r="G33" s="76" t="s">
        <v>12</v>
      </c>
      <c r="H33" s="83"/>
      <c r="I33" s="103"/>
      <c r="J33" s="76" t="s">
        <v>125</v>
      </c>
      <c r="K33" s="104">
        <v>1</v>
      </c>
      <c r="L33" s="104"/>
      <c r="M33" s="105">
        <f>IF(Tabelle1324568910[[#This Row],[Pulled after Start]]="",MIN(Tabelle1324568910[[#This Row],[Jira Story Points]],Tabelle1324568910[[#This Row],[Carry-over]]),0)</f>
        <v>1</v>
      </c>
      <c r="N33" s="106">
        <f>MIN(Tabelle1324568910[[#This Row],[Jira Story Points]],Tabelle1324568910[[#This Row],[Carry-over]])-Tabelle1324568910[[#This Row],[SP Initially Planned (COS)]]</f>
        <v>0</v>
      </c>
      <c r="O33"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33" s="108">
        <f>IFERROR(IF(Tabelle1324568910[[#This Row],[Status]]=$J$5,MIN(Tabelle1324568910[[#This Row],[Jira Story Points]],Tabelle1324568910[[#This Row],[Carry-over]]),0),0)</f>
        <v>0</v>
      </c>
      <c r="Q33" s="108">
        <f>IFERROR(IF(Tabelle1324568910[[#This Row],[Status]]=$J$5,0,MIN(Tabelle1324568910[[#This Row],[Jira Story Points]],Tabelle1324568910[[#This Row],[Carry-over]])-Tabelle1324568910[[#This Row],[SP Completed (COS &amp; SOS)]]),0)</f>
        <v>0</v>
      </c>
      <c r="AA33" s="46"/>
      <c r="AB33" s="46"/>
      <c r="AC33" s="46"/>
      <c r="AD33" s="46"/>
      <c r="AE33" s="46"/>
      <c r="AF33" s="46"/>
      <c r="AG33" s="46"/>
      <c r="AH33" s="46"/>
      <c r="AI33" s="46"/>
      <c r="AJ33" s="46"/>
      <c r="AK33" s="46"/>
      <c r="AL33" s="46"/>
      <c r="AM33" s="46"/>
    </row>
    <row r="34" spans="1:39" s="109" customFormat="1">
      <c r="A34" s="88" t="s">
        <v>2195</v>
      </c>
      <c r="B34" s="46" t="s">
        <v>2196</v>
      </c>
      <c r="C34" s="76" t="s">
        <v>375</v>
      </c>
      <c r="D34" s="76">
        <v>3</v>
      </c>
      <c r="E34" s="76" t="s">
        <v>238</v>
      </c>
      <c r="F34" s="76">
        <v>3</v>
      </c>
      <c r="G34" s="76" t="s">
        <v>12</v>
      </c>
      <c r="H34" s="76"/>
      <c r="I34" s="103"/>
      <c r="J34" s="76" t="s">
        <v>127</v>
      </c>
      <c r="K34" s="76">
        <v>3</v>
      </c>
      <c r="L34" s="76">
        <v>3</v>
      </c>
      <c r="M34" s="105">
        <f>IF(Tabelle1324568910[[#This Row],[Pulled after Start]]="",MIN(Tabelle1324568910[[#This Row],[Jira Story Points]],Tabelle1324568910[[#This Row],[Carry-over]]),0)</f>
        <v>3</v>
      </c>
      <c r="N34" s="106">
        <f>MIN(Tabelle1324568910[[#This Row],[Jira Story Points]],Tabelle1324568910[[#This Row],[Carry-over]])-Tabelle1324568910[[#This Row],[SP Initially Planned (COS)]]</f>
        <v>0</v>
      </c>
      <c r="O34"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34" s="108">
        <f>IFERROR(IF(Tabelle1324568910[[#This Row],[Status]]=$J$5,MIN(Tabelle1324568910[[#This Row],[Jira Story Points]],Tabelle1324568910[[#This Row],[Carry-over]]),0),0)</f>
        <v>0</v>
      </c>
      <c r="Q34" s="108">
        <f>IFERROR(IF(Tabelle1324568910[[#This Row],[Status]]=$J$5,0,MIN(Tabelle1324568910[[#This Row],[Jira Story Points]],Tabelle1324568910[[#This Row],[Carry-over]])-Tabelle1324568910[[#This Row],[SP Completed (COS &amp; SOS)]]),0)</f>
        <v>3</v>
      </c>
      <c r="AA34" s="46"/>
      <c r="AB34" s="46"/>
      <c r="AC34" s="46"/>
      <c r="AD34" s="46"/>
      <c r="AE34" s="46"/>
      <c r="AF34" s="46"/>
      <c r="AG34" s="46"/>
      <c r="AH34" s="46"/>
      <c r="AI34" s="46"/>
      <c r="AJ34" s="46"/>
      <c r="AK34" s="46"/>
      <c r="AL34" s="46"/>
      <c r="AM34" s="46"/>
    </row>
    <row r="35" spans="1:39" s="109" customFormat="1">
      <c r="A35" s="88" t="s">
        <v>2325</v>
      </c>
      <c r="B35" s="46" t="s">
        <v>2326</v>
      </c>
      <c r="C35" s="76" t="s">
        <v>372</v>
      </c>
      <c r="D35" s="76">
        <v>3</v>
      </c>
      <c r="E35" s="76" t="s">
        <v>216</v>
      </c>
      <c r="F35" s="76">
        <v>3</v>
      </c>
      <c r="G35" s="76" t="s">
        <v>12</v>
      </c>
      <c r="H35" s="76"/>
      <c r="I35" s="103" t="s">
        <v>2327</v>
      </c>
      <c r="J35" s="76" t="s">
        <v>125</v>
      </c>
      <c r="K35" s="104">
        <v>0</v>
      </c>
      <c r="L35" s="104"/>
      <c r="M35" s="105">
        <f>IF(Tabelle1324568910[[#This Row],[Pulled after Start]]="",MIN(Tabelle1324568910[[#This Row],[Jira Story Points]],Tabelle1324568910[[#This Row],[Carry-over]]),0)</f>
        <v>0</v>
      </c>
      <c r="N35" s="106">
        <f>MIN(Tabelle1324568910[[#This Row],[Jira Story Points]],Tabelle1324568910[[#This Row],[Carry-over]])-Tabelle1324568910[[#This Row],[SP Initially Planned (COS)]]</f>
        <v>0</v>
      </c>
      <c r="O35"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35" s="108">
        <f>IFERROR(IF(Tabelle1324568910[[#This Row],[Status]]=$J$5,MIN(Tabelle1324568910[[#This Row],[Jira Story Points]],Tabelle1324568910[[#This Row],[Carry-over]]),0),0)</f>
        <v>0</v>
      </c>
      <c r="Q35" s="108">
        <f>IFERROR(IF(Tabelle1324568910[[#This Row],[Status]]=$J$5,0,MIN(Tabelle1324568910[[#This Row],[Jira Story Points]],Tabelle1324568910[[#This Row],[Carry-over]])-Tabelle1324568910[[#This Row],[SP Completed (COS &amp; SOS)]]),0)</f>
        <v>0</v>
      </c>
      <c r="AA35" s="112"/>
      <c r="AB35" s="112"/>
      <c r="AC35" s="112"/>
      <c r="AD35" s="112"/>
      <c r="AE35" s="112"/>
      <c r="AF35" s="112"/>
      <c r="AG35" s="112"/>
      <c r="AH35" s="112"/>
      <c r="AI35" s="112"/>
      <c r="AJ35" s="112"/>
      <c r="AK35" s="112"/>
      <c r="AL35" s="112"/>
      <c r="AM35" s="112"/>
    </row>
    <row r="36" spans="1:39" s="109" customFormat="1">
      <c r="A36" s="88" t="s">
        <v>2328</v>
      </c>
      <c r="B36" s="46" t="s">
        <v>2329</v>
      </c>
      <c r="C36" s="76" t="s">
        <v>372</v>
      </c>
      <c r="D36" s="76">
        <v>3</v>
      </c>
      <c r="E36" s="76" t="s">
        <v>216</v>
      </c>
      <c r="F36" s="104">
        <v>2</v>
      </c>
      <c r="G36" s="76" t="s">
        <v>12</v>
      </c>
      <c r="H36" s="83"/>
      <c r="I36" s="103"/>
      <c r="J36" s="76" t="s">
        <v>125</v>
      </c>
      <c r="K36" s="104"/>
      <c r="L36" s="104"/>
      <c r="M36" s="105">
        <f>IF(Tabelle1324568910[[#This Row],[Pulled after Start]]="",MIN(Tabelle1324568910[[#This Row],[Jira Story Points]],Tabelle1324568910[[#This Row],[Carry-over]]),0)</f>
        <v>2</v>
      </c>
      <c r="N36" s="106">
        <f>MIN(Tabelle1324568910[[#This Row],[Jira Story Points]],Tabelle1324568910[[#This Row],[Carry-over]])-Tabelle1324568910[[#This Row],[SP Initially Planned (COS)]]</f>
        <v>0</v>
      </c>
      <c r="O36"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2</v>
      </c>
      <c r="P36" s="108">
        <f>IFERROR(IF(Tabelle1324568910[[#This Row],[Status]]=$J$5,MIN(Tabelle1324568910[[#This Row],[Jira Story Points]],Tabelle1324568910[[#This Row],[Carry-over]]),0),0)</f>
        <v>0</v>
      </c>
      <c r="Q36" s="108">
        <f>IFERROR(IF(Tabelle1324568910[[#This Row],[Status]]=$J$5,0,MIN(Tabelle1324568910[[#This Row],[Jira Story Points]],Tabelle1324568910[[#This Row],[Carry-over]])-Tabelle1324568910[[#This Row],[SP Completed (COS &amp; SOS)]]),0)</f>
        <v>0</v>
      </c>
      <c r="AA36" s="112"/>
      <c r="AB36" s="112"/>
      <c r="AC36" s="112"/>
      <c r="AD36" s="112"/>
      <c r="AE36" s="112"/>
      <c r="AF36" s="112"/>
      <c r="AG36" s="112"/>
      <c r="AH36" s="112"/>
      <c r="AI36" s="112"/>
      <c r="AJ36" s="112"/>
      <c r="AK36" s="112"/>
      <c r="AL36" s="112"/>
      <c r="AM36" s="112"/>
    </row>
    <row r="37" spans="1:39" s="109" customFormat="1">
      <c r="A37" s="88" t="s">
        <v>1679</v>
      </c>
      <c r="B37" s="46" t="s">
        <v>1680</v>
      </c>
      <c r="C37" s="76" t="s">
        <v>372</v>
      </c>
      <c r="D37" s="76">
        <v>3</v>
      </c>
      <c r="E37" s="76" t="s">
        <v>238</v>
      </c>
      <c r="F37" s="104">
        <v>8</v>
      </c>
      <c r="G37" s="76" t="s">
        <v>12</v>
      </c>
      <c r="H37" s="83"/>
      <c r="I37" s="103"/>
      <c r="J37" s="76" t="s">
        <v>127</v>
      </c>
      <c r="K37" s="104">
        <v>1</v>
      </c>
      <c r="L37" s="104">
        <v>2</v>
      </c>
      <c r="M37" s="105">
        <f>IF(Tabelle1324568910[[#This Row],[Pulled after Start]]="",MIN(Tabelle1324568910[[#This Row],[Jira Story Points]],Tabelle1324568910[[#This Row],[Carry-over]]),0)</f>
        <v>1</v>
      </c>
      <c r="N37" s="106">
        <f>MIN(Tabelle1324568910[[#This Row],[Jira Story Points]],Tabelle1324568910[[#This Row],[Carry-over]])-Tabelle1324568910[[#This Row],[SP Initially Planned (COS)]]</f>
        <v>0</v>
      </c>
      <c r="O37"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37" s="108">
        <f>IFERROR(IF(Tabelle1324568910[[#This Row],[Status]]=$J$5,MIN(Tabelle1324568910[[#This Row],[Jira Story Points]],Tabelle1324568910[[#This Row],[Carry-over]]),0),0)</f>
        <v>0</v>
      </c>
      <c r="Q37" s="108">
        <f>IFERROR(IF(Tabelle1324568910[[#This Row],[Status]]=$J$5,0,MIN(Tabelle1324568910[[#This Row],[Jira Story Points]],Tabelle1324568910[[#This Row],[Carry-over]])-Tabelle1324568910[[#This Row],[SP Completed (COS &amp; SOS)]]),0)</f>
        <v>2</v>
      </c>
      <c r="AA37" s="112"/>
      <c r="AB37" s="112"/>
      <c r="AC37" s="112"/>
      <c r="AD37" s="112"/>
      <c r="AE37" s="112"/>
      <c r="AF37" s="112"/>
      <c r="AG37" s="112"/>
      <c r="AH37" s="112"/>
      <c r="AI37" s="112"/>
      <c r="AJ37" s="112"/>
      <c r="AK37" s="112"/>
      <c r="AL37" s="112"/>
      <c r="AM37" s="112"/>
    </row>
    <row r="38" spans="1:39" s="113" customFormat="1">
      <c r="A38" s="88" t="s">
        <v>2199</v>
      </c>
      <c r="B38" s="46" t="s">
        <v>2200</v>
      </c>
      <c r="C38" s="76" t="s">
        <v>372</v>
      </c>
      <c r="D38" s="76">
        <v>3</v>
      </c>
      <c r="E38" s="76" t="s">
        <v>238</v>
      </c>
      <c r="F38" s="76">
        <v>5</v>
      </c>
      <c r="G38" s="76" t="s">
        <v>12</v>
      </c>
      <c r="H38" s="76"/>
      <c r="I38" s="103"/>
      <c r="J38" s="76" t="s">
        <v>127</v>
      </c>
      <c r="K38" s="76"/>
      <c r="L38" s="76">
        <v>3</v>
      </c>
      <c r="M38" s="105">
        <f>IF(Tabelle1324568910[[#This Row],[Pulled after Start]]="",MIN(Tabelle1324568910[[#This Row],[Jira Story Points]],Tabelle1324568910[[#This Row],[Carry-over]]),0)</f>
        <v>5</v>
      </c>
      <c r="N38" s="106">
        <f>MIN(Tabelle1324568910[[#This Row],[Jira Story Points]],Tabelle1324568910[[#This Row],[Carry-over]])-Tabelle1324568910[[#This Row],[SP Initially Planned (COS)]]</f>
        <v>0</v>
      </c>
      <c r="O38"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2</v>
      </c>
      <c r="P38" s="108">
        <f>IFERROR(IF(Tabelle1324568910[[#This Row],[Status]]=$J$5,MIN(Tabelle1324568910[[#This Row],[Jira Story Points]],Tabelle1324568910[[#This Row],[Carry-over]]),0),0)</f>
        <v>0</v>
      </c>
      <c r="Q38" s="108">
        <f>IFERROR(IF(Tabelle1324568910[[#This Row],[Status]]=$J$5,0,MIN(Tabelle1324568910[[#This Row],[Jira Story Points]],Tabelle1324568910[[#This Row],[Carry-over]])-Tabelle1324568910[[#This Row],[SP Completed (COS &amp; SOS)]]),0)</f>
        <v>3</v>
      </c>
      <c r="AA38" s="46"/>
      <c r="AB38" s="46"/>
      <c r="AC38" s="46"/>
      <c r="AD38" s="46"/>
      <c r="AE38" s="46"/>
      <c r="AF38" s="46"/>
      <c r="AG38" s="46"/>
      <c r="AH38" s="46"/>
      <c r="AI38" s="46"/>
      <c r="AK38" s="112"/>
      <c r="AL38" s="112"/>
      <c r="AM38" s="112"/>
    </row>
    <row r="39" spans="1:39" s="113" customFormat="1">
      <c r="A39" s="88" t="s">
        <v>2330</v>
      </c>
      <c r="B39" s="46" t="s">
        <v>2331</v>
      </c>
      <c r="C39" s="76" t="s">
        <v>375</v>
      </c>
      <c r="D39" s="76">
        <v>3</v>
      </c>
      <c r="E39" s="76" t="s">
        <v>216</v>
      </c>
      <c r="F39" s="104">
        <v>5</v>
      </c>
      <c r="G39" s="76" t="s">
        <v>12</v>
      </c>
      <c r="H39" s="83"/>
      <c r="I39" s="103" t="s">
        <v>2332</v>
      </c>
      <c r="J39" s="76" t="s">
        <v>125</v>
      </c>
      <c r="K39" s="104"/>
      <c r="L39" s="104"/>
      <c r="M39" s="105">
        <f>IF(Tabelle1324568910[[#This Row],[Pulled after Start]]="",MIN(Tabelle1324568910[[#This Row],[Jira Story Points]],Tabelle1324568910[[#This Row],[Carry-over]]),0)</f>
        <v>5</v>
      </c>
      <c r="N39" s="106">
        <f>MIN(Tabelle1324568910[[#This Row],[Jira Story Points]],Tabelle1324568910[[#This Row],[Carry-over]])-Tabelle1324568910[[#This Row],[SP Initially Planned (COS)]]</f>
        <v>0</v>
      </c>
      <c r="O39"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5</v>
      </c>
      <c r="P39" s="108">
        <f>IFERROR(IF(Tabelle1324568910[[#This Row],[Status]]=$J$5,MIN(Tabelle1324568910[[#This Row],[Jira Story Points]],Tabelle1324568910[[#This Row],[Carry-over]]),0),0)</f>
        <v>0</v>
      </c>
      <c r="Q39" s="108">
        <f>IFERROR(IF(Tabelle1324568910[[#This Row],[Status]]=$J$5,0,MIN(Tabelle1324568910[[#This Row],[Jira Story Points]],Tabelle1324568910[[#This Row],[Carry-over]])-Tabelle1324568910[[#This Row],[SP Completed (COS &amp; SOS)]]),0)</f>
        <v>0</v>
      </c>
      <c r="AA39" s="46"/>
      <c r="AB39" s="46"/>
      <c r="AC39" s="46"/>
      <c r="AD39" s="46"/>
      <c r="AE39" s="46"/>
      <c r="AF39" s="46"/>
      <c r="AG39" s="46"/>
      <c r="AH39" s="46"/>
      <c r="AI39" s="46"/>
      <c r="AK39" s="112"/>
      <c r="AL39" s="112"/>
      <c r="AM39" s="112"/>
    </row>
    <row r="40" spans="1:39" s="46" customFormat="1">
      <c r="A40" s="88" t="s">
        <v>2333</v>
      </c>
      <c r="B40" s="46" t="s">
        <v>2334</v>
      </c>
      <c r="C40" s="76" t="s">
        <v>382</v>
      </c>
      <c r="D40" s="76">
        <v>3</v>
      </c>
      <c r="E40" s="76" t="s">
        <v>264</v>
      </c>
      <c r="F40" s="76">
        <v>1</v>
      </c>
      <c r="G40" s="76" t="s">
        <v>12</v>
      </c>
      <c r="H40" s="76"/>
      <c r="I40" s="103" t="s">
        <v>2335</v>
      </c>
      <c r="J40" s="76" t="s">
        <v>125</v>
      </c>
      <c r="K40" s="104"/>
      <c r="L40" s="104"/>
      <c r="M40" s="105">
        <f>IF(Tabelle1324568910[[#This Row],[Pulled after Start]]="",MIN(Tabelle1324568910[[#This Row],[Jira Story Points]],Tabelle1324568910[[#This Row],[Carry-over]]),0)</f>
        <v>1</v>
      </c>
      <c r="N40" s="106">
        <f>MIN(Tabelle1324568910[[#This Row],[Jira Story Points]],Tabelle1324568910[[#This Row],[Carry-over]])-Tabelle1324568910[[#This Row],[SP Initially Planned (COS)]]</f>
        <v>0</v>
      </c>
      <c r="O40"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40" s="108">
        <f>IFERROR(IF(Tabelle1324568910[[#This Row],[Status]]=$J$5,MIN(Tabelle1324568910[[#This Row],[Jira Story Points]],Tabelle1324568910[[#This Row],[Carry-over]]),0),0)</f>
        <v>0</v>
      </c>
      <c r="Q40" s="108">
        <f>IFERROR(IF(Tabelle1324568910[[#This Row],[Status]]=$J$5,0,MIN(Tabelle1324568910[[#This Row],[Jira Story Points]],Tabelle1324568910[[#This Row],[Carry-over]])-Tabelle1324568910[[#This Row],[SP Completed (COS &amp; SOS)]]),0)</f>
        <v>0</v>
      </c>
      <c r="AL40" s="112"/>
      <c r="AM40" s="112"/>
    </row>
    <row r="41" spans="1:39" s="46" customFormat="1">
      <c r="A41" s="88" t="s">
        <v>2336</v>
      </c>
      <c r="B41" s="46" t="s">
        <v>2337</v>
      </c>
      <c r="C41" s="76" t="s">
        <v>382</v>
      </c>
      <c r="D41" s="76">
        <v>3</v>
      </c>
      <c r="E41" s="76" t="s">
        <v>216</v>
      </c>
      <c r="F41" s="104">
        <v>1</v>
      </c>
      <c r="G41" s="76" t="s">
        <v>12</v>
      </c>
      <c r="H41" s="83"/>
      <c r="I41" s="103" t="s">
        <v>2338</v>
      </c>
      <c r="J41" s="76" t="s">
        <v>125</v>
      </c>
      <c r="K41" s="104"/>
      <c r="L41" s="104"/>
      <c r="M41" s="105">
        <f>IF(Tabelle1324568910[[#This Row],[Pulled after Start]]="",MIN(Tabelle1324568910[[#This Row],[Jira Story Points]],Tabelle1324568910[[#This Row],[Carry-over]]),0)</f>
        <v>1</v>
      </c>
      <c r="N41" s="106">
        <f>MIN(Tabelle1324568910[[#This Row],[Jira Story Points]],Tabelle1324568910[[#This Row],[Carry-over]])-Tabelle1324568910[[#This Row],[SP Initially Planned (COS)]]</f>
        <v>0</v>
      </c>
      <c r="O41"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41" s="108">
        <f>IFERROR(IF(Tabelle1324568910[[#This Row],[Status]]=$J$5,MIN(Tabelle1324568910[[#This Row],[Jira Story Points]],Tabelle1324568910[[#This Row],[Carry-over]]),0),0)</f>
        <v>0</v>
      </c>
      <c r="Q41" s="108">
        <f>IFERROR(IF(Tabelle1324568910[[#This Row],[Status]]=$J$5,0,MIN(Tabelle1324568910[[#This Row],[Jira Story Points]],Tabelle1324568910[[#This Row],[Carry-over]])-Tabelle1324568910[[#This Row],[SP Completed (COS &amp; SOS)]]),0)</f>
        <v>0</v>
      </c>
      <c r="AL41" s="112"/>
      <c r="AM41" s="112"/>
    </row>
    <row r="42" spans="1:39" s="46" customFormat="1">
      <c r="A42" s="88" t="s">
        <v>2339</v>
      </c>
      <c r="B42" s="46" t="s">
        <v>2340</v>
      </c>
      <c r="C42" s="76" t="s">
        <v>372</v>
      </c>
      <c r="D42" s="76">
        <v>3</v>
      </c>
      <c r="E42" s="76" t="s">
        <v>216</v>
      </c>
      <c r="F42" s="104">
        <v>1</v>
      </c>
      <c r="G42" s="76" t="s">
        <v>12</v>
      </c>
      <c r="H42" s="83" t="s">
        <v>209</v>
      </c>
      <c r="I42" s="103"/>
      <c r="J42" s="76" t="s">
        <v>125</v>
      </c>
      <c r="K42" s="104"/>
      <c r="L42" s="104"/>
      <c r="M42" s="105">
        <f>IF(Tabelle1324568910[[#This Row],[Pulled after Start]]="",MIN(Tabelle1324568910[[#This Row],[Jira Story Points]],Tabelle1324568910[[#This Row],[Carry-over]]),0)</f>
        <v>0</v>
      </c>
      <c r="N42" s="106">
        <f>MIN(Tabelle1324568910[[#This Row],[Jira Story Points]],Tabelle1324568910[[#This Row],[Carry-over]])-Tabelle1324568910[[#This Row],[SP Initially Planned (COS)]]</f>
        <v>1</v>
      </c>
      <c r="O42"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42" s="108">
        <f>IFERROR(IF(Tabelle1324568910[[#This Row],[Status]]=$J$5,MIN(Tabelle1324568910[[#This Row],[Jira Story Points]],Tabelle1324568910[[#This Row],[Carry-over]]),0),0)</f>
        <v>0</v>
      </c>
      <c r="Q42" s="108">
        <f>IFERROR(IF(Tabelle1324568910[[#This Row],[Status]]=$J$5,0,MIN(Tabelle1324568910[[#This Row],[Jira Story Points]],Tabelle1324568910[[#This Row],[Carry-over]])-Tabelle1324568910[[#This Row],[SP Completed (COS &amp; SOS)]]),0)</f>
        <v>0</v>
      </c>
      <c r="AL42" s="112"/>
      <c r="AM42" s="112"/>
    </row>
    <row r="43" spans="1:39" s="46" customFormat="1">
      <c r="A43" s="88" t="s">
        <v>2341</v>
      </c>
      <c r="B43" s="46" t="s">
        <v>2342</v>
      </c>
      <c r="C43" s="76" t="s">
        <v>372</v>
      </c>
      <c r="D43" s="76">
        <v>1</v>
      </c>
      <c r="E43" s="76" t="s">
        <v>351</v>
      </c>
      <c r="F43" s="104">
        <v>2</v>
      </c>
      <c r="G43" s="76" t="s">
        <v>12</v>
      </c>
      <c r="H43" s="83" t="s">
        <v>209</v>
      </c>
      <c r="I43" s="103"/>
      <c r="J43" s="76" t="s">
        <v>127</v>
      </c>
      <c r="K43" s="104"/>
      <c r="L43" s="104"/>
      <c r="M43" s="105">
        <f>IF(Tabelle1324568910[[#This Row],[Pulled after Start]]="",MIN(Tabelle1324568910[[#This Row],[Jira Story Points]],Tabelle1324568910[[#This Row],[Carry-over]]),0)</f>
        <v>0</v>
      </c>
      <c r="N43" s="106">
        <f>MIN(Tabelle1324568910[[#This Row],[Jira Story Points]],Tabelle1324568910[[#This Row],[Carry-over]])-Tabelle1324568910[[#This Row],[SP Initially Planned (COS)]]</f>
        <v>2</v>
      </c>
      <c r="O43"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43" s="108">
        <f>IFERROR(IF(Tabelle1324568910[[#This Row],[Status]]=$J$5,MIN(Tabelle1324568910[[#This Row],[Jira Story Points]],Tabelle1324568910[[#This Row],[Carry-over]]),0),0)</f>
        <v>0</v>
      </c>
      <c r="Q43" s="108">
        <f>IFERROR(IF(Tabelle1324568910[[#This Row],[Status]]=$J$5,0,MIN(Tabelle1324568910[[#This Row],[Jira Story Points]],Tabelle1324568910[[#This Row],[Carry-over]])-Tabelle1324568910[[#This Row],[SP Completed (COS &amp; SOS)]]),0)</f>
        <v>2</v>
      </c>
      <c r="AL43" s="112"/>
      <c r="AM43" s="112"/>
    </row>
    <row r="44" spans="1:39" s="46" customFormat="1">
      <c r="A44" s="88" t="s">
        <v>2206</v>
      </c>
      <c r="B44" s="46" t="s">
        <v>2207</v>
      </c>
      <c r="C44" s="76" t="s">
        <v>382</v>
      </c>
      <c r="D44" s="76">
        <v>3</v>
      </c>
      <c r="E44" s="76" t="s">
        <v>351</v>
      </c>
      <c r="F44" s="104" t="s">
        <v>210</v>
      </c>
      <c r="G44" s="76" t="s">
        <v>12</v>
      </c>
      <c r="H44" s="83" t="s">
        <v>209</v>
      </c>
      <c r="I44" s="103"/>
      <c r="J44" s="76" t="s">
        <v>127</v>
      </c>
      <c r="K44" s="104"/>
      <c r="L44" s="104"/>
      <c r="M44" s="105">
        <f>IF(Tabelle1324568910[[#This Row],[Pulled after Start]]="",MIN(Tabelle1324568910[[#This Row],[Jira Story Points]],Tabelle1324568910[[#This Row],[Carry-over]]),0)</f>
        <v>0</v>
      </c>
      <c r="N44" s="106">
        <f>MIN(Tabelle1324568910[[#This Row],[Jira Story Points]],Tabelle1324568910[[#This Row],[Carry-over]])-Tabelle1324568910[[#This Row],[SP Initially Planned (COS)]]</f>
        <v>0</v>
      </c>
      <c r="O44"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44" s="108">
        <f>IFERROR(IF(Tabelle1324568910[[#This Row],[Status]]=$J$5,MIN(Tabelle1324568910[[#This Row],[Jira Story Points]],Tabelle1324568910[[#This Row],[Carry-over]]),0),0)</f>
        <v>0</v>
      </c>
      <c r="Q44" s="108">
        <f>IFERROR(IF(Tabelle1324568910[[#This Row],[Status]]=$J$5,0,MIN(Tabelle1324568910[[#This Row],[Jira Story Points]],Tabelle1324568910[[#This Row],[Carry-over]])-Tabelle1324568910[[#This Row],[SP Completed (COS &amp; SOS)]]),0)</f>
        <v>0</v>
      </c>
      <c r="AL44" s="112"/>
      <c r="AM44" s="112"/>
    </row>
    <row r="45" spans="1:39" s="46" customFormat="1" hidden="1">
      <c r="A45" s="88" t="s">
        <v>2279</v>
      </c>
      <c r="B45" s="46" t="s">
        <v>2280</v>
      </c>
      <c r="C45" s="76" t="s">
        <v>372</v>
      </c>
      <c r="D45" s="76">
        <v>3</v>
      </c>
      <c r="E45" s="76" t="s">
        <v>327</v>
      </c>
      <c r="F45" s="104">
        <v>1</v>
      </c>
      <c r="G45" s="76" t="s">
        <v>24</v>
      </c>
      <c r="H45" s="83"/>
      <c r="I45" s="103"/>
      <c r="J45" s="76" t="s">
        <v>127</v>
      </c>
      <c r="K45" s="104"/>
      <c r="L45" s="104">
        <v>1</v>
      </c>
      <c r="M45" s="105">
        <f>IF(Tabelle1324568910[[#This Row],[Pulled after Start]]="",MIN(Tabelle1324568910[[#This Row],[Jira Story Points]],Tabelle1324568910[[#This Row],[Carry-over]]),0)</f>
        <v>1</v>
      </c>
      <c r="N45" s="106">
        <f>MIN(Tabelle1324568910[[#This Row],[Jira Story Points]],Tabelle1324568910[[#This Row],[Carry-over]])-Tabelle1324568910[[#This Row],[SP Initially Planned (COS)]]</f>
        <v>0</v>
      </c>
      <c r="O45"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45" s="108">
        <f>IFERROR(IF(Tabelle1324568910[[#This Row],[Status]]=$J$5,MIN(Tabelle1324568910[[#This Row],[Jira Story Points]],Tabelle1324568910[[#This Row],[Carry-over]]),0),0)</f>
        <v>0</v>
      </c>
      <c r="Q45" s="108">
        <f>IFERROR(IF(Tabelle1324568910[[#This Row],[Status]]=$J$5,0,MIN(Tabelle1324568910[[#This Row],[Jira Story Points]],Tabelle1324568910[[#This Row],[Carry-over]])-Tabelle1324568910[[#This Row],[SP Completed (COS &amp; SOS)]]),0)</f>
        <v>1</v>
      </c>
      <c r="AL45" s="112"/>
      <c r="AM45" s="112"/>
    </row>
    <row r="46" spans="1:39" s="46" customFormat="1" hidden="1">
      <c r="A46" s="88" t="s">
        <v>2343</v>
      </c>
      <c r="B46" s="46" t="s">
        <v>2344</v>
      </c>
      <c r="C46" s="76" t="s">
        <v>382</v>
      </c>
      <c r="D46" s="76">
        <v>3</v>
      </c>
      <c r="E46" s="76" t="s">
        <v>324</v>
      </c>
      <c r="F46" s="76">
        <v>3</v>
      </c>
      <c r="G46" s="76" t="s">
        <v>24</v>
      </c>
      <c r="H46" s="76"/>
      <c r="I46" s="103"/>
      <c r="J46" s="76" t="s">
        <v>125</v>
      </c>
      <c r="K46" s="104"/>
      <c r="L46" s="104"/>
      <c r="M46" s="105">
        <f>IF(Tabelle1324568910[[#This Row],[Pulled after Start]]="",MIN(Tabelle1324568910[[#This Row],[Jira Story Points]],Tabelle1324568910[[#This Row],[Carry-over]]),0)</f>
        <v>3</v>
      </c>
      <c r="N46" s="106">
        <f>MIN(Tabelle1324568910[[#This Row],[Jira Story Points]],Tabelle1324568910[[#This Row],[Carry-over]])-Tabelle1324568910[[#This Row],[SP Initially Planned (COS)]]</f>
        <v>0</v>
      </c>
      <c r="O46"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46" s="108">
        <f>IFERROR(IF(Tabelle1324568910[[#This Row],[Status]]=$J$5,MIN(Tabelle1324568910[[#This Row],[Jira Story Points]],Tabelle1324568910[[#This Row],[Carry-over]]),0),0)</f>
        <v>0</v>
      </c>
      <c r="Q46" s="108">
        <f>IFERROR(IF(Tabelle1324568910[[#This Row],[Status]]=$J$5,0,MIN(Tabelle1324568910[[#This Row],[Jira Story Points]],Tabelle1324568910[[#This Row],[Carry-over]])-Tabelle1324568910[[#This Row],[SP Completed (COS &amp; SOS)]]),0)</f>
        <v>0</v>
      </c>
      <c r="AL46" s="112"/>
      <c r="AM46" s="112"/>
    </row>
    <row r="47" spans="1:39" s="46" customFormat="1" hidden="1">
      <c r="A47" s="88" t="s">
        <v>2345</v>
      </c>
      <c r="B47" s="88" t="s">
        <v>2346</v>
      </c>
      <c r="C47" s="76" t="s">
        <v>382</v>
      </c>
      <c r="D47" s="76">
        <v>3</v>
      </c>
      <c r="E47" s="76" t="s">
        <v>278</v>
      </c>
      <c r="F47" s="76">
        <v>3</v>
      </c>
      <c r="G47" s="76" t="s">
        <v>24</v>
      </c>
      <c r="H47" s="76" t="s">
        <v>209</v>
      </c>
      <c r="I47" s="103"/>
      <c r="J47" s="76" t="s">
        <v>125</v>
      </c>
      <c r="K47" s="104"/>
      <c r="L47" s="104"/>
      <c r="M47" s="105">
        <f>IF(Tabelle1324568910[[#This Row],[Pulled after Start]]="",MIN(Tabelle1324568910[[#This Row],[Jira Story Points]],Tabelle1324568910[[#This Row],[Carry-over]]),0)</f>
        <v>0</v>
      </c>
      <c r="N47" s="106">
        <f>MIN(Tabelle1324568910[[#This Row],[Jira Story Points]],Tabelle1324568910[[#This Row],[Carry-over]])-Tabelle1324568910[[#This Row],[SP Initially Planned (COS)]]</f>
        <v>3</v>
      </c>
      <c r="O47"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47" s="108">
        <f>IFERROR(IF(Tabelle1324568910[[#This Row],[Status]]=$J$5,MIN(Tabelle1324568910[[#This Row],[Jira Story Points]],Tabelle1324568910[[#This Row],[Carry-over]]),0),0)</f>
        <v>0</v>
      </c>
      <c r="Q47" s="108">
        <f>IFERROR(IF(Tabelle1324568910[[#This Row],[Status]]=$J$5,0,MIN(Tabelle1324568910[[#This Row],[Jira Story Points]],Tabelle1324568910[[#This Row],[Carry-over]])-Tabelle1324568910[[#This Row],[SP Completed (COS &amp; SOS)]]),0)</f>
        <v>0</v>
      </c>
      <c r="AL47" s="112"/>
      <c r="AM47" s="112"/>
    </row>
    <row r="48" spans="1:39" s="46" customFormat="1" hidden="1">
      <c r="A48" s="88" t="s">
        <v>2347</v>
      </c>
      <c r="B48" s="88" t="s">
        <v>2348</v>
      </c>
      <c r="C48" s="76" t="s">
        <v>382</v>
      </c>
      <c r="D48" s="76">
        <v>3</v>
      </c>
      <c r="E48" s="76" t="s">
        <v>278</v>
      </c>
      <c r="F48" s="76">
        <v>3</v>
      </c>
      <c r="G48" s="76" t="s">
        <v>24</v>
      </c>
      <c r="H48" s="76"/>
      <c r="I48" s="103"/>
      <c r="J48" s="76" t="s">
        <v>125</v>
      </c>
      <c r="K48" s="104"/>
      <c r="L48" s="104"/>
      <c r="M48" s="105">
        <f>IF(Tabelle1324568910[[#This Row],[Pulled after Start]]="",MIN(Tabelle1324568910[[#This Row],[Jira Story Points]],Tabelle1324568910[[#This Row],[Carry-over]]),0)</f>
        <v>3</v>
      </c>
      <c r="N48" s="106">
        <f>MIN(Tabelle1324568910[[#This Row],[Jira Story Points]],Tabelle1324568910[[#This Row],[Carry-over]])-Tabelle1324568910[[#This Row],[SP Initially Planned (COS)]]</f>
        <v>0</v>
      </c>
      <c r="O48"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48" s="108">
        <f>IFERROR(IF(Tabelle1324568910[[#This Row],[Status]]=$J$5,MIN(Tabelle1324568910[[#This Row],[Jira Story Points]],Tabelle1324568910[[#This Row],[Carry-over]]),0),0)</f>
        <v>0</v>
      </c>
      <c r="Q48" s="108">
        <f>IFERROR(IF(Tabelle1324568910[[#This Row],[Status]]=$J$5,0,MIN(Tabelle1324568910[[#This Row],[Jira Story Points]],Tabelle1324568910[[#This Row],[Carry-over]])-Tabelle1324568910[[#This Row],[SP Completed (COS &amp; SOS)]]),0)</f>
        <v>0</v>
      </c>
      <c r="AL48" s="112"/>
      <c r="AM48" s="112"/>
    </row>
    <row r="49" spans="1:39" s="46" customFormat="1" hidden="1">
      <c r="A49" s="88" t="s">
        <v>2349</v>
      </c>
      <c r="B49" s="46" t="s">
        <v>2350</v>
      </c>
      <c r="C49" s="76" t="s">
        <v>382</v>
      </c>
      <c r="D49" s="76">
        <v>3</v>
      </c>
      <c r="E49" s="76" t="s">
        <v>324</v>
      </c>
      <c r="F49" s="76">
        <v>1</v>
      </c>
      <c r="G49" s="76" t="s">
        <v>24</v>
      </c>
      <c r="H49" s="76"/>
      <c r="I49" s="103"/>
      <c r="J49" s="76" t="s">
        <v>125</v>
      </c>
      <c r="K49" s="104">
        <v>1</v>
      </c>
      <c r="L49" s="104"/>
      <c r="M49" s="105">
        <f>IF(Tabelle1324568910[[#This Row],[Pulled after Start]]="",MIN(Tabelle1324568910[[#This Row],[Jira Story Points]],Tabelle1324568910[[#This Row],[Carry-over]]),0)</f>
        <v>1</v>
      </c>
      <c r="N49" s="106">
        <f>MIN(Tabelle1324568910[[#This Row],[Jira Story Points]],Tabelle1324568910[[#This Row],[Carry-over]])-Tabelle1324568910[[#This Row],[SP Initially Planned (COS)]]</f>
        <v>0</v>
      </c>
      <c r="O49"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49" s="108">
        <f>IFERROR(IF(Tabelle1324568910[[#This Row],[Status]]=$J$5,MIN(Tabelle1324568910[[#This Row],[Jira Story Points]],Tabelle1324568910[[#This Row],[Carry-over]]),0),0)</f>
        <v>0</v>
      </c>
      <c r="Q49" s="108">
        <f>IFERROR(IF(Tabelle1324568910[[#This Row],[Status]]=$J$5,0,MIN(Tabelle1324568910[[#This Row],[Jira Story Points]],Tabelle1324568910[[#This Row],[Carry-over]])-Tabelle1324568910[[#This Row],[SP Completed (COS &amp; SOS)]]),0)</f>
        <v>0</v>
      </c>
      <c r="AJ49" s="112"/>
      <c r="AK49" s="112"/>
      <c r="AL49" s="112"/>
      <c r="AM49" s="112"/>
    </row>
    <row r="50" spans="1:39" s="46" customFormat="1" hidden="1">
      <c r="A50" s="88" t="s">
        <v>2351</v>
      </c>
      <c r="B50" s="46" t="s">
        <v>2352</v>
      </c>
      <c r="C50" s="76" t="s">
        <v>382</v>
      </c>
      <c r="D50" s="76">
        <v>3</v>
      </c>
      <c r="E50" s="76" t="s">
        <v>324</v>
      </c>
      <c r="F50" s="76">
        <v>2</v>
      </c>
      <c r="G50" s="76" t="s">
        <v>24</v>
      </c>
      <c r="H50" s="76"/>
      <c r="I50" s="103"/>
      <c r="J50" s="76" t="s">
        <v>125</v>
      </c>
      <c r="K50" s="104"/>
      <c r="L50" s="104"/>
      <c r="M50" s="105">
        <f>IF(Tabelle1324568910[[#This Row],[Pulled after Start]]="",MIN(Tabelle1324568910[[#This Row],[Jira Story Points]],Tabelle1324568910[[#This Row],[Carry-over]]),0)</f>
        <v>2</v>
      </c>
      <c r="N50" s="106">
        <f>MIN(Tabelle1324568910[[#This Row],[Jira Story Points]],Tabelle1324568910[[#This Row],[Carry-over]])-Tabelle1324568910[[#This Row],[SP Initially Planned (COS)]]</f>
        <v>0</v>
      </c>
      <c r="O50"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2</v>
      </c>
      <c r="P50" s="108">
        <f>IFERROR(IF(Tabelle1324568910[[#This Row],[Status]]=$J$5,MIN(Tabelle1324568910[[#This Row],[Jira Story Points]],Tabelle1324568910[[#This Row],[Carry-over]]),0),0)</f>
        <v>0</v>
      </c>
      <c r="Q50" s="108">
        <f>IFERROR(IF(Tabelle1324568910[[#This Row],[Status]]=$J$5,0,MIN(Tabelle1324568910[[#This Row],[Jira Story Points]],Tabelle1324568910[[#This Row],[Carry-over]])-Tabelle1324568910[[#This Row],[SP Completed (COS &amp; SOS)]]),0)</f>
        <v>0</v>
      </c>
      <c r="AJ50" s="112"/>
      <c r="AK50" s="112"/>
      <c r="AL50" s="112"/>
      <c r="AM50" s="112"/>
    </row>
    <row r="51" spans="1:39" s="46" customFormat="1" hidden="1">
      <c r="A51" s="88" t="s">
        <v>2353</v>
      </c>
      <c r="B51" s="46" t="s">
        <v>2354</v>
      </c>
      <c r="C51" s="76" t="s">
        <v>372</v>
      </c>
      <c r="D51" s="76">
        <v>3</v>
      </c>
      <c r="E51" s="76" t="s">
        <v>324</v>
      </c>
      <c r="F51" s="104">
        <v>5</v>
      </c>
      <c r="G51" s="76" t="s">
        <v>24</v>
      </c>
      <c r="H51" s="83"/>
      <c r="I51" s="103"/>
      <c r="J51" s="76" t="s">
        <v>125</v>
      </c>
      <c r="K51" s="104"/>
      <c r="L51" s="104"/>
      <c r="M51" s="105">
        <f>IF(Tabelle1324568910[[#This Row],[Pulled after Start]]="",MIN(Tabelle1324568910[[#This Row],[Jira Story Points]],Tabelle1324568910[[#This Row],[Carry-over]]),0)</f>
        <v>5</v>
      </c>
      <c r="N51" s="106">
        <f>MIN(Tabelle1324568910[[#This Row],[Jira Story Points]],Tabelle1324568910[[#This Row],[Carry-over]])-Tabelle1324568910[[#This Row],[SP Initially Planned (COS)]]</f>
        <v>0</v>
      </c>
      <c r="O51"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5</v>
      </c>
      <c r="P51" s="108">
        <f>IFERROR(IF(Tabelle1324568910[[#This Row],[Status]]=$J$5,MIN(Tabelle1324568910[[#This Row],[Jira Story Points]],Tabelle1324568910[[#This Row],[Carry-over]]),0),0)</f>
        <v>0</v>
      </c>
      <c r="Q51" s="108">
        <f>IFERROR(IF(Tabelle1324568910[[#This Row],[Status]]=$J$5,0,MIN(Tabelle1324568910[[#This Row],[Jira Story Points]],Tabelle1324568910[[#This Row],[Carry-over]])-Tabelle1324568910[[#This Row],[SP Completed (COS &amp; SOS)]]),0)</f>
        <v>0</v>
      </c>
      <c r="AJ51" s="112"/>
      <c r="AK51" s="112"/>
      <c r="AL51" s="112"/>
      <c r="AM51" s="112"/>
    </row>
    <row r="52" spans="1:39" s="46" customFormat="1" ht="14.45" hidden="1" customHeight="1">
      <c r="A52" s="88" t="s">
        <v>2273</v>
      </c>
      <c r="B52" s="46" t="s">
        <v>2274</v>
      </c>
      <c r="C52" s="76" t="s">
        <v>372</v>
      </c>
      <c r="D52" s="76">
        <v>3</v>
      </c>
      <c r="E52" s="76" t="s">
        <v>324</v>
      </c>
      <c r="F52" s="104">
        <v>5</v>
      </c>
      <c r="G52" s="76" t="s">
        <v>24</v>
      </c>
      <c r="H52" s="83"/>
      <c r="I52" s="103"/>
      <c r="J52" s="76" t="s">
        <v>125</v>
      </c>
      <c r="K52" s="104"/>
      <c r="L52" s="104"/>
      <c r="M52" s="105">
        <f>IF(Tabelle1324568910[[#This Row],[Pulled after Start]]="",MIN(Tabelle1324568910[[#This Row],[Jira Story Points]],Tabelle1324568910[[#This Row],[Carry-over]]),0)</f>
        <v>5</v>
      </c>
      <c r="N52" s="106">
        <f>MIN(Tabelle1324568910[[#This Row],[Jira Story Points]],Tabelle1324568910[[#This Row],[Carry-over]])-Tabelle1324568910[[#This Row],[SP Initially Planned (COS)]]</f>
        <v>0</v>
      </c>
      <c r="O52"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5</v>
      </c>
      <c r="P52" s="108">
        <f>IFERROR(IF(Tabelle1324568910[[#This Row],[Status]]=$J$5,MIN(Tabelle1324568910[[#This Row],[Jira Story Points]],Tabelle1324568910[[#This Row],[Carry-over]]),0),0)</f>
        <v>0</v>
      </c>
      <c r="Q52" s="108">
        <f>IFERROR(IF(Tabelle1324568910[[#This Row],[Status]]=$J$5,0,MIN(Tabelle1324568910[[#This Row],[Jira Story Points]],Tabelle1324568910[[#This Row],[Carry-over]])-Tabelle1324568910[[#This Row],[SP Completed (COS &amp; SOS)]]),0)</f>
        <v>0</v>
      </c>
      <c r="AJ52" s="112"/>
      <c r="AK52" s="112"/>
      <c r="AL52" s="112"/>
      <c r="AM52" s="112"/>
    </row>
    <row r="53" spans="1:39" s="46" customFormat="1" ht="14.45" hidden="1" customHeight="1">
      <c r="A53" s="88" t="s">
        <v>2281</v>
      </c>
      <c r="B53" s="88" t="s">
        <v>2282</v>
      </c>
      <c r="C53" s="76" t="s">
        <v>382</v>
      </c>
      <c r="D53" s="76">
        <v>3</v>
      </c>
      <c r="E53" s="76" t="s">
        <v>278</v>
      </c>
      <c r="F53" s="76">
        <v>1</v>
      </c>
      <c r="G53" s="76" t="s">
        <v>24</v>
      </c>
      <c r="H53" s="83" t="s">
        <v>209</v>
      </c>
      <c r="I53" s="103"/>
      <c r="J53" s="76" t="s">
        <v>125</v>
      </c>
      <c r="K53" s="104"/>
      <c r="L53" s="104"/>
      <c r="M53" s="105">
        <f>IF(Tabelle1324568910[[#This Row],[Pulled after Start]]="",MIN(Tabelle1324568910[[#This Row],[Jira Story Points]],Tabelle1324568910[[#This Row],[Carry-over]]),0)</f>
        <v>0</v>
      </c>
      <c r="N53" s="106">
        <f>MIN(Tabelle1324568910[[#This Row],[Jira Story Points]],Tabelle1324568910[[#This Row],[Carry-over]])-Tabelle1324568910[[#This Row],[SP Initially Planned (COS)]]</f>
        <v>1</v>
      </c>
      <c r="O53"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53" s="108">
        <f>IFERROR(IF(Tabelle1324568910[[#This Row],[Status]]=$J$5,MIN(Tabelle1324568910[[#This Row],[Jira Story Points]],Tabelle1324568910[[#This Row],[Carry-over]]),0),0)</f>
        <v>0</v>
      </c>
      <c r="Q53" s="108">
        <f>IFERROR(IF(Tabelle1324568910[[#This Row],[Status]]=$J$5,0,MIN(Tabelle1324568910[[#This Row],[Jira Story Points]],Tabelle1324568910[[#This Row],[Carry-over]])-Tabelle1324568910[[#This Row],[SP Completed (COS &amp; SOS)]]),0)</f>
        <v>0</v>
      </c>
      <c r="AJ53" s="112"/>
      <c r="AK53" s="112"/>
      <c r="AL53" s="112"/>
      <c r="AM53" s="112"/>
    </row>
    <row r="54" spans="1:39" s="46" customFormat="1" ht="14.45" hidden="1" customHeight="1">
      <c r="A54" s="88" t="s">
        <v>2271</v>
      </c>
      <c r="B54" s="88" t="s">
        <v>2272</v>
      </c>
      <c r="C54" s="76" t="s">
        <v>375</v>
      </c>
      <c r="D54" s="76">
        <v>1</v>
      </c>
      <c r="E54" s="76" t="s">
        <v>238</v>
      </c>
      <c r="F54" s="76">
        <v>3</v>
      </c>
      <c r="G54" s="76" t="s">
        <v>24</v>
      </c>
      <c r="H54" s="83" t="s">
        <v>209</v>
      </c>
      <c r="I54" s="103"/>
      <c r="J54" s="76" t="s">
        <v>127</v>
      </c>
      <c r="K54" s="104"/>
      <c r="L54" s="104">
        <v>2</v>
      </c>
      <c r="M54" s="105">
        <f>IF(Tabelle1324568910[[#This Row],[Pulled after Start]]="",MIN(Tabelle1324568910[[#This Row],[Jira Story Points]],Tabelle1324568910[[#This Row],[Carry-over]]),0)</f>
        <v>0</v>
      </c>
      <c r="N54" s="106">
        <f>MIN(Tabelle1324568910[[#This Row],[Jira Story Points]],Tabelle1324568910[[#This Row],[Carry-over]])-Tabelle1324568910[[#This Row],[SP Initially Planned (COS)]]</f>
        <v>3</v>
      </c>
      <c r="O54"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54" s="108">
        <f>IFERROR(IF(Tabelle1324568910[[#This Row],[Status]]=$J$5,MIN(Tabelle1324568910[[#This Row],[Jira Story Points]],Tabelle1324568910[[#This Row],[Carry-over]]),0),0)</f>
        <v>0</v>
      </c>
      <c r="Q54" s="108">
        <f>IFERROR(IF(Tabelle1324568910[[#This Row],[Status]]=$J$5,0,MIN(Tabelle1324568910[[#This Row],[Jira Story Points]],Tabelle1324568910[[#This Row],[Carry-over]])-Tabelle1324568910[[#This Row],[SP Completed (COS &amp; SOS)]]),0)</f>
        <v>2</v>
      </c>
      <c r="AJ54" s="112"/>
      <c r="AK54" s="112"/>
      <c r="AL54" s="112"/>
      <c r="AM54" s="112"/>
    </row>
    <row r="55" spans="1:39" s="46" customFormat="1" ht="14.45" hidden="1" customHeight="1">
      <c r="A55" s="88" t="s">
        <v>2355</v>
      </c>
      <c r="B55" s="46" t="s">
        <v>2356</v>
      </c>
      <c r="C55" s="76" t="s">
        <v>372</v>
      </c>
      <c r="D55" s="76">
        <v>3</v>
      </c>
      <c r="E55" s="76" t="s">
        <v>324</v>
      </c>
      <c r="F55" s="104">
        <v>3</v>
      </c>
      <c r="G55" s="76" t="s">
        <v>24</v>
      </c>
      <c r="H55" s="83"/>
      <c r="I55" s="103"/>
      <c r="J55" s="76" t="s">
        <v>125</v>
      </c>
      <c r="K55" s="104"/>
      <c r="L55" s="104"/>
      <c r="M55" s="105">
        <f>IF(Tabelle1324568910[[#This Row],[Pulled after Start]]="",MIN(Tabelle1324568910[[#This Row],[Jira Story Points]],Tabelle1324568910[[#This Row],[Carry-over]]),0)</f>
        <v>3</v>
      </c>
      <c r="N55" s="106">
        <f>MIN(Tabelle1324568910[[#This Row],[Jira Story Points]],Tabelle1324568910[[#This Row],[Carry-over]])-Tabelle1324568910[[#This Row],[SP Initially Planned (COS)]]</f>
        <v>0</v>
      </c>
      <c r="O55"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55" s="108">
        <f>IFERROR(IF(Tabelle1324568910[[#This Row],[Status]]=$J$5,MIN(Tabelle1324568910[[#This Row],[Jira Story Points]],Tabelle1324568910[[#This Row],[Carry-over]]),0),0)</f>
        <v>0</v>
      </c>
      <c r="Q55" s="108">
        <f>IFERROR(IF(Tabelle1324568910[[#This Row],[Status]]=$J$5,0,MIN(Tabelle1324568910[[#This Row],[Jira Story Points]],Tabelle1324568910[[#This Row],[Carry-over]])-Tabelle1324568910[[#This Row],[SP Completed (COS &amp; SOS)]]),0)</f>
        <v>0</v>
      </c>
      <c r="AJ55" s="112"/>
      <c r="AK55" s="112"/>
      <c r="AL55" s="112"/>
      <c r="AM55" s="112"/>
    </row>
    <row r="56" spans="1:39" s="46" customFormat="1" ht="14.45" hidden="1" customHeight="1">
      <c r="A56" s="88" t="s">
        <v>1960</v>
      </c>
      <c r="B56" s="46" t="s">
        <v>1961</v>
      </c>
      <c r="C56" s="76" t="s">
        <v>372</v>
      </c>
      <c r="D56" s="76">
        <v>3</v>
      </c>
      <c r="E56" s="76" t="s">
        <v>351</v>
      </c>
      <c r="F56" s="104">
        <v>5</v>
      </c>
      <c r="G56" s="76" t="s">
        <v>24</v>
      </c>
      <c r="H56" s="83" t="s">
        <v>209</v>
      </c>
      <c r="I56" s="103"/>
      <c r="J56" s="76" t="s">
        <v>127</v>
      </c>
      <c r="K56" s="104"/>
      <c r="L56" s="104">
        <v>4</v>
      </c>
      <c r="M56" s="105">
        <f>IF(Tabelle1324568910[[#This Row],[Pulled after Start]]="",MIN(Tabelle1324568910[[#This Row],[Jira Story Points]],Tabelle1324568910[[#This Row],[Carry-over]]),0)</f>
        <v>0</v>
      </c>
      <c r="N56" s="106">
        <f>MIN(Tabelle1324568910[[#This Row],[Jira Story Points]],Tabelle1324568910[[#This Row],[Carry-over]])-Tabelle1324568910[[#This Row],[SP Initially Planned (COS)]]</f>
        <v>5</v>
      </c>
      <c r="O56"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56" s="108">
        <f>IFERROR(IF(Tabelle1324568910[[#This Row],[Status]]=$J$5,MIN(Tabelle1324568910[[#This Row],[Jira Story Points]],Tabelle1324568910[[#This Row],[Carry-over]]),0),0)</f>
        <v>0</v>
      </c>
      <c r="Q56" s="108">
        <f>IFERROR(IF(Tabelle1324568910[[#This Row],[Status]]=$J$5,0,MIN(Tabelle1324568910[[#This Row],[Jira Story Points]],Tabelle1324568910[[#This Row],[Carry-over]])-Tabelle1324568910[[#This Row],[SP Completed (COS &amp; SOS)]]),0)</f>
        <v>4</v>
      </c>
      <c r="AJ56" s="112"/>
      <c r="AK56" s="112"/>
      <c r="AL56" s="112"/>
      <c r="AM56" s="112"/>
    </row>
    <row r="57" spans="1:39" s="46" customFormat="1" ht="14.45" hidden="1" customHeight="1">
      <c r="A57" s="88" t="s">
        <v>523</v>
      </c>
      <c r="B57" s="46" t="s">
        <v>524</v>
      </c>
      <c r="C57" s="76" t="s">
        <v>372</v>
      </c>
      <c r="D57" s="76">
        <v>3</v>
      </c>
      <c r="E57" s="76" t="s">
        <v>327</v>
      </c>
      <c r="F57" s="104">
        <v>8</v>
      </c>
      <c r="G57" s="76" t="s">
        <v>24</v>
      </c>
      <c r="H57" s="83"/>
      <c r="I57" s="103"/>
      <c r="J57" s="76" t="s">
        <v>127</v>
      </c>
      <c r="K57" s="104"/>
      <c r="L57" s="104">
        <v>7</v>
      </c>
      <c r="M57" s="105">
        <f>IF(Tabelle1324568910[[#This Row],[Pulled after Start]]="",MIN(Tabelle1324568910[[#This Row],[Jira Story Points]],Tabelle1324568910[[#This Row],[Carry-over]]),0)</f>
        <v>8</v>
      </c>
      <c r="N57" s="106">
        <f>MIN(Tabelle1324568910[[#This Row],[Jira Story Points]],Tabelle1324568910[[#This Row],[Carry-over]])-Tabelle1324568910[[#This Row],[SP Initially Planned (COS)]]</f>
        <v>0</v>
      </c>
      <c r="O57"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57" s="108">
        <f>IFERROR(IF(Tabelle1324568910[[#This Row],[Status]]=$J$5,MIN(Tabelle1324568910[[#This Row],[Jira Story Points]],Tabelle1324568910[[#This Row],[Carry-over]]),0),0)</f>
        <v>0</v>
      </c>
      <c r="Q57" s="108">
        <f>IFERROR(IF(Tabelle1324568910[[#This Row],[Status]]=$J$5,0,MIN(Tabelle1324568910[[#This Row],[Jira Story Points]],Tabelle1324568910[[#This Row],[Carry-over]])-Tabelle1324568910[[#This Row],[SP Completed (COS &amp; SOS)]]),0)</f>
        <v>7</v>
      </c>
      <c r="AJ57" s="112"/>
      <c r="AK57" s="112"/>
      <c r="AL57" s="112"/>
      <c r="AM57" s="112"/>
    </row>
    <row r="58" spans="1:39" s="46" customFormat="1" ht="14.45" hidden="1" customHeight="1">
      <c r="A58" s="88" t="s">
        <v>2275</v>
      </c>
      <c r="B58" s="46" t="s">
        <v>2276</v>
      </c>
      <c r="C58" s="76" t="s">
        <v>372</v>
      </c>
      <c r="D58" s="76">
        <v>3</v>
      </c>
      <c r="E58" s="76" t="s">
        <v>327</v>
      </c>
      <c r="F58" s="104">
        <v>5</v>
      </c>
      <c r="G58" s="76" t="s">
        <v>24</v>
      </c>
      <c r="H58" s="83"/>
      <c r="I58" s="103"/>
      <c r="J58" s="76" t="s">
        <v>127</v>
      </c>
      <c r="K58" s="104"/>
      <c r="L58" s="104">
        <v>1</v>
      </c>
      <c r="M58" s="105">
        <f>IF(Tabelle1324568910[[#This Row],[Pulled after Start]]="",MIN(Tabelle1324568910[[#This Row],[Jira Story Points]],Tabelle1324568910[[#This Row],[Carry-over]]),0)</f>
        <v>5</v>
      </c>
      <c r="N58" s="106">
        <f>MIN(Tabelle1324568910[[#This Row],[Jira Story Points]],Tabelle1324568910[[#This Row],[Carry-over]])-Tabelle1324568910[[#This Row],[SP Initially Planned (COS)]]</f>
        <v>0</v>
      </c>
      <c r="O58"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4</v>
      </c>
      <c r="P58" s="108">
        <f>IFERROR(IF(Tabelle1324568910[[#This Row],[Status]]=$J$5,MIN(Tabelle1324568910[[#This Row],[Jira Story Points]],Tabelle1324568910[[#This Row],[Carry-over]]),0),0)</f>
        <v>0</v>
      </c>
      <c r="Q58" s="108">
        <f>IFERROR(IF(Tabelle1324568910[[#This Row],[Status]]=$J$5,0,MIN(Tabelle1324568910[[#This Row],[Jira Story Points]],Tabelle1324568910[[#This Row],[Carry-over]])-Tabelle1324568910[[#This Row],[SP Completed (COS &amp; SOS)]]),0)</f>
        <v>1</v>
      </c>
      <c r="AJ58" s="112"/>
      <c r="AK58" s="112"/>
      <c r="AL58" s="112"/>
      <c r="AM58" s="112"/>
    </row>
    <row r="59" spans="1:39" s="46" customFormat="1" ht="14.45" hidden="1" customHeight="1">
      <c r="A59" s="88" t="s">
        <v>2357</v>
      </c>
      <c r="B59" s="46" t="s">
        <v>2358</v>
      </c>
      <c r="C59" s="76" t="s">
        <v>382</v>
      </c>
      <c r="D59" s="76">
        <v>3</v>
      </c>
      <c r="E59" s="76" t="s">
        <v>324</v>
      </c>
      <c r="F59" s="104">
        <v>1</v>
      </c>
      <c r="G59" s="76" t="s">
        <v>24</v>
      </c>
      <c r="H59" s="83" t="s">
        <v>209</v>
      </c>
      <c r="I59" s="103"/>
      <c r="J59" s="76" t="s">
        <v>125</v>
      </c>
      <c r="K59" s="104"/>
      <c r="L59" s="104"/>
      <c r="M59" s="105">
        <f>IF(Tabelle1324568910[[#This Row],[Pulled after Start]]="",MIN(Tabelle1324568910[[#This Row],[Jira Story Points]],Tabelle1324568910[[#This Row],[Carry-over]]),0)</f>
        <v>0</v>
      </c>
      <c r="N59" s="106">
        <f>MIN(Tabelle1324568910[[#This Row],[Jira Story Points]],Tabelle1324568910[[#This Row],[Carry-over]])-Tabelle1324568910[[#This Row],[SP Initially Planned (COS)]]</f>
        <v>1</v>
      </c>
      <c r="O59"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59" s="108">
        <f>IFERROR(IF(Tabelle1324568910[[#This Row],[Status]]=$J$5,MIN(Tabelle1324568910[[#This Row],[Jira Story Points]],Tabelle1324568910[[#This Row],[Carry-over]]),0),0)</f>
        <v>0</v>
      </c>
      <c r="Q59" s="108">
        <f>IFERROR(IF(Tabelle1324568910[[#This Row],[Status]]=$J$5,0,MIN(Tabelle1324568910[[#This Row],[Jira Story Points]],Tabelle1324568910[[#This Row],[Carry-over]])-Tabelle1324568910[[#This Row],[SP Completed (COS &amp; SOS)]]),0)</f>
        <v>0</v>
      </c>
      <c r="AJ59" s="112"/>
      <c r="AK59" s="112"/>
      <c r="AL59" s="112"/>
      <c r="AM59" s="112"/>
    </row>
    <row r="60" spans="1:39" s="46" customFormat="1" ht="14.45" hidden="1" customHeight="1">
      <c r="A60" s="88" t="s">
        <v>2359</v>
      </c>
      <c r="B60" s="46" t="s">
        <v>2360</v>
      </c>
      <c r="C60" s="76" t="s">
        <v>375</v>
      </c>
      <c r="D60" s="76">
        <v>2</v>
      </c>
      <c r="E60" s="76" t="s">
        <v>324</v>
      </c>
      <c r="F60" s="104">
        <v>3</v>
      </c>
      <c r="G60" s="76" t="s">
        <v>32</v>
      </c>
      <c r="H60" s="83"/>
      <c r="I60" s="103"/>
      <c r="J60" s="76" t="s">
        <v>125</v>
      </c>
      <c r="K60" s="104"/>
      <c r="L60" s="104"/>
      <c r="M60" s="105">
        <f>IF(Tabelle1324568910[[#This Row],[Pulled after Start]]="",MIN(Tabelle1324568910[[#This Row],[Jira Story Points]],Tabelle1324568910[[#This Row],[Carry-over]]),0)</f>
        <v>3</v>
      </c>
      <c r="N60" s="106">
        <f>MIN(Tabelle1324568910[[#This Row],[Jira Story Points]],Tabelle1324568910[[#This Row],[Carry-over]])-Tabelle1324568910[[#This Row],[SP Initially Planned (COS)]]</f>
        <v>0</v>
      </c>
      <c r="O60"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60" s="108">
        <f>IFERROR(IF(Tabelle1324568910[[#This Row],[Status]]=$J$5,MIN(Tabelle1324568910[[#This Row],[Jira Story Points]],Tabelle1324568910[[#This Row],[Carry-over]]),0),0)</f>
        <v>0</v>
      </c>
      <c r="Q60" s="108">
        <f>IFERROR(IF(Tabelle1324568910[[#This Row],[Status]]=$J$5,0,MIN(Tabelle1324568910[[#This Row],[Jira Story Points]],Tabelle1324568910[[#This Row],[Carry-over]])-Tabelle1324568910[[#This Row],[SP Completed (COS &amp; SOS)]]),0)</f>
        <v>0</v>
      </c>
      <c r="AJ60" s="112"/>
      <c r="AK60" s="112"/>
      <c r="AL60" s="112"/>
      <c r="AM60" s="112"/>
    </row>
    <row r="61" spans="1:39" s="46" customFormat="1" ht="14.45" hidden="1" customHeight="1">
      <c r="A61" s="117" t="s">
        <v>2361</v>
      </c>
      <c r="B61" s="47" t="s">
        <v>2362</v>
      </c>
      <c r="C61" s="76" t="s">
        <v>375</v>
      </c>
      <c r="D61" s="76">
        <v>3</v>
      </c>
      <c r="E61" s="76" t="s">
        <v>628</v>
      </c>
      <c r="F61" s="104">
        <v>3</v>
      </c>
      <c r="G61" s="76" t="s">
        <v>32</v>
      </c>
      <c r="H61" s="83"/>
      <c r="I61" s="103"/>
      <c r="J61" s="76" t="s">
        <v>125</v>
      </c>
      <c r="K61" s="104"/>
      <c r="L61" s="104"/>
      <c r="M61" s="105">
        <f>IF(Tabelle1324568910[[#This Row],[Pulled after Start]]="",MIN(Tabelle1324568910[[#This Row],[Jira Story Points]],Tabelle1324568910[[#This Row],[Carry-over]]),0)</f>
        <v>3</v>
      </c>
      <c r="N61" s="106">
        <f>MIN(Tabelle1324568910[[#This Row],[Jira Story Points]],Tabelle1324568910[[#This Row],[Carry-over]])-Tabelle1324568910[[#This Row],[SP Initially Planned (COS)]]</f>
        <v>0</v>
      </c>
      <c r="O61"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61" s="108">
        <f>IFERROR(IF(Tabelle1324568910[[#This Row],[Status]]=$J$5,MIN(Tabelle1324568910[[#This Row],[Jira Story Points]],Tabelle1324568910[[#This Row],[Carry-over]]),0),0)</f>
        <v>0</v>
      </c>
      <c r="Q61" s="108">
        <f>IFERROR(IF(Tabelle1324568910[[#This Row],[Status]]=$J$5,0,MIN(Tabelle1324568910[[#This Row],[Jira Story Points]],Tabelle1324568910[[#This Row],[Carry-over]])-Tabelle1324568910[[#This Row],[SP Completed (COS &amp; SOS)]]),0)</f>
        <v>0</v>
      </c>
      <c r="AJ61" s="112"/>
      <c r="AK61" s="112"/>
      <c r="AL61" s="112"/>
      <c r="AM61" s="112"/>
    </row>
    <row r="62" spans="1:39" s="46" customFormat="1" ht="14.45" hidden="1" customHeight="1">
      <c r="A62" s="117" t="s">
        <v>2363</v>
      </c>
      <c r="B62" s="47" t="s">
        <v>2364</v>
      </c>
      <c r="C62" s="76" t="s">
        <v>372</v>
      </c>
      <c r="D62" s="76">
        <v>3</v>
      </c>
      <c r="E62" s="76" t="s">
        <v>327</v>
      </c>
      <c r="F62" s="104">
        <v>3</v>
      </c>
      <c r="G62" s="76" t="s">
        <v>32</v>
      </c>
      <c r="H62" s="83"/>
      <c r="I62" s="103"/>
      <c r="J62" s="76" t="s">
        <v>125</v>
      </c>
      <c r="K62" s="104"/>
      <c r="L62" s="104"/>
      <c r="M62" s="105">
        <f>IF(Tabelle1324568910[[#This Row],[Pulled after Start]]="",MIN(Tabelle1324568910[[#This Row],[Jira Story Points]],Tabelle1324568910[[#This Row],[Carry-over]]),0)</f>
        <v>3</v>
      </c>
      <c r="N62" s="106">
        <f>MIN(Tabelle1324568910[[#This Row],[Jira Story Points]],Tabelle1324568910[[#This Row],[Carry-over]])-Tabelle1324568910[[#This Row],[SP Initially Planned (COS)]]</f>
        <v>0</v>
      </c>
      <c r="O62"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62" s="108">
        <f>IFERROR(IF(Tabelle1324568910[[#This Row],[Status]]=$J$5,MIN(Tabelle1324568910[[#This Row],[Jira Story Points]],Tabelle1324568910[[#This Row],[Carry-over]]),0),0)</f>
        <v>0</v>
      </c>
      <c r="Q62" s="108">
        <f>IFERROR(IF(Tabelle1324568910[[#This Row],[Status]]=$J$5,0,MIN(Tabelle1324568910[[#This Row],[Jira Story Points]],Tabelle1324568910[[#This Row],[Carry-over]])-Tabelle1324568910[[#This Row],[SP Completed (COS &amp; SOS)]]),0)</f>
        <v>0</v>
      </c>
      <c r="AJ62" s="112"/>
      <c r="AK62" s="112"/>
      <c r="AL62" s="112"/>
      <c r="AM62" s="112"/>
    </row>
    <row r="63" spans="1:39" s="46" customFormat="1" ht="14.45" hidden="1" customHeight="1">
      <c r="A63" s="117" t="s">
        <v>2365</v>
      </c>
      <c r="B63" s="47" t="s">
        <v>2366</v>
      </c>
      <c r="C63" s="76" t="s">
        <v>372</v>
      </c>
      <c r="D63" s="76">
        <v>3</v>
      </c>
      <c r="E63" s="76" t="s">
        <v>327</v>
      </c>
      <c r="F63" s="104">
        <v>2</v>
      </c>
      <c r="G63" s="76" t="s">
        <v>32</v>
      </c>
      <c r="H63" s="83"/>
      <c r="I63" s="103"/>
      <c r="J63" s="76" t="s">
        <v>125</v>
      </c>
      <c r="K63" s="104"/>
      <c r="L63" s="104"/>
      <c r="M63" s="105">
        <f>IF(Tabelle1324568910[[#This Row],[Pulled after Start]]="",MIN(Tabelle1324568910[[#This Row],[Jira Story Points]],Tabelle1324568910[[#This Row],[Carry-over]]),0)</f>
        <v>2</v>
      </c>
      <c r="N63" s="106">
        <f>MIN(Tabelle1324568910[[#This Row],[Jira Story Points]],Tabelle1324568910[[#This Row],[Carry-over]])-Tabelle1324568910[[#This Row],[SP Initially Planned (COS)]]</f>
        <v>0</v>
      </c>
      <c r="O63"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2</v>
      </c>
      <c r="P63" s="108">
        <f>IFERROR(IF(Tabelle1324568910[[#This Row],[Status]]=$J$5,MIN(Tabelle1324568910[[#This Row],[Jira Story Points]],Tabelle1324568910[[#This Row],[Carry-over]]),0),0)</f>
        <v>0</v>
      </c>
      <c r="Q63" s="108">
        <f>IFERROR(IF(Tabelle1324568910[[#This Row],[Status]]=$J$5,0,MIN(Tabelle1324568910[[#This Row],[Jira Story Points]],Tabelle1324568910[[#This Row],[Carry-over]])-Tabelle1324568910[[#This Row],[SP Completed (COS &amp; SOS)]]),0)</f>
        <v>0</v>
      </c>
      <c r="AJ63" s="112"/>
      <c r="AK63" s="112"/>
      <c r="AL63" s="112"/>
      <c r="AM63" s="112"/>
    </row>
    <row r="64" spans="1:39" s="46" customFormat="1" ht="14.45" hidden="1" customHeight="1">
      <c r="A64" s="117" t="s">
        <v>2367</v>
      </c>
      <c r="B64" s="47" t="s">
        <v>2368</v>
      </c>
      <c r="C64" s="76" t="s">
        <v>372</v>
      </c>
      <c r="D64" s="76">
        <v>3</v>
      </c>
      <c r="E64" s="76" t="s">
        <v>324</v>
      </c>
      <c r="F64" s="104">
        <v>2</v>
      </c>
      <c r="G64" s="76" t="s">
        <v>32</v>
      </c>
      <c r="H64" s="83"/>
      <c r="I64" s="103"/>
      <c r="J64" s="76" t="s">
        <v>125</v>
      </c>
      <c r="K64" s="104"/>
      <c r="L64" s="104"/>
      <c r="M64" s="105">
        <f>IF(Tabelle1324568910[[#This Row],[Pulled after Start]]="",MIN(Tabelle1324568910[[#This Row],[Jira Story Points]],Tabelle1324568910[[#This Row],[Carry-over]]),0)</f>
        <v>2</v>
      </c>
      <c r="N64" s="106">
        <f>MIN(Tabelle1324568910[[#This Row],[Jira Story Points]],Tabelle1324568910[[#This Row],[Carry-over]])-Tabelle1324568910[[#This Row],[SP Initially Planned (COS)]]</f>
        <v>0</v>
      </c>
      <c r="O64"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2</v>
      </c>
      <c r="P64" s="108">
        <f>IFERROR(IF(Tabelle1324568910[[#This Row],[Status]]=$J$5,MIN(Tabelle1324568910[[#This Row],[Jira Story Points]],Tabelle1324568910[[#This Row],[Carry-over]]),0),0)</f>
        <v>0</v>
      </c>
      <c r="Q64" s="108">
        <f>IFERROR(IF(Tabelle1324568910[[#This Row],[Status]]=$J$5,0,MIN(Tabelle1324568910[[#This Row],[Jira Story Points]],Tabelle1324568910[[#This Row],[Carry-over]])-Tabelle1324568910[[#This Row],[SP Completed (COS &amp; SOS)]]),0)</f>
        <v>0</v>
      </c>
      <c r="AJ64" s="112"/>
      <c r="AK64" s="112"/>
      <c r="AL64" s="112"/>
      <c r="AM64" s="112"/>
    </row>
    <row r="65" spans="1:39" s="46" customFormat="1" ht="14.45" hidden="1" customHeight="1">
      <c r="A65" s="117" t="s">
        <v>2369</v>
      </c>
      <c r="B65" s="47" t="s">
        <v>2370</v>
      </c>
      <c r="C65" s="76" t="s">
        <v>372</v>
      </c>
      <c r="D65" s="76">
        <v>3</v>
      </c>
      <c r="E65" s="76" t="s">
        <v>327</v>
      </c>
      <c r="F65" s="104">
        <v>5</v>
      </c>
      <c r="G65" s="76" t="s">
        <v>32</v>
      </c>
      <c r="H65" s="83"/>
      <c r="I65" s="103"/>
      <c r="J65" s="76" t="s">
        <v>125</v>
      </c>
      <c r="K65" s="104"/>
      <c r="L65" s="104"/>
      <c r="M65" s="105">
        <f>IF(Tabelle1324568910[[#This Row],[Pulled after Start]]="",MIN(Tabelle1324568910[[#This Row],[Jira Story Points]],Tabelle1324568910[[#This Row],[Carry-over]]),0)</f>
        <v>5</v>
      </c>
      <c r="N65" s="106">
        <f>MIN(Tabelle1324568910[[#This Row],[Jira Story Points]],Tabelle1324568910[[#This Row],[Carry-over]])-Tabelle1324568910[[#This Row],[SP Initially Planned (COS)]]</f>
        <v>0</v>
      </c>
      <c r="O65"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5</v>
      </c>
      <c r="P65" s="108">
        <f>IFERROR(IF(Tabelle1324568910[[#This Row],[Status]]=$J$5,MIN(Tabelle1324568910[[#This Row],[Jira Story Points]],Tabelle1324568910[[#This Row],[Carry-over]]),0),0)</f>
        <v>0</v>
      </c>
      <c r="Q65" s="108">
        <f>IFERROR(IF(Tabelle1324568910[[#This Row],[Status]]=$J$5,0,MIN(Tabelle1324568910[[#This Row],[Jira Story Points]],Tabelle1324568910[[#This Row],[Carry-over]])-Tabelle1324568910[[#This Row],[SP Completed (COS &amp; SOS)]]),0)</f>
        <v>0</v>
      </c>
      <c r="AJ65" s="112"/>
      <c r="AK65" s="112"/>
      <c r="AL65" s="112"/>
      <c r="AM65" s="112"/>
    </row>
    <row r="66" spans="1:39" s="46" customFormat="1" ht="14.45" hidden="1" customHeight="1">
      <c r="A66" s="117" t="s">
        <v>2299</v>
      </c>
      <c r="B66" s="47" t="s">
        <v>2300</v>
      </c>
      <c r="C66" s="76" t="s">
        <v>372</v>
      </c>
      <c r="D66" s="76">
        <v>3</v>
      </c>
      <c r="E66" s="76" t="s">
        <v>327</v>
      </c>
      <c r="F66" s="104">
        <v>5</v>
      </c>
      <c r="G66" s="76" t="s">
        <v>32</v>
      </c>
      <c r="H66" s="83"/>
      <c r="I66" s="103"/>
      <c r="J66" s="76" t="s">
        <v>127</v>
      </c>
      <c r="K66" s="104"/>
      <c r="L66" s="104"/>
      <c r="M66" s="105">
        <f>IF(Tabelle1324568910[[#This Row],[Pulled after Start]]="",MIN(Tabelle1324568910[[#This Row],[Jira Story Points]],Tabelle1324568910[[#This Row],[Carry-over]]),0)</f>
        <v>5</v>
      </c>
      <c r="N66" s="106">
        <f>MIN(Tabelle1324568910[[#This Row],[Jira Story Points]],Tabelle1324568910[[#This Row],[Carry-over]])-Tabelle1324568910[[#This Row],[SP Initially Planned (COS)]]</f>
        <v>0</v>
      </c>
      <c r="O66"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66" s="108">
        <f>IFERROR(IF(Tabelle1324568910[[#This Row],[Status]]=$J$5,MIN(Tabelle1324568910[[#This Row],[Jira Story Points]],Tabelle1324568910[[#This Row],[Carry-over]]),0),0)</f>
        <v>0</v>
      </c>
      <c r="Q66" s="108">
        <f>IFERROR(IF(Tabelle1324568910[[#This Row],[Status]]=$J$5,0,MIN(Tabelle1324568910[[#This Row],[Jira Story Points]],Tabelle1324568910[[#This Row],[Carry-over]])-Tabelle1324568910[[#This Row],[SP Completed (COS &amp; SOS)]]),0)</f>
        <v>5</v>
      </c>
      <c r="AJ66" s="112"/>
      <c r="AK66" s="112"/>
      <c r="AL66" s="112"/>
      <c r="AM66" s="112"/>
    </row>
    <row r="67" spans="1:39" s="46" customFormat="1" ht="14.45" hidden="1" customHeight="1">
      <c r="A67" s="117" t="s">
        <v>2371</v>
      </c>
      <c r="B67" s="47" t="s">
        <v>2372</v>
      </c>
      <c r="C67" s="76" t="s">
        <v>382</v>
      </c>
      <c r="D67" s="76">
        <v>3</v>
      </c>
      <c r="E67" s="76" t="s">
        <v>324</v>
      </c>
      <c r="F67" s="104">
        <v>2</v>
      </c>
      <c r="G67" s="76" t="s">
        <v>32</v>
      </c>
      <c r="H67" s="83"/>
      <c r="I67" s="103"/>
      <c r="J67" s="76" t="s">
        <v>125</v>
      </c>
      <c r="K67" s="104"/>
      <c r="L67" s="104"/>
      <c r="M67" s="105">
        <f>IF(Tabelle1324568910[[#This Row],[Pulled after Start]]="",MIN(Tabelle1324568910[[#This Row],[Jira Story Points]],Tabelle1324568910[[#This Row],[Carry-over]]),0)</f>
        <v>2</v>
      </c>
      <c r="N67" s="106">
        <f>MIN(Tabelle1324568910[[#This Row],[Jira Story Points]],Tabelle1324568910[[#This Row],[Carry-over]])-Tabelle1324568910[[#This Row],[SP Initially Planned (COS)]]</f>
        <v>0</v>
      </c>
      <c r="O67"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2</v>
      </c>
      <c r="P67" s="108">
        <f>IFERROR(IF(Tabelle1324568910[[#This Row],[Status]]=$J$5,MIN(Tabelle1324568910[[#This Row],[Jira Story Points]],Tabelle1324568910[[#This Row],[Carry-over]]),0),0)</f>
        <v>0</v>
      </c>
      <c r="Q67" s="108">
        <f>IFERROR(IF(Tabelle1324568910[[#This Row],[Status]]=$J$5,0,MIN(Tabelle1324568910[[#This Row],[Jira Story Points]],Tabelle1324568910[[#This Row],[Carry-over]])-Tabelle1324568910[[#This Row],[SP Completed (COS &amp; SOS)]]),0)</f>
        <v>0</v>
      </c>
      <c r="AJ67" s="112"/>
      <c r="AK67" s="112"/>
      <c r="AL67" s="112"/>
      <c r="AM67" s="112"/>
    </row>
    <row r="68" spans="1:39" s="46" customFormat="1" ht="14.45" hidden="1" customHeight="1">
      <c r="A68" s="117" t="s">
        <v>2301</v>
      </c>
      <c r="B68" s="47" t="s">
        <v>2302</v>
      </c>
      <c r="C68" s="76" t="s">
        <v>372</v>
      </c>
      <c r="D68" s="76">
        <v>3</v>
      </c>
      <c r="E68" s="76" t="s">
        <v>327</v>
      </c>
      <c r="F68" s="104">
        <v>3</v>
      </c>
      <c r="G68" s="76" t="s">
        <v>32</v>
      </c>
      <c r="H68" s="83"/>
      <c r="I68" s="103"/>
      <c r="J68" s="76" t="s">
        <v>127</v>
      </c>
      <c r="K68" s="104"/>
      <c r="L68" s="104"/>
      <c r="M68" s="105">
        <f>IF(Tabelle1324568910[[#This Row],[Pulled after Start]]="",MIN(Tabelle1324568910[[#This Row],[Jira Story Points]],Tabelle1324568910[[#This Row],[Carry-over]]),0)</f>
        <v>3</v>
      </c>
      <c r="N68" s="106">
        <f>MIN(Tabelle1324568910[[#This Row],[Jira Story Points]],Tabelle1324568910[[#This Row],[Carry-over]])-Tabelle1324568910[[#This Row],[SP Initially Planned (COS)]]</f>
        <v>0</v>
      </c>
      <c r="O68"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68" s="108">
        <f>IFERROR(IF(Tabelle1324568910[[#This Row],[Status]]=$J$5,MIN(Tabelle1324568910[[#This Row],[Jira Story Points]],Tabelle1324568910[[#This Row],[Carry-over]]),0),0)</f>
        <v>0</v>
      </c>
      <c r="Q68" s="108">
        <f>IFERROR(IF(Tabelle1324568910[[#This Row],[Status]]=$J$5,0,MIN(Tabelle1324568910[[#This Row],[Jira Story Points]],Tabelle1324568910[[#This Row],[Carry-over]])-Tabelle1324568910[[#This Row],[SP Completed (COS &amp; SOS)]]),0)</f>
        <v>3</v>
      </c>
      <c r="AJ68" s="112"/>
      <c r="AK68" s="112"/>
      <c r="AL68" s="112"/>
      <c r="AM68" s="112"/>
    </row>
    <row r="69" spans="1:39" s="46" customFormat="1" ht="14.45" hidden="1" customHeight="1">
      <c r="A69" s="117" t="s">
        <v>2013</v>
      </c>
      <c r="B69" s="47" t="s">
        <v>2014</v>
      </c>
      <c r="C69" s="76" t="s">
        <v>382</v>
      </c>
      <c r="D69" s="76">
        <v>3</v>
      </c>
      <c r="E69" s="76" t="s">
        <v>330</v>
      </c>
      <c r="F69" s="104">
        <v>1</v>
      </c>
      <c r="G69" s="76" t="s">
        <v>32</v>
      </c>
      <c r="H69" s="83"/>
      <c r="I69" s="103"/>
      <c r="J69" s="76" t="s">
        <v>127</v>
      </c>
      <c r="K69" s="104"/>
      <c r="L69" s="104"/>
      <c r="M69" s="105">
        <f>IF(Tabelle1324568910[[#This Row],[Pulled after Start]]="",MIN(Tabelle1324568910[[#This Row],[Jira Story Points]],Tabelle1324568910[[#This Row],[Carry-over]]),0)</f>
        <v>1</v>
      </c>
      <c r="N69" s="106">
        <f>MIN(Tabelle1324568910[[#This Row],[Jira Story Points]],Tabelle1324568910[[#This Row],[Carry-over]])-Tabelle1324568910[[#This Row],[SP Initially Planned (COS)]]</f>
        <v>0</v>
      </c>
      <c r="O69"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69" s="108">
        <f>IFERROR(IF(Tabelle1324568910[[#This Row],[Status]]=$J$5,MIN(Tabelle1324568910[[#This Row],[Jira Story Points]],Tabelle1324568910[[#This Row],[Carry-over]]),0),0)</f>
        <v>0</v>
      </c>
      <c r="Q69" s="108">
        <f>IFERROR(IF(Tabelle1324568910[[#This Row],[Status]]=$J$5,0,MIN(Tabelle1324568910[[#This Row],[Jira Story Points]],Tabelle1324568910[[#This Row],[Carry-over]])-Tabelle1324568910[[#This Row],[SP Completed (COS &amp; SOS)]]),0)</f>
        <v>1</v>
      </c>
      <c r="AJ69" s="112"/>
      <c r="AK69" s="112"/>
      <c r="AL69" s="112"/>
      <c r="AM69" s="112"/>
    </row>
    <row r="70" spans="1:39" s="46" customFormat="1" ht="14.45" hidden="1" customHeight="1">
      <c r="A70" s="117" t="s">
        <v>2295</v>
      </c>
      <c r="B70" s="47" t="s">
        <v>2296</v>
      </c>
      <c r="C70" s="76" t="s">
        <v>375</v>
      </c>
      <c r="D70" s="76">
        <v>3</v>
      </c>
      <c r="E70" s="76" t="s">
        <v>327</v>
      </c>
      <c r="F70" s="104">
        <v>3</v>
      </c>
      <c r="G70" s="76" t="s">
        <v>32</v>
      </c>
      <c r="H70" s="83"/>
      <c r="I70" s="103"/>
      <c r="J70" s="76" t="s">
        <v>127</v>
      </c>
      <c r="K70" s="104"/>
      <c r="L70" s="104"/>
      <c r="M70" s="105">
        <f>IF(Tabelle1324568910[[#This Row],[Pulled after Start]]="",MIN(Tabelle1324568910[[#This Row],[Jira Story Points]],Tabelle1324568910[[#This Row],[Carry-over]]),0)</f>
        <v>3</v>
      </c>
      <c r="N70" s="106">
        <f>MIN(Tabelle1324568910[[#This Row],[Jira Story Points]],Tabelle1324568910[[#This Row],[Carry-over]])-Tabelle1324568910[[#This Row],[SP Initially Planned (COS)]]</f>
        <v>0</v>
      </c>
      <c r="O70"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70" s="108">
        <f>IFERROR(IF(Tabelle1324568910[[#This Row],[Status]]=$J$5,MIN(Tabelle1324568910[[#This Row],[Jira Story Points]],Tabelle1324568910[[#This Row],[Carry-over]]),0),0)</f>
        <v>0</v>
      </c>
      <c r="Q70" s="108">
        <f>IFERROR(IF(Tabelle1324568910[[#This Row],[Status]]=$J$5,0,MIN(Tabelle1324568910[[#This Row],[Jira Story Points]],Tabelle1324568910[[#This Row],[Carry-over]])-Tabelle1324568910[[#This Row],[SP Completed (COS &amp; SOS)]]),0)</f>
        <v>3</v>
      </c>
      <c r="AJ70" s="112"/>
      <c r="AK70" s="112"/>
      <c r="AL70" s="112"/>
      <c r="AM70" s="112"/>
    </row>
    <row r="71" spans="1:39" s="46" customFormat="1" ht="14.45" hidden="1" customHeight="1">
      <c r="A71" s="117" t="s">
        <v>2373</v>
      </c>
      <c r="B71" s="47" t="s">
        <v>2374</v>
      </c>
      <c r="C71" s="76" t="s">
        <v>375</v>
      </c>
      <c r="D71" s="76">
        <v>3</v>
      </c>
      <c r="E71" s="76" t="s">
        <v>628</v>
      </c>
      <c r="F71" s="104">
        <v>2</v>
      </c>
      <c r="G71" s="76" t="s">
        <v>32</v>
      </c>
      <c r="H71" s="83"/>
      <c r="I71" s="103"/>
      <c r="J71" s="76" t="s">
        <v>125</v>
      </c>
      <c r="K71" s="104"/>
      <c r="L71" s="104"/>
      <c r="M71" s="105">
        <f>IF(Tabelle1324568910[[#This Row],[Pulled after Start]]="",MIN(Tabelle1324568910[[#This Row],[Jira Story Points]],Tabelle1324568910[[#This Row],[Carry-over]]),0)</f>
        <v>2</v>
      </c>
      <c r="N71" s="106">
        <f>MIN(Tabelle1324568910[[#This Row],[Jira Story Points]],Tabelle1324568910[[#This Row],[Carry-over]])-Tabelle1324568910[[#This Row],[SP Initially Planned (COS)]]</f>
        <v>0</v>
      </c>
      <c r="O71"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2</v>
      </c>
      <c r="P71" s="108">
        <f>IFERROR(IF(Tabelle1324568910[[#This Row],[Status]]=$J$5,MIN(Tabelle1324568910[[#This Row],[Jira Story Points]],Tabelle1324568910[[#This Row],[Carry-over]]),0),0)</f>
        <v>0</v>
      </c>
      <c r="Q71" s="108">
        <f>IFERROR(IF(Tabelle1324568910[[#This Row],[Status]]=$J$5,0,MIN(Tabelle1324568910[[#This Row],[Jira Story Points]],Tabelle1324568910[[#This Row],[Carry-over]])-Tabelle1324568910[[#This Row],[SP Completed (COS &amp; SOS)]]),0)</f>
        <v>0</v>
      </c>
      <c r="AJ71" s="112"/>
      <c r="AK71" s="112"/>
      <c r="AL71" s="112"/>
      <c r="AM71" s="112"/>
    </row>
    <row r="72" spans="1:39" s="46" customFormat="1" hidden="1">
      <c r="A72" s="117" t="s">
        <v>2375</v>
      </c>
      <c r="B72" s="47" t="s">
        <v>2376</v>
      </c>
      <c r="C72" s="76" t="s">
        <v>382</v>
      </c>
      <c r="D72" s="76">
        <v>3</v>
      </c>
      <c r="E72" s="76" t="s">
        <v>330</v>
      </c>
      <c r="F72" s="104">
        <v>1</v>
      </c>
      <c r="G72" s="76" t="s">
        <v>32</v>
      </c>
      <c r="H72" s="83"/>
      <c r="I72" s="103"/>
      <c r="J72" s="76" t="s">
        <v>125</v>
      </c>
      <c r="K72" s="104"/>
      <c r="L72" s="104"/>
      <c r="M72" s="105">
        <f>IF(Tabelle1324568910[[#This Row],[Pulled after Start]]="",MIN(Tabelle1324568910[[#This Row],[Jira Story Points]],Tabelle1324568910[[#This Row],[Carry-over]]),0)</f>
        <v>1</v>
      </c>
      <c r="N72" s="106">
        <f>MIN(Tabelle1324568910[[#This Row],[Jira Story Points]],Tabelle1324568910[[#This Row],[Carry-over]])-Tabelle1324568910[[#This Row],[SP Initially Planned (COS)]]</f>
        <v>0</v>
      </c>
      <c r="O72"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72" s="108">
        <f>IFERROR(IF(Tabelle1324568910[[#This Row],[Status]]=$J$5,MIN(Tabelle1324568910[[#This Row],[Jira Story Points]],Tabelle1324568910[[#This Row],[Carry-over]]),0),0)</f>
        <v>0</v>
      </c>
      <c r="Q72" s="108">
        <f>IFERROR(IF(Tabelle1324568910[[#This Row],[Status]]=$J$5,0,MIN(Tabelle1324568910[[#This Row],[Jira Story Points]],Tabelle1324568910[[#This Row],[Carry-over]])-Tabelle1324568910[[#This Row],[SP Completed (COS &amp; SOS)]]),0)</f>
        <v>0</v>
      </c>
      <c r="AJ72" s="112"/>
      <c r="AK72" s="112"/>
      <c r="AL72" s="112"/>
      <c r="AM72" s="112"/>
    </row>
    <row r="73" spans="1:39" s="46" customFormat="1" hidden="1">
      <c r="A73" s="117" t="s">
        <v>2377</v>
      </c>
      <c r="B73" s="47" t="s">
        <v>2378</v>
      </c>
      <c r="C73" s="76" t="s">
        <v>372</v>
      </c>
      <c r="D73" s="76">
        <v>3</v>
      </c>
      <c r="E73" s="76" t="s">
        <v>324</v>
      </c>
      <c r="F73" s="104">
        <v>3</v>
      </c>
      <c r="G73" s="76" t="s">
        <v>32</v>
      </c>
      <c r="H73" s="83"/>
      <c r="I73" s="103"/>
      <c r="J73" s="76" t="s">
        <v>125</v>
      </c>
      <c r="K73" s="104"/>
      <c r="L73" s="104"/>
      <c r="M73" s="105">
        <f>IF(Tabelle1324568910[[#This Row],[Pulled after Start]]="",MIN(Tabelle1324568910[[#This Row],[Jira Story Points]],Tabelle1324568910[[#This Row],[Carry-over]]),0)</f>
        <v>3</v>
      </c>
      <c r="N73" s="106">
        <f>MIN(Tabelle1324568910[[#This Row],[Jira Story Points]],Tabelle1324568910[[#This Row],[Carry-over]])-Tabelle1324568910[[#This Row],[SP Initially Planned (COS)]]</f>
        <v>0</v>
      </c>
      <c r="O73"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73" s="108">
        <f>IFERROR(IF(Tabelle1324568910[[#This Row],[Status]]=$J$5,MIN(Tabelle1324568910[[#This Row],[Jira Story Points]],Tabelle1324568910[[#This Row],[Carry-over]]),0),0)</f>
        <v>0</v>
      </c>
      <c r="Q73" s="108">
        <f>IFERROR(IF(Tabelle1324568910[[#This Row],[Status]]=$J$5,0,MIN(Tabelle1324568910[[#This Row],[Jira Story Points]],Tabelle1324568910[[#This Row],[Carry-over]])-Tabelle1324568910[[#This Row],[SP Completed (COS &amp; SOS)]]),0)</f>
        <v>0</v>
      </c>
      <c r="AJ73" s="112"/>
      <c r="AK73" s="112"/>
      <c r="AL73" s="112"/>
      <c r="AM73" s="112"/>
    </row>
    <row r="74" spans="1:39" s="46" customFormat="1" hidden="1">
      <c r="A74" s="117" t="s">
        <v>2379</v>
      </c>
      <c r="B74" s="47" t="s">
        <v>2380</v>
      </c>
      <c r="C74" s="76" t="s">
        <v>372</v>
      </c>
      <c r="D74" s="76">
        <v>3</v>
      </c>
      <c r="E74" s="76" t="s">
        <v>324</v>
      </c>
      <c r="F74" s="104">
        <v>3</v>
      </c>
      <c r="G74" s="76" t="s">
        <v>32</v>
      </c>
      <c r="H74" s="83"/>
      <c r="I74" s="103"/>
      <c r="J74" s="76" t="s">
        <v>125</v>
      </c>
      <c r="K74" s="104"/>
      <c r="L74" s="104"/>
      <c r="M74" s="105">
        <f>IF(Tabelle1324568910[[#This Row],[Pulled after Start]]="",MIN(Tabelle1324568910[[#This Row],[Jira Story Points]],Tabelle1324568910[[#This Row],[Carry-over]]),0)</f>
        <v>3</v>
      </c>
      <c r="N74" s="106">
        <f>MIN(Tabelle1324568910[[#This Row],[Jira Story Points]],Tabelle1324568910[[#This Row],[Carry-over]])-Tabelle1324568910[[#This Row],[SP Initially Planned (COS)]]</f>
        <v>0</v>
      </c>
      <c r="O74"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74" s="108">
        <f>IFERROR(IF(Tabelle1324568910[[#This Row],[Status]]=$J$5,MIN(Tabelle1324568910[[#This Row],[Jira Story Points]],Tabelle1324568910[[#This Row],[Carry-over]]),0),0)</f>
        <v>0</v>
      </c>
      <c r="Q74" s="108">
        <f>IFERROR(IF(Tabelle1324568910[[#This Row],[Status]]=$J$5,0,MIN(Tabelle1324568910[[#This Row],[Jira Story Points]],Tabelle1324568910[[#This Row],[Carry-over]])-Tabelle1324568910[[#This Row],[SP Completed (COS &amp; SOS)]]),0)</f>
        <v>0</v>
      </c>
      <c r="AJ74" s="112"/>
      <c r="AK74" s="112"/>
      <c r="AL74" s="112"/>
      <c r="AM74" s="112"/>
    </row>
    <row r="75" spans="1:39" s="46" customFormat="1" hidden="1">
      <c r="A75" s="117" t="s">
        <v>2381</v>
      </c>
      <c r="B75" s="47" t="s">
        <v>2382</v>
      </c>
      <c r="C75" s="76" t="s">
        <v>372</v>
      </c>
      <c r="D75" s="76">
        <v>3</v>
      </c>
      <c r="E75" s="76" t="s">
        <v>324</v>
      </c>
      <c r="F75" s="104">
        <v>1</v>
      </c>
      <c r="G75" s="76" t="s">
        <v>17</v>
      </c>
      <c r="H75" s="83"/>
      <c r="I75" s="103"/>
      <c r="J75" s="76" t="s">
        <v>125</v>
      </c>
      <c r="K75" s="104"/>
      <c r="L75" s="104"/>
      <c r="M75" s="105">
        <f>IF(Tabelle1324568910[[#This Row],[Pulled after Start]]="",MIN(Tabelle1324568910[[#This Row],[Jira Story Points]],Tabelle1324568910[[#This Row],[Carry-over]]),0)</f>
        <v>1</v>
      </c>
      <c r="N75" s="106">
        <f>MIN(Tabelle1324568910[[#This Row],[Jira Story Points]],Tabelle1324568910[[#This Row],[Carry-over]])-Tabelle1324568910[[#This Row],[SP Initially Planned (COS)]]</f>
        <v>0</v>
      </c>
      <c r="O75"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75" s="108">
        <f>IFERROR(IF(Tabelle1324568910[[#This Row],[Status]]=$J$5,MIN(Tabelle1324568910[[#This Row],[Jira Story Points]],Tabelle1324568910[[#This Row],[Carry-over]]),0),0)</f>
        <v>0</v>
      </c>
      <c r="Q75" s="108">
        <f>IFERROR(IF(Tabelle1324568910[[#This Row],[Status]]=$J$5,0,MIN(Tabelle1324568910[[#This Row],[Jira Story Points]],Tabelle1324568910[[#This Row],[Carry-over]])-Tabelle1324568910[[#This Row],[SP Completed (COS &amp; SOS)]]),0)</f>
        <v>0</v>
      </c>
      <c r="AJ75" s="112"/>
      <c r="AK75" s="112"/>
      <c r="AL75" s="112"/>
      <c r="AM75" s="112"/>
    </row>
    <row r="76" spans="1:39" s="46" customFormat="1" hidden="1">
      <c r="A76" s="117" t="s">
        <v>2383</v>
      </c>
      <c r="B76" s="47" t="s">
        <v>2384</v>
      </c>
      <c r="C76" s="76" t="s">
        <v>375</v>
      </c>
      <c r="D76" s="76">
        <v>3</v>
      </c>
      <c r="E76" s="76" t="s">
        <v>324</v>
      </c>
      <c r="F76" s="104">
        <v>3</v>
      </c>
      <c r="G76" s="76" t="s">
        <v>17</v>
      </c>
      <c r="H76" s="83"/>
      <c r="I76" s="103"/>
      <c r="J76" s="76" t="s">
        <v>125</v>
      </c>
      <c r="K76" s="104"/>
      <c r="L76" s="104"/>
      <c r="M76" s="105">
        <f>IF(Tabelle1324568910[[#This Row],[Pulled after Start]]="",MIN(Tabelle1324568910[[#This Row],[Jira Story Points]],Tabelle1324568910[[#This Row],[Carry-over]]),0)</f>
        <v>3</v>
      </c>
      <c r="N76" s="106">
        <f>MIN(Tabelle1324568910[[#This Row],[Jira Story Points]],Tabelle1324568910[[#This Row],[Carry-over]])-Tabelle1324568910[[#This Row],[SP Initially Planned (COS)]]</f>
        <v>0</v>
      </c>
      <c r="O76"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76" s="108">
        <f>IFERROR(IF(Tabelle1324568910[[#This Row],[Status]]=$J$5,MIN(Tabelle1324568910[[#This Row],[Jira Story Points]],Tabelle1324568910[[#This Row],[Carry-over]]),0),0)</f>
        <v>0</v>
      </c>
      <c r="Q76" s="108">
        <f>IFERROR(IF(Tabelle1324568910[[#This Row],[Status]]=$J$5,0,MIN(Tabelle1324568910[[#This Row],[Jira Story Points]],Tabelle1324568910[[#This Row],[Carry-over]])-Tabelle1324568910[[#This Row],[SP Completed (COS &amp; SOS)]]),0)</f>
        <v>0</v>
      </c>
      <c r="AJ76" s="112"/>
      <c r="AK76" s="112"/>
      <c r="AL76" s="112"/>
      <c r="AM76" s="112"/>
    </row>
    <row r="77" spans="1:39" s="46" customFormat="1" ht="14.45" hidden="1" customHeight="1">
      <c r="A77" s="117" t="s">
        <v>2385</v>
      </c>
      <c r="B77" s="47" t="s">
        <v>2386</v>
      </c>
      <c r="C77" s="76" t="s">
        <v>375</v>
      </c>
      <c r="D77" s="76">
        <v>3</v>
      </c>
      <c r="E77" s="76" t="s">
        <v>324</v>
      </c>
      <c r="F77" s="104">
        <v>3</v>
      </c>
      <c r="G77" s="76" t="s">
        <v>17</v>
      </c>
      <c r="H77" s="83"/>
      <c r="I77" s="103"/>
      <c r="J77" s="76" t="s">
        <v>125</v>
      </c>
      <c r="K77" s="104">
        <v>1</v>
      </c>
      <c r="L77" s="104"/>
      <c r="M77" s="105">
        <f>IF(Tabelle1324568910[[#This Row],[Pulled after Start]]="",MIN(Tabelle1324568910[[#This Row],[Jira Story Points]],Tabelle1324568910[[#This Row],[Carry-over]]),0)</f>
        <v>1</v>
      </c>
      <c r="N77" s="106">
        <f>MIN(Tabelle1324568910[[#This Row],[Jira Story Points]],Tabelle1324568910[[#This Row],[Carry-over]])-Tabelle1324568910[[#This Row],[SP Initially Planned (COS)]]</f>
        <v>0</v>
      </c>
      <c r="O77"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77" s="108">
        <f>IFERROR(IF(Tabelle1324568910[[#This Row],[Status]]=$J$5,MIN(Tabelle1324568910[[#This Row],[Jira Story Points]],Tabelle1324568910[[#This Row],[Carry-over]]),0),0)</f>
        <v>0</v>
      </c>
      <c r="Q77" s="108">
        <f>IFERROR(IF(Tabelle1324568910[[#This Row],[Status]]=$J$5,0,MIN(Tabelle1324568910[[#This Row],[Jira Story Points]],Tabelle1324568910[[#This Row],[Carry-over]])-Tabelle1324568910[[#This Row],[SP Completed (COS &amp; SOS)]]),0)</f>
        <v>0</v>
      </c>
      <c r="AJ77" s="112"/>
      <c r="AK77" s="112"/>
      <c r="AL77" s="112"/>
      <c r="AM77" s="112"/>
    </row>
    <row r="78" spans="1:39" s="46" customFormat="1" ht="13.5" hidden="1" customHeight="1">
      <c r="A78" s="117" t="s">
        <v>2387</v>
      </c>
      <c r="B78" s="47" t="s">
        <v>2388</v>
      </c>
      <c r="C78" s="76" t="s">
        <v>372</v>
      </c>
      <c r="D78" s="76">
        <v>3</v>
      </c>
      <c r="E78" s="76" t="s">
        <v>324</v>
      </c>
      <c r="F78" s="104">
        <v>2</v>
      </c>
      <c r="G78" s="76" t="s">
        <v>17</v>
      </c>
      <c r="H78" s="76"/>
      <c r="I78" s="103"/>
      <c r="J78" s="76" t="s">
        <v>125</v>
      </c>
      <c r="K78" s="76"/>
      <c r="L78" s="76"/>
      <c r="M78" s="105">
        <f>IF(Tabelle1324568910[[#This Row],[Pulled after Start]]="",MIN(Tabelle1324568910[[#This Row],[Jira Story Points]],Tabelle1324568910[[#This Row],[Carry-over]]),0)</f>
        <v>2</v>
      </c>
      <c r="N78" s="106">
        <f>MIN(Tabelle1324568910[[#This Row],[Jira Story Points]],Tabelle1324568910[[#This Row],[Carry-over]])-Tabelle1324568910[[#This Row],[SP Initially Planned (COS)]]</f>
        <v>0</v>
      </c>
      <c r="O78"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2</v>
      </c>
      <c r="P78" s="108">
        <f>IFERROR(IF(Tabelle1324568910[[#This Row],[Status]]=$J$5,MIN(Tabelle1324568910[[#This Row],[Jira Story Points]],Tabelle1324568910[[#This Row],[Carry-over]]),0),0)</f>
        <v>0</v>
      </c>
      <c r="Q78" s="108">
        <f>IFERROR(IF(Tabelle1324568910[[#This Row],[Status]]=$J$5,0,MIN(Tabelle1324568910[[#This Row],[Jira Story Points]],Tabelle1324568910[[#This Row],[Carry-over]])-Tabelle1324568910[[#This Row],[SP Completed (COS &amp; SOS)]]),0)</f>
        <v>0</v>
      </c>
    </row>
    <row r="79" spans="1:39" s="46" customFormat="1" ht="13.5" hidden="1" customHeight="1">
      <c r="A79" s="117" t="s">
        <v>2389</v>
      </c>
      <c r="B79" s="47" t="s">
        <v>2390</v>
      </c>
      <c r="C79" s="76" t="s">
        <v>382</v>
      </c>
      <c r="D79" s="76">
        <v>3</v>
      </c>
      <c r="E79" s="76" t="s">
        <v>324</v>
      </c>
      <c r="F79" s="104">
        <v>3</v>
      </c>
      <c r="G79" s="76" t="s">
        <v>17</v>
      </c>
      <c r="H79" s="76"/>
      <c r="I79" s="79"/>
      <c r="J79" s="76" t="s">
        <v>125</v>
      </c>
      <c r="K79" s="104"/>
      <c r="L79" s="104"/>
      <c r="M79" s="105">
        <f>IF(Tabelle1324568910[[#This Row],[Pulled after Start]]="",MIN(Tabelle1324568910[[#This Row],[Jira Story Points]],Tabelle1324568910[[#This Row],[Carry-over]]),0)</f>
        <v>3</v>
      </c>
      <c r="N79" s="106">
        <f>MIN(Tabelle1324568910[[#This Row],[Jira Story Points]],Tabelle1324568910[[#This Row],[Carry-over]])-Tabelle1324568910[[#This Row],[SP Initially Planned (COS)]]</f>
        <v>0</v>
      </c>
      <c r="O79"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79" s="108">
        <f>IFERROR(IF(Tabelle1324568910[[#This Row],[Status]]=$J$5,MIN(Tabelle1324568910[[#This Row],[Jira Story Points]],Tabelle1324568910[[#This Row],[Carry-over]]),0),0)</f>
        <v>0</v>
      </c>
      <c r="Q79" s="108">
        <f>IFERROR(IF(Tabelle1324568910[[#This Row],[Status]]=$J$5,0,MIN(Tabelle1324568910[[#This Row],[Jira Story Points]],Tabelle1324568910[[#This Row],[Carry-over]])-Tabelle1324568910[[#This Row],[SP Completed (COS &amp; SOS)]]),0)</f>
        <v>0</v>
      </c>
    </row>
    <row r="80" spans="1:39" s="46" customFormat="1" ht="13.5" hidden="1" customHeight="1">
      <c r="A80" s="117" t="s">
        <v>1982</v>
      </c>
      <c r="B80" s="47" t="s">
        <v>1983</v>
      </c>
      <c r="C80" s="76" t="s">
        <v>375</v>
      </c>
      <c r="D80" s="76">
        <v>3</v>
      </c>
      <c r="E80" s="76" t="s">
        <v>327</v>
      </c>
      <c r="F80" s="104">
        <v>3</v>
      </c>
      <c r="G80" s="76" t="s">
        <v>17</v>
      </c>
      <c r="H80" s="83" t="s">
        <v>209</v>
      </c>
      <c r="I80" s="103"/>
      <c r="J80" s="76" t="s">
        <v>127</v>
      </c>
      <c r="K80" s="104"/>
      <c r="L80" s="104">
        <v>3</v>
      </c>
      <c r="M80" s="105">
        <f>IF(Tabelle1324568910[[#This Row],[Pulled after Start]]="",MIN(Tabelle1324568910[[#This Row],[Jira Story Points]],Tabelle1324568910[[#This Row],[Carry-over]]),0)</f>
        <v>0</v>
      </c>
      <c r="N80" s="106">
        <f>MIN(Tabelle1324568910[[#This Row],[Jira Story Points]],Tabelle1324568910[[#This Row],[Carry-over]])-Tabelle1324568910[[#This Row],[SP Initially Planned (COS)]]</f>
        <v>3</v>
      </c>
      <c r="O80"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80" s="108">
        <f>IFERROR(IF(Tabelle1324568910[[#This Row],[Status]]=$J$5,MIN(Tabelle1324568910[[#This Row],[Jira Story Points]],Tabelle1324568910[[#This Row],[Carry-over]]),0),0)</f>
        <v>0</v>
      </c>
      <c r="Q80" s="108">
        <f>IFERROR(IF(Tabelle1324568910[[#This Row],[Status]]=$J$5,0,MIN(Tabelle1324568910[[#This Row],[Jira Story Points]],Tabelle1324568910[[#This Row],[Carry-over]])-Tabelle1324568910[[#This Row],[SP Completed (COS &amp; SOS)]]),0)</f>
        <v>3</v>
      </c>
    </row>
    <row r="81" spans="1:17" s="46" customFormat="1" ht="13.5" hidden="1" customHeight="1">
      <c r="A81" s="117" t="s">
        <v>2391</v>
      </c>
      <c r="B81" s="47" t="s">
        <v>2392</v>
      </c>
      <c r="C81" s="76" t="s">
        <v>372</v>
      </c>
      <c r="D81" s="76">
        <v>3</v>
      </c>
      <c r="E81" s="76" t="s">
        <v>324</v>
      </c>
      <c r="F81" s="104">
        <v>3</v>
      </c>
      <c r="G81" s="76" t="s">
        <v>17</v>
      </c>
      <c r="H81" s="83"/>
      <c r="I81" s="103"/>
      <c r="J81" s="76" t="s">
        <v>125</v>
      </c>
      <c r="K81" s="104"/>
      <c r="L81" s="104"/>
      <c r="M81" s="105">
        <f>IF(Tabelle1324568910[[#This Row],[Pulled after Start]]="",MIN(Tabelle1324568910[[#This Row],[Jira Story Points]],Tabelle1324568910[[#This Row],[Carry-over]]),0)</f>
        <v>3</v>
      </c>
      <c r="N81" s="106">
        <f>MIN(Tabelle1324568910[[#This Row],[Jira Story Points]],Tabelle1324568910[[#This Row],[Carry-over]])-Tabelle1324568910[[#This Row],[SP Initially Planned (COS)]]</f>
        <v>0</v>
      </c>
      <c r="O81"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81" s="108">
        <f>IFERROR(IF(Tabelle1324568910[[#This Row],[Status]]=$J$5,MIN(Tabelle1324568910[[#This Row],[Jira Story Points]],Tabelle1324568910[[#This Row],[Carry-over]]),0),0)</f>
        <v>0</v>
      </c>
      <c r="Q81" s="108">
        <f>IFERROR(IF(Tabelle1324568910[[#This Row],[Status]]=$J$5,0,MIN(Tabelle1324568910[[#This Row],[Jira Story Points]],Tabelle1324568910[[#This Row],[Carry-over]])-Tabelle1324568910[[#This Row],[SP Completed (COS &amp; SOS)]]),0)</f>
        <v>0</v>
      </c>
    </row>
    <row r="82" spans="1:17" s="46" customFormat="1" ht="13.5" hidden="1" customHeight="1">
      <c r="A82" s="117" t="s">
        <v>2393</v>
      </c>
      <c r="B82" s="47" t="s">
        <v>2394</v>
      </c>
      <c r="C82" s="76" t="s">
        <v>375</v>
      </c>
      <c r="D82" s="76">
        <v>3</v>
      </c>
      <c r="E82" s="76" t="s">
        <v>324</v>
      </c>
      <c r="F82" s="104">
        <v>2</v>
      </c>
      <c r="G82" s="76" t="s">
        <v>17</v>
      </c>
      <c r="H82" s="83" t="s">
        <v>209</v>
      </c>
      <c r="I82" s="103"/>
      <c r="J82" s="76" t="s">
        <v>125</v>
      </c>
      <c r="K82" s="104"/>
      <c r="L82" s="104"/>
      <c r="M82" s="105">
        <f>IF(Tabelle1324568910[[#This Row],[Pulled after Start]]="",MIN(Tabelle1324568910[[#This Row],[Jira Story Points]],Tabelle1324568910[[#This Row],[Carry-over]]),0)</f>
        <v>0</v>
      </c>
      <c r="N82" s="106">
        <f>MIN(Tabelle1324568910[[#This Row],[Jira Story Points]],Tabelle1324568910[[#This Row],[Carry-over]])-Tabelle1324568910[[#This Row],[SP Initially Planned (COS)]]</f>
        <v>2</v>
      </c>
      <c r="O82"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2</v>
      </c>
      <c r="P82" s="108">
        <f>IFERROR(IF(Tabelle1324568910[[#This Row],[Status]]=$J$5,MIN(Tabelle1324568910[[#This Row],[Jira Story Points]],Tabelle1324568910[[#This Row],[Carry-over]]),0),0)</f>
        <v>0</v>
      </c>
      <c r="Q82" s="108">
        <f>IFERROR(IF(Tabelle1324568910[[#This Row],[Status]]=$J$5,0,MIN(Tabelle1324568910[[#This Row],[Jira Story Points]],Tabelle1324568910[[#This Row],[Carry-over]])-Tabelle1324568910[[#This Row],[SP Completed (COS &amp; SOS)]]),0)</f>
        <v>0</v>
      </c>
    </row>
    <row r="83" spans="1:17" s="46" customFormat="1" ht="13.5" hidden="1" customHeight="1">
      <c r="A83" s="117" t="s">
        <v>2395</v>
      </c>
      <c r="B83" s="47" t="s">
        <v>2396</v>
      </c>
      <c r="C83" s="76" t="s">
        <v>375</v>
      </c>
      <c r="D83" s="76">
        <v>2</v>
      </c>
      <c r="E83" s="76" t="s">
        <v>324</v>
      </c>
      <c r="F83" s="104">
        <v>5</v>
      </c>
      <c r="G83" s="76" t="s">
        <v>17</v>
      </c>
      <c r="H83" s="83"/>
      <c r="I83" s="103"/>
      <c r="J83" s="76" t="s">
        <v>125</v>
      </c>
      <c r="K83" s="104"/>
      <c r="L83" s="104"/>
      <c r="M83" s="105">
        <f>IF(Tabelle1324568910[[#This Row],[Pulled after Start]]="",MIN(Tabelle1324568910[[#This Row],[Jira Story Points]],Tabelle1324568910[[#This Row],[Carry-over]]),0)</f>
        <v>5</v>
      </c>
      <c r="N83" s="106">
        <f>MIN(Tabelle1324568910[[#This Row],[Jira Story Points]],Tabelle1324568910[[#This Row],[Carry-over]])-Tabelle1324568910[[#This Row],[SP Initially Planned (COS)]]</f>
        <v>0</v>
      </c>
      <c r="O83"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5</v>
      </c>
      <c r="P83" s="108">
        <f>IFERROR(IF(Tabelle1324568910[[#This Row],[Status]]=$J$5,MIN(Tabelle1324568910[[#This Row],[Jira Story Points]],Tabelle1324568910[[#This Row],[Carry-over]]),0),0)</f>
        <v>0</v>
      </c>
      <c r="Q83" s="108">
        <f>IFERROR(IF(Tabelle1324568910[[#This Row],[Status]]=$J$5,0,MIN(Tabelle1324568910[[#This Row],[Jira Story Points]],Tabelle1324568910[[#This Row],[Carry-over]])-Tabelle1324568910[[#This Row],[SP Completed (COS &amp; SOS)]]),0)</f>
        <v>0</v>
      </c>
    </row>
    <row r="84" spans="1:17" s="46" customFormat="1" ht="13.5" hidden="1" customHeight="1">
      <c r="A84" s="117" t="s">
        <v>2253</v>
      </c>
      <c r="B84" s="47" t="s">
        <v>2254</v>
      </c>
      <c r="C84" s="76" t="s">
        <v>372</v>
      </c>
      <c r="D84" s="76">
        <v>3</v>
      </c>
      <c r="E84" s="76" t="s">
        <v>327</v>
      </c>
      <c r="F84" s="104">
        <v>5</v>
      </c>
      <c r="G84" s="76" t="s">
        <v>17</v>
      </c>
      <c r="H84" s="83"/>
      <c r="I84" s="103"/>
      <c r="J84" s="76" t="s">
        <v>127</v>
      </c>
      <c r="K84" s="104">
        <v>5</v>
      </c>
      <c r="L84" s="104">
        <v>1</v>
      </c>
      <c r="M84" s="105">
        <f>IF(Tabelle1324568910[[#This Row],[Pulled after Start]]="",MIN(Tabelle1324568910[[#This Row],[Jira Story Points]],Tabelle1324568910[[#This Row],[Carry-over]]),0)</f>
        <v>5</v>
      </c>
      <c r="N84" s="106">
        <f>MIN(Tabelle1324568910[[#This Row],[Jira Story Points]],Tabelle1324568910[[#This Row],[Carry-over]])-Tabelle1324568910[[#This Row],[SP Initially Planned (COS)]]</f>
        <v>0</v>
      </c>
      <c r="O84"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4</v>
      </c>
      <c r="P84" s="108">
        <f>IFERROR(IF(Tabelle1324568910[[#This Row],[Status]]=$J$5,MIN(Tabelle1324568910[[#This Row],[Jira Story Points]],Tabelle1324568910[[#This Row],[Carry-over]]),0),0)</f>
        <v>0</v>
      </c>
      <c r="Q84" s="108">
        <f>IFERROR(IF(Tabelle1324568910[[#This Row],[Status]]=$J$5,0,MIN(Tabelle1324568910[[#This Row],[Jira Story Points]],Tabelle1324568910[[#This Row],[Carry-over]])-Tabelle1324568910[[#This Row],[SP Completed (COS &amp; SOS)]]),0)</f>
        <v>1</v>
      </c>
    </row>
    <row r="85" spans="1:17" s="46" customFormat="1" ht="13.5" hidden="1" customHeight="1">
      <c r="A85" s="117" t="s">
        <v>2397</v>
      </c>
      <c r="B85" s="47" t="s">
        <v>2263</v>
      </c>
      <c r="C85" s="76" t="s">
        <v>382</v>
      </c>
      <c r="D85" s="76">
        <v>3</v>
      </c>
      <c r="E85" s="76" t="s">
        <v>324</v>
      </c>
      <c r="F85" s="104">
        <v>3</v>
      </c>
      <c r="G85" s="76" t="s">
        <v>17</v>
      </c>
      <c r="H85" s="83" t="s">
        <v>209</v>
      </c>
      <c r="I85" s="103"/>
      <c r="J85" s="76" t="s">
        <v>125</v>
      </c>
      <c r="K85" s="104"/>
      <c r="L85" s="104"/>
      <c r="M85" s="105">
        <f>IF(Tabelle1324568910[[#This Row],[Pulled after Start]]="",MIN(Tabelle1324568910[[#This Row],[Jira Story Points]],Tabelle1324568910[[#This Row],[Carry-over]]),0)</f>
        <v>0</v>
      </c>
      <c r="N85" s="106">
        <f>MIN(Tabelle1324568910[[#This Row],[Jira Story Points]],Tabelle1324568910[[#This Row],[Carry-over]])-Tabelle1324568910[[#This Row],[SP Initially Planned (COS)]]</f>
        <v>3</v>
      </c>
      <c r="O85"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85" s="108">
        <f>IFERROR(IF(Tabelle1324568910[[#This Row],[Status]]=$J$5,MIN(Tabelle1324568910[[#This Row],[Jira Story Points]],Tabelle1324568910[[#This Row],[Carry-over]]),0),0)</f>
        <v>0</v>
      </c>
      <c r="Q85" s="108">
        <f>IFERROR(IF(Tabelle1324568910[[#This Row],[Status]]=$J$5,0,MIN(Tabelle1324568910[[#This Row],[Jira Story Points]],Tabelle1324568910[[#This Row],[Carry-over]])-Tabelle1324568910[[#This Row],[SP Completed (COS &amp; SOS)]]),0)</f>
        <v>0</v>
      </c>
    </row>
    <row r="86" spans="1:17" s="46" customFormat="1" ht="13.5" hidden="1" customHeight="1">
      <c r="A86" s="102" t="s">
        <v>2398</v>
      </c>
      <c r="B86" s="80" t="s">
        <v>2399</v>
      </c>
      <c r="C86" s="81" t="s">
        <v>372</v>
      </c>
      <c r="D86" s="81">
        <v>3</v>
      </c>
      <c r="E86" s="81" t="s">
        <v>324</v>
      </c>
      <c r="F86" s="81">
        <v>5</v>
      </c>
      <c r="G86" s="76" t="s">
        <v>5</v>
      </c>
      <c r="H86" s="83"/>
      <c r="I86" s="103"/>
      <c r="J86" s="76" t="s">
        <v>125</v>
      </c>
      <c r="K86" s="104">
        <v>2</v>
      </c>
      <c r="L86" s="104"/>
      <c r="M86" s="105">
        <f>IF(Tabelle1324568910[[#This Row],[Pulled after Start]]="",MIN(Tabelle1324568910[[#This Row],[Jira Story Points]],Tabelle1324568910[[#This Row],[Carry-over]]),0)</f>
        <v>2</v>
      </c>
      <c r="N86" s="106">
        <f>MIN(Tabelle1324568910[[#This Row],[Jira Story Points]],Tabelle1324568910[[#This Row],[Carry-over]])-Tabelle1324568910[[#This Row],[SP Initially Planned (COS)]]</f>
        <v>0</v>
      </c>
      <c r="O86"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2</v>
      </c>
      <c r="P86" s="108">
        <f>IFERROR(IF(Tabelle1324568910[[#This Row],[Status]]=$J$5,MIN(Tabelle1324568910[[#This Row],[Jira Story Points]],Tabelle1324568910[[#This Row],[Carry-over]]),0),0)</f>
        <v>0</v>
      </c>
      <c r="Q86" s="108">
        <f>IFERROR(IF(Tabelle1324568910[[#This Row],[Status]]=$J$5,0,MIN(Tabelle1324568910[[#This Row],[Jira Story Points]],Tabelle1324568910[[#This Row],[Carry-over]])-Tabelle1324568910[[#This Row],[SP Completed (COS &amp; SOS)]]),0)</f>
        <v>0</v>
      </c>
    </row>
    <row r="87" spans="1:17" s="46" customFormat="1" ht="13.5" hidden="1" customHeight="1">
      <c r="A87" s="102" t="s">
        <v>2400</v>
      </c>
      <c r="B87" s="80" t="s">
        <v>2401</v>
      </c>
      <c r="C87" s="81" t="s">
        <v>372</v>
      </c>
      <c r="D87" s="81">
        <v>3</v>
      </c>
      <c r="E87" s="81" t="s">
        <v>324</v>
      </c>
      <c r="F87" s="81">
        <v>5</v>
      </c>
      <c r="G87" s="76" t="s">
        <v>5</v>
      </c>
      <c r="H87" s="83"/>
      <c r="I87" s="103"/>
      <c r="J87" s="76" t="s">
        <v>125</v>
      </c>
      <c r="K87" s="104"/>
      <c r="L87" s="104"/>
      <c r="M87" s="105">
        <f>IF(Tabelle1324568910[[#This Row],[Pulled after Start]]="",MIN(Tabelle1324568910[[#This Row],[Jira Story Points]],Tabelle1324568910[[#This Row],[Carry-over]]),0)</f>
        <v>5</v>
      </c>
      <c r="N87" s="106">
        <f>MIN(Tabelle1324568910[[#This Row],[Jira Story Points]],Tabelle1324568910[[#This Row],[Carry-over]])-Tabelle1324568910[[#This Row],[SP Initially Planned (COS)]]</f>
        <v>0</v>
      </c>
      <c r="O87"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5</v>
      </c>
      <c r="P87" s="108">
        <f>IFERROR(IF(Tabelle1324568910[[#This Row],[Status]]=$J$5,MIN(Tabelle1324568910[[#This Row],[Jira Story Points]],Tabelle1324568910[[#This Row],[Carry-over]]),0),0)</f>
        <v>0</v>
      </c>
      <c r="Q87" s="108">
        <f>IFERROR(IF(Tabelle1324568910[[#This Row],[Status]]=$J$5,0,MIN(Tabelle1324568910[[#This Row],[Jira Story Points]],Tabelle1324568910[[#This Row],[Carry-over]])-Tabelle1324568910[[#This Row],[SP Completed (COS &amp; SOS)]]),0)</f>
        <v>0</v>
      </c>
    </row>
    <row r="88" spans="1:17" s="46" customFormat="1" ht="13.5" hidden="1" customHeight="1">
      <c r="A88" s="102" t="s">
        <v>2402</v>
      </c>
      <c r="B88" s="80" t="s">
        <v>2403</v>
      </c>
      <c r="C88" s="81" t="s">
        <v>372</v>
      </c>
      <c r="D88" s="81">
        <v>3</v>
      </c>
      <c r="E88" s="81" t="s">
        <v>324</v>
      </c>
      <c r="F88" s="81">
        <v>5</v>
      </c>
      <c r="G88" s="76" t="s">
        <v>5</v>
      </c>
      <c r="H88" s="83"/>
      <c r="I88" s="103"/>
      <c r="J88" s="76" t="s">
        <v>125</v>
      </c>
      <c r="K88" s="104"/>
      <c r="L88" s="104"/>
      <c r="M88" s="105">
        <f>IF(Tabelle1324568910[[#This Row],[Pulled after Start]]="",MIN(Tabelle1324568910[[#This Row],[Jira Story Points]],Tabelle1324568910[[#This Row],[Carry-over]]),0)</f>
        <v>5</v>
      </c>
      <c r="N88" s="106">
        <f>MIN(Tabelle1324568910[[#This Row],[Jira Story Points]],Tabelle1324568910[[#This Row],[Carry-over]])-Tabelle1324568910[[#This Row],[SP Initially Planned (COS)]]</f>
        <v>0</v>
      </c>
      <c r="O88"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5</v>
      </c>
      <c r="P88" s="108">
        <f>IFERROR(IF(Tabelle1324568910[[#This Row],[Status]]=$J$5,MIN(Tabelle1324568910[[#This Row],[Jira Story Points]],Tabelle1324568910[[#This Row],[Carry-over]]),0),0)</f>
        <v>0</v>
      </c>
      <c r="Q88" s="108">
        <f>IFERROR(IF(Tabelle1324568910[[#This Row],[Status]]=$J$5,0,MIN(Tabelle1324568910[[#This Row],[Jira Story Points]],Tabelle1324568910[[#This Row],[Carry-over]])-Tabelle1324568910[[#This Row],[SP Completed (COS &amp; SOS)]]),0)</f>
        <v>0</v>
      </c>
    </row>
    <row r="89" spans="1:17" s="46" customFormat="1" ht="13.5" hidden="1" customHeight="1">
      <c r="A89" s="102" t="s">
        <v>2404</v>
      </c>
      <c r="B89" s="80" t="s">
        <v>2405</v>
      </c>
      <c r="C89" s="81" t="s">
        <v>375</v>
      </c>
      <c r="D89" s="81">
        <v>3</v>
      </c>
      <c r="E89" s="81" t="s">
        <v>324</v>
      </c>
      <c r="F89" s="81">
        <v>3</v>
      </c>
      <c r="G89" s="76" t="s">
        <v>5</v>
      </c>
      <c r="H89" s="83"/>
      <c r="I89" s="103" t="s">
        <v>2406</v>
      </c>
      <c r="J89" s="76" t="s">
        <v>125</v>
      </c>
      <c r="K89" s="104">
        <v>3</v>
      </c>
      <c r="L89" s="104"/>
      <c r="M89" s="105">
        <f>IF(Tabelle1324568910[[#This Row],[Pulled after Start]]="",MIN(Tabelle1324568910[[#This Row],[Jira Story Points]],Tabelle1324568910[[#This Row],[Carry-over]]),0)</f>
        <v>3</v>
      </c>
      <c r="N89" s="106">
        <f>MIN(Tabelle1324568910[[#This Row],[Jira Story Points]],Tabelle1324568910[[#This Row],[Carry-over]])-Tabelle1324568910[[#This Row],[SP Initially Planned (COS)]]</f>
        <v>0</v>
      </c>
      <c r="O89"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89" s="108">
        <f>IFERROR(IF(Tabelle1324568910[[#This Row],[Status]]=$J$5,MIN(Tabelle1324568910[[#This Row],[Jira Story Points]],Tabelle1324568910[[#This Row],[Carry-over]]),0),0)</f>
        <v>0</v>
      </c>
      <c r="Q89" s="108">
        <f>IFERROR(IF(Tabelle1324568910[[#This Row],[Status]]=$J$5,0,MIN(Tabelle1324568910[[#This Row],[Jira Story Points]],Tabelle1324568910[[#This Row],[Carry-over]])-Tabelle1324568910[[#This Row],[SP Completed (COS &amp; SOS)]]),0)</f>
        <v>0</v>
      </c>
    </row>
    <row r="90" spans="1:17" s="46" customFormat="1" ht="13.5" hidden="1" customHeight="1">
      <c r="A90" s="102" t="s">
        <v>2407</v>
      </c>
      <c r="B90" s="80" t="s">
        <v>2408</v>
      </c>
      <c r="C90" s="81" t="s">
        <v>372</v>
      </c>
      <c r="D90" s="81">
        <v>3</v>
      </c>
      <c r="E90" s="81" t="s">
        <v>324</v>
      </c>
      <c r="F90" s="81">
        <v>3</v>
      </c>
      <c r="G90" s="76" t="s">
        <v>5</v>
      </c>
      <c r="H90" s="83"/>
      <c r="I90" s="103"/>
      <c r="J90" s="76" t="s">
        <v>125</v>
      </c>
      <c r="K90" s="104"/>
      <c r="L90" s="104"/>
      <c r="M90" s="105">
        <f>IF(Tabelle1324568910[[#This Row],[Pulled after Start]]="",MIN(Tabelle1324568910[[#This Row],[Jira Story Points]],Tabelle1324568910[[#This Row],[Carry-over]]),0)</f>
        <v>3</v>
      </c>
      <c r="N90" s="106">
        <f>MIN(Tabelle1324568910[[#This Row],[Jira Story Points]],Tabelle1324568910[[#This Row],[Carry-over]])-Tabelle1324568910[[#This Row],[SP Initially Planned (COS)]]</f>
        <v>0</v>
      </c>
      <c r="O90"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90" s="108">
        <f>IFERROR(IF(Tabelle1324568910[[#This Row],[Status]]=$J$5,MIN(Tabelle1324568910[[#This Row],[Jira Story Points]],Tabelle1324568910[[#This Row],[Carry-over]]),0),0)</f>
        <v>0</v>
      </c>
      <c r="Q90" s="108">
        <f>IFERROR(IF(Tabelle1324568910[[#This Row],[Status]]=$J$5,0,MIN(Tabelle1324568910[[#This Row],[Jira Story Points]],Tabelle1324568910[[#This Row],[Carry-over]])-Tabelle1324568910[[#This Row],[SP Completed (COS &amp; SOS)]]),0)</f>
        <v>0</v>
      </c>
    </row>
    <row r="91" spans="1:17" s="46" customFormat="1" ht="13.5" hidden="1" customHeight="1">
      <c r="A91" s="102" t="s">
        <v>2409</v>
      </c>
      <c r="B91" s="80" t="s">
        <v>2410</v>
      </c>
      <c r="C91" s="81" t="s">
        <v>372</v>
      </c>
      <c r="D91" s="81">
        <v>3</v>
      </c>
      <c r="E91" s="81" t="s">
        <v>327</v>
      </c>
      <c r="F91" s="81">
        <v>5</v>
      </c>
      <c r="G91" s="76" t="s">
        <v>5</v>
      </c>
      <c r="H91" s="83"/>
      <c r="I91" s="103" t="s">
        <v>2406</v>
      </c>
      <c r="J91" s="76" t="s">
        <v>125</v>
      </c>
      <c r="K91" s="104"/>
      <c r="L91" s="104"/>
      <c r="M91" s="105">
        <f>IF(Tabelle1324568910[[#This Row],[Pulled after Start]]="",MIN(Tabelle1324568910[[#This Row],[Jira Story Points]],Tabelle1324568910[[#This Row],[Carry-over]]),0)</f>
        <v>5</v>
      </c>
      <c r="N91" s="106">
        <f>MIN(Tabelle1324568910[[#This Row],[Jira Story Points]],Tabelle1324568910[[#This Row],[Carry-over]])-Tabelle1324568910[[#This Row],[SP Initially Planned (COS)]]</f>
        <v>0</v>
      </c>
      <c r="O91"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5</v>
      </c>
      <c r="P91" s="108">
        <f>IFERROR(IF(Tabelle1324568910[[#This Row],[Status]]=$J$5,MIN(Tabelle1324568910[[#This Row],[Jira Story Points]],Tabelle1324568910[[#This Row],[Carry-over]]),0),0)</f>
        <v>0</v>
      </c>
      <c r="Q91" s="108">
        <f>IFERROR(IF(Tabelle1324568910[[#This Row],[Status]]=$J$5,0,MIN(Tabelle1324568910[[#This Row],[Jira Story Points]],Tabelle1324568910[[#This Row],[Carry-over]])-Tabelle1324568910[[#This Row],[SP Completed (COS &amp; SOS)]]),0)</f>
        <v>0</v>
      </c>
    </row>
    <row r="92" spans="1:17" s="46" customFormat="1" ht="13.5" hidden="1" customHeight="1">
      <c r="A92" s="102" t="s">
        <v>2049</v>
      </c>
      <c r="B92" s="80" t="s">
        <v>2050</v>
      </c>
      <c r="C92" s="81" t="s">
        <v>372</v>
      </c>
      <c r="D92" s="81">
        <v>3</v>
      </c>
      <c r="E92" s="81" t="s">
        <v>327</v>
      </c>
      <c r="F92" s="81">
        <v>5</v>
      </c>
      <c r="G92" s="76" t="s">
        <v>5</v>
      </c>
      <c r="H92" s="83"/>
      <c r="I92" s="103"/>
      <c r="J92" s="76" t="s">
        <v>127</v>
      </c>
      <c r="K92" s="104"/>
      <c r="L92" s="104">
        <v>5</v>
      </c>
      <c r="M92" s="105">
        <f>IF(Tabelle1324568910[[#This Row],[Pulled after Start]]="",MIN(Tabelle1324568910[[#This Row],[Jira Story Points]],Tabelle1324568910[[#This Row],[Carry-over]]),0)</f>
        <v>5</v>
      </c>
      <c r="N92" s="106">
        <f>MIN(Tabelle1324568910[[#This Row],[Jira Story Points]],Tabelle1324568910[[#This Row],[Carry-over]])-Tabelle1324568910[[#This Row],[SP Initially Planned (COS)]]</f>
        <v>0</v>
      </c>
      <c r="O92"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92" s="108">
        <f>IFERROR(IF(Tabelle1324568910[[#This Row],[Status]]=$J$5,MIN(Tabelle1324568910[[#This Row],[Jira Story Points]],Tabelle1324568910[[#This Row],[Carry-over]]),0),0)</f>
        <v>0</v>
      </c>
      <c r="Q92" s="108">
        <f>IFERROR(IF(Tabelle1324568910[[#This Row],[Status]]=$J$5,0,MIN(Tabelle1324568910[[#This Row],[Jira Story Points]],Tabelle1324568910[[#This Row],[Carry-over]])-Tabelle1324568910[[#This Row],[SP Completed (COS &amp; SOS)]]),0)</f>
        <v>5</v>
      </c>
    </row>
    <row r="93" spans="1:17" s="46" customFormat="1" ht="13.5" hidden="1" customHeight="1">
      <c r="A93" s="102" t="s">
        <v>2305</v>
      </c>
      <c r="B93" s="80" t="s">
        <v>2306</v>
      </c>
      <c r="C93" s="81" t="s">
        <v>372</v>
      </c>
      <c r="D93" s="81">
        <v>3</v>
      </c>
      <c r="E93" s="81" t="s">
        <v>327</v>
      </c>
      <c r="F93" s="81">
        <v>5</v>
      </c>
      <c r="G93" s="76" t="s">
        <v>5</v>
      </c>
      <c r="H93" s="83"/>
      <c r="I93" s="103" t="s">
        <v>2406</v>
      </c>
      <c r="J93" s="76" t="s">
        <v>127</v>
      </c>
      <c r="K93" s="104"/>
      <c r="L93" s="104">
        <v>2</v>
      </c>
      <c r="M93" s="105">
        <f>IF(Tabelle1324568910[[#This Row],[Pulled after Start]]="",MIN(Tabelle1324568910[[#This Row],[Jira Story Points]],Tabelle1324568910[[#This Row],[Carry-over]]),0)</f>
        <v>5</v>
      </c>
      <c r="N93" s="106">
        <f>MIN(Tabelle1324568910[[#This Row],[Jira Story Points]],Tabelle1324568910[[#This Row],[Carry-over]])-Tabelle1324568910[[#This Row],[SP Initially Planned (COS)]]</f>
        <v>0</v>
      </c>
      <c r="O93"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93" s="108">
        <f>IFERROR(IF(Tabelle1324568910[[#This Row],[Status]]=$J$5,MIN(Tabelle1324568910[[#This Row],[Jira Story Points]],Tabelle1324568910[[#This Row],[Carry-over]]),0),0)</f>
        <v>0</v>
      </c>
      <c r="Q93" s="108">
        <f>IFERROR(IF(Tabelle1324568910[[#This Row],[Status]]=$J$5,0,MIN(Tabelle1324568910[[#This Row],[Jira Story Points]],Tabelle1324568910[[#This Row],[Carry-over]])-Tabelle1324568910[[#This Row],[SP Completed (COS &amp; SOS)]]),0)</f>
        <v>2</v>
      </c>
    </row>
    <row r="94" spans="1:17" s="46" customFormat="1" ht="13.5" hidden="1" customHeight="1">
      <c r="A94" s="102" t="s">
        <v>2313</v>
      </c>
      <c r="B94" s="80" t="s">
        <v>2314</v>
      </c>
      <c r="C94" s="81" t="s">
        <v>372</v>
      </c>
      <c r="D94" s="81">
        <v>3</v>
      </c>
      <c r="E94" s="81" t="s">
        <v>327</v>
      </c>
      <c r="F94" s="81">
        <v>8</v>
      </c>
      <c r="G94" s="78" t="s">
        <v>5</v>
      </c>
      <c r="H94" s="110"/>
      <c r="I94" s="110"/>
      <c r="J94" s="111" t="s">
        <v>127</v>
      </c>
      <c r="K94" s="111"/>
      <c r="L94" s="111">
        <v>1</v>
      </c>
      <c r="M94" s="105">
        <f>IF(Tabelle1324568910[[#This Row],[Pulled after Start]]="",MIN(Tabelle1324568910[[#This Row],[Jira Story Points]],Tabelle1324568910[[#This Row],[Carry-over]]),0)</f>
        <v>8</v>
      </c>
      <c r="N94" s="106">
        <f>MIN(Tabelle1324568910[[#This Row],[Jira Story Points]],Tabelle1324568910[[#This Row],[Carry-over]])-Tabelle1324568910[[#This Row],[SP Initially Planned (COS)]]</f>
        <v>0</v>
      </c>
      <c r="O94"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7</v>
      </c>
      <c r="P94" s="108">
        <f>IFERROR(IF(Tabelle1324568910[[#This Row],[Status]]=$J$5,MIN(Tabelle1324568910[[#This Row],[Jira Story Points]],Tabelle1324568910[[#This Row],[Carry-over]]),0),0)</f>
        <v>0</v>
      </c>
      <c r="Q94" s="108">
        <f>IFERROR(IF(Tabelle1324568910[[#This Row],[Status]]=$J$5,0,MIN(Tabelle1324568910[[#This Row],[Jira Story Points]],Tabelle1324568910[[#This Row],[Carry-over]])-Tabelle1324568910[[#This Row],[SP Completed (COS &amp; SOS)]]),0)</f>
        <v>1</v>
      </c>
    </row>
    <row r="95" spans="1:17" s="46" customFormat="1" ht="13.5" hidden="1" customHeight="1">
      <c r="A95" s="102" t="s">
        <v>2411</v>
      </c>
      <c r="B95" s="80" t="s">
        <v>2412</v>
      </c>
      <c r="C95" s="81" t="s">
        <v>372</v>
      </c>
      <c r="D95" s="81">
        <v>3</v>
      </c>
      <c r="E95" s="81" t="s">
        <v>324</v>
      </c>
      <c r="F95" s="81">
        <v>3</v>
      </c>
      <c r="G95" s="114" t="s">
        <v>9</v>
      </c>
      <c r="H95" s="83"/>
      <c r="I95" s="103"/>
      <c r="J95" s="76" t="s">
        <v>125</v>
      </c>
      <c r="K95" s="104"/>
      <c r="L95" s="104"/>
      <c r="M95" s="105">
        <f>IF(Tabelle1324568910[[#This Row],[Pulled after Start]]="",MIN(Tabelle1324568910[[#This Row],[Jira Story Points]],Tabelle1324568910[[#This Row],[Carry-over]]),0)</f>
        <v>3</v>
      </c>
      <c r="N95" s="106">
        <f>MIN(Tabelle1324568910[[#This Row],[Jira Story Points]],Tabelle1324568910[[#This Row],[Carry-over]])-Tabelle1324568910[[#This Row],[SP Initially Planned (COS)]]</f>
        <v>0</v>
      </c>
      <c r="O95"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95" s="108">
        <f>IFERROR(IF(Tabelle1324568910[[#This Row],[Status]]=$J$5,MIN(Tabelle1324568910[[#This Row],[Jira Story Points]],Tabelle1324568910[[#This Row],[Carry-over]]),0),0)</f>
        <v>0</v>
      </c>
      <c r="Q95" s="108">
        <f>IFERROR(IF(Tabelle1324568910[[#This Row],[Status]]=$J$5,0,MIN(Tabelle1324568910[[#This Row],[Jira Story Points]],Tabelle1324568910[[#This Row],[Carry-over]])-Tabelle1324568910[[#This Row],[SP Completed (COS &amp; SOS)]]),0)</f>
        <v>0</v>
      </c>
    </row>
    <row r="96" spans="1:17" s="46" customFormat="1" ht="13.5" hidden="1" customHeight="1">
      <c r="A96" s="102" t="s">
        <v>2413</v>
      </c>
      <c r="B96" s="80" t="s">
        <v>2414</v>
      </c>
      <c r="C96" s="81" t="s">
        <v>372</v>
      </c>
      <c r="D96" s="81">
        <v>3</v>
      </c>
      <c r="E96" s="81" t="s">
        <v>324</v>
      </c>
      <c r="F96" s="81">
        <v>3</v>
      </c>
      <c r="G96" s="114" t="s">
        <v>9</v>
      </c>
      <c r="H96" s="83"/>
      <c r="I96" s="103"/>
      <c r="J96" s="76" t="s">
        <v>125</v>
      </c>
      <c r="K96" s="104"/>
      <c r="L96" s="104"/>
      <c r="M96" s="105">
        <f>IF(Tabelle1324568910[[#This Row],[Pulled after Start]]="",MIN(Tabelle1324568910[[#This Row],[Jira Story Points]],Tabelle1324568910[[#This Row],[Carry-over]]),0)</f>
        <v>3</v>
      </c>
      <c r="N96" s="106">
        <f>MIN(Tabelle1324568910[[#This Row],[Jira Story Points]],Tabelle1324568910[[#This Row],[Carry-over]])-Tabelle1324568910[[#This Row],[SP Initially Planned (COS)]]</f>
        <v>0</v>
      </c>
      <c r="O96"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96" s="108">
        <f>IFERROR(IF(Tabelle1324568910[[#This Row],[Status]]=$J$5,MIN(Tabelle1324568910[[#This Row],[Jira Story Points]],Tabelle1324568910[[#This Row],[Carry-over]]),0),0)</f>
        <v>0</v>
      </c>
      <c r="Q96" s="108">
        <f>IFERROR(IF(Tabelle1324568910[[#This Row],[Status]]=$J$5,0,MIN(Tabelle1324568910[[#This Row],[Jira Story Points]],Tabelle1324568910[[#This Row],[Carry-over]])-Tabelle1324568910[[#This Row],[SP Completed (COS &amp; SOS)]]),0)</f>
        <v>0</v>
      </c>
    </row>
    <row r="97" spans="1:17" s="46" customFormat="1" ht="13.5" hidden="1" customHeight="1">
      <c r="A97" s="102" t="s">
        <v>2415</v>
      </c>
      <c r="B97" s="80" t="s">
        <v>2416</v>
      </c>
      <c r="C97" s="81" t="s">
        <v>372</v>
      </c>
      <c r="D97" s="81">
        <v>3</v>
      </c>
      <c r="E97" s="81" t="s">
        <v>324</v>
      </c>
      <c r="F97" s="81">
        <v>3</v>
      </c>
      <c r="G97" s="114" t="s">
        <v>9</v>
      </c>
      <c r="H97" s="83"/>
      <c r="I97" s="103"/>
      <c r="J97" s="76" t="s">
        <v>125</v>
      </c>
      <c r="K97" s="104"/>
      <c r="L97" s="104"/>
      <c r="M97" s="105">
        <f>IF(Tabelle1324568910[[#This Row],[Pulled after Start]]="",MIN(Tabelle1324568910[[#This Row],[Jira Story Points]],Tabelle1324568910[[#This Row],[Carry-over]]),0)</f>
        <v>3</v>
      </c>
      <c r="N97" s="106">
        <f>MIN(Tabelle1324568910[[#This Row],[Jira Story Points]],Tabelle1324568910[[#This Row],[Carry-over]])-Tabelle1324568910[[#This Row],[SP Initially Planned (COS)]]</f>
        <v>0</v>
      </c>
      <c r="O97"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97" s="108">
        <f>IFERROR(IF(Tabelle1324568910[[#This Row],[Status]]=$J$5,MIN(Tabelle1324568910[[#This Row],[Jira Story Points]],Tabelle1324568910[[#This Row],[Carry-over]]),0),0)</f>
        <v>0</v>
      </c>
      <c r="Q97" s="108">
        <f>IFERROR(IF(Tabelle1324568910[[#This Row],[Status]]=$J$5,0,MIN(Tabelle1324568910[[#This Row],[Jira Story Points]],Tabelle1324568910[[#This Row],[Carry-over]])-Tabelle1324568910[[#This Row],[SP Completed (COS &amp; SOS)]]),0)</f>
        <v>0</v>
      </c>
    </row>
    <row r="98" spans="1:17" s="46" customFormat="1" ht="13.5" hidden="1" customHeight="1">
      <c r="A98" s="102" t="s">
        <v>2417</v>
      </c>
      <c r="B98" s="80" t="s">
        <v>2418</v>
      </c>
      <c r="C98" s="81" t="s">
        <v>372</v>
      </c>
      <c r="D98" s="81">
        <v>3</v>
      </c>
      <c r="E98" s="81" t="s">
        <v>324</v>
      </c>
      <c r="F98" s="81" t="s">
        <v>210</v>
      </c>
      <c r="G98" s="114" t="s">
        <v>9</v>
      </c>
      <c r="H98" s="83"/>
      <c r="I98" s="103"/>
      <c r="J98" s="76" t="s">
        <v>125</v>
      </c>
      <c r="K98" s="104"/>
      <c r="L98" s="104"/>
      <c r="M98" s="105">
        <f>IF(Tabelle1324568910[[#This Row],[Pulled after Start]]="",MIN(Tabelle1324568910[[#This Row],[Jira Story Points]],Tabelle1324568910[[#This Row],[Carry-over]]),0)</f>
        <v>0</v>
      </c>
      <c r="N98" s="106">
        <f>MIN(Tabelle1324568910[[#This Row],[Jira Story Points]],Tabelle1324568910[[#This Row],[Carry-over]])-Tabelle1324568910[[#This Row],[SP Initially Planned (COS)]]</f>
        <v>0</v>
      </c>
      <c r="O98" s="107" t="str">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v>
      </c>
      <c r="P98" s="108">
        <f>IFERROR(IF(Tabelle1324568910[[#This Row],[Status]]=$J$5,MIN(Tabelle1324568910[[#This Row],[Jira Story Points]],Tabelle1324568910[[#This Row],[Carry-over]]),0),0)</f>
        <v>0</v>
      </c>
      <c r="Q98" s="108">
        <f>IFERROR(IF(Tabelle1324568910[[#This Row],[Status]]=$J$5,0,MIN(Tabelle1324568910[[#This Row],[Jira Story Points]],Tabelle1324568910[[#This Row],[Carry-over]])-Tabelle1324568910[[#This Row],[SP Completed (COS &amp; SOS)]]),0)</f>
        <v>0</v>
      </c>
    </row>
    <row r="99" spans="1:17" s="46" customFormat="1" ht="13.5" hidden="1" customHeight="1">
      <c r="A99" s="102" t="s">
        <v>2419</v>
      </c>
      <c r="B99" s="80" t="s">
        <v>2420</v>
      </c>
      <c r="C99" s="81" t="s">
        <v>372</v>
      </c>
      <c r="D99" s="81">
        <v>3</v>
      </c>
      <c r="E99" s="81" t="s">
        <v>324</v>
      </c>
      <c r="F99" s="81">
        <v>3</v>
      </c>
      <c r="G99" s="114" t="s">
        <v>9</v>
      </c>
      <c r="H99" s="83" t="s">
        <v>209</v>
      </c>
      <c r="I99" s="103"/>
      <c r="J99" s="76" t="s">
        <v>125</v>
      </c>
      <c r="K99" s="104"/>
      <c r="L99" s="104"/>
      <c r="M99" s="105">
        <f>IF(Tabelle1324568910[[#This Row],[Pulled after Start]]="",MIN(Tabelle1324568910[[#This Row],[Jira Story Points]],Tabelle1324568910[[#This Row],[Carry-over]]),0)</f>
        <v>0</v>
      </c>
      <c r="N99" s="106">
        <f>MIN(Tabelle1324568910[[#This Row],[Jira Story Points]],Tabelle1324568910[[#This Row],[Carry-over]])-Tabelle1324568910[[#This Row],[SP Initially Planned (COS)]]</f>
        <v>3</v>
      </c>
      <c r="O99"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99" s="108">
        <f>IFERROR(IF(Tabelle1324568910[[#This Row],[Status]]=$J$5,MIN(Tabelle1324568910[[#This Row],[Jira Story Points]],Tabelle1324568910[[#This Row],[Carry-over]]),0),0)</f>
        <v>0</v>
      </c>
      <c r="Q99" s="108">
        <f>IFERROR(IF(Tabelle1324568910[[#This Row],[Status]]=$J$5,0,MIN(Tabelle1324568910[[#This Row],[Jira Story Points]],Tabelle1324568910[[#This Row],[Carry-over]])-Tabelle1324568910[[#This Row],[SP Completed (COS &amp; SOS)]]),0)</f>
        <v>0</v>
      </c>
    </row>
    <row r="100" spans="1:17" s="46" customFormat="1" ht="13.5" hidden="1" customHeight="1">
      <c r="A100" s="102" t="s">
        <v>2421</v>
      </c>
      <c r="B100" s="80" t="s">
        <v>2422</v>
      </c>
      <c r="C100" s="81" t="s">
        <v>372</v>
      </c>
      <c r="D100" s="81">
        <v>3</v>
      </c>
      <c r="E100" s="81" t="s">
        <v>324</v>
      </c>
      <c r="F100" s="81">
        <v>3</v>
      </c>
      <c r="G100" s="114" t="s">
        <v>9</v>
      </c>
      <c r="H100" s="83"/>
      <c r="I100" s="103"/>
      <c r="J100" s="76" t="s">
        <v>125</v>
      </c>
      <c r="K100" s="104"/>
      <c r="L100" s="104"/>
      <c r="M100" s="105">
        <f>IF(Tabelle1324568910[[#This Row],[Pulled after Start]]="",MIN(Tabelle1324568910[[#This Row],[Jira Story Points]],Tabelle1324568910[[#This Row],[Carry-over]]),0)</f>
        <v>3</v>
      </c>
      <c r="N100" s="106">
        <f>MIN(Tabelle1324568910[[#This Row],[Jira Story Points]],Tabelle1324568910[[#This Row],[Carry-over]])-Tabelle1324568910[[#This Row],[SP Initially Planned (COS)]]</f>
        <v>0</v>
      </c>
      <c r="O100"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00" s="108">
        <f>IFERROR(IF(Tabelle1324568910[[#This Row],[Status]]=$J$5,MIN(Tabelle1324568910[[#This Row],[Jira Story Points]],Tabelle1324568910[[#This Row],[Carry-over]]),0),0)</f>
        <v>0</v>
      </c>
      <c r="Q100" s="108">
        <f>IFERROR(IF(Tabelle1324568910[[#This Row],[Status]]=$J$5,0,MIN(Tabelle1324568910[[#This Row],[Jira Story Points]],Tabelle1324568910[[#This Row],[Carry-over]])-Tabelle1324568910[[#This Row],[SP Completed (COS &amp; SOS)]]),0)</f>
        <v>0</v>
      </c>
    </row>
    <row r="101" spans="1:17" s="46" customFormat="1" ht="13.5" hidden="1" customHeight="1">
      <c r="A101" s="102" t="s">
        <v>2423</v>
      </c>
      <c r="B101" s="80" t="s">
        <v>2424</v>
      </c>
      <c r="C101" s="81" t="s">
        <v>372</v>
      </c>
      <c r="D101" s="81">
        <v>3</v>
      </c>
      <c r="E101" s="81" t="s">
        <v>324</v>
      </c>
      <c r="F101" s="81">
        <v>3</v>
      </c>
      <c r="G101" s="114" t="s">
        <v>9</v>
      </c>
      <c r="H101" s="83"/>
      <c r="I101" s="103"/>
      <c r="J101" s="76" t="s">
        <v>125</v>
      </c>
      <c r="K101" s="104"/>
      <c r="L101" s="104"/>
      <c r="M101" s="105">
        <f>IF(Tabelle1324568910[[#This Row],[Pulled after Start]]="",MIN(Tabelle1324568910[[#This Row],[Jira Story Points]],Tabelle1324568910[[#This Row],[Carry-over]]),0)</f>
        <v>3</v>
      </c>
      <c r="N101" s="106">
        <f>MIN(Tabelle1324568910[[#This Row],[Jira Story Points]],Tabelle1324568910[[#This Row],[Carry-over]])-Tabelle1324568910[[#This Row],[SP Initially Planned (COS)]]</f>
        <v>0</v>
      </c>
      <c r="O101"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01" s="108">
        <f>IFERROR(IF(Tabelle1324568910[[#This Row],[Status]]=$J$5,MIN(Tabelle1324568910[[#This Row],[Jira Story Points]],Tabelle1324568910[[#This Row],[Carry-over]]),0),0)</f>
        <v>0</v>
      </c>
      <c r="Q101" s="108">
        <f>IFERROR(IF(Tabelle1324568910[[#This Row],[Status]]=$J$5,0,MIN(Tabelle1324568910[[#This Row],[Jira Story Points]],Tabelle1324568910[[#This Row],[Carry-over]])-Tabelle1324568910[[#This Row],[SP Completed (COS &amp; SOS)]]),0)</f>
        <v>0</v>
      </c>
    </row>
    <row r="102" spans="1:17" s="46" customFormat="1" ht="13.5" hidden="1" customHeight="1">
      <c r="A102" s="102" t="s">
        <v>2425</v>
      </c>
      <c r="B102" s="80" t="s">
        <v>2426</v>
      </c>
      <c r="C102" s="81" t="s">
        <v>372</v>
      </c>
      <c r="D102" s="81">
        <v>3</v>
      </c>
      <c r="E102" s="81" t="s">
        <v>324</v>
      </c>
      <c r="F102" s="81">
        <v>2</v>
      </c>
      <c r="G102" s="114" t="s">
        <v>9</v>
      </c>
      <c r="H102" s="83"/>
      <c r="I102" s="103"/>
      <c r="J102" s="76" t="s">
        <v>125</v>
      </c>
      <c r="K102" s="104"/>
      <c r="L102" s="104"/>
      <c r="M102" s="105">
        <f>IF(Tabelle1324568910[[#This Row],[Pulled after Start]]="",MIN(Tabelle1324568910[[#This Row],[Jira Story Points]],Tabelle1324568910[[#This Row],[Carry-over]]),0)</f>
        <v>2</v>
      </c>
      <c r="N102" s="106">
        <f>MIN(Tabelle1324568910[[#This Row],[Jira Story Points]],Tabelle1324568910[[#This Row],[Carry-over]])-Tabelle1324568910[[#This Row],[SP Initially Planned (COS)]]</f>
        <v>0</v>
      </c>
      <c r="O102"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2</v>
      </c>
      <c r="P102" s="108">
        <f>IFERROR(IF(Tabelle1324568910[[#This Row],[Status]]=$J$5,MIN(Tabelle1324568910[[#This Row],[Jira Story Points]],Tabelle1324568910[[#This Row],[Carry-over]]),0),0)</f>
        <v>0</v>
      </c>
      <c r="Q102" s="108">
        <f>IFERROR(IF(Tabelle1324568910[[#This Row],[Status]]=$J$5,0,MIN(Tabelle1324568910[[#This Row],[Jira Story Points]],Tabelle1324568910[[#This Row],[Carry-over]])-Tabelle1324568910[[#This Row],[SP Completed (COS &amp; SOS)]]),0)</f>
        <v>0</v>
      </c>
    </row>
    <row r="103" spans="1:17" s="46" customFormat="1" ht="13.5" hidden="1" customHeight="1">
      <c r="A103" s="102" t="s">
        <v>2427</v>
      </c>
      <c r="B103" s="80" t="s">
        <v>2428</v>
      </c>
      <c r="C103" s="81" t="s">
        <v>372</v>
      </c>
      <c r="D103" s="81">
        <v>3</v>
      </c>
      <c r="E103" s="81" t="s">
        <v>324</v>
      </c>
      <c r="F103" s="81">
        <v>3</v>
      </c>
      <c r="G103" s="114" t="s">
        <v>9</v>
      </c>
      <c r="H103" s="83" t="s">
        <v>209</v>
      </c>
      <c r="I103" s="103"/>
      <c r="J103" s="76" t="s">
        <v>125</v>
      </c>
      <c r="K103" s="104"/>
      <c r="L103" s="104"/>
      <c r="M103" s="105">
        <f>IF(Tabelle1324568910[[#This Row],[Pulled after Start]]="",MIN(Tabelle1324568910[[#This Row],[Jira Story Points]],Tabelle1324568910[[#This Row],[Carry-over]]),0)</f>
        <v>0</v>
      </c>
      <c r="N103" s="106">
        <f>MIN(Tabelle1324568910[[#This Row],[Jira Story Points]],Tabelle1324568910[[#This Row],[Carry-over]])-Tabelle1324568910[[#This Row],[SP Initially Planned (COS)]]</f>
        <v>3</v>
      </c>
      <c r="O103"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03" s="108">
        <f>IFERROR(IF(Tabelle1324568910[[#This Row],[Status]]=$J$5,MIN(Tabelle1324568910[[#This Row],[Jira Story Points]],Tabelle1324568910[[#This Row],[Carry-over]]),0),0)</f>
        <v>0</v>
      </c>
      <c r="Q103" s="108">
        <f>IFERROR(IF(Tabelle1324568910[[#This Row],[Status]]=$J$5,0,MIN(Tabelle1324568910[[#This Row],[Jira Story Points]],Tabelle1324568910[[#This Row],[Carry-over]])-Tabelle1324568910[[#This Row],[SP Completed (COS &amp; SOS)]]),0)</f>
        <v>0</v>
      </c>
    </row>
    <row r="104" spans="1:17" s="46" customFormat="1" ht="13.5" hidden="1" customHeight="1">
      <c r="A104" s="102" t="s">
        <v>2429</v>
      </c>
      <c r="B104" s="80" t="s">
        <v>2430</v>
      </c>
      <c r="C104" s="81" t="s">
        <v>372</v>
      </c>
      <c r="D104" s="81">
        <v>3</v>
      </c>
      <c r="E104" s="81" t="s">
        <v>324</v>
      </c>
      <c r="F104" s="81">
        <v>3</v>
      </c>
      <c r="G104" s="114" t="s">
        <v>9</v>
      </c>
      <c r="H104" s="83"/>
      <c r="I104" s="103"/>
      <c r="J104" s="76" t="s">
        <v>125</v>
      </c>
      <c r="K104" s="104"/>
      <c r="L104" s="104"/>
      <c r="M104" s="105">
        <f>IF(Tabelle1324568910[[#This Row],[Pulled after Start]]="",MIN(Tabelle1324568910[[#This Row],[Jira Story Points]],Tabelle1324568910[[#This Row],[Carry-over]]),0)</f>
        <v>3</v>
      </c>
      <c r="N104" s="106">
        <f>MIN(Tabelle1324568910[[#This Row],[Jira Story Points]],Tabelle1324568910[[#This Row],[Carry-over]])-Tabelle1324568910[[#This Row],[SP Initially Planned (COS)]]</f>
        <v>0</v>
      </c>
      <c r="O104"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04" s="108">
        <f>IFERROR(IF(Tabelle1324568910[[#This Row],[Status]]=$J$5,MIN(Tabelle1324568910[[#This Row],[Jira Story Points]],Tabelle1324568910[[#This Row],[Carry-over]]),0),0)</f>
        <v>0</v>
      </c>
      <c r="Q104" s="108">
        <f>IFERROR(IF(Tabelle1324568910[[#This Row],[Status]]=$J$5,0,MIN(Tabelle1324568910[[#This Row],[Jira Story Points]],Tabelle1324568910[[#This Row],[Carry-over]])-Tabelle1324568910[[#This Row],[SP Completed (COS &amp; SOS)]]),0)</f>
        <v>0</v>
      </c>
    </row>
    <row r="105" spans="1:17" s="46" customFormat="1" ht="13.5" hidden="1" customHeight="1">
      <c r="A105" s="102" t="s">
        <v>2431</v>
      </c>
      <c r="B105" s="80" t="s">
        <v>2432</v>
      </c>
      <c r="C105" s="81" t="s">
        <v>372</v>
      </c>
      <c r="D105" s="81">
        <v>3</v>
      </c>
      <c r="E105" s="81" t="s">
        <v>324</v>
      </c>
      <c r="F105" s="81">
        <v>3</v>
      </c>
      <c r="G105" s="114" t="s">
        <v>9</v>
      </c>
      <c r="H105" s="83"/>
      <c r="I105" s="103"/>
      <c r="J105" s="76" t="s">
        <v>125</v>
      </c>
      <c r="K105" s="104"/>
      <c r="L105" s="104"/>
      <c r="M105" s="105">
        <f>IF(Tabelle1324568910[[#This Row],[Pulled after Start]]="",MIN(Tabelle1324568910[[#This Row],[Jira Story Points]],Tabelle1324568910[[#This Row],[Carry-over]]),0)</f>
        <v>3</v>
      </c>
      <c r="N105" s="106">
        <f>MIN(Tabelle1324568910[[#This Row],[Jira Story Points]],Tabelle1324568910[[#This Row],[Carry-over]])-Tabelle1324568910[[#This Row],[SP Initially Planned (COS)]]</f>
        <v>0</v>
      </c>
      <c r="O105"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05" s="108">
        <f>IFERROR(IF(Tabelle1324568910[[#This Row],[Status]]=$J$5,MIN(Tabelle1324568910[[#This Row],[Jira Story Points]],Tabelle1324568910[[#This Row],[Carry-over]]),0),0)</f>
        <v>0</v>
      </c>
      <c r="Q105" s="108">
        <f>IFERROR(IF(Tabelle1324568910[[#This Row],[Status]]=$J$5,0,MIN(Tabelle1324568910[[#This Row],[Jira Story Points]],Tabelle1324568910[[#This Row],[Carry-over]])-Tabelle1324568910[[#This Row],[SP Completed (COS &amp; SOS)]]),0)</f>
        <v>0</v>
      </c>
    </row>
    <row r="106" spans="1:17" s="46" customFormat="1" ht="13.5" hidden="1" customHeight="1">
      <c r="A106" s="102" t="s">
        <v>2433</v>
      </c>
      <c r="B106" s="80" t="s">
        <v>2434</v>
      </c>
      <c r="C106" s="81" t="s">
        <v>372</v>
      </c>
      <c r="D106" s="81">
        <v>3</v>
      </c>
      <c r="E106" s="81" t="s">
        <v>324</v>
      </c>
      <c r="F106" s="81">
        <v>3</v>
      </c>
      <c r="G106" s="114" t="s">
        <v>9</v>
      </c>
      <c r="H106" s="83" t="s">
        <v>209</v>
      </c>
      <c r="I106" s="103"/>
      <c r="J106" s="76" t="s">
        <v>125</v>
      </c>
      <c r="K106" s="104"/>
      <c r="L106" s="104"/>
      <c r="M106" s="105">
        <f>IF(Tabelle1324568910[[#This Row],[Pulled after Start]]="",MIN(Tabelle1324568910[[#This Row],[Jira Story Points]],Tabelle1324568910[[#This Row],[Carry-over]]),0)</f>
        <v>0</v>
      </c>
      <c r="N106" s="106">
        <f>MIN(Tabelle1324568910[[#This Row],[Jira Story Points]],Tabelle1324568910[[#This Row],[Carry-over]])-Tabelle1324568910[[#This Row],[SP Initially Planned (COS)]]</f>
        <v>3</v>
      </c>
      <c r="O106"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06" s="108">
        <f>IFERROR(IF(Tabelle1324568910[[#This Row],[Status]]=$J$5,MIN(Tabelle1324568910[[#This Row],[Jira Story Points]],Tabelle1324568910[[#This Row],[Carry-over]]),0),0)</f>
        <v>0</v>
      </c>
      <c r="Q106" s="108">
        <f>IFERROR(IF(Tabelle1324568910[[#This Row],[Status]]=$J$5,0,MIN(Tabelle1324568910[[#This Row],[Jira Story Points]],Tabelle1324568910[[#This Row],[Carry-over]])-Tabelle1324568910[[#This Row],[SP Completed (COS &amp; SOS)]]),0)</f>
        <v>0</v>
      </c>
    </row>
    <row r="107" spans="1:17" s="46" customFormat="1" ht="13.5" hidden="1" customHeight="1">
      <c r="A107" s="102" t="s">
        <v>2435</v>
      </c>
      <c r="B107" s="80" t="s">
        <v>2436</v>
      </c>
      <c r="C107" s="81" t="s">
        <v>372</v>
      </c>
      <c r="D107" s="81">
        <v>3</v>
      </c>
      <c r="E107" s="81" t="s">
        <v>324</v>
      </c>
      <c r="F107" s="81">
        <v>3</v>
      </c>
      <c r="G107" s="114" t="s">
        <v>9</v>
      </c>
      <c r="H107" s="83" t="s">
        <v>209</v>
      </c>
      <c r="I107" s="103"/>
      <c r="J107" s="76" t="s">
        <v>125</v>
      </c>
      <c r="K107" s="104"/>
      <c r="L107" s="104"/>
      <c r="M107" s="105">
        <f>IF(Tabelle1324568910[[#This Row],[Pulled after Start]]="",MIN(Tabelle1324568910[[#This Row],[Jira Story Points]],Tabelle1324568910[[#This Row],[Carry-over]]),0)</f>
        <v>0</v>
      </c>
      <c r="N107" s="106">
        <f>MIN(Tabelle1324568910[[#This Row],[Jira Story Points]],Tabelle1324568910[[#This Row],[Carry-over]])-Tabelle1324568910[[#This Row],[SP Initially Planned (COS)]]</f>
        <v>3</v>
      </c>
      <c r="O107"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07" s="108">
        <f>IFERROR(IF(Tabelle1324568910[[#This Row],[Status]]=$J$5,MIN(Tabelle1324568910[[#This Row],[Jira Story Points]],Tabelle1324568910[[#This Row],[Carry-over]]),0),0)</f>
        <v>0</v>
      </c>
      <c r="Q107" s="108">
        <f>IFERROR(IF(Tabelle1324568910[[#This Row],[Status]]=$J$5,0,MIN(Tabelle1324568910[[#This Row],[Jira Story Points]],Tabelle1324568910[[#This Row],[Carry-over]])-Tabelle1324568910[[#This Row],[SP Completed (COS &amp; SOS)]]),0)</f>
        <v>0</v>
      </c>
    </row>
    <row r="108" spans="1:17" s="46" customFormat="1" ht="13.5" hidden="1" customHeight="1">
      <c r="A108" s="102" t="s">
        <v>2437</v>
      </c>
      <c r="B108" s="80" t="s">
        <v>2438</v>
      </c>
      <c r="C108" s="81" t="s">
        <v>375</v>
      </c>
      <c r="D108" s="81">
        <v>3</v>
      </c>
      <c r="E108" s="81" t="s">
        <v>324</v>
      </c>
      <c r="F108" s="81">
        <v>2</v>
      </c>
      <c r="G108" s="114" t="s">
        <v>9</v>
      </c>
      <c r="H108" s="83" t="s">
        <v>209</v>
      </c>
      <c r="I108" s="103"/>
      <c r="J108" s="76" t="s">
        <v>125</v>
      </c>
      <c r="K108" s="104"/>
      <c r="L108" s="104"/>
      <c r="M108" s="105">
        <f>IF(Tabelle1324568910[[#This Row],[Pulled after Start]]="",MIN(Tabelle1324568910[[#This Row],[Jira Story Points]],Tabelle1324568910[[#This Row],[Carry-over]]),0)</f>
        <v>0</v>
      </c>
      <c r="N108" s="106">
        <f>MIN(Tabelle1324568910[[#This Row],[Jira Story Points]],Tabelle1324568910[[#This Row],[Carry-over]])-Tabelle1324568910[[#This Row],[SP Initially Planned (COS)]]</f>
        <v>2</v>
      </c>
      <c r="O108"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2</v>
      </c>
      <c r="P108" s="108">
        <f>IFERROR(IF(Tabelle1324568910[[#This Row],[Status]]=$J$5,MIN(Tabelle1324568910[[#This Row],[Jira Story Points]],Tabelle1324568910[[#This Row],[Carry-over]]),0),0)</f>
        <v>0</v>
      </c>
      <c r="Q108" s="108">
        <f>IFERROR(IF(Tabelle1324568910[[#This Row],[Status]]=$J$5,0,MIN(Tabelle1324568910[[#This Row],[Jira Story Points]],Tabelle1324568910[[#This Row],[Carry-over]])-Tabelle1324568910[[#This Row],[SP Completed (COS &amp; SOS)]]),0)</f>
        <v>0</v>
      </c>
    </row>
    <row r="109" spans="1:17" s="46" customFormat="1" ht="13.5" hidden="1" customHeight="1">
      <c r="A109" s="102" t="s">
        <v>2439</v>
      </c>
      <c r="B109" s="80" t="s">
        <v>2440</v>
      </c>
      <c r="C109" s="81" t="s">
        <v>375</v>
      </c>
      <c r="D109" s="81">
        <v>3</v>
      </c>
      <c r="E109" s="81" t="s">
        <v>324</v>
      </c>
      <c r="F109" s="81">
        <v>3</v>
      </c>
      <c r="G109" s="114" t="s">
        <v>9</v>
      </c>
      <c r="H109" s="83"/>
      <c r="I109" s="103"/>
      <c r="J109" s="76" t="s">
        <v>125</v>
      </c>
      <c r="K109" s="104"/>
      <c r="L109" s="104"/>
      <c r="M109" s="105">
        <f>IF(Tabelle1324568910[[#This Row],[Pulled after Start]]="",MIN(Tabelle1324568910[[#This Row],[Jira Story Points]],Tabelle1324568910[[#This Row],[Carry-over]]),0)</f>
        <v>3</v>
      </c>
      <c r="N109" s="106">
        <f>MIN(Tabelle1324568910[[#This Row],[Jira Story Points]],Tabelle1324568910[[#This Row],[Carry-over]])-Tabelle1324568910[[#This Row],[SP Initially Planned (COS)]]</f>
        <v>0</v>
      </c>
      <c r="O109"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09" s="108">
        <f>IFERROR(IF(Tabelle1324568910[[#This Row],[Status]]=$J$5,MIN(Tabelle1324568910[[#This Row],[Jira Story Points]],Tabelle1324568910[[#This Row],[Carry-over]]),0),0)</f>
        <v>0</v>
      </c>
      <c r="Q109" s="108">
        <f>IFERROR(IF(Tabelle1324568910[[#This Row],[Status]]=$J$5,0,MIN(Tabelle1324568910[[#This Row],[Jira Story Points]],Tabelle1324568910[[#This Row],[Carry-over]])-Tabelle1324568910[[#This Row],[SP Completed (COS &amp; SOS)]]),0)</f>
        <v>0</v>
      </c>
    </row>
    <row r="110" spans="1:17" s="46" customFormat="1" ht="13.5" hidden="1" customHeight="1">
      <c r="A110" s="102" t="s">
        <v>2441</v>
      </c>
      <c r="B110" s="80" t="s">
        <v>2442</v>
      </c>
      <c r="C110" s="81" t="s">
        <v>375</v>
      </c>
      <c r="D110" s="81">
        <v>3</v>
      </c>
      <c r="E110" s="81" t="s">
        <v>324</v>
      </c>
      <c r="F110" s="81">
        <v>3</v>
      </c>
      <c r="G110" s="114" t="s">
        <v>9</v>
      </c>
      <c r="H110" s="83"/>
      <c r="I110" s="103"/>
      <c r="J110" s="76" t="s">
        <v>125</v>
      </c>
      <c r="K110" s="104"/>
      <c r="L110" s="104"/>
      <c r="M110" s="105">
        <f>IF(Tabelle1324568910[[#This Row],[Pulled after Start]]="",MIN(Tabelle1324568910[[#This Row],[Jira Story Points]],Tabelle1324568910[[#This Row],[Carry-over]]),0)</f>
        <v>3</v>
      </c>
      <c r="N110" s="106">
        <f>MIN(Tabelle1324568910[[#This Row],[Jira Story Points]],Tabelle1324568910[[#This Row],[Carry-over]])-Tabelle1324568910[[#This Row],[SP Initially Planned (COS)]]</f>
        <v>0</v>
      </c>
      <c r="O110"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10" s="108">
        <f>IFERROR(IF(Tabelle1324568910[[#This Row],[Status]]=$J$5,MIN(Tabelle1324568910[[#This Row],[Jira Story Points]],Tabelle1324568910[[#This Row],[Carry-over]]),0),0)</f>
        <v>0</v>
      </c>
      <c r="Q110" s="108">
        <f>IFERROR(IF(Tabelle1324568910[[#This Row],[Status]]=$J$5,0,MIN(Tabelle1324568910[[#This Row],[Jira Story Points]],Tabelle1324568910[[#This Row],[Carry-over]])-Tabelle1324568910[[#This Row],[SP Completed (COS &amp; SOS)]]),0)</f>
        <v>0</v>
      </c>
    </row>
    <row r="111" spans="1:17" s="46" customFormat="1" ht="13.5" hidden="1" customHeight="1">
      <c r="A111" s="102" t="s">
        <v>2443</v>
      </c>
      <c r="B111" s="80" t="s">
        <v>2444</v>
      </c>
      <c r="C111" s="81" t="s">
        <v>372</v>
      </c>
      <c r="D111" s="81">
        <v>3</v>
      </c>
      <c r="E111" s="81" t="s">
        <v>324</v>
      </c>
      <c r="F111" s="81">
        <v>1</v>
      </c>
      <c r="G111" s="114" t="s">
        <v>9</v>
      </c>
      <c r="H111" s="83"/>
      <c r="I111" s="103"/>
      <c r="J111" s="76" t="s">
        <v>125</v>
      </c>
      <c r="K111" s="104"/>
      <c r="L111" s="104"/>
      <c r="M111" s="105">
        <f>IF(Tabelle1324568910[[#This Row],[Pulled after Start]]="",MIN(Tabelle1324568910[[#This Row],[Jira Story Points]],Tabelle1324568910[[#This Row],[Carry-over]]),0)</f>
        <v>1</v>
      </c>
      <c r="N111" s="106">
        <f>MIN(Tabelle1324568910[[#This Row],[Jira Story Points]],Tabelle1324568910[[#This Row],[Carry-over]])-Tabelle1324568910[[#This Row],[SP Initially Planned (COS)]]</f>
        <v>0</v>
      </c>
      <c r="O111"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111" s="108">
        <f>IFERROR(IF(Tabelle1324568910[[#This Row],[Status]]=$J$5,MIN(Tabelle1324568910[[#This Row],[Jira Story Points]],Tabelle1324568910[[#This Row],[Carry-over]]),0),0)</f>
        <v>0</v>
      </c>
      <c r="Q111" s="108">
        <f>IFERROR(IF(Tabelle1324568910[[#This Row],[Status]]=$J$5,0,MIN(Tabelle1324568910[[#This Row],[Jira Story Points]],Tabelle1324568910[[#This Row],[Carry-over]])-Tabelle1324568910[[#This Row],[SP Completed (COS &amp; SOS)]]),0)</f>
        <v>0</v>
      </c>
    </row>
    <row r="112" spans="1:17" s="46" customFormat="1" ht="13.5" hidden="1" customHeight="1">
      <c r="A112" s="102" t="s">
        <v>2445</v>
      </c>
      <c r="B112" s="80" t="s">
        <v>2446</v>
      </c>
      <c r="C112" s="81" t="s">
        <v>375</v>
      </c>
      <c r="D112" s="81">
        <v>3</v>
      </c>
      <c r="E112" s="81" t="s">
        <v>324</v>
      </c>
      <c r="F112" s="81">
        <v>5</v>
      </c>
      <c r="G112" s="114" t="s">
        <v>9</v>
      </c>
      <c r="H112" s="83"/>
      <c r="I112" s="103"/>
      <c r="J112" s="76" t="s">
        <v>125</v>
      </c>
      <c r="K112" s="104"/>
      <c r="L112" s="104"/>
      <c r="M112" s="105">
        <f>IF(Tabelle1324568910[[#This Row],[Pulled after Start]]="",MIN(Tabelle1324568910[[#This Row],[Jira Story Points]],Tabelle1324568910[[#This Row],[Carry-over]]),0)</f>
        <v>5</v>
      </c>
      <c r="N112" s="106">
        <f>MIN(Tabelle1324568910[[#This Row],[Jira Story Points]],Tabelle1324568910[[#This Row],[Carry-over]])-Tabelle1324568910[[#This Row],[SP Initially Planned (COS)]]</f>
        <v>0</v>
      </c>
      <c r="O112"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5</v>
      </c>
      <c r="P112" s="108">
        <f>IFERROR(IF(Tabelle1324568910[[#This Row],[Status]]=$J$5,MIN(Tabelle1324568910[[#This Row],[Jira Story Points]],Tabelle1324568910[[#This Row],[Carry-over]]),0),0)</f>
        <v>0</v>
      </c>
      <c r="Q112" s="108">
        <f>IFERROR(IF(Tabelle1324568910[[#This Row],[Status]]=$J$5,0,MIN(Tabelle1324568910[[#This Row],[Jira Story Points]],Tabelle1324568910[[#This Row],[Carry-over]])-Tabelle1324568910[[#This Row],[SP Completed (COS &amp; SOS)]]),0)</f>
        <v>0</v>
      </c>
    </row>
    <row r="113" spans="1:17" s="46" customFormat="1" ht="13.5" hidden="1" customHeight="1">
      <c r="A113" s="102" t="s">
        <v>2447</v>
      </c>
      <c r="B113" s="80" t="s">
        <v>2448</v>
      </c>
      <c r="C113" s="81" t="s">
        <v>372</v>
      </c>
      <c r="D113" s="81">
        <v>3</v>
      </c>
      <c r="E113" s="81" t="s">
        <v>324</v>
      </c>
      <c r="F113" s="81">
        <v>3</v>
      </c>
      <c r="G113" s="114" t="s">
        <v>9</v>
      </c>
      <c r="H113" s="83" t="s">
        <v>209</v>
      </c>
      <c r="I113" s="103"/>
      <c r="J113" s="76" t="s">
        <v>125</v>
      </c>
      <c r="K113" s="104"/>
      <c r="L113" s="104"/>
      <c r="M113" s="105">
        <f>IF(Tabelle1324568910[[#This Row],[Pulled after Start]]="",MIN(Tabelle1324568910[[#This Row],[Jira Story Points]],Tabelle1324568910[[#This Row],[Carry-over]]),0)</f>
        <v>0</v>
      </c>
      <c r="N113" s="106">
        <f>MIN(Tabelle1324568910[[#This Row],[Jira Story Points]],Tabelle1324568910[[#This Row],[Carry-over]])-Tabelle1324568910[[#This Row],[SP Initially Planned (COS)]]</f>
        <v>3</v>
      </c>
      <c r="O113"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13" s="108">
        <f>IFERROR(IF(Tabelle1324568910[[#This Row],[Status]]=$J$5,MIN(Tabelle1324568910[[#This Row],[Jira Story Points]],Tabelle1324568910[[#This Row],[Carry-over]]),0),0)</f>
        <v>0</v>
      </c>
      <c r="Q113" s="108">
        <f>IFERROR(IF(Tabelle1324568910[[#This Row],[Status]]=$J$5,0,MIN(Tabelle1324568910[[#This Row],[Jira Story Points]],Tabelle1324568910[[#This Row],[Carry-over]])-Tabelle1324568910[[#This Row],[SP Completed (COS &amp; SOS)]]),0)</f>
        <v>0</v>
      </c>
    </row>
    <row r="114" spans="1:17" s="46" customFormat="1" ht="13.5" hidden="1" customHeight="1">
      <c r="A114" s="102" t="s">
        <v>2449</v>
      </c>
      <c r="B114" s="80" t="s">
        <v>2450</v>
      </c>
      <c r="C114" s="81" t="s">
        <v>375</v>
      </c>
      <c r="D114" s="81">
        <v>2</v>
      </c>
      <c r="E114" s="81" t="s">
        <v>324</v>
      </c>
      <c r="F114" s="81">
        <v>3</v>
      </c>
      <c r="G114" s="114" t="s">
        <v>9</v>
      </c>
      <c r="H114" s="83" t="s">
        <v>209</v>
      </c>
      <c r="I114" s="103"/>
      <c r="J114" s="76" t="s">
        <v>125</v>
      </c>
      <c r="K114" s="104"/>
      <c r="L114" s="104"/>
      <c r="M114" s="105">
        <f>IF(Tabelle1324568910[[#This Row],[Pulled after Start]]="",MIN(Tabelle1324568910[[#This Row],[Jira Story Points]],Tabelle1324568910[[#This Row],[Carry-over]]),0)</f>
        <v>0</v>
      </c>
      <c r="N114" s="106">
        <f>MIN(Tabelle1324568910[[#This Row],[Jira Story Points]],Tabelle1324568910[[#This Row],[Carry-over]])-Tabelle1324568910[[#This Row],[SP Initially Planned (COS)]]</f>
        <v>3</v>
      </c>
      <c r="O114"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14" s="108">
        <f>IFERROR(IF(Tabelle1324568910[[#This Row],[Status]]=$J$5,MIN(Tabelle1324568910[[#This Row],[Jira Story Points]],Tabelle1324568910[[#This Row],[Carry-over]]),0),0)</f>
        <v>0</v>
      </c>
      <c r="Q114" s="108">
        <f>IFERROR(IF(Tabelle1324568910[[#This Row],[Status]]=$J$5,0,MIN(Tabelle1324568910[[#This Row],[Jira Story Points]],Tabelle1324568910[[#This Row],[Carry-over]])-Tabelle1324568910[[#This Row],[SP Completed (COS &amp; SOS)]]),0)</f>
        <v>0</v>
      </c>
    </row>
    <row r="115" spans="1:17" s="46" customFormat="1" ht="13.5" hidden="1" customHeight="1">
      <c r="A115" s="102" t="s">
        <v>2451</v>
      </c>
      <c r="B115" s="80" t="s">
        <v>2452</v>
      </c>
      <c r="C115" s="81" t="s">
        <v>375</v>
      </c>
      <c r="D115" s="81">
        <v>3</v>
      </c>
      <c r="E115" s="81" t="s">
        <v>324</v>
      </c>
      <c r="F115" s="81">
        <v>1</v>
      </c>
      <c r="G115" s="114" t="s">
        <v>9</v>
      </c>
      <c r="H115" s="83" t="s">
        <v>209</v>
      </c>
      <c r="I115" s="103"/>
      <c r="J115" s="76" t="s">
        <v>125</v>
      </c>
      <c r="K115" s="104"/>
      <c r="L115" s="104"/>
      <c r="M115" s="105">
        <f>IF(Tabelle1324568910[[#This Row],[Pulled after Start]]="",MIN(Tabelle1324568910[[#This Row],[Jira Story Points]],Tabelle1324568910[[#This Row],[Carry-over]]),0)</f>
        <v>0</v>
      </c>
      <c r="N115" s="106">
        <f>MIN(Tabelle1324568910[[#This Row],[Jira Story Points]],Tabelle1324568910[[#This Row],[Carry-over]])-Tabelle1324568910[[#This Row],[SP Initially Planned (COS)]]</f>
        <v>1</v>
      </c>
      <c r="O115"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115" s="108">
        <f>IFERROR(IF(Tabelle1324568910[[#This Row],[Status]]=$J$5,MIN(Tabelle1324568910[[#This Row],[Jira Story Points]],Tabelle1324568910[[#This Row],[Carry-over]]),0),0)</f>
        <v>0</v>
      </c>
      <c r="Q115" s="108">
        <f>IFERROR(IF(Tabelle1324568910[[#This Row],[Status]]=$J$5,0,MIN(Tabelle1324568910[[#This Row],[Jira Story Points]],Tabelle1324568910[[#This Row],[Carry-over]])-Tabelle1324568910[[#This Row],[SP Completed (COS &amp; SOS)]]),0)</f>
        <v>0</v>
      </c>
    </row>
    <row r="116" spans="1:17" s="46" customFormat="1" ht="13.5" hidden="1" customHeight="1">
      <c r="A116" s="102" t="s">
        <v>2453</v>
      </c>
      <c r="B116" s="80" t="s">
        <v>2454</v>
      </c>
      <c r="C116" s="81" t="s">
        <v>372</v>
      </c>
      <c r="D116" s="81">
        <v>3</v>
      </c>
      <c r="E116" s="81" t="s">
        <v>324</v>
      </c>
      <c r="F116" s="81">
        <v>5</v>
      </c>
      <c r="G116" s="114" t="s">
        <v>9</v>
      </c>
      <c r="H116" s="83" t="s">
        <v>209</v>
      </c>
      <c r="I116" s="103"/>
      <c r="J116" s="76" t="s">
        <v>125</v>
      </c>
      <c r="K116" s="104"/>
      <c r="L116" s="104"/>
      <c r="M116" s="105">
        <f>IF(Tabelle1324568910[[#This Row],[Pulled after Start]]="",MIN(Tabelle1324568910[[#This Row],[Jira Story Points]],Tabelle1324568910[[#This Row],[Carry-over]]),0)</f>
        <v>0</v>
      </c>
      <c r="N116" s="106">
        <f>MIN(Tabelle1324568910[[#This Row],[Jira Story Points]],Tabelle1324568910[[#This Row],[Carry-over]])-Tabelle1324568910[[#This Row],[SP Initially Planned (COS)]]</f>
        <v>5</v>
      </c>
      <c r="O116"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5</v>
      </c>
      <c r="P116" s="108">
        <f>IFERROR(IF(Tabelle1324568910[[#This Row],[Status]]=$J$5,MIN(Tabelle1324568910[[#This Row],[Jira Story Points]],Tabelle1324568910[[#This Row],[Carry-over]]),0),0)</f>
        <v>0</v>
      </c>
      <c r="Q116" s="108">
        <f>IFERROR(IF(Tabelle1324568910[[#This Row],[Status]]=$J$5,0,MIN(Tabelle1324568910[[#This Row],[Jira Story Points]],Tabelle1324568910[[#This Row],[Carry-over]])-Tabelle1324568910[[#This Row],[SP Completed (COS &amp; SOS)]]),0)</f>
        <v>0</v>
      </c>
    </row>
    <row r="117" spans="1:17" s="46" customFormat="1" ht="13.5" hidden="1" customHeight="1">
      <c r="A117" s="102" t="s">
        <v>2455</v>
      </c>
      <c r="B117" s="80" t="s">
        <v>2156</v>
      </c>
      <c r="C117" s="81" t="s">
        <v>372</v>
      </c>
      <c r="D117" s="81">
        <v>3</v>
      </c>
      <c r="E117" s="81" t="s">
        <v>327</v>
      </c>
      <c r="F117" s="81">
        <v>5</v>
      </c>
      <c r="G117" s="114" t="s">
        <v>9</v>
      </c>
      <c r="H117" s="83" t="s">
        <v>209</v>
      </c>
      <c r="I117" s="103"/>
      <c r="J117" s="76" t="s">
        <v>127</v>
      </c>
      <c r="K117" s="104"/>
      <c r="L117" s="104"/>
      <c r="M117" s="105">
        <f>IF(Tabelle1324568910[[#This Row],[Pulled after Start]]="",MIN(Tabelle1324568910[[#This Row],[Jira Story Points]],Tabelle1324568910[[#This Row],[Carry-over]]),0)</f>
        <v>0</v>
      </c>
      <c r="N117" s="106">
        <f>MIN(Tabelle1324568910[[#This Row],[Jira Story Points]],Tabelle1324568910[[#This Row],[Carry-over]])-Tabelle1324568910[[#This Row],[SP Initially Planned (COS)]]</f>
        <v>5</v>
      </c>
      <c r="O117"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17" s="108">
        <f>IFERROR(IF(Tabelle1324568910[[#This Row],[Status]]=$J$5,MIN(Tabelle1324568910[[#This Row],[Jira Story Points]],Tabelle1324568910[[#This Row],[Carry-over]]),0),0)</f>
        <v>0</v>
      </c>
      <c r="Q117" s="108">
        <f>IFERROR(IF(Tabelle1324568910[[#This Row],[Status]]=$J$5,0,MIN(Tabelle1324568910[[#This Row],[Jira Story Points]],Tabelle1324568910[[#This Row],[Carry-over]])-Tabelle1324568910[[#This Row],[SP Completed (COS &amp; SOS)]]),0)</f>
        <v>5</v>
      </c>
    </row>
    <row r="118" spans="1:17" s="46" customFormat="1" ht="13.5" hidden="1" customHeight="1">
      <c r="A118" s="102" t="s">
        <v>2456</v>
      </c>
      <c r="B118" s="80" t="s">
        <v>2160</v>
      </c>
      <c r="C118" s="81" t="s">
        <v>372</v>
      </c>
      <c r="D118" s="81">
        <v>3</v>
      </c>
      <c r="E118" s="81" t="s">
        <v>327</v>
      </c>
      <c r="F118" s="81">
        <v>3</v>
      </c>
      <c r="G118" s="114" t="s">
        <v>9</v>
      </c>
      <c r="H118" s="83" t="s">
        <v>209</v>
      </c>
      <c r="I118" s="103"/>
      <c r="J118" s="76" t="s">
        <v>127</v>
      </c>
      <c r="K118" s="104"/>
      <c r="L118" s="104"/>
      <c r="M118" s="105">
        <f>IF(Tabelle1324568910[[#This Row],[Pulled after Start]]="",MIN(Tabelle1324568910[[#This Row],[Jira Story Points]],Tabelle1324568910[[#This Row],[Carry-over]]),0)</f>
        <v>0</v>
      </c>
      <c r="N118" s="106">
        <f>MIN(Tabelle1324568910[[#This Row],[Jira Story Points]],Tabelle1324568910[[#This Row],[Carry-over]])-Tabelle1324568910[[#This Row],[SP Initially Planned (COS)]]</f>
        <v>3</v>
      </c>
      <c r="O118"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18" s="108">
        <f>IFERROR(IF(Tabelle1324568910[[#This Row],[Status]]=$J$5,MIN(Tabelle1324568910[[#This Row],[Jira Story Points]],Tabelle1324568910[[#This Row],[Carry-over]]),0),0)</f>
        <v>0</v>
      </c>
      <c r="Q118" s="108">
        <f>IFERROR(IF(Tabelle1324568910[[#This Row],[Status]]=$J$5,0,MIN(Tabelle1324568910[[#This Row],[Jira Story Points]],Tabelle1324568910[[#This Row],[Carry-over]])-Tabelle1324568910[[#This Row],[SP Completed (COS &amp; SOS)]]),0)</f>
        <v>3</v>
      </c>
    </row>
    <row r="119" spans="1:17" s="46" customFormat="1" ht="13.5" hidden="1" customHeight="1">
      <c r="A119" s="102" t="s">
        <v>2457</v>
      </c>
      <c r="B119" s="80" t="s">
        <v>2111</v>
      </c>
      <c r="C119" s="81" t="s">
        <v>372</v>
      </c>
      <c r="D119" s="81">
        <v>3</v>
      </c>
      <c r="E119" s="81" t="s">
        <v>327</v>
      </c>
      <c r="F119" s="81">
        <v>5</v>
      </c>
      <c r="G119" s="114" t="s">
        <v>9</v>
      </c>
      <c r="H119" s="83" t="s">
        <v>209</v>
      </c>
      <c r="I119" s="103"/>
      <c r="J119" s="76" t="s">
        <v>127</v>
      </c>
      <c r="K119" s="104"/>
      <c r="L119" s="104"/>
      <c r="M119" s="105">
        <f>IF(Tabelle1324568910[[#This Row],[Pulled after Start]]="",MIN(Tabelle1324568910[[#This Row],[Jira Story Points]],Tabelle1324568910[[#This Row],[Carry-over]]),0)</f>
        <v>0</v>
      </c>
      <c r="N119" s="106">
        <f>MIN(Tabelle1324568910[[#This Row],[Jira Story Points]],Tabelle1324568910[[#This Row],[Carry-over]])-Tabelle1324568910[[#This Row],[SP Initially Planned (COS)]]</f>
        <v>5</v>
      </c>
      <c r="O119"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19" s="108">
        <f>IFERROR(IF(Tabelle1324568910[[#This Row],[Status]]=$J$5,MIN(Tabelle1324568910[[#This Row],[Jira Story Points]],Tabelle1324568910[[#This Row],[Carry-over]]),0),0)</f>
        <v>0</v>
      </c>
      <c r="Q119" s="108">
        <f>IFERROR(IF(Tabelle1324568910[[#This Row],[Status]]=$J$5,0,MIN(Tabelle1324568910[[#This Row],[Jira Story Points]],Tabelle1324568910[[#This Row],[Carry-over]])-Tabelle1324568910[[#This Row],[SP Completed (COS &amp; SOS)]]),0)</f>
        <v>5</v>
      </c>
    </row>
    <row r="120" spans="1:17" s="46" customFormat="1" ht="13.5" hidden="1" customHeight="1">
      <c r="A120" s="102" t="s">
        <v>2458</v>
      </c>
      <c r="B120" s="80" t="s">
        <v>2164</v>
      </c>
      <c r="C120" s="81" t="s">
        <v>372</v>
      </c>
      <c r="D120" s="81">
        <v>3</v>
      </c>
      <c r="E120" s="81" t="s">
        <v>327</v>
      </c>
      <c r="F120" s="81">
        <v>3</v>
      </c>
      <c r="G120" s="114" t="s">
        <v>9</v>
      </c>
      <c r="H120" s="83" t="s">
        <v>209</v>
      </c>
      <c r="I120" s="103"/>
      <c r="J120" s="76" t="s">
        <v>127</v>
      </c>
      <c r="K120" s="104"/>
      <c r="L120" s="104"/>
      <c r="M120" s="105">
        <f>IF(Tabelle1324568910[[#This Row],[Pulled after Start]]="",MIN(Tabelle1324568910[[#This Row],[Jira Story Points]],Tabelle1324568910[[#This Row],[Carry-over]]),0)</f>
        <v>0</v>
      </c>
      <c r="N120" s="106">
        <f>MIN(Tabelle1324568910[[#This Row],[Jira Story Points]],Tabelle1324568910[[#This Row],[Carry-over]])-Tabelle1324568910[[#This Row],[SP Initially Planned (COS)]]</f>
        <v>3</v>
      </c>
      <c r="O120"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20" s="108">
        <f>IFERROR(IF(Tabelle1324568910[[#This Row],[Status]]=$J$5,MIN(Tabelle1324568910[[#This Row],[Jira Story Points]],Tabelle1324568910[[#This Row],[Carry-over]]),0),0)</f>
        <v>0</v>
      </c>
      <c r="Q120" s="108">
        <f>IFERROR(IF(Tabelle1324568910[[#This Row],[Status]]=$J$5,0,MIN(Tabelle1324568910[[#This Row],[Jira Story Points]],Tabelle1324568910[[#This Row],[Carry-over]])-Tabelle1324568910[[#This Row],[SP Completed (COS &amp; SOS)]]),0)</f>
        <v>3</v>
      </c>
    </row>
    <row r="121" spans="1:17" s="46" customFormat="1" ht="13.5" hidden="1" customHeight="1">
      <c r="A121" s="102" t="s">
        <v>2459</v>
      </c>
      <c r="B121" s="80" t="s">
        <v>2166</v>
      </c>
      <c r="C121" s="81" t="s">
        <v>375</v>
      </c>
      <c r="D121" s="81">
        <v>3</v>
      </c>
      <c r="E121" s="81" t="s">
        <v>327</v>
      </c>
      <c r="F121" s="81">
        <v>2</v>
      </c>
      <c r="G121" s="114" t="s">
        <v>9</v>
      </c>
      <c r="H121" s="83" t="s">
        <v>209</v>
      </c>
      <c r="I121" s="103"/>
      <c r="J121" s="76" t="s">
        <v>127</v>
      </c>
      <c r="K121" s="104"/>
      <c r="L121" s="104"/>
      <c r="M121" s="105">
        <f>IF(Tabelle1324568910[[#This Row],[Pulled after Start]]="",MIN(Tabelle1324568910[[#This Row],[Jira Story Points]],Tabelle1324568910[[#This Row],[Carry-over]]),0)</f>
        <v>0</v>
      </c>
      <c r="N121" s="106">
        <f>MIN(Tabelle1324568910[[#This Row],[Jira Story Points]],Tabelle1324568910[[#This Row],[Carry-over]])-Tabelle1324568910[[#This Row],[SP Initially Planned (COS)]]</f>
        <v>2</v>
      </c>
      <c r="O121"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21" s="108">
        <f>IFERROR(IF(Tabelle1324568910[[#This Row],[Status]]=$J$5,MIN(Tabelle1324568910[[#This Row],[Jira Story Points]],Tabelle1324568910[[#This Row],[Carry-over]]),0),0)</f>
        <v>0</v>
      </c>
      <c r="Q121" s="108">
        <f>IFERROR(IF(Tabelle1324568910[[#This Row],[Status]]=$J$5,0,MIN(Tabelle1324568910[[#This Row],[Jira Story Points]],Tabelle1324568910[[#This Row],[Carry-over]])-Tabelle1324568910[[#This Row],[SP Completed (COS &amp; SOS)]]),0)</f>
        <v>2</v>
      </c>
    </row>
    <row r="122" spans="1:17" s="46" customFormat="1" ht="13.5" hidden="1" customHeight="1">
      <c r="A122" s="102" t="s">
        <v>2460</v>
      </c>
      <c r="B122" s="80" t="s">
        <v>2461</v>
      </c>
      <c r="C122" s="81" t="s">
        <v>372</v>
      </c>
      <c r="D122" s="81">
        <v>3</v>
      </c>
      <c r="E122" s="81" t="s">
        <v>637</v>
      </c>
      <c r="F122" s="81">
        <v>8</v>
      </c>
      <c r="G122" s="114" t="s">
        <v>9</v>
      </c>
      <c r="H122" s="83" t="s">
        <v>209</v>
      </c>
      <c r="I122" s="103"/>
      <c r="J122" s="76" t="s">
        <v>126</v>
      </c>
      <c r="K122" s="104"/>
      <c r="L122" s="104"/>
      <c r="M122" s="105">
        <f>IF(Tabelle1324568910[[#This Row],[Pulled after Start]]="",MIN(Tabelle1324568910[[#This Row],[Jira Story Points]],Tabelle1324568910[[#This Row],[Carry-over]]),0)</f>
        <v>0</v>
      </c>
      <c r="N122" s="106">
        <f>MIN(Tabelle1324568910[[#This Row],[Jira Story Points]],Tabelle1324568910[[#This Row],[Carry-over]])-Tabelle1324568910[[#This Row],[SP Initially Planned (COS)]]</f>
        <v>8</v>
      </c>
      <c r="O122"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22" s="108">
        <f>IFERROR(IF(Tabelle1324568910[[#This Row],[Status]]=$J$5,MIN(Tabelle1324568910[[#This Row],[Jira Story Points]],Tabelle1324568910[[#This Row],[Carry-over]]),0),0)</f>
        <v>8</v>
      </c>
      <c r="Q122" s="108">
        <f>IFERROR(IF(Tabelle1324568910[[#This Row],[Status]]=$J$5,0,MIN(Tabelle1324568910[[#This Row],[Jira Story Points]],Tabelle1324568910[[#This Row],[Carry-over]])-Tabelle1324568910[[#This Row],[SP Completed (COS &amp; SOS)]]),0)</f>
        <v>0</v>
      </c>
    </row>
    <row r="123" spans="1:17" s="46" customFormat="1" ht="13.5" hidden="1" customHeight="1">
      <c r="A123" s="115" t="s">
        <v>2462</v>
      </c>
      <c r="B123" s="47" t="s">
        <v>2463</v>
      </c>
      <c r="C123" s="76" t="s">
        <v>372</v>
      </c>
      <c r="D123" s="76">
        <v>3</v>
      </c>
      <c r="E123" s="76" t="s">
        <v>324</v>
      </c>
      <c r="F123" s="104">
        <v>2</v>
      </c>
      <c r="G123" s="76" t="s">
        <v>27</v>
      </c>
      <c r="H123" s="83" t="s">
        <v>209</v>
      </c>
      <c r="I123" s="103"/>
      <c r="J123" s="76" t="s">
        <v>125</v>
      </c>
      <c r="K123" s="104"/>
      <c r="L123" s="104"/>
      <c r="M123" s="105">
        <f>IF(Tabelle1324568910[[#This Row],[Pulled after Start]]="",MIN(Tabelle1324568910[[#This Row],[Jira Story Points]],Tabelle1324568910[[#This Row],[Carry-over]]),0)</f>
        <v>0</v>
      </c>
      <c r="N123" s="106">
        <f>MIN(Tabelle1324568910[[#This Row],[Jira Story Points]],Tabelle1324568910[[#This Row],[Carry-over]])-Tabelle1324568910[[#This Row],[SP Initially Planned (COS)]]</f>
        <v>2</v>
      </c>
      <c r="O123"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2</v>
      </c>
      <c r="P123" s="108">
        <f>IFERROR(IF(Tabelle1324568910[[#This Row],[Status]]=$J$5,MIN(Tabelle1324568910[[#This Row],[Jira Story Points]],Tabelle1324568910[[#This Row],[Carry-over]]),0),0)</f>
        <v>0</v>
      </c>
      <c r="Q123" s="108">
        <f>IFERROR(IF(Tabelle1324568910[[#This Row],[Status]]=$J$5,0,MIN(Tabelle1324568910[[#This Row],[Jira Story Points]],Tabelle1324568910[[#This Row],[Carry-over]])-Tabelle1324568910[[#This Row],[SP Completed (COS &amp; SOS)]]),0)</f>
        <v>0</v>
      </c>
    </row>
    <row r="124" spans="1:17" s="46" customFormat="1" ht="13.5" hidden="1" customHeight="1">
      <c r="A124" s="115" t="s">
        <v>2464</v>
      </c>
      <c r="B124" s="47" t="s">
        <v>2465</v>
      </c>
      <c r="C124" s="76" t="s">
        <v>372</v>
      </c>
      <c r="D124" s="76">
        <v>3</v>
      </c>
      <c r="E124" s="76" t="s">
        <v>324</v>
      </c>
      <c r="F124" s="104">
        <v>1</v>
      </c>
      <c r="G124" s="76" t="s">
        <v>27</v>
      </c>
      <c r="H124" s="83" t="s">
        <v>209</v>
      </c>
      <c r="I124" s="103"/>
      <c r="J124" s="76" t="s">
        <v>125</v>
      </c>
      <c r="K124" s="104"/>
      <c r="L124" s="104"/>
      <c r="M124" s="105">
        <f>IF(Tabelle1324568910[[#This Row],[Pulled after Start]]="",MIN(Tabelle1324568910[[#This Row],[Jira Story Points]],Tabelle1324568910[[#This Row],[Carry-over]]),0)</f>
        <v>0</v>
      </c>
      <c r="N124" s="106">
        <f>MIN(Tabelle1324568910[[#This Row],[Jira Story Points]],Tabelle1324568910[[#This Row],[Carry-over]])-Tabelle1324568910[[#This Row],[SP Initially Planned (COS)]]</f>
        <v>1</v>
      </c>
      <c r="O124"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124" s="108">
        <f>IFERROR(IF(Tabelle1324568910[[#This Row],[Status]]=$J$5,MIN(Tabelle1324568910[[#This Row],[Jira Story Points]],Tabelle1324568910[[#This Row],[Carry-over]]),0),0)</f>
        <v>0</v>
      </c>
      <c r="Q124" s="108">
        <f>IFERROR(IF(Tabelle1324568910[[#This Row],[Status]]=$J$5,0,MIN(Tabelle1324568910[[#This Row],[Jira Story Points]],Tabelle1324568910[[#This Row],[Carry-over]])-Tabelle1324568910[[#This Row],[SP Completed (COS &amp; SOS)]]),0)</f>
        <v>0</v>
      </c>
    </row>
    <row r="125" spans="1:17" s="46" customFormat="1" ht="13.5" hidden="1" customHeight="1">
      <c r="A125" s="115" t="s">
        <v>2466</v>
      </c>
      <c r="B125" s="47" t="s">
        <v>2467</v>
      </c>
      <c r="C125" s="76" t="s">
        <v>382</v>
      </c>
      <c r="D125" s="76">
        <v>3</v>
      </c>
      <c r="E125" s="76" t="s">
        <v>324</v>
      </c>
      <c r="F125" s="104">
        <v>1</v>
      </c>
      <c r="G125" s="76" t="s">
        <v>27</v>
      </c>
      <c r="H125" s="83" t="s">
        <v>209</v>
      </c>
      <c r="I125" s="103"/>
      <c r="J125" s="76" t="s">
        <v>125</v>
      </c>
      <c r="K125" s="104"/>
      <c r="L125" s="104"/>
      <c r="M125" s="105">
        <f>IF(Tabelle1324568910[[#This Row],[Pulled after Start]]="",MIN(Tabelle1324568910[[#This Row],[Jira Story Points]],Tabelle1324568910[[#This Row],[Carry-over]]),0)</f>
        <v>0</v>
      </c>
      <c r="N125" s="106">
        <f>MIN(Tabelle1324568910[[#This Row],[Jira Story Points]],Tabelle1324568910[[#This Row],[Carry-over]])-Tabelle1324568910[[#This Row],[SP Initially Planned (COS)]]</f>
        <v>1</v>
      </c>
      <c r="O125"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125" s="108">
        <f>IFERROR(IF(Tabelle1324568910[[#This Row],[Status]]=$J$5,MIN(Tabelle1324568910[[#This Row],[Jira Story Points]],Tabelle1324568910[[#This Row],[Carry-over]]),0),0)</f>
        <v>0</v>
      </c>
      <c r="Q125" s="108">
        <f>IFERROR(IF(Tabelle1324568910[[#This Row],[Status]]=$J$5,0,MIN(Tabelle1324568910[[#This Row],[Jira Story Points]],Tabelle1324568910[[#This Row],[Carry-over]])-Tabelle1324568910[[#This Row],[SP Completed (COS &amp; SOS)]]),0)</f>
        <v>0</v>
      </c>
    </row>
    <row r="126" spans="1:17" s="46" customFormat="1" ht="13.5" hidden="1" customHeight="1">
      <c r="A126" s="115" t="s">
        <v>2468</v>
      </c>
      <c r="B126" s="47" t="s">
        <v>2469</v>
      </c>
      <c r="C126" s="76" t="s">
        <v>372</v>
      </c>
      <c r="D126" s="76">
        <v>3</v>
      </c>
      <c r="E126" s="76" t="s">
        <v>324</v>
      </c>
      <c r="F126" s="104">
        <v>3</v>
      </c>
      <c r="G126" s="76" t="s">
        <v>27</v>
      </c>
      <c r="H126" s="83" t="s">
        <v>209</v>
      </c>
      <c r="I126" s="103"/>
      <c r="J126" s="76" t="s">
        <v>125</v>
      </c>
      <c r="K126" s="104"/>
      <c r="L126" s="104"/>
      <c r="M126" s="105">
        <f>IF(Tabelle1324568910[[#This Row],[Pulled after Start]]="",MIN(Tabelle1324568910[[#This Row],[Jira Story Points]],Tabelle1324568910[[#This Row],[Carry-over]]),0)</f>
        <v>0</v>
      </c>
      <c r="N126" s="106">
        <f>MIN(Tabelle1324568910[[#This Row],[Jira Story Points]],Tabelle1324568910[[#This Row],[Carry-over]])-Tabelle1324568910[[#This Row],[SP Initially Planned (COS)]]</f>
        <v>3</v>
      </c>
      <c r="O126"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26" s="108">
        <f>IFERROR(IF(Tabelle1324568910[[#This Row],[Status]]=$J$5,MIN(Tabelle1324568910[[#This Row],[Jira Story Points]],Tabelle1324568910[[#This Row],[Carry-over]]),0),0)</f>
        <v>0</v>
      </c>
      <c r="Q126" s="108">
        <f>IFERROR(IF(Tabelle1324568910[[#This Row],[Status]]=$J$5,0,MIN(Tabelle1324568910[[#This Row],[Jira Story Points]],Tabelle1324568910[[#This Row],[Carry-over]])-Tabelle1324568910[[#This Row],[SP Completed (COS &amp; SOS)]]),0)</f>
        <v>0</v>
      </c>
    </row>
    <row r="127" spans="1:17" s="46" customFormat="1" ht="13.5" hidden="1" customHeight="1">
      <c r="A127" s="115" t="s">
        <v>2470</v>
      </c>
      <c r="B127" s="47" t="s">
        <v>2471</v>
      </c>
      <c r="C127" s="76" t="s">
        <v>372</v>
      </c>
      <c r="D127" s="76">
        <v>3</v>
      </c>
      <c r="E127" s="76" t="s">
        <v>324</v>
      </c>
      <c r="F127" s="104">
        <v>8</v>
      </c>
      <c r="G127" s="76" t="s">
        <v>27</v>
      </c>
      <c r="H127" s="83"/>
      <c r="I127" s="103"/>
      <c r="J127" s="76" t="s">
        <v>125</v>
      </c>
      <c r="K127" s="104"/>
      <c r="L127" s="104"/>
      <c r="M127" s="105">
        <f>IF(Tabelle1324568910[[#This Row],[Pulled after Start]]="",MIN(Tabelle1324568910[[#This Row],[Jira Story Points]],Tabelle1324568910[[#This Row],[Carry-over]]),0)</f>
        <v>8</v>
      </c>
      <c r="N127" s="106">
        <f>MIN(Tabelle1324568910[[#This Row],[Jira Story Points]],Tabelle1324568910[[#This Row],[Carry-over]])-Tabelle1324568910[[#This Row],[SP Initially Planned (COS)]]</f>
        <v>0</v>
      </c>
      <c r="O127"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8</v>
      </c>
      <c r="P127" s="108">
        <f>IFERROR(IF(Tabelle1324568910[[#This Row],[Status]]=$J$5,MIN(Tabelle1324568910[[#This Row],[Jira Story Points]],Tabelle1324568910[[#This Row],[Carry-over]]),0),0)</f>
        <v>0</v>
      </c>
      <c r="Q127" s="108">
        <f>IFERROR(IF(Tabelle1324568910[[#This Row],[Status]]=$J$5,0,MIN(Tabelle1324568910[[#This Row],[Jira Story Points]],Tabelle1324568910[[#This Row],[Carry-over]])-Tabelle1324568910[[#This Row],[SP Completed (COS &amp; SOS)]]),0)</f>
        <v>0</v>
      </c>
    </row>
    <row r="128" spans="1:17" s="46" customFormat="1" ht="13.5" hidden="1" customHeight="1">
      <c r="A128" s="115" t="s">
        <v>2472</v>
      </c>
      <c r="B128" s="47" t="s">
        <v>2473</v>
      </c>
      <c r="C128" s="76" t="s">
        <v>372</v>
      </c>
      <c r="D128" s="76">
        <v>3</v>
      </c>
      <c r="E128" s="76" t="s">
        <v>324</v>
      </c>
      <c r="F128" s="104">
        <v>5</v>
      </c>
      <c r="G128" s="76" t="s">
        <v>27</v>
      </c>
      <c r="H128" s="76"/>
      <c r="I128" s="103"/>
      <c r="J128" s="76" t="s">
        <v>125</v>
      </c>
      <c r="K128" s="76"/>
      <c r="L128" s="76"/>
      <c r="M128" s="105">
        <f>IF(Tabelle1324568910[[#This Row],[Pulled after Start]]="",MIN(Tabelle1324568910[[#This Row],[Jira Story Points]],Tabelle1324568910[[#This Row],[Carry-over]]),0)</f>
        <v>5</v>
      </c>
      <c r="N128" s="106">
        <f>MIN(Tabelle1324568910[[#This Row],[Jira Story Points]],Tabelle1324568910[[#This Row],[Carry-over]])-Tabelle1324568910[[#This Row],[SP Initially Planned (COS)]]</f>
        <v>0</v>
      </c>
      <c r="O128"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5</v>
      </c>
      <c r="P128" s="108">
        <f>IFERROR(IF(Tabelle1324568910[[#This Row],[Status]]=$J$5,MIN(Tabelle1324568910[[#This Row],[Jira Story Points]],Tabelle1324568910[[#This Row],[Carry-over]]),0),0)</f>
        <v>0</v>
      </c>
      <c r="Q128" s="108">
        <f>IFERROR(IF(Tabelle1324568910[[#This Row],[Status]]=$J$5,0,MIN(Tabelle1324568910[[#This Row],[Jira Story Points]],Tabelle1324568910[[#This Row],[Carry-over]])-Tabelle1324568910[[#This Row],[SP Completed (COS &amp; SOS)]]),0)</f>
        <v>0</v>
      </c>
    </row>
    <row r="129" spans="1:17" s="46" customFormat="1" ht="13.5" hidden="1" customHeight="1">
      <c r="A129" s="115" t="s">
        <v>2474</v>
      </c>
      <c r="B129" s="47" t="s">
        <v>2475</v>
      </c>
      <c r="C129" s="76" t="s">
        <v>372</v>
      </c>
      <c r="D129" s="76">
        <v>3</v>
      </c>
      <c r="E129" s="76" t="s">
        <v>327</v>
      </c>
      <c r="F129" s="104">
        <v>3</v>
      </c>
      <c r="G129" s="76" t="s">
        <v>27</v>
      </c>
      <c r="H129" s="76" t="s">
        <v>209</v>
      </c>
      <c r="I129" s="79"/>
      <c r="J129" s="76" t="s">
        <v>125</v>
      </c>
      <c r="K129" s="104"/>
      <c r="L129" s="104"/>
      <c r="M129" s="105">
        <f>IF(Tabelle1324568910[[#This Row],[Pulled after Start]]="",MIN(Tabelle1324568910[[#This Row],[Jira Story Points]],Tabelle1324568910[[#This Row],[Carry-over]]),0)</f>
        <v>0</v>
      </c>
      <c r="N129" s="106">
        <f>MIN(Tabelle1324568910[[#This Row],[Jira Story Points]],Tabelle1324568910[[#This Row],[Carry-over]])-Tabelle1324568910[[#This Row],[SP Initially Planned (COS)]]</f>
        <v>3</v>
      </c>
      <c r="O129"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29" s="108">
        <f>IFERROR(IF(Tabelle1324568910[[#This Row],[Status]]=$J$5,MIN(Tabelle1324568910[[#This Row],[Jira Story Points]],Tabelle1324568910[[#This Row],[Carry-over]]),0),0)</f>
        <v>0</v>
      </c>
      <c r="Q129" s="108">
        <f>IFERROR(IF(Tabelle1324568910[[#This Row],[Status]]=$J$5,0,MIN(Tabelle1324568910[[#This Row],[Jira Story Points]],Tabelle1324568910[[#This Row],[Carry-over]])-Tabelle1324568910[[#This Row],[SP Completed (COS &amp; SOS)]]),0)</f>
        <v>0</v>
      </c>
    </row>
    <row r="130" spans="1:17" s="46" customFormat="1" ht="13.5" hidden="1" customHeight="1">
      <c r="A130" s="115" t="s">
        <v>2476</v>
      </c>
      <c r="B130" s="47" t="s">
        <v>2477</v>
      </c>
      <c r="C130" s="76" t="s">
        <v>372</v>
      </c>
      <c r="D130" s="76">
        <v>3</v>
      </c>
      <c r="E130" s="76" t="s">
        <v>324</v>
      </c>
      <c r="F130" s="104">
        <v>2</v>
      </c>
      <c r="G130" s="76" t="s">
        <v>27</v>
      </c>
      <c r="H130" s="83"/>
      <c r="I130" s="103"/>
      <c r="J130" s="76" t="s">
        <v>125</v>
      </c>
      <c r="K130" s="104"/>
      <c r="L130" s="104"/>
      <c r="M130" s="105">
        <f>IF(Tabelle1324568910[[#This Row],[Pulled after Start]]="",MIN(Tabelle1324568910[[#This Row],[Jira Story Points]],Tabelle1324568910[[#This Row],[Carry-over]]),0)</f>
        <v>2</v>
      </c>
      <c r="N130" s="106">
        <f>MIN(Tabelle1324568910[[#This Row],[Jira Story Points]],Tabelle1324568910[[#This Row],[Carry-over]])-Tabelle1324568910[[#This Row],[SP Initially Planned (COS)]]</f>
        <v>0</v>
      </c>
      <c r="O130"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2</v>
      </c>
      <c r="P130" s="108">
        <f>IFERROR(IF(Tabelle1324568910[[#This Row],[Status]]=$J$5,MIN(Tabelle1324568910[[#This Row],[Jira Story Points]],Tabelle1324568910[[#This Row],[Carry-over]]),0),0)</f>
        <v>0</v>
      </c>
      <c r="Q130" s="108">
        <f>IFERROR(IF(Tabelle1324568910[[#This Row],[Status]]=$J$5,0,MIN(Tabelle1324568910[[#This Row],[Jira Story Points]],Tabelle1324568910[[#This Row],[Carry-over]])-Tabelle1324568910[[#This Row],[SP Completed (COS &amp; SOS)]]),0)</f>
        <v>0</v>
      </c>
    </row>
    <row r="131" spans="1:17" s="46" customFormat="1" ht="13.5" hidden="1" customHeight="1">
      <c r="A131" s="115" t="s">
        <v>2478</v>
      </c>
      <c r="B131" s="47" t="s">
        <v>2479</v>
      </c>
      <c r="C131" s="76" t="s">
        <v>372</v>
      </c>
      <c r="D131" s="76">
        <v>3</v>
      </c>
      <c r="E131" s="76" t="s">
        <v>324</v>
      </c>
      <c r="F131" s="104">
        <v>3</v>
      </c>
      <c r="G131" s="76" t="s">
        <v>27</v>
      </c>
      <c r="H131" s="83" t="s">
        <v>209</v>
      </c>
      <c r="I131" s="103"/>
      <c r="J131" s="76" t="s">
        <v>125</v>
      </c>
      <c r="K131" s="104"/>
      <c r="L131" s="104"/>
      <c r="M131" s="105">
        <f>IF(Tabelle1324568910[[#This Row],[Pulled after Start]]="",MIN(Tabelle1324568910[[#This Row],[Jira Story Points]],Tabelle1324568910[[#This Row],[Carry-over]]),0)</f>
        <v>0</v>
      </c>
      <c r="N131" s="106">
        <f>MIN(Tabelle1324568910[[#This Row],[Jira Story Points]],Tabelle1324568910[[#This Row],[Carry-over]])-Tabelle1324568910[[#This Row],[SP Initially Planned (COS)]]</f>
        <v>3</v>
      </c>
      <c r="O131"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31" s="108">
        <f>IFERROR(IF(Tabelle1324568910[[#This Row],[Status]]=$J$5,MIN(Tabelle1324568910[[#This Row],[Jira Story Points]],Tabelle1324568910[[#This Row],[Carry-over]]),0),0)</f>
        <v>0</v>
      </c>
      <c r="Q131" s="108">
        <f>IFERROR(IF(Tabelle1324568910[[#This Row],[Status]]=$J$5,0,MIN(Tabelle1324568910[[#This Row],[Jira Story Points]],Tabelle1324568910[[#This Row],[Carry-over]])-Tabelle1324568910[[#This Row],[SP Completed (COS &amp; SOS)]]),0)</f>
        <v>0</v>
      </c>
    </row>
    <row r="132" spans="1:17" s="46" customFormat="1" ht="13.5" hidden="1" customHeight="1">
      <c r="A132" s="115" t="s">
        <v>2480</v>
      </c>
      <c r="B132" s="47" t="s">
        <v>2481</v>
      </c>
      <c r="C132" s="76" t="s">
        <v>375</v>
      </c>
      <c r="D132" s="76">
        <v>1</v>
      </c>
      <c r="E132" s="76" t="s">
        <v>324</v>
      </c>
      <c r="F132" s="104">
        <v>3</v>
      </c>
      <c r="G132" s="76" t="s">
        <v>27</v>
      </c>
      <c r="H132" s="83"/>
      <c r="I132" s="103"/>
      <c r="J132" s="76" t="s">
        <v>125</v>
      </c>
      <c r="K132" s="104"/>
      <c r="L132" s="104"/>
      <c r="M132" s="105">
        <f>IF(Tabelle1324568910[[#This Row],[Pulled after Start]]="",MIN(Tabelle1324568910[[#This Row],[Jira Story Points]],Tabelle1324568910[[#This Row],[Carry-over]]),0)</f>
        <v>3</v>
      </c>
      <c r="N132" s="106">
        <f>MIN(Tabelle1324568910[[#This Row],[Jira Story Points]],Tabelle1324568910[[#This Row],[Carry-over]])-Tabelle1324568910[[#This Row],[SP Initially Planned (COS)]]</f>
        <v>0</v>
      </c>
      <c r="O132"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32" s="108">
        <f>IFERROR(IF(Tabelle1324568910[[#This Row],[Status]]=$J$5,MIN(Tabelle1324568910[[#This Row],[Jira Story Points]],Tabelle1324568910[[#This Row],[Carry-over]]),0),0)</f>
        <v>0</v>
      </c>
      <c r="Q132" s="108">
        <f>IFERROR(IF(Tabelle1324568910[[#This Row],[Status]]=$J$5,0,MIN(Tabelle1324568910[[#This Row],[Jira Story Points]],Tabelle1324568910[[#This Row],[Carry-over]])-Tabelle1324568910[[#This Row],[SP Completed (COS &amp; SOS)]]),0)</f>
        <v>0</v>
      </c>
    </row>
    <row r="133" spans="1:17" s="46" customFormat="1" ht="13.5" hidden="1" customHeight="1">
      <c r="A133" s="115" t="s">
        <v>2226</v>
      </c>
      <c r="B133" s="47" t="s">
        <v>2227</v>
      </c>
      <c r="C133" s="76" t="s">
        <v>375</v>
      </c>
      <c r="D133" s="76">
        <v>2</v>
      </c>
      <c r="E133" s="76" t="s">
        <v>324</v>
      </c>
      <c r="F133" s="104">
        <v>8</v>
      </c>
      <c r="G133" s="76" t="s">
        <v>27</v>
      </c>
      <c r="H133" s="83"/>
      <c r="I133" s="103"/>
      <c r="J133" s="76" t="s">
        <v>127</v>
      </c>
      <c r="K133" s="104"/>
      <c r="L133" s="104"/>
      <c r="M133" s="105">
        <f>IF(Tabelle1324568910[[#This Row],[Pulled after Start]]="",MIN(Tabelle1324568910[[#This Row],[Jira Story Points]],Tabelle1324568910[[#This Row],[Carry-over]]),0)</f>
        <v>8</v>
      </c>
      <c r="N133" s="106">
        <f>MIN(Tabelle1324568910[[#This Row],[Jira Story Points]],Tabelle1324568910[[#This Row],[Carry-over]])-Tabelle1324568910[[#This Row],[SP Initially Planned (COS)]]</f>
        <v>0</v>
      </c>
      <c r="O133"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33" s="108">
        <f>IFERROR(IF(Tabelle1324568910[[#This Row],[Status]]=$J$5,MIN(Tabelle1324568910[[#This Row],[Jira Story Points]],Tabelle1324568910[[#This Row],[Carry-over]]),0),0)</f>
        <v>0</v>
      </c>
      <c r="Q133" s="108">
        <f>IFERROR(IF(Tabelle1324568910[[#This Row],[Status]]=$J$5,0,MIN(Tabelle1324568910[[#This Row],[Jira Story Points]],Tabelle1324568910[[#This Row],[Carry-over]])-Tabelle1324568910[[#This Row],[SP Completed (COS &amp; SOS)]]),0)</f>
        <v>8</v>
      </c>
    </row>
    <row r="134" spans="1:17" s="46" customFormat="1" ht="13.5" hidden="1" customHeight="1">
      <c r="A134" s="115" t="s">
        <v>2482</v>
      </c>
      <c r="B134" s="47" t="s">
        <v>1800</v>
      </c>
      <c r="C134" s="76" t="s">
        <v>375</v>
      </c>
      <c r="D134" s="76">
        <v>3</v>
      </c>
      <c r="E134" s="76" t="s">
        <v>327</v>
      </c>
      <c r="F134" s="104">
        <v>3</v>
      </c>
      <c r="G134" s="76" t="s">
        <v>27</v>
      </c>
      <c r="H134" s="83"/>
      <c r="I134" s="103"/>
      <c r="J134" s="76" t="s">
        <v>127</v>
      </c>
      <c r="K134" s="104"/>
      <c r="L134" s="104"/>
      <c r="M134" s="105">
        <f>IF(Tabelle1324568910[[#This Row],[Pulled after Start]]="",MIN(Tabelle1324568910[[#This Row],[Jira Story Points]],Tabelle1324568910[[#This Row],[Carry-over]]),0)</f>
        <v>3</v>
      </c>
      <c r="N134" s="106">
        <f>MIN(Tabelle1324568910[[#This Row],[Jira Story Points]],Tabelle1324568910[[#This Row],[Carry-over]])-Tabelle1324568910[[#This Row],[SP Initially Planned (COS)]]</f>
        <v>0</v>
      </c>
      <c r="O134"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34" s="108">
        <f>IFERROR(IF(Tabelle1324568910[[#This Row],[Status]]=$J$5,MIN(Tabelle1324568910[[#This Row],[Jira Story Points]],Tabelle1324568910[[#This Row],[Carry-over]]),0),0)</f>
        <v>0</v>
      </c>
      <c r="Q134" s="108">
        <f>IFERROR(IF(Tabelle1324568910[[#This Row],[Status]]=$J$5,0,MIN(Tabelle1324568910[[#This Row],[Jira Story Points]],Tabelle1324568910[[#This Row],[Carry-over]])-Tabelle1324568910[[#This Row],[SP Completed (COS &amp; SOS)]]),0)</f>
        <v>3</v>
      </c>
    </row>
    <row r="135" spans="1:17" s="46" customFormat="1" ht="13.5" hidden="1" customHeight="1">
      <c r="A135" s="115" t="s">
        <v>2230</v>
      </c>
      <c r="B135" s="47" t="s">
        <v>2231</v>
      </c>
      <c r="C135" s="76" t="s">
        <v>372</v>
      </c>
      <c r="D135" s="76">
        <v>3</v>
      </c>
      <c r="E135" s="76" t="s">
        <v>327</v>
      </c>
      <c r="F135" s="104">
        <v>5</v>
      </c>
      <c r="G135" s="76" t="s">
        <v>27</v>
      </c>
      <c r="H135" s="83" t="s">
        <v>209</v>
      </c>
      <c r="I135" s="103"/>
      <c r="J135" s="76" t="s">
        <v>127</v>
      </c>
      <c r="K135" s="104"/>
      <c r="L135" s="104"/>
      <c r="M135" s="105">
        <f>IF(Tabelle1324568910[[#This Row],[Pulled after Start]]="",MIN(Tabelle1324568910[[#This Row],[Jira Story Points]],Tabelle1324568910[[#This Row],[Carry-over]]),0)</f>
        <v>0</v>
      </c>
      <c r="N135" s="106">
        <f>MIN(Tabelle1324568910[[#This Row],[Jira Story Points]],Tabelle1324568910[[#This Row],[Carry-over]])-Tabelle1324568910[[#This Row],[SP Initially Planned (COS)]]</f>
        <v>5</v>
      </c>
      <c r="O135"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35" s="108">
        <f>IFERROR(IF(Tabelle1324568910[[#This Row],[Status]]=$J$5,MIN(Tabelle1324568910[[#This Row],[Jira Story Points]],Tabelle1324568910[[#This Row],[Carry-over]]),0),0)</f>
        <v>0</v>
      </c>
      <c r="Q135" s="108">
        <f>IFERROR(IF(Tabelle1324568910[[#This Row],[Status]]=$J$5,0,MIN(Tabelle1324568910[[#This Row],[Jira Story Points]],Tabelle1324568910[[#This Row],[Carry-over]])-Tabelle1324568910[[#This Row],[SP Completed (COS &amp; SOS)]]),0)</f>
        <v>5</v>
      </c>
    </row>
    <row r="136" spans="1:17" s="46" customFormat="1" ht="13.5" hidden="1" customHeight="1">
      <c r="A136" s="115" t="s">
        <v>2483</v>
      </c>
      <c r="B136" s="47" t="s">
        <v>2484</v>
      </c>
      <c r="C136" s="76" t="s">
        <v>375</v>
      </c>
      <c r="D136" s="76">
        <v>3</v>
      </c>
      <c r="E136" s="76" t="s">
        <v>324</v>
      </c>
      <c r="F136" s="104">
        <v>3</v>
      </c>
      <c r="G136" s="76" t="s">
        <v>27</v>
      </c>
      <c r="H136" s="83"/>
      <c r="I136" s="103"/>
      <c r="J136" s="76" t="s">
        <v>125</v>
      </c>
      <c r="K136" s="104"/>
      <c r="L136" s="104"/>
      <c r="M136" s="105">
        <f>IF(Tabelle1324568910[[#This Row],[Pulled after Start]]="",MIN(Tabelle1324568910[[#This Row],[Jira Story Points]],Tabelle1324568910[[#This Row],[Carry-over]]),0)</f>
        <v>3</v>
      </c>
      <c r="N136" s="106">
        <f>MIN(Tabelle1324568910[[#This Row],[Jira Story Points]],Tabelle1324568910[[#This Row],[Carry-over]])-Tabelle1324568910[[#This Row],[SP Initially Planned (COS)]]</f>
        <v>0</v>
      </c>
      <c r="O136"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36" s="108">
        <f>IFERROR(IF(Tabelle1324568910[[#This Row],[Status]]=$J$5,MIN(Tabelle1324568910[[#This Row],[Jira Story Points]],Tabelle1324568910[[#This Row],[Carry-over]]),0),0)</f>
        <v>0</v>
      </c>
      <c r="Q136" s="108">
        <f>IFERROR(IF(Tabelle1324568910[[#This Row],[Status]]=$J$5,0,MIN(Tabelle1324568910[[#This Row],[Jira Story Points]],Tabelle1324568910[[#This Row],[Carry-over]])-Tabelle1324568910[[#This Row],[SP Completed (COS &amp; SOS)]]),0)</f>
        <v>0</v>
      </c>
    </row>
    <row r="137" spans="1:17" s="46" customFormat="1" ht="13.5" hidden="1" customHeight="1">
      <c r="A137" s="115" t="s">
        <v>2232</v>
      </c>
      <c r="B137" s="47" t="s">
        <v>2233</v>
      </c>
      <c r="C137" s="76" t="s">
        <v>372</v>
      </c>
      <c r="D137" s="76">
        <v>3</v>
      </c>
      <c r="E137" s="76" t="s">
        <v>327</v>
      </c>
      <c r="F137" s="104">
        <v>5</v>
      </c>
      <c r="G137" s="76" t="s">
        <v>27</v>
      </c>
      <c r="H137" s="83"/>
      <c r="I137" s="103"/>
      <c r="J137" s="76" t="s">
        <v>127</v>
      </c>
      <c r="K137" s="104"/>
      <c r="L137" s="104"/>
      <c r="M137" s="105">
        <f>IF(Tabelle1324568910[[#This Row],[Pulled after Start]]="",MIN(Tabelle1324568910[[#This Row],[Jira Story Points]],Tabelle1324568910[[#This Row],[Carry-over]]),0)</f>
        <v>5</v>
      </c>
      <c r="N137" s="106">
        <f>MIN(Tabelle1324568910[[#This Row],[Jira Story Points]],Tabelle1324568910[[#This Row],[Carry-over]])-Tabelle1324568910[[#This Row],[SP Initially Planned (COS)]]</f>
        <v>0</v>
      </c>
      <c r="O137"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37" s="108">
        <f>IFERROR(IF(Tabelle1324568910[[#This Row],[Status]]=$J$5,MIN(Tabelle1324568910[[#This Row],[Jira Story Points]],Tabelle1324568910[[#This Row],[Carry-over]]),0),0)</f>
        <v>0</v>
      </c>
      <c r="Q137" s="108">
        <f>IFERROR(IF(Tabelle1324568910[[#This Row],[Status]]=$J$5,0,MIN(Tabelle1324568910[[#This Row],[Jira Story Points]],Tabelle1324568910[[#This Row],[Carry-over]])-Tabelle1324568910[[#This Row],[SP Completed (COS &amp; SOS)]]),0)</f>
        <v>5</v>
      </c>
    </row>
    <row r="138" spans="1:17" s="46" customFormat="1" ht="13.5" hidden="1" customHeight="1">
      <c r="A138" s="88" t="s">
        <v>2485</v>
      </c>
      <c r="B138" s="47" t="s">
        <v>2486</v>
      </c>
      <c r="C138" s="76" t="s">
        <v>375</v>
      </c>
      <c r="D138" s="76">
        <v>2</v>
      </c>
      <c r="E138" s="76" t="s">
        <v>324</v>
      </c>
      <c r="F138" s="76">
        <v>3</v>
      </c>
      <c r="G138" s="76" t="s">
        <v>35</v>
      </c>
      <c r="H138" s="76"/>
      <c r="I138" s="103"/>
      <c r="J138" s="76" t="s">
        <v>125</v>
      </c>
      <c r="K138" s="76"/>
      <c r="L138" s="76"/>
      <c r="M138" s="105">
        <f>IF(Tabelle1324568910[[#This Row],[Pulled after Start]]="",MIN(Tabelle1324568910[[#This Row],[Jira Story Points]],Tabelle1324568910[[#This Row],[Carry-over]]),0)</f>
        <v>3</v>
      </c>
      <c r="N138" s="106">
        <f>MIN(Tabelle1324568910[[#This Row],[Jira Story Points]],Tabelle1324568910[[#This Row],[Carry-over]])-Tabelle1324568910[[#This Row],[SP Initially Planned (COS)]]</f>
        <v>0</v>
      </c>
      <c r="O138"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38" s="108">
        <f>IFERROR(IF(Tabelle1324568910[[#This Row],[Status]]=$J$5,MIN(Tabelle1324568910[[#This Row],[Jira Story Points]],Tabelle1324568910[[#This Row],[Carry-over]]),0),0)</f>
        <v>0</v>
      </c>
      <c r="Q138" s="108">
        <f>IFERROR(IF(Tabelle1324568910[[#This Row],[Status]]=$J$5,0,MIN(Tabelle1324568910[[#This Row],[Jira Story Points]],Tabelle1324568910[[#This Row],[Carry-over]])-Tabelle1324568910[[#This Row],[SP Completed (COS &amp; SOS)]]),0)</f>
        <v>0</v>
      </c>
    </row>
    <row r="139" spans="1:17" s="46" customFormat="1" ht="13.5" hidden="1" customHeight="1">
      <c r="A139" s="88" t="s">
        <v>2487</v>
      </c>
      <c r="B139" s="47" t="s">
        <v>2488</v>
      </c>
      <c r="C139" s="76" t="s">
        <v>372</v>
      </c>
      <c r="D139" s="76">
        <v>3</v>
      </c>
      <c r="E139" s="76" t="s">
        <v>324</v>
      </c>
      <c r="F139" s="76">
        <v>3</v>
      </c>
      <c r="G139" s="76" t="s">
        <v>35</v>
      </c>
      <c r="H139" s="76"/>
      <c r="I139" s="103"/>
      <c r="J139" s="76" t="s">
        <v>125</v>
      </c>
      <c r="K139" s="76"/>
      <c r="L139" s="76"/>
      <c r="M139" s="105">
        <f>IF(Tabelle1324568910[[#This Row],[Pulled after Start]]="",MIN(Tabelle1324568910[[#This Row],[Jira Story Points]],Tabelle1324568910[[#This Row],[Carry-over]]),0)</f>
        <v>3</v>
      </c>
      <c r="N139" s="106">
        <f>MIN(Tabelle1324568910[[#This Row],[Jira Story Points]],Tabelle1324568910[[#This Row],[Carry-over]])-Tabelle1324568910[[#This Row],[SP Initially Planned (COS)]]</f>
        <v>0</v>
      </c>
      <c r="O139"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39" s="108">
        <f>IFERROR(IF(Tabelle1324568910[[#This Row],[Status]]=$J$5,MIN(Tabelle1324568910[[#This Row],[Jira Story Points]],Tabelle1324568910[[#This Row],[Carry-over]]),0),0)</f>
        <v>0</v>
      </c>
      <c r="Q139" s="108">
        <f>IFERROR(IF(Tabelle1324568910[[#This Row],[Status]]=$J$5,0,MIN(Tabelle1324568910[[#This Row],[Jira Story Points]],Tabelle1324568910[[#This Row],[Carry-over]])-Tabelle1324568910[[#This Row],[SP Completed (COS &amp; SOS)]]),0)</f>
        <v>0</v>
      </c>
    </row>
    <row r="140" spans="1:17" s="46" customFormat="1" ht="13.5" hidden="1" customHeight="1">
      <c r="A140" s="88" t="s">
        <v>2489</v>
      </c>
      <c r="B140" s="47" t="s">
        <v>2490</v>
      </c>
      <c r="C140" s="76" t="s">
        <v>375</v>
      </c>
      <c r="D140" s="76">
        <v>3</v>
      </c>
      <c r="E140" s="76" t="s">
        <v>324</v>
      </c>
      <c r="F140" s="76">
        <v>3</v>
      </c>
      <c r="G140" s="76" t="s">
        <v>35</v>
      </c>
      <c r="H140" s="76"/>
      <c r="I140" s="103"/>
      <c r="J140" s="76" t="s">
        <v>125</v>
      </c>
      <c r="K140" s="76"/>
      <c r="L140" s="76"/>
      <c r="M140" s="105">
        <f>IF(Tabelle1324568910[[#This Row],[Pulled after Start]]="",MIN(Tabelle1324568910[[#This Row],[Jira Story Points]],Tabelle1324568910[[#This Row],[Carry-over]]),0)</f>
        <v>3</v>
      </c>
      <c r="N140" s="106">
        <f>MIN(Tabelle1324568910[[#This Row],[Jira Story Points]],Tabelle1324568910[[#This Row],[Carry-over]])-Tabelle1324568910[[#This Row],[SP Initially Planned (COS)]]</f>
        <v>0</v>
      </c>
      <c r="O140"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40" s="108">
        <f>IFERROR(IF(Tabelle1324568910[[#This Row],[Status]]=$J$5,MIN(Tabelle1324568910[[#This Row],[Jira Story Points]],Tabelle1324568910[[#This Row],[Carry-over]]),0),0)</f>
        <v>0</v>
      </c>
      <c r="Q140" s="108">
        <f>IFERROR(IF(Tabelle1324568910[[#This Row],[Status]]=$J$5,0,MIN(Tabelle1324568910[[#This Row],[Jira Story Points]],Tabelle1324568910[[#This Row],[Carry-over]])-Tabelle1324568910[[#This Row],[SP Completed (COS &amp; SOS)]]),0)</f>
        <v>0</v>
      </c>
    </row>
    <row r="141" spans="1:17" s="46" customFormat="1" ht="13.5" hidden="1" customHeight="1">
      <c r="A141" s="88" t="s">
        <v>2491</v>
      </c>
      <c r="B141" s="47" t="s">
        <v>2492</v>
      </c>
      <c r="C141" s="76" t="s">
        <v>372</v>
      </c>
      <c r="D141" s="76">
        <v>3</v>
      </c>
      <c r="E141" s="76" t="s">
        <v>324</v>
      </c>
      <c r="F141" s="76">
        <v>3</v>
      </c>
      <c r="G141" s="76" t="s">
        <v>35</v>
      </c>
      <c r="H141" s="76"/>
      <c r="I141" s="103"/>
      <c r="J141" s="76" t="s">
        <v>125</v>
      </c>
      <c r="K141" s="76"/>
      <c r="L141" s="76"/>
      <c r="M141" s="105">
        <f>IF(Tabelle1324568910[[#This Row],[Pulled after Start]]="",MIN(Tabelle1324568910[[#This Row],[Jira Story Points]],Tabelle1324568910[[#This Row],[Carry-over]]),0)</f>
        <v>3</v>
      </c>
      <c r="N141" s="106">
        <f>MIN(Tabelle1324568910[[#This Row],[Jira Story Points]],Tabelle1324568910[[#This Row],[Carry-over]])-Tabelle1324568910[[#This Row],[SP Initially Planned (COS)]]</f>
        <v>0</v>
      </c>
      <c r="O141"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41" s="108">
        <f>IFERROR(IF(Tabelle1324568910[[#This Row],[Status]]=$J$5,MIN(Tabelle1324568910[[#This Row],[Jira Story Points]],Tabelle1324568910[[#This Row],[Carry-over]]),0),0)</f>
        <v>0</v>
      </c>
      <c r="Q141" s="108">
        <f>IFERROR(IF(Tabelle1324568910[[#This Row],[Status]]=$J$5,0,MIN(Tabelle1324568910[[#This Row],[Jira Story Points]],Tabelle1324568910[[#This Row],[Carry-over]])-Tabelle1324568910[[#This Row],[SP Completed (COS &amp; SOS)]]),0)</f>
        <v>0</v>
      </c>
    </row>
    <row r="142" spans="1:17" s="46" customFormat="1" ht="13.5" hidden="1" customHeight="1">
      <c r="A142" s="88" t="s">
        <v>2493</v>
      </c>
      <c r="B142" s="47" t="s">
        <v>2494</v>
      </c>
      <c r="C142" s="76" t="s">
        <v>372</v>
      </c>
      <c r="D142" s="76">
        <v>3</v>
      </c>
      <c r="E142" s="76" t="s">
        <v>324</v>
      </c>
      <c r="F142" s="76">
        <v>8</v>
      </c>
      <c r="G142" s="76" t="s">
        <v>35</v>
      </c>
      <c r="H142" s="76"/>
      <c r="I142" s="103"/>
      <c r="J142" s="76" t="s">
        <v>125</v>
      </c>
      <c r="K142" s="76"/>
      <c r="L142" s="76"/>
      <c r="M142" s="105">
        <f>IF(Tabelle1324568910[[#This Row],[Pulled after Start]]="",MIN(Tabelle1324568910[[#This Row],[Jira Story Points]],Tabelle1324568910[[#This Row],[Carry-over]]),0)</f>
        <v>8</v>
      </c>
      <c r="N142" s="106">
        <f>MIN(Tabelle1324568910[[#This Row],[Jira Story Points]],Tabelle1324568910[[#This Row],[Carry-over]])-Tabelle1324568910[[#This Row],[SP Initially Planned (COS)]]</f>
        <v>0</v>
      </c>
      <c r="O142"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8</v>
      </c>
      <c r="P142" s="108">
        <f>IFERROR(IF(Tabelle1324568910[[#This Row],[Status]]=$J$5,MIN(Tabelle1324568910[[#This Row],[Jira Story Points]],Tabelle1324568910[[#This Row],[Carry-over]]),0),0)</f>
        <v>0</v>
      </c>
      <c r="Q142" s="108">
        <f>IFERROR(IF(Tabelle1324568910[[#This Row],[Status]]=$J$5,0,MIN(Tabelle1324568910[[#This Row],[Jira Story Points]],Tabelle1324568910[[#This Row],[Carry-over]])-Tabelle1324568910[[#This Row],[SP Completed (COS &amp; SOS)]]),0)</f>
        <v>0</v>
      </c>
    </row>
    <row r="143" spans="1:17" s="46" customFormat="1" ht="13.5" hidden="1" customHeight="1">
      <c r="A143" s="88" t="s">
        <v>2495</v>
      </c>
      <c r="B143" s="47" t="s">
        <v>2496</v>
      </c>
      <c r="C143" s="76" t="s">
        <v>372</v>
      </c>
      <c r="D143" s="76">
        <v>3</v>
      </c>
      <c r="E143" s="76" t="s">
        <v>324</v>
      </c>
      <c r="F143" s="76">
        <v>3</v>
      </c>
      <c r="G143" s="76" t="s">
        <v>35</v>
      </c>
      <c r="H143" s="76"/>
      <c r="I143" s="103"/>
      <c r="J143" s="76" t="s">
        <v>125</v>
      </c>
      <c r="K143" s="76"/>
      <c r="L143" s="76"/>
      <c r="M143" s="105">
        <f>IF(Tabelle1324568910[[#This Row],[Pulled after Start]]="",MIN(Tabelle1324568910[[#This Row],[Jira Story Points]],Tabelle1324568910[[#This Row],[Carry-over]]),0)</f>
        <v>3</v>
      </c>
      <c r="N143" s="106">
        <f>MIN(Tabelle1324568910[[#This Row],[Jira Story Points]],Tabelle1324568910[[#This Row],[Carry-over]])-Tabelle1324568910[[#This Row],[SP Initially Planned (COS)]]</f>
        <v>0</v>
      </c>
      <c r="O143"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43" s="108">
        <f>IFERROR(IF(Tabelle1324568910[[#This Row],[Status]]=$J$5,MIN(Tabelle1324568910[[#This Row],[Jira Story Points]],Tabelle1324568910[[#This Row],[Carry-over]]),0),0)</f>
        <v>0</v>
      </c>
      <c r="Q143" s="108">
        <f>IFERROR(IF(Tabelle1324568910[[#This Row],[Status]]=$J$5,0,MIN(Tabelle1324568910[[#This Row],[Jira Story Points]],Tabelle1324568910[[#This Row],[Carry-over]])-Tabelle1324568910[[#This Row],[SP Completed (COS &amp; SOS)]]),0)</f>
        <v>0</v>
      </c>
    </row>
    <row r="144" spans="1:17" s="46" customFormat="1" ht="13.5" hidden="1" customHeight="1">
      <c r="A144" s="118" t="s">
        <v>2497</v>
      </c>
      <c r="B144" s="47" t="s">
        <v>2498</v>
      </c>
      <c r="C144" s="76" t="s">
        <v>372</v>
      </c>
      <c r="D144" s="76">
        <v>3</v>
      </c>
      <c r="E144" s="76" t="s">
        <v>324</v>
      </c>
      <c r="F144" s="104">
        <v>3</v>
      </c>
      <c r="G144" s="76" t="s">
        <v>35</v>
      </c>
      <c r="H144" s="76"/>
      <c r="I144" s="103"/>
      <c r="J144" s="76" t="s">
        <v>125</v>
      </c>
      <c r="K144" s="104"/>
      <c r="L144" s="104"/>
      <c r="M144" s="105">
        <f>IF(Tabelle1324568910[[#This Row],[Pulled after Start]]="",MIN(Tabelle1324568910[[#This Row],[Jira Story Points]],Tabelle1324568910[[#This Row],[Carry-over]]),0)</f>
        <v>3</v>
      </c>
      <c r="N144" s="106">
        <f>MIN(Tabelle1324568910[[#This Row],[Jira Story Points]],Tabelle1324568910[[#This Row],[Carry-over]])-Tabelle1324568910[[#This Row],[SP Initially Planned (COS)]]</f>
        <v>0</v>
      </c>
      <c r="O144"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44" s="108">
        <f>IFERROR(IF(Tabelle1324568910[[#This Row],[Status]]=$J$5,MIN(Tabelle1324568910[[#This Row],[Jira Story Points]],Tabelle1324568910[[#This Row],[Carry-over]]),0),0)</f>
        <v>0</v>
      </c>
      <c r="Q144" s="108">
        <f>IFERROR(IF(Tabelle1324568910[[#This Row],[Status]]=$J$5,0,MIN(Tabelle1324568910[[#This Row],[Jira Story Points]],Tabelle1324568910[[#This Row],[Carry-over]])-Tabelle1324568910[[#This Row],[SP Completed (COS &amp; SOS)]]),0)</f>
        <v>0</v>
      </c>
    </row>
    <row r="145" spans="1:17" s="46" customFormat="1" ht="13.5" hidden="1" customHeight="1">
      <c r="A145" s="118" t="s">
        <v>2499</v>
      </c>
      <c r="B145" s="47" t="s">
        <v>2500</v>
      </c>
      <c r="C145" s="76" t="s">
        <v>382</v>
      </c>
      <c r="D145" s="76">
        <v>3</v>
      </c>
      <c r="E145" s="76" t="s">
        <v>324</v>
      </c>
      <c r="F145" s="104">
        <v>2</v>
      </c>
      <c r="G145" s="76" t="s">
        <v>35</v>
      </c>
      <c r="H145" s="76"/>
      <c r="I145" s="79"/>
      <c r="J145" s="76" t="s">
        <v>125</v>
      </c>
      <c r="K145" s="104"/>
      <c r="L145" s="104"/>
      <c r="M145" s="105">
        <f>IF(Tabelle1324568910[[#This Row],[Pulled after Start]]="",MIN(Tabelle1324568910[[#This Row],[Jira Story Points]],Tabelle1324568910[[#This Row],[Carry-over]]),0)</f>
        <v>2</v>
      </c>
      <c r="N145" s="106">
        <f>MIN(Tabelle1324568910[[#This Row],[Jira Story Points]],Tabelle1324568910[[#This Row],[Carry-over]])-Tabelle1324568910[[#This Row],[SP Initially Planned (COS)]]</f>
        <v>0</v>
      </c>
      <c r="O145"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2</v>
      </c>
      <c r="P145" s="108">
        <f>IFERROR(IF(Tabelle1324568910[[#This Row],[Status]]=$J$5,MIN(Tabelle1324568910[[#This Row],[Jira Story Points]],Tabelle1324568910[[#This Row],[Carry-over]]),0),0)</f>
        <v>0</v>
      </c>
      <c r="Q145" s="108">
        <f>IFERROR(IF(Tabelle1324568910[[#This Row],[Status]]=$J$5,0,MIN(Tabelle1324568910[[#This Row],[Jira Story Points]],Tabelle1324568910[[#This Row],[Carry-over]])-Tabelle1324568910[[#This Row],[SP Completed (COS &amp; SOS)]]),0)</f>
        <v>0</v>
      </c>
    </row>
    <row r="146" spans="1:17" s="46" customFormat="1" ht="13.5" hidden="1" customHeight="1">
      <c r="A146" s="118" t="s">
        <v>2501</v>
      </c>
      <c r="B146" s="47" t="s">
        <v>2502</v>
      </c>
      <c r="C146" s="76" t="s">
        <v>372</v>
      </c>
      <c r="D146" s="76">
        <v>3</v>
      </c>
      <c r="E146" s="76" t="s">
        <v>324</v>
      </c>
      <c r="F146" s="104">
        <v>3</v>
      </c>
      <c r="G146" s="76" t="s">
        <v>35</v>
      </c>
      <c r="H146" s="76"/>
      <c r="I146" s="103"/>
      <c r="J146" s="76" t="s">
        <v>125</v>
      </c>
      <c r="K146" s="76"/>
      <c r="L146" s="76"/>
      <c r="M146" s="105">
        <f>IF(Tabelle1324568910[[#This Row],[Pulled after Start]]="",MIN(Tabelle1324568910[[#This Row],[Jira Story Points]],Tabelle1324568910[[#This Row],[Carry-over]]),0)</f>
        <v>3</v>
      </c>
      <c r="N146" s="106">
        <f>MIN(Tabelle1324568910[[#This Row],[Jira Story Points]],Tabelle1324568910[[#This Row],[Carry-over]])-Tabelle1324568910[[#This Row],[SP Initially Planned (COS)]]</f>
        <v>0</v>
      </c>
      <c r="O146"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46" s="108">
        <f>IFERROR(IF(Tabelle1324568910[[#This Row],[Status]]=$J$5,MIN(Tabelle1324568910[[#This Row],[Jira Story Points]],Tabelle1324568910[[#This Row],[Carry-over]]),0),0)</f>
        <v>0</v>
      </c>
      <c r="Q146" s="108">
        <f>IFERROR(IF(Tabelle1324568910[[#This Row],[Status]]=$J$5,0,MIN(Tabelle1324568910[[#This Row],[Jira Story Points]],Tabelle1324568910[[#This Row],[Carry-over]])-Tabelle1324568910[[#This Row],[SP Completed (COS &amp; SOS)]]),0)</f>
        <v>0</v>
      </c>
    </row>
    <row r="147" spans="1:17" s="46" customFormat="1" ht="13.5" hidden="1" customHeight="1">
      <c r="A147" s="118" t="s">
        <v>2503</v>
      </c>
      <c r="B147" s="47" t="s">
        <v>2504</v>
      </c>
      <c r="C147" s="76" t="s">
        <v>375</v>
      </c>
      <c r="D147" s="76">
        <v>1</v>
      </c>
      <c r="E147" s="76" t="s">
        <v>324</v>
      </c>
      <c r="F147" s="104">
        <v>2</v>
      </c>
      <c r="G147" s="76" t="s">
        <v>35</v>
      </c>
      <c r="H147" s="83"/>
      <c r="I147" s="103"/>
      <c r="J147" s="76" t="s">
        <v>125</v>
      </c>
      <c r="K147" s="104"/>
      <c r="L147" s="104"/>
      <c r="M147" s="105">
        <f>IF(Tabelle1324568910[[#This Row],[Pulled after Start]]="",MIN(Tabelle1324568910[[#This Row],[Jira Story Points]],Tabelle1324568910[[#This Row],[Carry-over]]),0)</f>
        <v>2</v>
      </c>
      <c r="N147" s="106">
        <f>MIN(Tabelle1324568910[[#This Row],[Jira Story Points]],Tabelle1324568910[[#This Row],[Carry-over]])-Tabelle1324568910[[#This Row],[SP Initially Planned (COS)]]</f>
        <v>0</v>
      </c>
      <c r="O147"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2</v>
      </c>
      <c r="P147" s="108">
        <f>IFERROR(IF(Tabelle1324568910[[#This Row],[Status]]=$J$5,MIN(Tabelle1324568910[[#This Row],[Jira Story Points]],Tabelle1324568910[[#This Row],[Carry-over]]),0),0)</f>
        <v>0</v>
      </c>
      <c r="Q147" s="108">
        <f>IFERROR(IF(Tabelle1324568910[[#This Row],[Status]]=$J$5,0,MIN(Tabelle1324568910[[#This Row],[Jira Story Points]],Tabelle1324568910[[#This Row],[Carry-over]])-Tabelle1324568910[[#This Row],[SP Completed (COS &amp; SOS)]]),0)</f>
        <v>0</v>
      </c>
    </row>
    <row r="148" spans="1:17" s="46" customFormat="1" ht="13.5" hidden="1" customHeight="1">
      <c r="A148" s="118" t="s">
        <v>2505</v>
      </c>
      <c r="B148" s="47" t="s">
        <v>2506</v>
      </c>
      <c r="C148" s="76" t="s">
        <v>372</v>
      </c>
      <c r="D148" s="76">
        <v>3</v>
      </c>
      <c r="E148" s="76" t="s">
        <v>324</v>
      </c>
      <c r="F148" s="104">
        <v>3</v>
      </c>
      <c r="G148" s="76" t="s">
        <v>35</v>
      </c>
      <c r="H148" s="76"/>
      <c r="I148" s="103"/>
      <c r="J148" s="76" t="s">
        <v>125</v>
      </c>
      <c r="K148" s="76"/>
      <c r="L148" s="76"/>
      <c r="M148" s="105">
        <f>IF(Tabelle1324568910[[#This Row],[Pulled after Start]]="",MIN(Tabelle1324568910[[#This Row],[Jira Story Points]],Tabelle1324568910[[#This Row],[Carry-over]]),0)</f>
        <v>3</v>
      </c>
      <c r="N148" s="106">
        <f>MIN(Tabelle1324568910[[#This Row],[Jira Story Points]],Tabelle1324568910[[#This Row],[Carry-over]])-Tabelle1324568910[[#This Row],[SP Initially Planned (COS)]]</f>
        <v>0</v>
      </c>
      <c r="O148"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48" s="108">
        <f>IFERROR(IF(Tabelle1324568910[[#This Row],[Status]]=$J$5,MIN(Tabelle1324568910[[#This Row],[Jira Story Points]],Tabelle1324568910[[#This Row],[Carry-over]]),0),0)</f>
        <v>0</v>
      </c>
      <c r="Q148" s="108">
        <f>IFERROR(IF(Tabelle1324568910[[#This Row],[Status]]=$J$5,0,MIN(Tabelle1324568910[[#This Row],[Jira Story Points]],Tabelle1324568910[[#This Row],[Carry-over]])-Tabelle1324568910[[#This Row],[SP Completed (COS &amp; SOS)]]),0)</f>
        <v>0</v>
      </c>
    </row>
    <row r="149" spans="1:17" s="46" customFormat="1" ht="13.5" hidden="1" customHeight="1">
      <c r="A149" s="118" t="s">
        <v>2507</v>
      </c>
      <c r="B149" s="47" t="s">
        <v>2508</v>
      </c>
      <c r="C149" s="76" t="s">
        <v>382</v>
      </c>
      <c r="D149" s="76">
        <v>3</v>
      </c>
      <c r="E149" s="76" t="s">
        <v>324</v>
      </c>
      <c r="F149" s="104">
        <v>1</v>
      </c>
      <c r="G149" s="76" t="s">
        <v>35</v>
      </c>
      <c r="H149" s="83"/>
      <c r="I149" s="103"/>
      <c r="J149" s="76" t="s">
        <v>125</v>
      </c>
      <c r="K149" s="104"/>
      <c r="L149" s="104"/>
      <c r="M149" s="105">
        <f>IF(Tabelle1324568910[[#This Row],[Pulled after Start]]="",MIN(Tabelle1324568910[[#This Row],[Jira Story Points]],Tabelle1324568910[[#This Row],[Carry-over]]),0)</f>
        <v>1</v>
      </c>
      <c r="N149" s="106">
        <f>MIN(Tabelle1324568910[[#This Row],[Jira Story Points]],Tabelle1324568910[[#This Row],[Carry-over]])-Tabelle1324568910[[#This Row],[SP Initially Planned (COS)]]</f>
        <v>0</v>
      </c>
      <c r="O149"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149" s="108">
        <f>IFERROR(IF(Tabelle1324568910[[#This Row],[Status]]=$J$5,MIN(Tabelle1324568910[[#This Row],[Jira Story Points]],Tabelle1324568910[[#This Row],[Carry-over]]),0),0)</f>
        <v>0</v>
      </c>
      <c r="Q149" s="108">
        <f>IFERROR(IF(Tabelle1324568910[[#This Row],[Status]]=$J$5,0,MIN(Tabelle1324568910[[#This Row],[Jira Story Points]],Tabelle1324568910[[#This Row],[Carry-over]])-Tabelle1324568910[[#This Row],[SP Completed (COS &amp; SOS)]]),0)</f>
        <v>0</v>
      </c>
    </row>
    <row r="150" spans="1:17" s="46" customFormat="1" ht="13.5" hidden="1" customHeight="1">
      <c r="A150" s="118" t="s">
        <v>2509</v>
      </c>
      <c r="B150" s="47" t="s">
        <v>2510</v>
      </c>
      <c r="C150" s="76" t="s">
        <v>372</v>
      </c>
      <c r="D150" s="76">
        <v>3</v>
      </c>
      <c r="E150" s="76" t="s">
        <v>324</v>
      </c>
      <c r="F150" s="104">
        <v>2</v>
      </c>
      <c r="G150" s="76" t="s">
        <v>35</v>
      </c>
      <c r="H150" s="76"/>
      <c r="I150" s="103"/>
      <c r="J150" s="76" t="s">
        <v>125</v>
      </c>
      <c r="K150" s="104"/>
      <c r="L150" s="104"/>
      <c r="M150" s="105">
        <f>IF(Tabelle1324568910[[#This Row],[Pulled after Start]]="",MIN(Tabelle1324568910[[#This Row],[Jira Story Points]],Tabelle1324568910[[#This Row],[Carry-over]]),0)</f>
        <v>2</v>
      </c>
      <c r="N150" s="106">
        <f>MIN(Tabelle1324568910[[#This Row],[Jira Story Points]],Tabelle1324568910[[#This Row],[Carry-over]])-Tabelle1324568910[[#This Row],[SP Initially Planned (COS)]]</f>
        <v>0</v>
      </c>
      <c r="O150"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2</v>
      </c>
      <c r="P150" s="108">
        <f>IFERROR(IF(Tabelle1324568910[[#This Row],[Status]]=$J$5,MIN(Tabelle1324568910[[#This Row],[Jira Story Points]],Tabelle1324568910[[#This Row],[Carry-over]]),0),0)</f>
        <v>0</v>
      </c>
      <c r="Q150" s="108">
        <f>IFERROR(IF(Tabelle1324568910[[#This Row],[Status]]=$J$5,0,MIN(Tabelle1324568910[[#This Row],[Jira Story Points]],Tabelle1324568910[[#This Row],[Carry-over]])-Tabelle1324568910[[#This Row],[SP Completed (COS &amp; SOS)]]),0)</f>
        <v>0</v>
      </c>
    </row>
    <row r="151" spans="1:17" s="46" customFormat="1" ht="13.5" hidden="1" customHeight="1">
      <c r="A151" s="117" t="s">
        <v>2511</v>
      </c>
      <c r="B151" s="110" t="s">
        <v>2512</v>
      </c>
      <c r="C151" s="76" t="s">
        <v>375</v>
      </c>
      <c r="D151" s="76">
        <v>1</v>
      </c>
      <c r="E151" s="76" t="s">
        <v>324</v>
      </c>
      <c r="F151" s="104">
        <v>3</v>
      </c>
      <c r="G151" s="76" t="s">
        <v>35</v>
      </c>
      <c r="H151" s="83" t="s">
        <v>209</v>
      </c>
      <c r="I151" s="103"/>
      <c r="J151" s="76" t="s">
        <v>125</v>
      </c>
      <c r="K151" s="104"/>
      <c r="L151" s="104"/>
      <c r="M151" s="105">
        <f>IF(Tabelle1324568910[[#This Row],[Pulled after Start]]="",MIN(Tabelle1324568910[[#This Row],[Jira Story Points]],Tabelle1324568910[[#This Row],[Carry-over]]),0)</f>
        <v>0</v>
      </c>
      <c r="N151" s="106">
        <f>MIN(Tabelle1324568910[[#This Row],[Jira Story Points]],Tabelle1324568910[[#This Row],[Carry-over]])-Tabelle1324568910[[#This Row],[SP Initially Planned (COS)]]</f>
        <v>3</v>
      </c>
      <c r="O151"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51" s="108">
        <f>IFERROR(IF(Tabelle1324568910[[#This Row],[Status]]=$J$5,MIN(Tabelle1324568910[[#This Row],[Jira Story Points]],Tabelle1324568910[[#This Row],[Carry-over]]),0),0)</f>
        <v>0</v>
      </c>
      <c r="Q151" s="108">
        <f>IFERROR(IF(Tabelle1324568910[[#This Row],[Status]]=$J$5,0,MIN(Tabelle1324568910[[#This Row],[Jira Story Points]],Tabelle1324568910[[#This Row],[Carry-over]])-Tabelle1324568910[[#This Row],[SP Completed (COS &amp; SOS)]]),0)</f>
        <v>0</v>
      </c>
    </row>
    <row r="152" spans="1:17" s="46" customFormat="1" ht="13.5" hidden="1" customHeight="1">
      <c r="A152" s="88" t="s">
        <v>1839</v>
      </c>
      <c r="B152" s="46" t="s">
        <v>1840</v>
      </c>
      <c r="C152" s="76" t="s">
        <v>372</v>
      </c>
      <c r="D152" s="76">
        <v>3</v>
      </c>
      <c r="E152" s="76" t="s">
        <v>637</v>
      </c>
      <c r="F152" s="76">
        <v>2</v>
      </c>
      <c r="G152" s="76" t="s">
        <v>35</v>
      </c>
      <c r="H152" s="76"/>
      <c r="I152" s="103"/>
      <c r="J152" s="76" t="s">
        <v>127</v>
      </c>
      <c r="K152" s="104"/>
      <c r="L152" s="104"/>
      <c r="M152" s="105">
        <f>IF(Tabelle1324568910[[#This Row],[Pulled after Start]]="",MIN(Tabelle1324568910[[#This Row],[Jira Story Points]],Tabelle1324568910[[#This Row],[Carry-over]]),0)</f>
        <v>2</v>
      </c>
      <c r="N152" s="106">
        <f>MIN(Tabelle1324568910[[#This Row],[Jira Story Points]],Tabelle1324568910[[#This Row],[Carry-over]])-Tabelle1324568910[[#This Row],[SP Initially Planned (COS)]]</f>
        <v>0</v>
      </c>
      <c r="O152"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52" s="108">
        <f>IFERROR(IF(Tabelle1324568910[[#This Row],[Status]]=$J$5,MIN(Tabelle1324568910[[#This Row],[Jira Story Points]],Tabelle1324568910[[#This Row],[Carry-over]]),0),0)</f>
        <v>0</v>
      </c>
      <c r="Q152" s="108">
        <f>IFERROR(IF(Tabelle1324568910[[#This Row],[Status]]=$J$5,0,MIN(Tabelle1324568910[[#This Row],[Jira Story Points]],Tabelle1324568910[[#This Row],[Carry-over]])-Tabelle1324568910[[#This Row],[SP Completed (COS &amp; SOS)]]),0)</f>
        <v>2</v>
      </c>
    </row>
    <row r="153" spans="1:17" s="46" customFormat="1" ht="13.5" hidden="1" customHeight="1">
      <c r="A153" s="88" t="s">
        <v>2137</v>
      </c>
      <c r="B153" s="46" t="s">
        <v>2138</v>
      </c>
      <c r="C153" s="76" t="s">
        <v>372</v>
      </c>
      <c r="D153" s="76">
        <v>3</v>
      </c>
      <c r="E153" s="76" t="s">
        <v>327</v>
      </c>
      <c r="F153" s="76">
        <v>5</v>
      </c>
      <c r="G153" s="76" t="s">
        <v>35</v>
      </c>
      <c r="H153" s="76"/>
      <c r="I153" s="103"/>
      <c r="J153" s="76" t="s">
        <v>127</v>
      </c>
      <c r="K153" s="104"/>
      <c r="L153" s="104"/>
      <c r="M153" s="105">
        <f>IF(Tabelle1324568910[[#This Row],[Pulled after Start]]="",MIN(Tabelle1324568910[[#This Row],[Jira Story Points]],Tabelle1324568910[[#This Row],[Carry-over]]),0)</f>
        <v>5</v>
      </c>
      <c r="N153" s="106">
        <f>MIN(Tabelle1324568910[[#This Row],[Jira Story Points]],Tabelle1324568910[[#This Row],[Carry-over]])-Tabelle1324568910[[#This Row],[SP Initially Planned (COS)]]</f>
        <v>0</v>
      </c>
      <c r="O153"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53" s="108">
        <f>IFERROR(IF(Tabelle1324568910[[#This Row],[Status]]=$J$5,MIN(Tabelle1324568910[[#This Row],[Jira Story Points]],Tabelle1324568910[[#This Row],[Carry-over]]),0),0)</f>
        <v>0</v>
      </c>
      <c r="Q153" s="108">
        <f>IFERROR(IF(Tabelle1324568910[[#This Row],[Status]]=$J$5,0,MIN(Tabelle1324568910[[#This Row],[Jira Story Points]],Tabelle1324568910[[#This Row],[Carry-over]])-Tabelle1324568910[[#This Row],[SP Completed (COS &amp; SOS)]]),0)</f>
        <v>5</v>
      </c>
    </row>
    <row r="154" spans="1:17" s="46" customFormat="1" ht="13.5" hidden="1" customHeight="1">
      <c r="A154" s="117" t="s">
        <v>2077</v>
      </c>
      <c r="B154" s="110" t="s">
        <v>2078</v>
      </c>
      <c r="C154" s="76" t="s">
        <v>372</v>
      </c>
      <c r="D154" s="76">
        <v>3</v>
      </c>
      <c r="E154" s="76" t="s">
        <v>327</v>
      </c>
      <c r="F154" s="104">
        <v>8</v>
      </c>
      <c r="G154" s="76" t="s">
        <v>35</v>
      </c>
      <c r="H154" s="83"/>
      <c r="I154" s="103"/>
      <c r="J154" s="76" t="s">
        <v>127</v>
      </c>
      <c r="K154" s="104"/>
      <c r="L154" s="104"/>
      <c r="M154" s="105">
        <f>IF(Tabelle1324568910[[#This Row],[Pulled after Start]]="",MIN(Tabelle1324568910[[#This Row],[Jira Story Points]],Tabelle1324568910[[#This Row],[Carry-over]]),0)</f>
        <v>8</v>
      </c>
      <c r="N154" s="106">
        <f>MIN(Tabelle1324568910[[#This Row],[Jira Story Points]],Tabelle1324568910[[#This Row],[Carry-over]])-Tabelle1324568910[[#This Row],[SP Initially Planned (COS)]]</f>
        <v>0</v>
      </c>
      <c r="O154"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54" s="108">
        <f>IFERROR(IF(Tabelle1324568910[[#This Row],[Status]]=$J$5,MIN(Tabelle1324568910[[#This Row],[Jira Story Points]],Tabelle1324568910[[#This Row],[Carry-over]]),0),0)</f>
        <v>0</v>
      </c>
      <c r="Q154" s="108">
        <f>IFERROR(IF(Tabelle1324568910[[#This Row],[Status]]=$J$5,0,MIN(Tabelle1324568910[[#This Row],[Jira Story Points]],Tabelle1324568910[[#This Row],[Carry-over]])-Tabelle1324568910[[#This Row],[SP Completed (COS &amp; SOS)]]),0)</f>
        <v>8</v>
      </c>
    </row>
    <row r="155" spans="1:17" s="46" customFormat="1" ht="13.5" hidden="1" customHeight="1">
      <c r="A155" s="88" t="s">
        <v>2141</v>
      </c>
      <c r="B155" s="46" t="s">
        <v>2142</v>
      </c>
      <c r="C155" s="76" t="s">
        <v>382</v>
      </c>
      <c r="D155" s="76">
        <v>3</v>
      </c>
      <c r="E155" s="76" t="s">
        <v>637</v>
      </c>
      <c r="F155" s="76">
        <v>1</v>
      </c>
      <c r="G155" s="76" t="s">
        <v>35</v>
      </c>
      <c r="H155" s="76"/>
      <c r="J155" s="76" t="s">
        <v>127</v>
      </c>
      <c r="K155" s="76"/>
      <c r="L155" s="76"/>
      <c r="M155" s="105">
        <f>IF(Tabelle1324568910[[#This Row],[Pulled after Start]]="",MIN(Tabelle1324568910[[#This Row],[Jira Story Points]],Tabelle1324568910[[#This Row],[Carry-over]]),0)</f>
        <v>1</v>
      </c>
      <c r="N155" s="106">
        <f>MIN(Tabelle1324568910[[#This Row],[Jira Story Points]],Tabelle1324568910[[#This Row],[Carry-over]])-Tabelle1324568910[[#This Row],[SP Initially Planned (COS)]]</f>
        <v>0</v>
      </c>
      <c r="O155"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55" s="108">
        <f>IFERROR(IF(Tabelle1324568910[[#This Row],[Status]]=$J$5,MIN(Tabelle1324568910[[#This Row],[Jira Story Points]],Tabelle1324568910[[#This Row],[Carry-over]]),0),0)</f>
        <v>0</v>
      </c>
      <c r="Q155" s="108">
        <f>IFERROR(IF(Tabelle1324568910[[#This Row],[Status]]=$J$5,0,MIN(Tabelle1324568910[[#This Row],[Jira Story Points]],Tabelle1324568910[[#This Row],[Carry-over]])-Tabelle1324568910[[#This Row],[SP Completed (COS &amp; SOS)]]),0)</f>
        <v>1</v>
      </c>
    </row>
    <row r="156" spans="1:17" s="46" customFormat="1" ht="13.5" hidden="1" customHeight="1">
      <c r="A156" s="117" t="s">
        <v>2513</v>
      </c>
      <c r="B156" s="110" t="s">
        <v>2514</v>
      </c>
      <c r="C156" s="76" t="s">
        <v>372</v>
      </c>
      <c r="D156" s="76">
        <v>3</v>
      </c>
      <c r="E156" s="76" t="s">
        <v>327</v>
      </c>
      <c r="F156" s="104">
        <v>1</v>
      </c>
      <c r="G156" s="76" t="s">
        <v>35</v>
      </c>
      <c r="H156" s="83" t="s">
        <v>209</v>
      </c>
      <c r="I156" s="103"/>
      <c r="J156" s="76" t="s">
        <v>125</v>
      </c>
      <c r="K156" s="104"/>
      <c r="L156" s="104"/>
      <c r="M156" s="105">
        <f>IF(Tabelle1324568910[[#This Row],[Pulled after Start]]="",MIN(Tabelle1324568910[[#This Row],[Jira Story Points]],Tabelle1324568910[[#This Row],[Carry-over]]),0)</f>
        <v>0</v>
      </c>
      <c r="N156" s="106">
        <f>MIN(Tabelle1324568910[[#This Row],[Jira Story Points]],Tabelle1324568910[[#This Row],[Carry-over]])-Tabelle1324568910[[#This Row],[SP Initially Planned (COS)]]</f>
        <v>1</v>
      </c>
      <c r="O156"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156" s="108">
        <f>IFERROR(IF(Tabelle1324568910[[#This Row],[Status]]=$J$5,MIN(Tabelle1324568910[[#This Row],[Jira Story Points]],Tabelle1324568910[[#This Row],[Carry-over]]),0),0)</f>
        <v>0</v>
      </c>
      <c r="Q156" s="108">
        <f>IFERROR(IF(Tabelle1324568910[[#This Row],[Status]]=$J$5,0,MIN(Tabelle1324568910[[#This Row],[Jira Story Points]],Tabelle1324568910[[#This Row],[Carry-over]])-Tabelle1324568910[[#This Row],[SP Completed (COS &amp; SOS)]]),0)</f>
        <v>0</v>
      </c>
    </row>
    <row r="157" spans="1:17" s="46" customFormat="1" ht="13.5" hidden="1" customHeight="1">
      <c r="A157" s="88" t="s">
        <v>2143</v>
      </c>
      <c r="B157" s="47" t="s">
        <v>2144</v>
      </c>
      <c r="C157" s="76" t="s">
        <v>372</v>
      </c>
      <c r="D157" s="76">
        <v>3</v>
      </c>
      <c r="E157" s="76" t="s">
        <v>327</v>
      </c>
      <c r="F157" s="104">
        <v>3</v>
      </c>
      <c r="G157" s="76" t="s">
        <v>35</v>
      </c>
      <c r="H157" s="76"/>
      <c r="I157" s="103"/>
      <c r="J157" s="76" t="s">
        <v>127</v>
      </c>
      <c r="K157" s="76"/>
      <c r="L157" s="76"/>
      <c r="M157" s="105">
        <f>IF(Tabelle1324568910[[#This Row],[Pulled after Start]]="",MIN(Tabelle1324568910[[#This Row],[Jira Story Points]],Tabelle1324568910[[#This Row],[Carry-over]]),0)</f>
        <v>3</v>
      </c>
      <c r="N157" s="106">
        <f>MIN(Tabelle1324568910[[#This Row],[Jira Story Points]],Tabelle1324568910[[#This Row],[Carry-over]])-Tabelle1324568910[[#This Row],[SP Initially Planned (COS)]]</f>
        <v>0</v>
      </c>
      <c r="O157"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57" s="108">
        <f>IFERROR(IF(Tabelle1324568910[[#This Row],[Status]]=$J$5,MIN(Tabelle1324568910[[#This Row],[Jira Story Points]],Tabelle1324568910[[#This Row],[Carry-over]]),0),0)</f>
        <v>0</v>
      </c>
      <c r="Q157" s="108">
        <f>IFERROR(IF(Tabelle1324568910[[#This Row],[Status]]=$J$5,0,MIN(Tabelle1324568910[[#This Row],[Jira Story Points]],Tabelle1324568910[[#This Row],[Carry-over]])-Tabelle1324568910[[#This Row],[SP Completed (COS &amp; SOS)]]),0)</f>
        <v>3</v>
      </c>
    </row>
    <row r="158" spans="1:17" s="46" customFormat="1" ht="13.5" hidden="1" customHeight="1">
      <c r="A158" s="88" t="s">
        <v>2081</v>
      </c>
      <c r="B158" s="47" t="s">
        <v>2082</v>
      </c>
      <c r="C158" s="76" t="s">
        <v>372</v>
      </c>
      <c r="D158" s="76">
        <v>3</v>
      </c>
      <c r="E158" s="76" t="s">
        <v>327</v>
      </c>
      <c r="F158" s="76">
        <v>5</v>
      </c>
      <c r="G158" s="76" t="s">
        <v>35</v>
      </c>
      <c r="H158" s="76"/>
      <c r="I158" s="103"/>
      <c r="J158" s="76" t="s">
        <v>127</v>
      </c>
      <c r="K158" s="76"/>
      <c r="L158" s="76"/>
      <c r="M158" s="105">
        <f>IF(Tabelle1324568910[[#This Row],[Pulled after Start]]="",MIN(Tabelle1324568910[[#This Row],[Jira Story Points]],Tabelle1324568910[[#This Row],[Carry-over]]),0)</f>
        <v>5</v>
      </c>
      <c r="N158" s="106">
        <f>MIN(Tabelle1324568910[[#This Row],[Jira Story Points]],Tabelle1324568910[[#This Row],[Carry-over]])-Tabelle1324568910[[#This Row],[SP Initially Planned (COS)]]</f>
        <v>0</v>
      </c>
      <c r="O158"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58" s="108">
        <f>IFERROR(IF(Tabelle1324568910[[#This Row],[Status]]=$J$5,MIN(Tabelle1324568910[[#This Row],[Jira Story Points]],Tabelle1324568910[[#This Row],[Carry-over]]),0),0)</f>
        <v>0</v>
      </c>
      <c r="Q158" s="108">
        <f>IFERROR(IF(Tabelle1324568910[[#This Row],[Status]]=$J$5,0,MIN(Tabelle1324568910[[#This Row],[Jira Story Points]],Tabelle1324568910[[#This Row],[Carry-over]])-Tabelle1324568910[[#This Row],[SP Completed (COS &amp; SOS)]]),0)</f>
        <v>5</v>
      </c>
    </row>
    <row r="159" spans="1:17" s="46" customFormat="1" ht="13.5" hidden="1" customHeight="1">
      <c r="A159" s="117" t="s">
        <v>2515</v>
      </c>
      <c r="B159" s="47" t="s">
        <v>2516</v>
      </c>
      <c r="C159" s="76" t="s">
        <v>372</v>
      </c>
      <c r="D159" s="76">
        <v>3</v>
      </c>
      <c r="E159" s="76" t="s">
        <v>637</v>
      </c>
      <c r="F159" s="104">
        <v>2</v>
      </c>
      <c r="G159" s="76" t="s">
        <v>35</v>
      </c>
      <c r="H159" s="76"/>
      <c r="I159" s="103"/>
      <c r="J159" s="76" t="s">
        <v>125</v>
      </c>
      <c r="K159" s="104"/>
      <c r="L159" s="104"/>
      <c r="M159" s="105">
        <f>IF(Tabelle1324568910[[#This Row],[Pulled after Start]]="",MIN(Tabelle1324568910[[#This Row],[Jira Story Points]],Tabelle1324568910[[#This Row],[Carry-over]]),0)</f>
        <v>2</v>
      </c>
      <c r="N159" s="106">
        <f>MIN(Tabelle1324568910[[#This Row],[Jira Story Points]],Tabelle1324568910[[#This Row],[Carry-over]])-Tabelle1324568910[[#This Row],[SP Initially Planned (COS)]]</f>
        <v>0</v>
      </c>
      <c r="O159"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2</v>
      </c>
      <c r="P159" s="108">
        <f>IFERROR(IF(Tabelle1324568910[[#This Row],[Status]]=$J$5,MIN(Tabelle1324568910[[#This Row],[Jira Story Points]],Tabelle1324568910[[#This Row],[Carry-over]]),0),0)</f>
        <v>0</v>
      </c>
      <c r="Q159" s="108">
        <f>IFERROR(IF(Tabelle1324568910[[#This Row],[Status]]=$J$5,0,MIN(Tabelle1324568910[[#This Row],[Jira Story Points]],Tabelle1324568910[[#This Row],[Carry-over]])-Tabelle1324568910[[#This Row],[SP Completed (COS &amp; SOS)]]),0)</f>
        <v>0</v>
      </c>
    </row>
    <row r="160" spans="1:17" s="46" customFormat="1" ht="13.5" hidden="1" customHeight="1">
      <c r="A160" s="88" t="s">
        <v>2517</v>
      </c>
      <c r="B160" s="47" t="s">
        <v>2152</v>
      </c>
      <c r="C160" s="76" t="s">
        <v>382</v>
      </c>
      <c r="D160" s="76">
        <v>3</v>
      </c>
      <c r="E160" s="76" t="s">
        <v>330</v>
      </c>
      <c r="F160" s="76">
        <v>3</v>
      </c>
      <c r="G160" s="76" t="s">
        <v>35</v>
      </c>
      <c r="H160" s="76"/>
      <c r="I160" s="103"/>
      <c r="J160" s="76" t="s">
        <v>125</v>
      </c>
      <c r="K160" s="76"/>
      <c r="L160" s="76"/>
      <c r="M160" s="105">
        <f>IF(Tabelle1324568910[[#This Row],[Pulled after Start]]="",MIN(Tabelle1324568910[[#This Row],[Jira Story Points]],Tabelle1324568910[[#This Row],[Carry-over]]),0)</f>
        <v>3</v>
      </c>
      <c r="N160" s="106">
        <f>MIN(Tabelle1324568910[[#This Row],[Jira Story Points]],Tabelle1324568910[[#This Row],[Carry-over]])-Tabelle1324568910[[#This Row],[SP Initially Planned (COS)]]</f>
        <v>0</v>
      </c>
      <c r="O160"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60" s="108">
        <f>IFERROR(IF(Tabelle1324568910[[#This Row],[Status]]=$J$5,MIN(Tabelle1324568910[[#This Row],[Jira Story Points]],Tabelle1324568910[[#This Row],[Carry-over]]),0),0)</f>
        <v>0</v>
      </c>
      <c r="Q160" s="108">
        <f>IFERROR(IF(Tabelle1324568910[[#This Row],[Status]]=$J$5,0,MIN(Tabelle1324568910[[#This Row],[Jira Story Points]],Tabelle1324568910[[#This Row],[Carry-over]])-Tabelle1324568910[[#This Row],[SP Completed (COS &amp; SOS)]]),0)</f>
        <v>0</v>
      </c>
    </row>
    <row r="161" spans="1:17" s="46" customFormat="1" ht="13.5" hidden="1" customHeight="1">
      <c r="A161" s="117" t="s">
        <v>2518</v>
      </c>
      <c r="B161" s="47" t="s">
        <v>2519</v>
      </c>
      <c r="C161" s="76" t="s">
        <v>375</v>
      </c>
      <c r="D161" s="76">
        <v>3</v>
      </c>
      <c r="E161" s="76" t="s">
        <v>1247</v>
      </c>
      <c r="F161" s="104">
        <v>2</v>
      </c>
      <c r="G161" s="76" t="s">
        <v>35</v>
      </c>
      <c r="H161" s="76" t="s">
        <v>209</v>
      </c>
      <c r="I161" s="103"/>
      <c r="J161" s="76" t="s">
        <v>125</v>
      </c>
      <c r="K161" s="104"/>
      <c r="L161" s="104"/>
      <c r="M161" s="105">
        <f>IF(Tabelle1324568910[[#This Row],[Pulled after Start]]="",MIN(Tabelle1324568910[[#This Row],[Jira Story Points]],Tabelle1324568910[[#This Row],[Carry-over]]),0)</f>
        <v>0</v>
      </c>
      <c r="N161" s="106">
        <f>MIN(Tabelle1324568910[[#This Row],[Jira Story Points]],Tabelle1324568910[[#This Row],[Carry-over]])-Tabelle1324568910[[#This Row],[SP Initially Planned (COS)]]</f>
        <v>2</v>
      </c>
      <c r="O161"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2</v>
      </c>
      <c r="P161" s="108">
        <f>IFERROR(IF(Tabelle1324568910[[#This Row],[Status]]=$J$5,MIN(Tabelle1324568910[[#This Row],[Jira Story Points]],Tabelle1324568910[[#This Row],[Carry-over]]),0),0)</f>
        <v>0</v>
      </c>
      <c r="Q161" s="108">
        <f>IFERROR(IF(Tabelle1324568910[[#This Row],[Status]]=$J$5,0,MIN(Tabelle1324568910[[#This Row],[Jira Story Points]],Tabelle1324568910[[#This Row],[Carry-over]])-Tabelle1324568910[[#This Row],[SP Completed (COS &amp; SOS)]]),0)</f>
        <v>0</v>
      </c>
    </row>
    <row r="162" spans="1:17" s="46" customFormat="1" ht="13.5" hidden="1" customHeight="1">
      <c r="A162" s="88" t="s">
        <v>2520</v>
      </c>
      <c r="B162" s="47" t="s">
        <v>2521</v>
      </c>
      <c r="C162" s="76" t="s">
        <v>372</v>
      </c>
      <c r="D162" s="76">
        <v>3</v>
      </c>
      <c r="E162" s="76" t="s">
        <v>327</v>
      </c>
      <c r="F162" s="76">
        <v>3</v>
      </c>
      <c r="G162" s="76" t="s">
        <v>35</v>
      </c>
      <c r="H162" s="76" t="s">
        <v>209</v>
      </c>
      <c r="I162" s="103"/>
      <c r="J162" s="76" t="s">
        <v>125</v>
      </c>
      <c r="K162" s="76"/>
      <c r="L162" s="76"/>
      <c r="M162" s="105">
        <f>IF(Tabelle1324568910[[#This Row],[Pulled after Start]]="",MIN(Tabelle1324568910[[#This Row],[Jira Story Points]],Tabelle1324568910[[#This Row],[Carry-over]]),0)</f>
        <v>0</v>
      </c>
      <c r="N162" s="106">
        <f>MIN(Tabelle1324568910[[#This Row],[Jira Story Points]],Tabelle1324568910[[#This Row],[Carry-over]])-Tabelle1324568910[[#This Row],[SP Initially Planned (COS)]]</f>
        <v>3</v>
      </c>
      <c r="O162"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62" s="108">
        <f>IFERROR(IF(Tabelle1324568910[[#This Row],[Status]]=$J$5,MIN(Tabelle1324568910[[#This Row],[Jira Story Points]],Tabelle1324568910[[#This Row],[Carry-over]]),0),0)</f>
        <v>0</v>
      </c>
      <c r="Q162" s="108">
        <f>IFERROR(IF(Tabelle1324568910[[#This Row],[Status]]=$J$5,0,MIN(Tabelle1324568910[[#This Row],[Jira Story Points]],Tabelle1324568910[[#This Row],[Carry-over]])-Tabelle1324568910[[#This Row],[SP Completed (COS &amp; SOS)]]),0)</f>
        <v>0</v>
      </c>
    </row>
    <row r="163" spans="1:17" s="46" customFormat="1" ht="13.5" hidden="1" customHeight="1">
      <c r="A163" s="88" t="s">
        <v>2522</v>
      </c>
      <c r="B163" s="47" t="s">
        <v>2523</v>
      </c>
      <c r="C163" s="76" t="s">
        <v>382</v>
      </c>
      <c r="D163" s="76">
        <v>3</v>
      </c>
      <c r="E163" s="76" t="s">
        <v>330</v>
      </c>
      <c r="F163" s="76">
        <v>1</v>
      </c>
      <c r="G163" s="76" t="s">
        <v>35</v>
      </c>
      <c r="H163" s="76" t="s">
        <v>209</v>
      </c>
      <c r="I163" s="103"/>
      <c r="J163" s="76" t="s">
        <v>125</v>
      </c>
      <c r="K163" s="76"/>
      <c r="L163" s="76"/>
      <c r="M163" s="105">
        <f>IF(Tabelle1324568910[[#This Row],[Pulled after Start]]="",MIN(Tabelle1324568910[[#This Row],[Jira Story Points]],Tabelle1324568910[[#This Row],[Carry-over]]),0)</f>
        <v>0</v>
      </c>
      <c r="N163" s="106">
        <f>MIN(Tabelle1324568910[[#This Row],[Jira Story Points]],Tabelle1324568910[[#This Row],[Carry-over]])-Tabelle1324568910[[#This Row],[SP Initially Planned (COS)]]</f>
        <v>1</v>
      </c>
      <c r="O163"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1</v>
      </c>
      <c r="P163" s="108">
        <f>IFERROR(IF(Tabelle1324568910[[#This Row],[Status]]=$J$5,MIN(Tabelle1324568910[[#This Row],[Jira Story Points]],Tabelle1324568910[[#This Row],[Carry-over]]),0),0)</f>
        <v>0</v>
      </c>
      <c r="Q163" s="108">
        <f>IFERROR(IF(Tabelle1324568910[[#This Row],[Status]]=$J$5,0,MIN(Tabelle1324568910[[#This Row],[Jira Story Points]],Tabelle1324568910[[#This Row],[Carry-over]])-Tabelle1324568910[[#This Row],[SP Completed (COS &amp; SOS)]]),0)</f>
        <v>0</v>
      </c>
    </row>
    <row r="164" spans="1:17" s="46" customFormat="1" ht="13.5" hidden="1" customHeight="1">
      <c r="A164" s="88" t="s">
        <v>2524</v>
      </c>
      <c r="B164" s="47" t="s">
        <v>2525</v>
      </c>
      <c r="C164" s="76" t="s">
        <v>372</v>
      </c>
      <c r="D164" s="76">
        <v>3</v>
      </c>
      <c r="E164" s="76" t="s">
        <v>351</v>
      </c>
      <c r="F164" s="76">
        <v>3</v>
      </c>
      <c r="G164" s="76" t="s">
        <v>35</v>
      </c>
      <c r="H164" s="76"/>
      <c r="I164" s="103"/>
      <c r="J164" s="76" t="s">
        <v>126</v>
      </c>
      <c r="K164" s="76"/>
      <c r="L164" s="76"/>
      <c r="M164" s="105">
        <f>IF(Tabelle1324568910[[#This Row],[Pulled after Start]]="",MIN(Tabelle1324568910[[#This Row],[Jira Story Points]],Tabelle1324568910[[#This Row],[Carry-over]]),0)</f>
        <v>3</v>
      </c>
      <c r="N164" s="106">
        <f>MIN(Tabelle1324568910[[#This Row],[Jira Story Points]],Tabelle1324568910[[#This Row],[Carry-over]])-Tabelle1324568910[[#This Row],[SP Initially Planned (COS)]]</f>
        <v>0</v>
      </c>
      <c r="O164"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64" s="108">
        <f>IFERROR(IF(Tabelle1324568910[[#This Row],[Status]]=$J$5,MIN(Tabelle1324568910[[#This Row],[Jira Story Points]],Tabelle1324568910[[#This Row],[Carry-over]]),0),0)</f>
        <v>3</v>
      </c>
      <c r="Q164" s="108">
        <f>IFERROR(IF(Tabelle1324568910[[#This Row],[Status]]=$J$5,0,MIN(Tabelle1324568910[[#This Row],[Jira Story Points]],Tabelle1324568910[[#This Row],[Carry-over]])-Tabelle1324568910[[#This Row],[SP Completed (COS &amp; SOS)]]),0)</f>
        <v>0</v>
      </c>
    </row>
    <row r="165" spans="1:17" s="46" customFormat="1" ht="13.5" hidden="1" customHeight="1">
      <c r="A165" s="115" t="s">
        <v>2083</v>
      </c>
      <c r="B165" s="47" t="s">
        <v>2084</v>
      </c>
      <c r="C165" s="76" t="s">
        <v>372</v>
      </c>
      <c r="D165" s="76">
        <v>3</v>
      </c>
      <c r="E165" s="76" t="s">
        <v>351</v>
      </c>
      <c r="F165" s="104">
        <v>3</v>
      </c>
      <c r="G165" s="76" t="s">
        <v>35</v>
      </c>
      <c r="H165" s="83"/>
      <c r="I165" s="120"/>
      <c r="J165" s="76" t="s">
        <v>126</v>
      </c>
      <c r="K165" s="104"/>
      <c r="L165" s="104"/>
      <c r="M165" s="105">
        <f>IF(Tabelle1324568910[[#This Row],[Pulled after Start]]="",MIN(Tabelle1324568910[[#This Row],[Jira Story Points]],Tabelle1324568910[[#This Row],[Carry-over]]),0)</f>
        <v>3</v>
      </c>
      <c r="N165" s="106">
        <f>MIN(Tabelle1324568910[[#This Row],[Jira Story Points]],Tabelle1324568910[[#This Row],[Carry-over]])-Tabelle1324568910[[#This Row],[SP Initially Planned (COS)]]</f>
        <v>0</v>
      </c>
      <c r="O165"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65" s="108">
        <f>IFERROR(IF(Tabelle1324568910[[#This Row],[Status]]=$J$5,MIN(Tabelle1324568910[[#This Row],[Jira Story Points]],Tabelle1324568910[[#This Row],[Carry-over]]),0),0)</f>
        <v>3</v>
      </c>
      <c r="Q165" s="108">
        <f>IFERROR(IF(Tabelle1324568910[[#This Row],[Status]]=$J$5,0,MIN(Tabelle1324568910[[#This Row],[Jira Story Points]],Tabelle1324568910[[#This Row],[Carry-over]])-Tabelle1324568910[[#This Row],[SP Completed (COS &amp; SOS)]]),0)</f>
        <v>0</v>
      </c>
    </row>
    <row r="166" spans="1:17" s="46" customFormat="1" ht="13.5" hidden="1" customHeight="1">
      <c r="A166" s="88" t="s">
        <v>2526</v>
      </c>
      <c r="B166" s="47" t="s">
        <v>2527</v>
      </c>
      <c r="C166" s="76" t="s">
        <v>372</v>
      </c>
      <c r="D166" s="76">
        <v>3</v>
      </c>
      <c r="E166" s="76" t="s">
        <v>324</v>
      </c>
      <c r="F166" s="104">
        <v>3</v>
      </c>
      <c r="G166" s="76" t="s">
        <v>21</v>
      </c>
      <c r="H166" s="83"/>
      <c r="I166" s="120"/>
      <c r="J166" s="76" t="s">
        <v>125</v>
      </c>
      <c r="K166" s="104"/>
      <c r="L166" s="104"/>
      <c r="M166" s="105">
        <f>IF(Tabelle1324568910[[#This Row],[Pulled after Start]]="",MIN(Tabelle1324568910[[#This Row],[Jira Story Points]],Tabelle1324568910[[#This Row],[Carry-over]]),0)</f>
        <v>3</v>
      </c>
      <c r="N166" s="106">
        <f>MIN(Tabelle1324568910[[#This Row],[Jira Story Points]],Tabelle1324568910[[#This Row],[Carry-over]])-Tabelle1324568910[[#This Row],[SP Initially Planned (COS)]]</f>
        <v>0</v>
      </c>
      <c r="O166"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66" s="108">
        <f>IFERROR(IF(Tabelle1324568910[[#This Row],[Status]]=$J$5,MIN(Tabelle1324568910[[#This Row],[Jira Story Points]],Tabelle1324568910[[#This Row],[Carry-over]]),0),0)</f>
        <v>0</v>
      </c>
      <c r="Q166" s="108">
        <f>IFERROR(IF(Tabelle1324568910[[#This Row],[Status]]=$J$5,0,MIN(Tabelle1324568910[[#This Row],[Jira Story Points]],Tabelle1324568910[[#This Row],[Carry-over]])-Tabelle1324568910[[#This Row],[SP Completed (COS &amp; SOS)]]),0)</f>
        <v>0</v>
      </c>
    </row>
    <row r="167" spans="1:17" s="46" customFormat="1" ht="13.5" hidden="1" customHeight="1">
      <c r="A167" s="88" t="s">
        <v>2528</v>
      </c>
      <c r="B167" s="47" t="s">
        <v>2529</v>
      </c>
      <c r="C167" s="76" t="s">
        <v>372</v>
      </c>
      <c r="D167" s="76">
        <v>2</v>
      </c>
      <c r="E167" s="76" t="s">
        <v>324</v>
      </c>
      <c r="F167" s="104">
        <v>3</v>
      </c>
      <c r="G167" s="76" t="s">
        <v>21</v>
      </c>
      <c r="H167" s="83"/>
      <c r="I167" s="120"/>
      <c r="J167" s="76" t="s">
        <v>125</v>
      </c>
      <c r="K167" s="104"/>
      <c r="L167" s="104"/>
      <c r="M167" s="105">
        <f>IF(Tabelle1324568910[[#This Row],[Pulled after Start]]="",MIN(Tabelle1324568910[[#This Row],[Jira Story Points]],Tabelle1324568910[[#This Row],[Carry-over]]),0)</f>
        <v>3</v>
      </c>
      <c r="N167" s="106">
        <f>MIN(Tabelle1324568910[[#This Row],[Jira Story Points]],Tabelle1324568910[[#This Row],[Carry-over]])-Tabelle1324568910[[#This Row],[SP Initially Planned (COS)]]</f>
        <v>0</v>
      </c>
      <c r="O167"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3</v>
      </c>
      <c r="P167" s="108">
        <f>IFERROR(IF(Tabelle1324568910[[#This Row],[Status]]=$J$5,MIN(Tabelle1324568910[[#This Row],[Jira Story Points]],Tabelle1324568910[[#This Row],[Carry-over]]),0),0)</f>
        <v>0</v>
      </c>
      <c r="Q167" s="108">
        <f>IFERROR(IF(Tabelle1324568910[[#This Row],[Status]]=$J$5,0,MIN(Tabelle1324568910[[#This Row],[Jira Story Points]],Tabelle1324568910[[#This Row],[Carry-over]])-Tabelle1324568910[[#This Row],[SP Completed (COS &amp; SOS)]]),0)</f>
        <v>0</v>
      </c>
    </row>
    <row r="168" spans="1:17" s="46" customFormat="1" ht="13.5" hidden="1" customHeight="1">
      <c r="A168" s="88" t="s">
        <v>2530</v>
      </c>
      <c r="B168" s="47" t="s">
        <v>2531</v>
      </c>
      <c r="C168" s="76" t="s">
        <v>375</v>
      </c>
      <c r="D168" s="76">
        <v>2</v>
      </c>
      <c r="E168" s="76" t="s">
        <v>324</v>
      </c>
      <c r="F168" s="104">
        <v>5</v>
      </c>
      <c r="G168" s="76" t="s">
        <v>21</v>
      </c>
      <c r="H168" s="83"/>
      <c r="I168" s="120"/>
      <c r="J168" s="76" t="s">
        <v>125</v>
      </c>
      <c r="K168" s="104"/>
      <c r="L168" s="104"/>
      <c r="M168" s="105">
        <f>IF(Tabelle1324568910[[#This Row],[Pulled after Start]]="",MIN(Tabelle1324568910[[#This Row],[Jira Story Points]],Tabelle1324568910[[#This Row],[Carry-over]]),0)</f>
        <v>5</v>
      </c>
      <c r="N168" s="106">
        <f>MIN(Tabelle1324568910[[#This Row],[Jira Story Points]],Tabelle1324568910[[#This Row],[Carry-over]])-Tabelle1324568910[[#This Row],[SP Initially Planned (COS)]]</f>
        <v>0</v>
      </c>
      <c r="O168"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5</v>
      </c>
      <c r="P168" s="108">
        <f>IFERROR(IF(Tabelle1324568910[[#This Row],[Status]]=$J$5,MIN(Tabelle1324568910[[#This Row],[Jira Story Points]],Tabelle1324568910[[#This Row],[Carry-over]]),0),0)</f>
        <v>0</v>
      </c>
      <c r="Q168" s="108">
        <f>IFERROR(IF(Tabelle1324568910[[#This Row],[Status]]=$J$5,0,MIN(Tabelle1324568910[[#This Row],[Jira Story Points]],Tabelle1324568910[[#This Row],[Carry-over]])-Tabelle1324568910[[#This Row],[SP Completed (COS &amp; SOS)]]),0)</f>
        <v>0</v>
      </c>
    </row>
    <row r="169" spans="1:17" s="46" customFormat="1" ht="13.5" hidden="1" customHeight="1">
      <c r="A169" s="88" t="s">
        <v>2532</v>
      </c>
      <c r="B169" s="47" t="s">
        <v>2533</v>
      </c>
      <c r="C169" s="76" t="s">
        <v>372</v>
      </c>
      <c r="D169" s="76">
        <v>3</v>
      </c>
      <c r="E169" s="76" t="s">
        <v>324</v>
      </c>
      <c r="F169" s="104">
        <v>5</v>
      </c>
      <c r="G169" s="76" t="s">
        <v>21</v>
      </c>
      <c r="H169" s="76" t="s">
        <v>209</v>
      </c>
      <c r="I169" s="120"/>
      <c r="J169" s="76" t="s">
        <v>125</v>
      </c>
      <c r="K169" s="104"/>
      <c r="L169" s="104"/>
      <c r="M169" s="105">
        <f>IF(Tabelle1324568910[[#This Row],[Pulled after Start]]="",MIN(Tabelle1324568910[[#This Row],[Jira Story Points]],Tabelle1324568910[[#This Row],[Carry-over]]),0)</f>
        <v>0</v>
      </c>
      <c r="N169" s="106">
        <f>MIN(Tabelle1324568910[[#This Row],[Jira Story Points]],Tabelle1324568910[[#This Row],[Carry-over]])-Tabelle1324568910[[#This Row],[SP Initially Planned (COS)]]</f>
        <v>5</v>
      </c>
      <c r="O169"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5</v>
      </c>
      <c r="P169" s="108">
        <f>IFERROR(IF(Tabelle1324568910[[#This Row],[Status]]=$J$5,MIN(Tabelle1324568910[[#This Row],[Jira Story Points]],Tabelle1324568910[[#This Row],[Carry-over]]),0),0)</f>
        <v>0</v>
      </c>
      <c r="Q169" s="108">
        <f>IFERROR(IF(Tabelle1324568910[[#This Row],[Status]]=$J$5,0,MIN(Tabelle1324568910[[#This Row],[Jira Story Points]],Tabelle1324568910[[#This Row],[Carry-over]])-Tabelle1324568910[[#This Row],[SP Completed (COS &amp; SOS)]]),0)</f>
        <v>0</v>
      </c>
    </row>
    <row r="170" spans="1:17" s="46" customFormat="1" ht="13.5" hidden="1" customHeight="1">
      <c r="A170" s="88" t="s">
        <v>2240</v>
      </c>
      <c r="B170" s="47" t="s">
        <v>2241</v>
      </c>
      <c r="C170" s="76" t="s">
        <v>375</v>
      </c>
      <c r="D170" s="76">
        <v>3</v>
      </c>
      <c r="E170" s="76" t="s">
        <v>327</v>
      </c>
      <c r="F170" s="104">
        <v>3</v>
      </c>
      <c r="G170" s="76" t="s">
        <v>21</v>
      </c>
      <c r="H170" s="76" t="s">
        <v>209</v>
      </c>
      <c r="I170" s="47" t="s">
        <v>2534</v>
      </c>
      <c r="J170" s="76" t="s">
        <v>127</v>
      </c>
      <c r="K170" s="104"/>
      <c r="L170" s="104">
        <v>3</v>
      </c>
      <c r="M170" s="105">
        <f>IF(Tabelle1324568910[[#This Row],[Pulled after Start]]="",MIN(Tabelle1324568910[[#This Row],[Jira Story Points]],Tabelle1324568910[[#This Row],[Carry-over]]),0)</f>
        <v>0</v>
      </c>
      <c r="N170" s="106">
        <f>MIN(Tabelle1324568910[[#This Row],[Jira Story Points]],Tabelle1324568910[[#This Row],[Carry-over]])-Tabelle1324568910[[#This Row],[SP Initially Planned (COS)]]</f>
        <v>3</v>
      </c>
      <c r="O170"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70" s="108">
        <f>IFERROR(IF(Tabelle1324568910[[#This Row],[Status]]=$J$5,MIN(Tabelle1324568910[[#This Row],[Jira Story Points]],Tabelle1324568910[[#This Row],[Carry-over]]),0),0)</f>
        <v>0</v>
      </c>
      <c r="Q170" s="108">
        <f>IFERROR(IF(Tabelle1324568910[[#This Row],[Status]]=$J$5,0,MIN(Tabelle1324568910[[#This Row],[Jira Story Points]],Tabelle1324568910[[#This Row],[Carry-over]])-Tabelle1324568910[[#This Row],[SP Completed (COS &amp; SOS)]]),0)</f>
        <v>3</v>
      </c>
    </row>
    <row r="171" spans="1:17" s="46" customFormat="1" ht="13.5" hidden="1" customHeight="1">
      <c r="A171" s="88" t="s">
        <v>2234</v>
      </c>
      <c r="B171" s="47" t="s">
        <v>2235</v>
      </c>
      <c r="C171" s="76" t="s">
        <v>372</v>
      </c>
      <c r="D171" s="76">
        <v>2</v>
      </c>
      <c r="E171" s="76" t="s">
        <v>327</v>
      </c>
      <c r="F171" s="104">
        <v>8</v>
      </c>
      <c r="G171" s="76" t="s">
        <v>21</v>
      </c>
      <c r="H171" s="83"/>
      <c r="I171" s="120"/>
      <c r="J171" s="76" t="s">
        <v>127</v>
      </c>
      <c r="K171" s="104"/>
      <c r="L171" s="104">
        <v>3</v>
      </c>
      <c r="M171" s="105">
        <f>IF(Tabelle1324568910[[#This Row],[Pulled after Start]]="",MIN(Tabelle1324568910[[#This Row],[Jira Story Points]],Tabelle1324568910[[#This Row],[Carry-over]]),0)</f>
        <v>8</v>
      </c>
      <c r="N171" s="106">
        <f>MIN(Tabelle1324568910[[#This Row],[Jira Story Points]],Tabelle1324568910[[#This Row],[Carry-over]])-Tabelle1324568910[[#This Row],[SP Initially Planned (COS)]]</f>
        <v>0</v>
      </c>
      <c r="O171"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5</v>
      </c>
      <c r="P171" s="108">
        <f>IFERROR(IF(Tabelle1324568910[[#This Row],[Status]]=$J$5,MIN(Tabelle1324568910[[#This Row],[Jira Story Points]],Tabelle1324568910[[#This Row],[Carry-over]]),0),0)</f>
        <v>0</v>
      </c>
      <c r="Q171" s="108">
        <f>IFERROR(IF(Tabelle1324568910[[#This Row],[Status]]=$J$5,0,MIN(Tabelle1324568910[[#This Row],[Jira Story Points]],Tabelle1324568910[[#This Row],[Carry-over]])-Tabelle1324568910[[#This Row],[SP Completed (COS &amp; SOS)]]),0)</f>
        <v>3</v>
      </c>
    </row>
    <row r="172" spans="1:17" s="46" customFormat="1" ht="13.5" hidden="1" customHeight="1">
      <c r="A172" s="115"/>
      <c r="B172" s="47"/>
      <c r="C172" s="76"/>
      <c r="D172" s="76"/>
      <c r="E172" s="76"/>
      <c r="F172" s="104"/>
      <c r="G172" s="76"/>
      <c r="H172" s="83"/>
      <c r="I172" s="120"/>
      <c r="J172" s="76"/>
      <c r="K172" s="104"/>
      <c r="L172" s="104"/>
      <c r="M172" s="105">
        <f>IF(Tabelle1324568910[[#This Row],[Pulled after Start]]="",MIN(Tabelle1324568910[[#This Row],[Jira Story Points]],Tabelle1324568910[[#This Row],[Carry-over]]),0)</f>
        <v>0</v>
      </c>
      <c r="N172" s="106">
        <f>MIN(Tabelle1324568910[[#This Row],[Jira Story Points]],Tabelle1324568910[[#This Row],[Carry-over]])-Tabelle1324568910[[#This Row],[SP Initially Planned (COS)]]</f>
        <v>0</v>
      </c>
      <c r="O172"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72" s="108">
        <f>IFERROR(IF(Tabelle1324568910[[#This Row],[Status]]=$J$5,MIN(Tabelle1324568910[[#This Row],[Jira Story Points]],Tabelle1324568910[[#This Row],[Carry-over]]),0),0)</f>
        <v>0</v>
      </c>
      <c r="Q172" s="108">
        <f>IFERROR(IF(Tabelle1324568910[[#This Row],[Status]]=$J$5,0,MIN(Tabelle1324568910[[#This Row],[Jira Story Points]],Tabelle1324568910[[#This Row],[Carry-over]])-Tabelle1324568910[[#This Row],[SP Completed (COS &amp; SOS)]]),0)</f>
        <v>0</v>
      </c>
    </row>
    <row r="173" spans="1:17" s="46" customFormat="1" ht="13.5" hidden="1" customHeight="1">
      <c r="A173" s="115"/>
      <c r="B173" s="47"/>
      <c r="C173" s="76"/>
      <c r="D173" s="76"/>
      <c r="E173" s="76"/>
      <c r="F173" s="104"/>
      <c r="G173" s="76"/>
      <c r="H173" s="83"/>
      <c r="I173" s="120"/>
      <c r="J173" s="76"/>
      <c r="K173" s="104"/>
      <c r="L173" s="104"/>
      <c r="M173" s="105">
        <f>IF(Tabelle1324568910[[#This Row],[Pulled after Start]]="",MIN(Tabelle1324568910[[#This Row],[Jira Story Points]],Tabelle1324568910[[#This Row],[Carry-over]]),0)</f>
        <v>0</v>
      </c>
      <c r="N173" s="106">
        <f>MIN(Tabelle1324568910[[#This Row],[Jira Story Points]],Tabelle1324568910[[#This Row],[Carry-over]])-Tabelle1324568910[[#This Row],[SP Initially Planned (COS)]]</f>
        <v>0</v>
      </c>
      <c r="O173"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73" s="108">
        <f>IFERROR(IF(Tabelle1324568910[[#This Row],[Status]]=$J$5,MIN(Tabelle1324568910[[#This Row],[Jira Story Points]],Tabelle1324568910[[#This Row],[Carry-over]]),0),0)</f>
        <v>0</v>
      </c>
      <c r="Q173" s="108">
        <f>IFERROR(IF(Tabelle1324568910[[#This Row],[Status]]=$J$5,0,MIN(Tabelle1324568910[[#This Row],[Jira Story Points]],Tabelle1324568910[[#This Row],[Carry-over]])-Tabelle1324568910[[#This Row],[SP Completed (COS &amp; SOS)]]),0)</f>
        <v>0</v>
      </c>
    </row>
    <row r="174" spans="1:17" s="46" customFormat="1" ht="13.5" hidden="1" customHeight="1">
      <c r="A174" s="88"/>
      <c r="B174" s="47"/>
      <c r="C174" s="76"/>
      <c r="D174" s="76"/>
      <c r="E174" s="76"/>
      <c r="F174" s="104"/>
      <c r="G174" s="76"/>
      <c r="H174" s="76"/>
      <c r="I174" s="103"/>
      <c r="J174" s="76"/>
      <c r="K174" s="104"/>
      <c r="L174" s="104"/>
      <c r="M174" s="105">
        <f>IF(Tabelle1324568910[[#This Row],[Pulled after Start]]="",MIN(Tabelle1324568910[[#This Row],[Jira Story Points]],Tabelle1324568910[[#This Row],[Carry-over]]),0)</f>
        <v>0</v>
      </c>
      <c r="N174" s="106">
        <f>MIN(Tabelle1324568910[[#This Row],[Jira Story Points]],Tabelle1324568910[[#This Row],[Carry-over]])-Tabelle1324568910[[#This Row],[SP Initially Planned (COS)]]</f>
        <v>0</v>
      </c>
      <c r="O174"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74" s="108">
        <f>IFERROR(IF(Tabelle1324568910[[#This Row],[Status]]=$J$5,MIN(Tabelle1324568910[[#This Row],[Jira Story Points]],Tabelle1324568910[[#This Row],[Carry-over]]),0),0)</f>
        <v>0</v>
      </c>
      <c r="Q174" s="108">
        <f>IFERROR(IF(Tabelle1324568910[[#This Row],[Status]]=$J$5,0,MIN(Tabelle1324568910[[#This Row],[Jira Story Points]],Tabelle1324568910[[#This Row],[Carry-over]])-Tabelle1324568910[[#This Row],[SP Completed (COS &amp; SOS)]]),0)</f>
        <v>0</v>
      </c>
    </row>
    <row r="175" spans="1:17" s="46" customFormat="1" ht="13.5" hidden="1" customHeight="1">
      <c r="A175" s="117"/>
      <c r="B175" s="47"/>
      <c r="C175" s="76"/>
      <c r="D175" s="76"/>
      <c r="E175" s="76"/>
      <c r="F175" s="104"/>
      <c r="G175" s="76"/>
      <c r="H175" s="83"/>
      <c r="I175" s="103"/>
      <c r="J175" s="76"/>
      <c r="K175" s="104"/>
      <c r="L175" s="104"/>
      <c r="M175" s="105">
        <f>IF(Tabelle1324568910[[#This Row],[Pulled after Start]]="",MIN(Tabelle1324568910[[#This Row],[Jira Story Points]],Tabelle1324568910[[#This Row],[Carry-over]]),0)</f>
        <v>0</v>
      </c>
      <c r="N175" s="106">
        <f>MIN(Tabelle1324568910[[#This Row],[Jira Story Points]],Tabelle1324568910[[#This Row],[Carry-over]])-Tabelle1324568910[[#This Row],[SP Initially Planned (COS)]]</f>
        <v>0</v>
      </c>
      <c r="O175" s="107">
        <f>IFERROR(IF(Tabelle1324568910[[#This Row],[Status]]=$J$5,0,IF(AND(Tabelle1324568910[[#This Row],[Status]]=$I$5,ISBLANK(Tabelle1324568910[[#This Row],[Spill-over]])),0,IF(NOT(ISBLANK(Tabelle1324568910[[#This Row],[Carry-over]])),Tabelle1324568910[[#This Row],[Carry-over]]-Tabelle1324568910[[#This Row],[Spill-over]],Tabelle1324568910[[#This Row],[Jira Story Points]]-Tabelle1324568910[[#This Row],[Spill-over]]))),"-")</f>
        <v>0</v>
      </c>
      <c r="P175" s="108">
        <f>IFERROR(IF(Tabelle1324568910[[#This Row],[Status]]=$J$5,MIN(Tabelle1324568910[[#This Row],[Jira Story Points]],Tabelle1324568910[[#This Row],[Carry-over]]),0),0)</f>
        <v>0</v>
      </c>
      <c r="Q175" s="108">
        <f>IFERROR(IF(Tabelle1324568910[[#This Row],[Status]]=$J$5,0,MIN(Tabelle1324568910[[#This Row],[Jira Story Points]],Tabelle1324568910[[#This Row],[Carry-over]])-Tabelle1324568910[[#This Row],[SP Completed (COS &amp; SOS)]]),0)</f>
        <v>0</v>
      </c>
    </row>
    <row r="180" spans="2:14" ht="13.5" customHeight="1">
      <c r="B180" s="58"/>
    </row>
    <row r="185" spans="2:14" ht="13.5" customHeight="1">
      <c r="C185" s="27"/>
      <c r="D185" s="27"/>
      <c r="E185" s="27"/>
      <c r="F185" s="27"/>
      <c r="G185" s="27"/>
      <c r="H185" s="27"/>
      <c r="I185" s="27"/>
      <c r="J185" s="27"/>
      <c r="K185" s="27"/>
      <c r="L185" s="27"/>
      <c r="M185" s="27"/>
      <c r="N185" s="27"/>
    </row>
    <row r="186" spans="2:14" ht="13.5" customHeight="1">
      <c r="C186" s="27"/>
      <c r="D186" s="27"/>
      <c r="E186" s="27"/>
      <c r="F186" s="27"/>
      <c r="G186" s="27"/>
      <c r="H186" s="27"/>
      <c r="I186" s="27"/>
      <c r="J186" s="27"/>
      <c r="K186" s="27"/>
      <c r="L186" s="27"/>
      <c r="M186" s="27"/>
      <c r="N186" s="27"/>
    </row>
    <row r="187" spans="2:14" ht="13.5" customHeight="1">
      <c r="C187" s="27"/>
      <c r="D187" s="27"/>
      <c r="E187" s="27"/>
      <c r="F187" s="27"/>
      <c r="G187" s="27"/>
      <c r="H187" s="27"/>
      <c r="I187" s="27"/>
      <c r="J187" s="27"/>
      <c r="K187" s="27"/>
      <c r="L187" s="27"/>
      <c r="M187" s="27"/>
      <c r="N187" s="27"/>
    </row>
    <row r="188" spans="2:14" ht="13.5" customHeight="1">
      <c r="C188" s="27"/>
      <c r="D188" s="27"/>
      <c r="E188" s="27"/>
      <c r="F188" s="27"/>
      <c r="G188" s="27"/>
      <c r="H188" s="27"/>
      <c r="I188" s="27"/>
      <c r="J188" s="27"/>
      <c r="K188" s="27"/>
      <c r="L188" s="27"/>
      <c r="M188" s="27"/>
      <c r="N188" s="27"/>
    </row>
    <row r="189" spans="2:14" ht="13.5" customHeight="1">
      <c r="C189" s="27"/>
      <c r="D189" s="27"/>
      <c r="E189" s="27"/>
      <c r="F189" s="27"/>
      <c r="G189" s="27"/>
      <c r="H189" s="27"/>
      <c r="I189" s="27"/>
      <c r="J189" s="27"/>
      <c r="K189" s="27"/>
      <c r="L189" s="27"/>
      <c r="M189" s="27"/>
      <c r="N189" s="27"/>
    </row>
    <row r="190" spans="2:14" ht="13.5" customHeight="1">
      <c r="C190" s="27"/>
      <c r="D190" s="27"/>
      <c r="E190" s="27"/>
      <c r="F190" s="27"/>
      <c r="G190" s="27"/>
      <c r="H190" s="27"/>
      <c r="I190" s="27"/>
      <c r="J190" s="27"/>
      <c r="K190" s="27"/>
      <c r="L190" s="27"/>
      <c r="M190" s="27"/>
      <c r="N190" s="27"/>
    </row>
    <row r="191" spans="2:14" ht="13.5" customHeight="1">
      <c r="C191" s="27"/>
      <c r="D191" s="27"/>
      <c r="E191" s="27"/>
      <c r="F191" s="27"/>
      <c r="G191" s="27"/>
      <c r="H191" s="27"/>
      <c r="I191" s="27"/>
      <c r="J191" s="27"/>
      <c r="K191" s="27"/>
      <c r="L191" s="27"/>
      <c r="M191" s="27"/>
      <c r="N191" s="27"/>
    </row>
    <row r="192" spans="2:14" ht="13.5" customHeight="1">
      <c r="C192" s="27"/>
      <c r="D192" s="27"/>
      <c r="E192" s="27"/>
      <c r="F192" s="27"/>
      <c r="G192" s="27"/>
      <c r="H192" s="27"/>
      <c r="I192" s="27"/>
      <c r="J192" s="27"/>
      <c r="K192" s="27"/>
      <c r="L192" s="27"/>
      <c r="M192" s="27"/>
      <c r="N192" s="27"/>
    </row>
    <row r="193" spans="3:14" ht="13.5" customHeight="1">
      <c r="C193" s="27"/>
      <c r="D193" s="27"/>
      <c r="E193" s="27"/>
      <c r="F193" s="27"/>
      <c r="G193" s="27"/>
      <c r="H193" s="27"/>
      <c r="I193" s="27"/>
      <c r="J193" s="27"/>
      <c r="K193" s="27"/>
      <c r="L193" s="27"/>
      <c r="M193" s="27"/>
      <c r="N193" s="27"/>
    </row>
    <row r="194" spans="3:14" ht="13.5" customHeight="1">
      <c r="C194" s="27"/>
      <c r="D194" s="27"/>
      <c r="E194" s="27"/>
      <c r="F194" s="27"/>
      <c r="G194" s="27"/>
      <c r="H194" s="27"/>
      <c r="I194" s="27"/>
      <c r="J194" s="27"/>
      <c r="K194" s="27"/>
      <c r="L194" s="27"/>
      <c r="M194" s="27"/>
      <c r="N194" s="27"/>
    </row>
    <row r="195" spans="3:14" ht="13.5" customHeight="1">
      <c r="C195" s="27"/>
      <c r="D195" s="27"/>
      <c r="E195" s="27"/>
      <c r="F195" s="27"/>
      <c r="G195" s="27"/>
      <c r="H195" s="27"/>
      <c r="I195" s="27"/>
      <c r="J195" s="27"/>
      <c r="K195" s="27"/>
      <c r="L195" s="27"/>
      <c r="M195" s="27"/>
      <c r="N195" s="27"/>
    </row>
    <row r="196" spans="3:14" ht="13.5" customHeight="1">
      <c r="C196" s="27"/>
      <c r="D196" s="27"/>
      <c r="E196" s="27"/>
      <c r="F196" s="27"/>
      <c r="G196" s="27"/>
      <c r="H196" s="27"/>
      <c r="I196" s="27"/>
      <c r="J196" s="27"/>
      <c r="K196" s="27"/>
      <c r="L196" s="27"/>
      <c r="M196" s="27"/>
      <c r="N196" s="27"/>
    </row>
    <row r="197" spans="3:14" ht="13.5" customHeight="1">
      <c r="C197" s="27"/>
      <c r="D197" s="27"/>
      <c r="E197" s="27"/>
      <c r="F197" s="27"/>
      <c r="G197" s="27"/>
      <c r="H197" s="27"/>
      <c r="I197" s="27"/>
      <c r="J197" s="27"/>
      <c r="K197" s="27"/>
      <c r="L197" s="27"/>
      <c r="M197" s="27"/>
      <c r="N197" s="27"/>
    </row>
    <row r="198" spans="3:14" ht="13.5" customHeight="1">
      <c r="C198" s="27"/>
      <c r="D198" s="27"/>
      <c r="E198" s="27"/>
      <c r="F198" s="27"/>
      <c r="G198" s="27"/>
      <c r="H198" s="27"/>
      <c r="I198" s="27"/>
      <c r="J198" s="27"/>
      <c r="K198" s="27"/>
      <c r="L198" s="27"/>
      <c r="M198" s="27"/>
      <c r="N198" s="27"/>
    </row>
    <row r="199" spans="3:14" ht="13.5" customHeight="1">
      <c r="C199" s="27"/>
      <c r="D199" s="27"/>
      <c r="E199" s="27"/>
      <c r="F199" s="27"/>
      <c r="G199" s="27"/>
      <c r="H199" s="27"/>
      <c r="I199" s="27"/>
      <c r="J199" s="27"/>
      <c r="K199" s="27"/>
      <c r="L199" s="27"/>
      <c r="M199" s="27"/>
      <c r="N199" s="27"/>
    </row>
    <row r="200" spans="3:14" ht="13.5" customHeight="1">
      <c r="C200" s="27"/>
      <c r="D200" s="27"/>
      <c r="E200" s="27"/>
      <c r="F200" s="27"/>
      <c r="G200" s="27"/>
      <c r="H200" s="27"/>
      <c r="I200" s="27"/>
      <c r="J200" s="27"/>
      <c r="K200" s="27"/>
      <c r="L200" s="27"/>
      <c r="M200" s="27"/>
      <c r="N200" s="27"/>
    </row>
    <row r="201" spans="3:14" ht="13.5" customHeight="1">
      <c r="C201" s="27"/>
      <c r="D201" s="27"/>
      <c r="E201" s="27"/>
      <c r="F201" s="27"/>
      <c r="G201" s="27"/>
      <c r="H201" s="27"/>
      <c r="I201" s="27"/>
      <c r="J201" s="27"/>
      <c r="K201" s="27"/>
      <c r="L201" s="27"/>
      <c r="M201" s="27"/>
      <c r="N201" s="27"/>
    </row>
    <row r="202" spans="3:14" ht="13.5" customHeight="1">
      <c r="C202" s="27"/>
      <c r="D202" s="27"/>
      <c r="E202" s="27"/>
      <c r="F202" s="27"/>
      <c r="G202" s="27"/>
      <c r="H202" s="27"/>
      <c r="I202" s="27"/>
      <c r="J202" s="27"/>
      <c r="K202" s="27"/>
      <c r="L202" s="27"/>
      <c r="M202" s="27"/>
      <c r="N202" s="27"/>
    </row>
    <row r="203" spans="3:14" ht="13.5" customHeight="1">
      <c r="C203" s="27"/>
      <c r="D203" s="27"/>
      <c r="E203" s="27"/>
      <c r="F203" s="27"/>
      <c r="G203" s="27"/>
      <c r="H203" s="27"/>
      <c r="I203" s="27"/>
      <c r="J203" s="27"/>
      <c r="K203" s="27"/>
      <c r="L203" s="27"/>
      <c r="M203" s="27"/>
      <c r="N203" s="27"/>
    </row>
    <row r="204" spans="3:14" ht="13.5" customHeight="1">
      <c r="C204" s="27"/>
      <c r="D204" s="27"/>
      <c r="E204" s="27"/>
      <c r="F204" s="27"/>
      <c r="G204" s="27"/>
      <c r="H204" s="27"/>
      <c r="I204" s="27"/>
      <c r="J204" s="27"/>
      <c r="K204" s="27"/>
      <c r="L204" s="27"/>
      <c r="M204" s="27"/>
      <c r="N204" s="27"/>
    </row>
    <row r="205" spans="3:14" ht="13.5" customHeight="1">
      <c r="C205" s="27"/>
      <c r="D205" s="27"/>
      <c r="E205" s="27"/>
      <c r="F205" s="27"/>
      <c r="G205" s="27"/>
      <c r="H205" s="27"/>
      <c r="I205" s="27"/>
      <c r="J205" s="27"/>
      <c r="K205" s="27"/>
      <c r="L205" s="27"/>
      <c r="M205" s="27"/>
      <c r="N205" s="27"/>
    </row>
    <row r="206" spans="3:14" ht="13.5" customHeight="1">
      <c r="C206" s="27"/>
      <c r="D206" s="27"/>
      <c r="E206" s="27"/>
      <c r="F206" s="27"/>
      <c r="G206" s="27"/>
      <c r="H206" s="27"/>
      <c r="I206" s="27"/>
      <c r="J206" s="27"/>
      <c r="K206" s="27"/>
      <c r="L206" s="27"/>
      <c r="M206" s="27"/>
      <c r="N206" s="27"/>
    </row>
    <row r="207" spans="3:14" ht="13.5" customHeight="1">
      <c r="C207" s="27"/>
      <c r="D207" s="27"/>
      <c r="E207" s="27"/>
      <c r="F207" s="27"/>
      <c r="G207" s="27"/>
      <c r="H207" s="27"/>
      <c r="I207" s="27"/>
      <c r="J207" s="27"/>
      <c r="K207" s="27"/>
      <c r="L207" s="27"/>
      <c r="M207" s="27"/>
      <c r="N207" s="27"/>
    </row>
    <row r="208" spans="3:14" ht="13.5" customHeight="1">
      <c r="C208" s="27"/>
      <c r="D208" s="27"/>
      <c r="E208" s="27"/>
      <c r="F208" s="27"/>
      <c r="G208" s="27"/>
      <c r="H208" s="27"/>
      <c r="I208" s="27"/>
      <c r="J208" s="27"/>
      <c r="K208" s="27"/>
      <c r="L208" s="27"/>
      <c r="M208" s="27"/>
      <c r="N208" s="27"/>
    </row>
    <row r="209" spans="3:14" ht="13.5" customHeight="1">
      <c r="C209" s="27"/>
      <c r="D209" s="27"/>
      <c r="E209" s="27"/>
      <c r="F209" s="27"/>
      <c r="G209" s="27"/>
      <c r="H209" s="27"/>
      <c r="I209" s="27"/>
      <c r="J209" s="27"/>
      <c r="K209" s="27"/>
      <c r="L209" s="27"/>
      <c r="M209" s="27"/>
      <c r="N209" s="27"/>
    </row>
  </sheetData>
  <mergeCells count="12">
    <mergeCell ref="B6:B15"/>
    <mergeCell ref="N22:O22"/>
    <mergeCell ref="C1:J1"/>
    <mergeCell ref="G3:I3"/>
    <mergeCell ref="D4:E4"/>
    <mergeCell ref="F4:K4"/>
    <mergeCell ref="M4:R4"/>
    <mergeCell ref="D22:E22"/>
    <mergeCell ref="F22:G22"/>
    <mergeCell ref="H22:I22"/>
    <mergeCell ref="J22:K22"/>
    <mergeCell ref="L22:M22"/>
  </mergeCells>
  <dataValidations count="4">
    <dataValidation type="list" allowBlank="1" showErrorMessage="1" sqref="G123:G137 G32:G59" xr:uid="{9BFA30EB-BF67-4761-939C-04BB54C65918}">
      <formula1>$C$6:$C$15</formula1>
    </dataValidation>
    <dataValidation allowBlank="1" showInputMessage="1" showErrorMessage="1" sqref="M32:N175 K38:L85 K32:K34 L35:L37" xr:uid="{73AEDAC6-744E-49AF-9976-914DD64CD56C}"/>
    <dataValidation type="list" allowBlank="1" showErrorMessage="1" sqref="H32:H85 H138:H175" xr:uid="{9AC85BEE-D61E-4AF4-A99F-C189F5483F32}">
      <formula1>"yes"</formula1>
    </dataValidation>
    <dataValidation type="list" allowBlank="1" showErrorMessage="1" sqref="J122:J175 J32:J85" xr:uid="{C9A86638-BB60-4BF4-8E20-074B9E33AA2C}">
      <formula1>$H$5:$J$5</formula1>
    </dataValidation>
  </dataValidations>
  <hyperlinks>
    <hyperlink ref="A32" r:id="rId1" display="[ANP-23202] Payment of transactions by other voucher (CODE + 30, option 5) related to deposit articles - Jira" xr:uid="{84446EA4-2D4B-49E3-9E99-8C5468A3494C}"/>
    <hyperlink ref="A33" r:id="rId2" display="[ANP-25036] All POS - Wrong Currency: Euro instead of Franken - Jira" xr:uid="{513D4A88-1BFA-4870-A6A0-0E93C8250C44}"/>
    <hyperlink ref="A34" r:id="rId3" display="[ANP-24330] POS3 - CHOP - NCR 7199 PinPrinting not correct - Jira" xr:uid="{AE01C60F-7DB9-4F16-BDF7-5255A3A99B49}"/>
    <hyperlink ref="A35" r:id="rId4" display="[ANP-23037] Terminal Assignment Wizard - IP Address-based - Pre-fill Prompt from Till_State - Jira" xr:uid="{4E86C19B-2D07-4DF8-931A-D692550EBBA9}"/>
    <hyperlink ref="A38" r:id="rId5" display="[ANP-23610] [Integrity Tests] SVS &amp; etc/Medion for Sale of Internal and External EGC - Jira" xr:uid="{F823A1BA-2CE1-4AB1-802F-1E169A54093E}"/>
    <hyperlink ref="A40" r:id="rId6" display="[ANP-25171] support for conceptual clarifications - Jira" xr:uid="{59C7BCE9-9123-425C-B1E3-36A1C698D8A6}"/>
    <hyperlink ref="A36" r:id="rId7" display="[ANP-25142] Post-release Tasks for NEWPOSS release 4.7.2 - Jira" xr:uid="{25FAC821-43D3-4E75-892E-E0FBC502D32F}"/>
    <hyperlink ref="A37" r:id="rId8" display="[ANP-21583] Refactor Multilane State - Jira" xr:uid="{A06CFBFF-3188-4D94-81EF-D1FE5F76B946}"/>
    <hyperlink ref="A39" r:id="rId9" display="[ANP-24850] simulated till freezes at paying 'Failed to send cashdrawer event to listener NulPointerException - Jira" xr:uid="{A1A019E5-4023-4671-8500-7AA43AFE47D6}"/>
    <hyperlink ref="A41" r:id="rId10" display="[ANP-25209] take a look at SEND_FAILED topic - Jira" xr:uid="{84B4B426-B48B-4DF5-B182-836C3A1302EF}"/>
    <hyperlink ref="A42" r:id="rId11" display="[ANP-25364] Pick Stories for Version 4.7.3 - Jira" xr:uid="{7BB4E02D-A7A5-4DA8-A242-C63F87D8C00D}"/>
    <hyperlink ref="A60" r:id="rId12" display="https://aldi-sued.atlassian.net/browse/NPSCO-15442" xr:uid="{B3E48BA2-57FB-4143-AD5B-2B369DF23D93}"/>
    <hyperlink ref="A61" r:id="rId13" display="https://aldi-sued.atlassian.net/browse/NPSCO-18454" xr:uid="{5BAE273A-B20B-4A29-A887-A5F09175EB39}"/>
    <hyperlink ref="A62" r:id="rId14" display="https://aldi-sued.atlassian.net/browse/NPSCO-18888" xr:uid="{56D31C30-2679-4E9C-9AEF-D0E4EAC7EC8A}"/>
    <hyperlink ref="A63" r:id="rId15" display="https://aldi-sued.atlassian.net/browse/NPSCO-18690" xr:uid="{CD29E684-DA50-48DB-9735-F2A1E1ED3B13}"/>
    <hyperlink ref="A64" r:id="rId16" display="https://aldi-sued.atlassian.net/browse/NPSCO-18641" xr:uid="{8587C126-DBC5-43A6-B6BC-1CACEE9662D0}"/>
    <hyperlink ref="A65" r:id="rId17" display="https://aldi-sued.atlassian.net/browse/NPSCO-18642" xr:uid="{9A8F8397-F4AD-40A1-91F5-0ECE81B077C0}"/>
    <hyperlink ref="A66" r:id="rId18" display="https://aldi-sued.atlassian.net/browse/NPSCO-18884" xr:uid="{F8487F7B-E1F5-4DA2-A60C-C18551DD8823}"/>
    <hyperlink ref="A67" r:id="rId19" display="https://aldi-sued.atlassian.net/browse/NPSCO-18887" xr:uid="{927F8E70-2AE8-4BF8-B9F6-26009EBDA32E}"/>
    <hyperlink ref="A68" r:id="rId20" display="https://aldi-sued.atlassian.net/browse/NPSCO-18693" xr:uid="{A7FA20FC-2681-4DD7-BC73-732DAABE46EC}"/>
    <hyperlink ref="A69" r:id="rId21" display="https://aldi-sued.atlassian.net/browse/NPSCO-18379" xr:uid="{E1FD297D-15F8-43C9-9CC8-F28B67DCC618}"/>
    <hyperlink ref="A70" r:id="rId22" display="https://aldi-sued.atlassian.net/browse/NPSCO-17387" xr:uid="{FD38F5AF-D2D5-4F89-B322-11BFEFA0DE5E}"/>
    <hyperlink ref="A71" r:id="rId23" display="https://aldi-sued.atlassian.net/browse/NPSCO-17537" xr:uid="{069BDA8F-A946-46A6-A9A4-09B00BE4A6D4}"/>
    <hyperlink ref="A72" r:id="rId24" display="https://aldi-sued.atlassian.net/browse/NPSCO-18890" xr:uid="{D89CC580-2D6A-4AA8-ADF3-F05FCBECD7C1}"/>
    <hyperlink ref="A73" r:id="rId25" display="https://aldi-sued.atlassian.net/browse/NPSCO-18925" xr:uid="{D2110C0A-48A4-40E0-89F0-CE81FB9AAFB0}"/>
    <hyperlink ref="A74" r:id="rId26" display="https://aldi-sued.atlassian.net/browse/NPSCO-18926" xr:uid="{D756231F-3FF4-4CCE-8F35-B95DF0E272B3}"/>
    <hyperlink ref="A75" r:id="rId27" xr:uid="{C0BC620B-F7BB-493D-B813-997567B007AC}"/>
    <hyperlink ref="A76" r:id="rId28" xr:uid="{38A27A08-B920-4139-BE33-C100004BE4F5}"/>
    <hyperlink ref="A77" r:id="rId29" xr:uid="{04971FBF-952C-431C-96E5-19CAC9476F96}"/>
    <hyperlink ref="A78" r:id="rId30" xr:uid="{22E2D165-3681-46E3-8028-1E51FD9581DC}"/>
    <hyperlink ref="A79" r:id="rId31" xr:uid="{4BF4DEA9-FAD0-4216-990E-F5ED04425D41}"/>
    <hyperlink ref="A80" r:id="rId32" display="NPSCO-15480 *" xr:uid="{7D5BBC31-61C1-4CC8-BAA1-69E00598A272}"/>
    <hyperlink ref="A81" r:id="rId33" xr:uid="{9F4E02DE-AB02-4174-AAED-007E82893E20}"/>
    <hyperlink ref="A82" r:id="rId34" display="NPSCO-16390 *" xr:uid="{E5C7C3D0-295C-4752-B0B0-BD75B661231C}"/>
    <hyperlink ref="A83" r:id="rId35" xr:uid="{E2B957DA-8F77-4B16-AEFF-CC8B0A4A0E39}"/>
    <hyperlink ref="A84" r:id="rId36" xr:uid="{5960E8F6-EE72-4D0B-9B06-AAF8035CC5F9}"/>
    <hyperlink ref="A85" r:id="rId37" display="NPSCO-19146 *" xr:uid="{7FAFF714-7B68-46F3-86AE-751D90FBF2EB}"/>
    <hyperlink ref="A43" r:id="rId38" display="[ANP-25465] Analyse Prio 1 Bug ANP-25423 - Jira" xr:uid="{F0CD6045-8FAA-4C96-BFE1-FEDF5241714F}"/>
    <hyperlink ref="A44" r:id="rId39" display="[ANP-25410] provide support for CHOP UAT in austria (off-site) - Jira" xr:uid="{2823D727-C511-4407-AB9A-05896AD51C6B}"/>
    <hyperlink ref="A123" r:id="rId40" xr:uid="{EB587C4E-BE1D-4BAC-B38F-82795D09CDCA}"/>
    <hyperlink ref="B123" r:id="rId41" xr:uid="{6E871171-9BDD-49EB-A556-BA7A4A6F7B8B}"/>
    <hyperlink ref="A124" r:id="rId42" xr:uid="{CE834FA8-BAD0-4A79-9959-BE407D6B046F}"/>
    <hyperlink ref="B124" r:id="rId43" xr:uid="{9544544B-1EE1-473B-B8CA-B70910A453D0}"/>
    <hyperlink ref="A125" r:id="rId44" xr:uid="{ABE76256-F475-4C59-8611-F06CF6FD5902}"/>
    <hyperlink ref="B125" r:id="rId45" xr:uid="{46F6D45B-AA5B-47A6-8D77-F48F2BC22E5A}"/>
    <hyperlink ref="A126" r:id="rId46" xr:uid="{8A9A72F9-9600-46AD-9D47-3C0477F4B697}"/>
    <hyperlink ref="B126" r:id="rId47" xr:uid="{41B28177-DE0E-4D51-A9F4-1672513E2E23}"/>
    <hyperlink ref="A127" r:id="rId48" xr:uid="{12E7D66C-C7C1-48B2-86E6-B47F14D603B9}"/>
    <hyperlink ref="B127" r:id="rId49" xr:uid="{E623CD83-DFF7-435A-BA57-ED6A8F65F2EC}"/>
    <hyperlink ref="A128" r:id="rId50" xr:uid="{369EC182-5E93-4C1B-894D-6C8B7276B9F4}"/>
    <hyperlink ref="B128" r:id="rId51" xr:uid="{BC170052-DDC0-4A69-B879-1B80B742E1FB}"/>
    <hyperlink ref="A129" r:id="rId52" xr:uid="{C56892CD-B5D8-49DA-BDBF-2924257918F9}"/>
    <hyperlink ref="B129" r:id="rId53" xr:uid="{C6E40B29-19E5-47D6-B22F-2993FD73CD79}"/>
    <hyperlink ref="A130" r:id="rId54" xr:uid="{E4FCDEF0-3CB7-4CF3-8139-B7A12B01A259}"/>
    <hyperlink ref="B130" r:id="rId55" xr:uid="{B8F03D25-8F2B-442F-BC64-C598ADFD2DD5}"/>
    <hyperlink ref="A131" r:id="rId56" xr:uid="{C01F999A-98BC-4976-ABB5-E0D88E656DEE}"/>
    <hyperlink ref="B131" r:id="rId57" xr:uid="{23E795CC-8A9A-4774-B7F8-6AFBE0924277}"/>
    <hyperlink ref="A132" r:id="rId58" xr:uid="{4F0C4C84-DF03-4D0E-8329-1E753DE4F33E}"/>
    <hyperlink ref="B132" r:id="rId59" xr:uid="{44A04EBE-DE4B-42FF-9216-B8A2D619C16F}"/>
    <hyperlink ref="A133" r:id="rId60" xr:uid="{8B0D7491-CD51-4EA1-941B-BFCADBF690E9}"/>
    <hyperlink ref="B133" r:id="rId61" xr:uid="{750DF3B9-F0E2-47CF-835D-548548EBDDFD}"/>
    <hyperlink ref="A134" r:id="rId62" xr:uid="{A1EFFD81-D64E-4ECC-A85E-2638912B7E18}"/>
    <hyperlink ref="B134" r:id="rId63" xr:uid="{532F9854-6B8C-45CC-9893-63E8FD3CB4ED}"/>
    <hyperlink ref="A135" r:id="rId64" xr:uid="{535BA018-7FA9-477D-80A8-437AE0F423A5}"/>
    <hyperlink ref="B135" r:id="rId65" xr:uid="{ECA10F9D-950B-42F6-9398-47DFC92DC253}"/>
    <hyperlink ref="A136" r:id="rId66" xr:uid="{4F441F16-DB0F-4C58-BA5A-325B7CD7AB46}"/>
    <hyperlink ref="B136" r:id="rId67" xr:uid="{84AD1C79-79F8-4170-944E-3D90E282C6BD}"/>
    <hyperlink ref="A137" r:id="rId68" xr:uid="{8AF4660E-15B9-4F7A-87D3-58BEFFBC9E8C}"/>
    <hyperlink ref="B137" r:id="rId69" xr:uid="{C698CCD7-A53E-4C7E-8304-DEFDD0A47786}"/>
    <hyperlink ref="A86" r:id="rId70" xr:uid="{1DB95584-543C-49A8-A8B3-01DE3B920A17}"/>
    <hyperlink ref="A87" r:id="rId71" xr:uid="{A5CDD208-C673-4865-8A2C-08526EC02CE0}"/>
    <hyperlink ref="A88" r:id="rId72" xr:uid="{E58C03B8-71CF-4729-86B8-5C1121D7DF41}"/>
    <hyperlink ref="A89" r:id="rId73" xr:uid="{511C3474-A7E8-4F76-AB90-246C01E08B5C}"/>
    <hyperlink ref="A90" r:id="rId74" xr:uid="{01F1C642-D737-4721-9C4A-4A856E149C50}"/>
    <hyperlink ref="A91" r:id="rId75" xr:uid="{A70564FA-D636-4282-B68E-FFDEFA3903E9}"/>
    <hyperlink ref="A92" r:id="rId76" xr:uid="{81BA306D-2DB2-4220-8E8E-6980A9A82DCF}"/>
    <hyperlink ref="A93" r:id="rId77" xr:uid="{78F2F363-2E05-43B5-8F97-0089A11AC88A}"/>
    <hyperlink ref="A94" r:id="rId78" xr:uid="{F0C071FB-0303-4576-AC4A-C19CB0E2EB94}"/>
    <hyperlink ref="A166" r:id="rId79" xr:uid="{B44DC245-D6A2-4343-A8E3-D78056BF9000}"/>
    <hyperlink ref="A167" r:id="rId80" xr:uid="{87922DDD-57C5-4C4C-B190-3FA618D326F9}"/>
    <hyperlink ref="A168" r:id="rId81" xr:uid="{DC4AA209-5B09-4A9E-AB2D-256F350192BE}"/>
    <hyperlink ref="A169" r:id="rId82" display="ANP-25071 *" xr:uid="{0330EB7B-1F44-44AB-BD0A-16CBE38CE251}"/>
    <hyperlink ref="A170" r:id="rId83" display="ANP-24060 *" xr:uid="{95C34D3A-20E6-4989-88FB-8A1BDE264278}"/>
    <hyperlink ref="A171" r:id="rId84" xr:uid="{AC7C38DE-B858-4AB4-86D8-8E11555F83E1}"/>
    <hyperlink ref="A48" r:id="rId85" display="https://aldi-sued.atlassian.net/browse/NPSCO-18573" xr:uid="{C6F4DDC7-5CF9-E246-A316-4C202763C6BB}"/>
    <hyperlink ref="B48" r:id="rId86" display="https://aldi-sued.atlassian.net/browse/NPSCO-18573" xr:uid="{D1AE4BDE-A260-6349-AF42-6A43E2F211BC}"/>
    <hyperlink ref="A47" r:id="rId87" display="https://aldi-sued.atlassian.net/browse/NPSCO-18220" xr:uid="{18FBEA50-B96D-824D-AF15-C767F8E48DD7}"/>
    <hyperlink ref="B47" r:id="rId88" display="https://aldi-sued.atlassian.net/browse/NPSCO-18220" xr:uid="{22D4C326-6A85-7D44-BEDA-DCFC0620CFE8}"/>
    <hyperlink ref="A54" r:id="rId89" display="https://aldi-sued.atlassian.net/browse/NPSCO-19200" xr:uid="{A264BF4E-6655-D94C-A486-293FA2DF2C70}"/>
    <hyperlink ref="B54" r:id="rId90" display="https://aldi-sued.atlassian.net/browse/NPSCO-19200" xr:uid="{2A5B2697-4AC0-894E-8186-29217E9B7855}"/>
    <hyperlink ref="A53" r:id="rId91" display="https://aldi-sued.atlassian.net/browse/NPSCO-19205" xr:uid="{4E71E755-0F14-FB45-8D90-B00D87893314}"/>
    <hyperlink ref="B53" r:id="rId92" display="https://aldi-sued.atlassian.net/browse/NPSCO-19205" xr:uid="{E8E552F5-5A0C-FE4A-8BF4-049CA1002391}"/>
    <hyperlink ref="A95" r:id="rId93" display="https://aldi-sued.atlassian.net/browse/BF-549" xr:uid="{8D607C25-CFEE-4C8B-A7F6-7CFEE97E1DD2}"/>
    <hyperlink ref="A96" r:id="rId94" display="https://aldi-sued.atlassian.net/browse/BF-770" xr:uid="{D128B1B3-8B09-4C4D-9DE9-A88D5D045C81}"/>
    <hyperlink ref="A97" r:id="rId95" display="https://aldi-sued.atlassian.net/browse/BF-773" xr:uid="{BB4B50CF-A40A-4950-9B5D-2982372EB284}"/>
    <hyperlink ref="A98" r:id="rId96" display="https://aldi-sued.atlassian.net/browse/BF-809" xr:uid="{47A3BF08-D568-4046-B7DC-C85F403C10A9}"/>
    <hyperlink ref="A99" r:id="rId97" display="https://aldi-sued.atlassian.net/browse/BF-838" xr:uid="{EF3FC181-6B92-40F0-9FDE-D733DCD84CCB}"/>
    <hyperlink ref="A100" r:id="rId98" display="https://aldi-sued.atlassian.net/browse/BF-853" xr:uid="{CCEE20E8-9FBA-4AAB-94C0-3996CD845DB6}"/>
    <hyperlink ref="A101" r:id="rId99" display="https://aldi-sued.atlassian.net/browse/BF-866" xr:uid="{B0B74D37-36AA-48E0-A347-A23134B047C6}"/>
    <hyperlink ref="A102" r:id="rId100" display="https://aldi-sued.atlassian.net/browse/BF-867" xr:uid="{67C286C6-670B-44E6-94CF-3DCED52BB2E7}"/>
    <hyperlink ref="A103" r:id="rId101" display="https://aldi-sued.atlassian.net/browse/BF-878" xr:uid="{9669086D-F194-49E7-99A9-06C59291A142}"/>
    <hyperlink ref="A104" r:id="rId102" display="https://aldi-sued.atlassian.net/browse/BF-881" xr:uid="{662C6C78-E850-4DC4-81D1-B9AEF8E76B7A}"/>
    <hyperlink ref="A105" r:id="rId103" display="https://aldi-sued.atlassian.net/browse/BF-882" xr:uid="{84EFA42F-E4B6-43BA-8D72-30E081B3EA8A}"/>
    <hyperlink ref="A106" r:id="rId104" display="https://aldi-sued.atlassian.net/browse/BF-883" xr:uid="{1F8AC9E4-E151-47D4-9C78-AC0F1919714D}"/>
    <hyperlink ref="A107" r:id="rId105" display="https://aldi-sued.atlassian.net/browse/BF-884" xr:uid="{97FED964-648C-4C12-8DA0-F1830576B2E4}"/>
    <hyperlink ref="A108" r:id="rId106" display="https://aldi-sued.atlassian.net/browse/BF-889" xr:uid="{A06EA310-6557-4BEB-A6C6-821C0A8D6617}"/>
    <hyperlink ref="A109" r:id="rId107" display="https://aldi-sued.atlassian.net/browse/BF-895" xr:uid="{86C86667-74CE-4CC1-B60F-4A7B107D770D}"/>
    <hyperlink ref="A110" r:id="rId108" display="https://aldi-sued.atlassian.net/browse/BF-896" xr:uid="{802F2BBD-B9FD-4D0F-9CD0-7EBD21FA12D5}"/>
    <hyperlink ref="A111" r:id="rId109" display="https://aldi-sued.atlassian.net/browse/BF-898" xr:uid="{1E0DB647-2F9D-4046-8EFA-E1AB7039874C}"/>
    <hyperlink ref="A112" r:id="rId110" display="https://aldi-sued.atlassian.net/browse/BF-899" xr:uid="{FC01BA2D-BA86-4304-97AD-57514E288F19}"/>
    <hyperlink ref="A113" r:id="rId111" display="https://aldi-sued.atlassian.net/browse/BF-921" xr:uid="{E1C25D92-B143-46E0-9BC2-54C1102918D1}"/>
    <hyperlink ref="A114" r:id="rId112" display="https://aldi-sued.atlassian.net/browse/BF-926" xr:uid="{651744D5-BC01-4C43-82C3-4569836A1D51}"/>
    <hyperlink ref="A115" r:id="rId113" display="https://aldi-sued.atlassian.net/browse/BF-931" xr:uid="{3A3A46D1-3346-44DD-9FC0-AE9C8813FC64}"/>
    <hyperlink ref="A116" r:id="rId114" display="https://aldi-sued.atlassian.net/browse/BF-953" xr:uid="{40CD1CE7-6D77-43FC-99BD-C6E610C5FF7B}"/>
    <hyperlink ref="A117" r:id="rId115" display="https://aldi-sued.atlassian.net/browse/BF-331" xr:uid="{2769D80B-B89C-48DB-B372-37FB88969F65}"/>
    <hyperlink ref="A118" r:id="rId116" display="https://aldi-sued.atlassian.net/browse/BF-577" xr:uid="{37DB0153-EC2E-443C-950D-5D2BDFD7658B}"/>
    <hyperlink ref="A119" r:id="rId117" display="https://aldi-sued.atlassian.net/browse/BF-868" xr:uid="{EFB5D032-613E-45EF-A378-1B199AA0122B}"/>
    <hyperlink ref="A120" r:id="rId118" display="https://aldi-sued.atlassian.net/browse/BF-969" xr:uid="{19A591AA-B2A9-4DFC-8FCF-32064FC651CD}"/>
    <hyperlink ref="A121" r:id="rId119" display="https://aldi-sued.atlassian.net/browse/BF-995" xr:uid="{EA347EBF-3EA2-47DF-8304-3C9EA256D155}"/>
    <hyperlink ref="A122" r:id="rId120" display="https://aldi-sued.atlassian.net/browse/BF-935" xr:uid="{AD2E5193-2CBB-45DE-8174-3A2C2D60F8A4}"/>
  </hyperlinks>
  <pageMargins left="0.23622047244094491" right="0.23622047244094491" top="0.35433070866141736" bottom="0.35433070866141736" header="0" footer="0"/>
  <pageSetup paperSize="9" scale="88" fitToHeight="0" orientation="landscape"/>
  <headerFooter>
    <oddFooter>&amp;CS. &amp;P / &amp;N</oddFooter>
  </headerFooter>
  <tableParts count="1">
    <tablePart r:id="rId12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94173-F7DA-4715-9656-B4F177A5CEAD}">
  <sheetPr>
    <outlinePr summaryBelow="0" summaryRight="0"/>
    <pageSetUpPr fitToPage="1"/>
  </sheetPr>
  <dimension ref="A1:AM219"/>
  <sheetViews>
    <sheetView zoomScale="90" zoomScaleNormal="90" workbookViewId="0"/>
  </sheetViews>
  <sheetFormatPr baseColWidth="10" defaultColWidth="8.85546875" defaultRowHeight="13.5" customHeight="1"/>
  <cols>
    <col min="1" max="1" width="13.28515625" style="27" bestFit="1" customWidth="1"/>
    <col min="2" max="2" width="66.42578125" style="27" customWidth="1"/>
    <col min="3" max="8" width="15.42578125" style="28" customWidth="1"/>
    <col min="9" max="11" width="15.42578125" style="29" customWidth="1"/>
    <col min="12" max="12" width="15.42578125" style="30" customWidth="1"/>
    <col min="13" max="13" width="15.42578125" style="28" customWidth="1"/>
    <col min="14" max="18" width="15.42578125" style="1" customWidth="1"/>
    <col min="19" max="28" width="10.42578125" style="1" customWidth="1"/>
    <col min="29" max="34" width="8.42578125" style="1" customWidth="1"/>
    <col min="35" max="35" width="3.42578125" style="1" customWidth="1"/>
    <col min="36" max="36" width="8.42578125" style="1" customWidth="1"/>
    <col min="37" max="16384" width="8.85546875" style="1"/>
  </cols>
  <sheetData>
    <row r="1" spans="2:22" ht="13.5" customHeight="1">
      <c r="C1" s="417" t="s">
        <v>2535</v>
      </c>
      <c r="D1" s="417"/>
      <c r="E1" s="417"/>
      <c r="F1" s="417"/>
      <c r="G1" s="417"/>
      <c r="H1" s="417"/>
      <c r="I1" s="417"/>
      <c r="J1" s="417"/>
      <c r="K1" s="2"/>
      <c r="L1" s="2"/>
      <c r="M1" s="2"/>
    </row>
    <row r="2" spans="2:22" ht="13.5" customHeight="1">
      <c r="C2" s="1"/>
      <c r="D2" s="1"/>
      <c r="E2" s="2"/>
      <c r="F2" s="2"/>
      <c r="G2" s="2"/>
      <c r="H2" s="2"/>
      <c r="I2" s="2"/>
      <c r="J2" s="1"/>
      <c r="K2" s="2"/>
      <c r="L2" s="2"/>
      <c r="M2" s="1"/>
    </row>
    <row r="3" spans="2:22" ht="13.5" customHeight="1">
      <c r="C3" s="3" t="s">
        <v>162</v>
      </c>
      <c r="D3" s="66"/>
      <c r="E3" s="10"/>
      <c r="F3" s="10"/>
      <c r="G3" s="440" t="s">
        <v>2132</v>
      </c>
      <c r="H3" s="440"/>
      <c r="I3" s="440"/>
      <c r="J3" s="10"/>
      <c r="K3" s="4"/>
      <c r="L3" s="4"/>
      <c r="M3" s="2"/>
    </row>
    <row r="4" spans="2:22" ht="13.5" customHeight="1">
      <c r="C4" s="10"/>
      <c r="D4" s="419" t="s">
        <v>164</v>
      </c>
      <c r="E4" s="420"/>
      <c r="F4" s="421" t="s">
        <v>165</v>
      </c>
      <c r="G4" s="422"/>
      <c r="H4" s="422"/>
      <c r="I4" s="422"/>
      <c r="J4" s="422"/>
      <c r="K4" s="423"/>
      <c r="M4" s="424" t="s">
        <v>1303</v>
      </c>
      <c r="N4" s="424"/>
      <c r="O4" s="424"/>
      <c r="P4" s="424"/>
      <c r="Q4" s="424"/>
      <c r="R4" s="424"/>
    </row>
    <row r="5" spans="2:22" ht="27" customHeight="1">
      <c r="C5" s="63" t="s">
        <v>167</v>
      </c>
      <c r="D5" s="60" t="s">
        <v>171</v>
      </c>
      <c r="E5" s="73" t="str">
        <f>H5</f>
        <v>Completed</v>
      </c>
      <c r="F5" s="60" t="s">
        <v>105</v>
      </c>
      <c r="G5" s="21" t="s">
        <v>106</v>
      </c>
      <c r="H5" s="20" t="s">
        <v>125</v>
      </c>
      <c r="I5" s="20" t="s">
        <v>127</v>
      </c>
      <c r="J5" s="20" t="s">
        <v>126</v>
      </c>
      <c r="K5" s="67" t="s">
        <v>172</v>
      </c>
      <c r="M5" s="21" t="s">
        <v>105</v>
      </c>
      <c r="N5" s="21" t="s">
        <v>106</v>
      </c>
      <c r="O5" s="31" t="s">
        <v>125</v>
      </c>
      <c r="P5" s="31" t="str">
        <f>J5</f>
        <v>Removed</v>
      </c>
      <c r="Q5" s="31" t="s">
        <v>127</v>
      </c>
      <c r="R5" s="39" t="s">
        <v>173</v>
      </c>
    </row>
    <row r="6" spans="2:22" ht="13.5" customHeight="1">
      <c r="B6" s="415" t="s">
        <v>2133</v>
      </c>
      <c r="C6" s="59" t="s">
        <v>35</v>
      </c>
      <c r="D6" s="61">
        <f>COUNTIFS(Tabelle13245689[Team],$C6)</f>
        <v>25</v>
      </c>
      <c r="E6" s="74">
        <f>COUNTIFS(Tabelle13245689[Team],$C6,Tabelle13245689[Status],$E$5)</f>
        <v>17</v>
      </c>
      <c r="F6" s="68">
        <f>SUMIFS(Tabelle13245689[Jira Story Points],Tabelle13245689[Pulled after Start],"",Tabelle13245689[Team],$C6)</f>
        <v>48</v>
      </c>
      <c r="G6" s="6">
        <f>SUMIFS(Tabelle13245689[Jira Story Points],Tabelle13245689[Pulled after Start],"yes",Tabelle13245689[Team],$C6)</f>
        <v>5</v>
      </c>
      <c r="H6" s="7">
        <f>SUMIFS(Tabelle13245689[Jira Story Points],Tabelle13245689[Status],$H$5,Tabelle13245689[Team],$C6)</f>
        <v>38</v>
      </c>
      <c r="I6" s="6">
        <f>SUMIFS(Tabelle13245689[Jira Story Points],Tabelle13245689[Status],$I$5,Tabelle13245689[Team],$C6)</f>
        <v>15</v>
      </c>
      <c r="J6" s="6">
        <f>SUMIFS(Tabelle13245689[Jira Story Points],Tabelle13245689[Status],$J$5,Tabelle13245689[Team],$C6)</f>
        <v>0</v>
      </c>
      <c r="K6" s="69">
        <f>SUMIFS(Tabelle13245689[Jira Story Points],Tabelle13245689[Team],$C6)</f>
        <v>53</v>
      </c>
      <c r="L6" s="84">
        <f>H6/F6</f>
        <v>0.79166666666666663</v>
      </c>
      <c r="M6" s="6">
        <f>SUMIFS(Tabelle13245689[SP Initially Planned (COS)],Tabelle13245689[Pulled after Start],"",Tabelle13245689[Team],$C6)</f>
        <v>48</v>
      </c>
      <c r="N6" s="6">
        <f>SUMIFS(Tabelle13245689[SP Pulled after Start (COS)],Tabelle13245689[Team],$C6)</f>
        <v>5</v>
      </c>
      <c r="O6" s="25">
        <f>SUMIFS(Tabelle13245689[SP Completed (COS &amp; SOS)],Tabelle13245689[Team],$C6)</f>
        <v>38</v>
      </c>
      <c r="P6" s="25">
        <f>SUMIFS(Tabelle13245689[SP Removed (COS &amp; SOS)],Tabelle13245689[Team],$C6)</f>
        <v>0</v>
      </c>
      <c r="Q6" s="41">
        <f>SUMIFS(Tabelle13245689[SP Not Completed (COS &amp; SOS)],Tabelle13245689[Team],$C6)</f>
        <v>15</v>
      </c>
      <c r="R6" s="40">
        <f t="shared" ref="R6:R15" si="0">IFERROR(O6/$M6," ")</f>
        <v>0.79166666666666663</v>
      </c>
      <c r="T6" s="43"/>
    </row>
    <row r="7" spans="2:22" ht="13.5" customHeight="1">
      <c r="B7" s="415"/>
      <c r="C7" s="59" t="s">
        <v>12</v>
      </c>
      <c r="D7" s="61">
        <f>COUNTIFS(Tabelle13245689[Team],$C7)</f>
        <v>22</v>
      </c>
      <c r="E7" s="74">
        <f>COUNTIFS(Tabelle13245689[Team],$C7,Tabelle13245689[Status],$E$5)</f>
        <v>15</v>
      </c>
      <c r="F7" s="68">
        <f>SUMIFS(Tabelle13245689[Jira Story Points],Tabelle13245689[Pulled after Start],"",Tabelle13245689[Team],$C7)</f>
        <v>28</v>
      </c>
      <c r="G7" s="6">
        <f>SUMIFS(Tabelle13245689[Jira Story Points],Tabelle13245689[Pulled after Start],"yes",Tabelle13245689[Team],$C7)</f>
        <v>19</v>
      </c>
      <c r="H7" s="7">
        <f>SUMIFS(Tabelle13245689[Jira Story Points],Tabelle13245689[Status],$H$5,Tabelle13245689[Team],$C7)</f>
        <v>30</v>
      </c>
      <c r="I7" s="6">
        <f>SUMIFS(Tabelle13245689[Jira Story Points],Tabelle13245689[Status],$I$5,Tabelle13245689[Team],$C7)</f>
        <v>12</v>
      </c>
      <c r="J7" s="6">
        <f>SUMIFS(Tabelle13245689[Jira Story Points],Tabelle13245689[Status],$J$5,Tabelle13245689[Team],$C7)</f>
        <v>5</v>
      </c>
      <c r="K7" s="69">
        <f>SUMIFS(Tabelle13245689[Jira Story Points],Tabelle13245689[Team],$C7)</f>
        <v>47</v>
      </c>
      <c r="L7" s="84">
        <f t="shared" ref="L7:L16" si="1">H7/F7</f>
        <v>1.0714285714285714</v>
      </c>
      <c r="M7" s="6">
        <f>SUMIFS(Tabelle13245689[SP Initially Planned (COS)],Tabelle13245689[Pulled after Start],"",Tabelle13245689[Team],$C7)</f>
        <v>13</v>
      </c>
      <c r="N7" s="6">
        <f>SUMIFS(Tabelle13245689[SP Pulled after Start (COS)],Tabelle13245689[Team],$C7)</f>
        <v>19</v>
      </c>
      <c r="O7" s="25">
        <f>SUMIFS(Tabelle13245689[SP Completed (COS &amp; SOS)],Tabelle13245689[Team],$C7)</f>
        <v>21</v>
      </c>
      <c r="P7" s="25">
        <f>SUMIFS(Tabelle13245689[SP Removed (COS &amp; SOS)],Tabelle13245689[Team],$C7)</f>
        <v>5</v>
      </c>
      <c r="Q7" s="41">
        <f>SUMIFS(Tabelle13245689[SP Not Completed (COS &amp; SOS)],Tabelle13245689[Team],$C7)</f>
        <v>6</v>
      </c>
      <c r="R7" s="40">
        <f t="shared" si="0"/>
        <v>1.6153846153846154</v>
      </c>
      <c r="T7" s="43"/>
    </row>
    <row r="8" spans="2:22" ht="13.5" customHeight="1">
      <c r="B8" s="415"/>
      <c r="C8" s="59" t="s">
        <v>27</v>
      </c>
      <c r="D8" s="61">
        <f>COUNTIFS(Tabelle13245689[Team],$C8)</f>
        <v>13</v>
      </c>
      <c r="E8" s="74">
        <f>COUNTIFS(Tabelle13245689[Team],$C8,Tabelle13245689[Status],$E$5)</f>
        <v>11</v>
      </c>
      <c r="F8" s="68">
        <f>SUMIFS(Tabelle13245689[Jira Story Points],Tabelle13245689[Pulled after Start],"",Tabelle13245689[Team],$C8)</f>
        <v>54</v>
      </c>
      <c r="G8" s="6">
        <f>SUMIFS(Tabelle13245689[Jira Story Points],Tabelle13245689[Pulled after Start],"yes",Tabelle13245689[Team],$C8)</f>
        <v>4</v>
      </c>
      <c r="H8" s="7">
        <f>SUMIFS(Tabelle13245689[Jira Story Points],Tabelle13245689[Status],$H$5,Tabelle13245689[Team],$C8)</f>
        <v>45</v>
      </c>
      <c r="I8" s="6">
        <f>SUMIFS(Tabelle13245689[Jira Story Points],Tabelle13245689[Status],$I$5,Tabelle13245689[Team],$C8)</f>
        <v>8</v>
      </c>
      <c r="J8" s="6">
        <f>SUMIFS(Tabelle13245689[Jira Story Points],Tabelle13245689[Status],$J$5,Tabelle13245689[Team],$C8)</f>
        <v>5</v>
      </c>
      <c r="K8" s="69">
        <f>SUMIFS(Tabelle13245689[Jira Story Points],Tabelle13245689[Team],$C8)</f>
        <v>58</v>
      </c>
      <c r="L8" s="84">
        <f t="shared" si="1"/>
        <v>0.83333333333333337</v>
      </c>
      <c r="M8" s="6">
        <f>SUMIFS(Tabelle13245689[SP Initially Planned (COS)],Tabelle13245689[Pulled after Start],"",Tabelle13245689[Team],$C8)</f>
        <v>54</v>
      </c>
      <c r="N8" s="6">
        <f>SUMIFS(Tabelle13245689[SP Pulled after Start (COS)],Tabelle13245689[Team],$C8)</f>
        <v>4</v>
      </c>
      <c r="O8" s="25">
        <f>SUMIFS(Tabelle13245689[SP Completed (COS &amp; SOS)],Tabelle13245689[Team],$C8)</f>
        <v>45</v>
      </c>
      <c r="P8" s="25">
        <f>SUMIFS(Tabelle13245689[SP Removed (COS &amp; SOS)],Tabelle13245689[Team],$C8)</f>
        <v>5</v>
      </c>
      <c r="Q8" s="41">
        <f>SUMIFS(Tabelle13245689[SP Not Completed (COS &amp; SOS)],Tabelle13245689[Team],$C8)</f>
        <v>8</v>
      </c>
      <c r="R8" s="40">
        <f t="shared" si="0"/>
        <v>0.83333333333333337</v>
      </c>
      <c r="T8" s="43"/>
    </row>
    <row r="9" spans="2:22" ht="13.5" customHeight="1">
      <c r="B9" s="415"/>
      <c r="C9" s="59" t="s">
        <v>5</v>
      </c>
      <c r="D9" s="61">
        <f>COUNTIFS(Tabelle13245689[Team],$C9)</f>
        <v>14</v>
      </c>
      <c r="E9" s="74">
        <f>COUNTIFS(Tabelle13245689[Team],$C9,Tabelle13245689[Status],$E$5)</f>
        <v>11</v>
      </c>
      <c r="F9" s="68">
        <f>SUMIFS(Tabelle13245689[Jira Story Points],Tabelle13245689[Pulled after Start],"",Tabelle13245689[Team],$C9)</f>
        <v>38</v>
      </c>
      <c r="G9" s="6">
        <f>SUMIFS(Tabelle13245689[Jira Story Points],Tabelle13245689[Pulled after Start],"yes",Tabelle13245689[Team],$C9)</f>
        <v>5</v>
      </c>
      <c r="H9" s="7">
        <f>SUMIFS(Tabelle13245689[Jira Story Points],Tabelle13245689[Status],$H$5,Tabelle13245689[Team],$C9)</f>
        <v>35</v>
      </c>
      <c r="I9" s="6">
        <f>SUMIFS(Tabelle13245689[Jira Story Points],Tabelle13245689[Status],$I$5,Tabelle13245689[Team],$C9)</f>
        <v>8</v>
      </c>
      <c r="J9" s="6">
        <f>SUMIFS(Tabelle13245689[Jira Story Points],Tabelle13245689[Status],$J$5,Tabelle13245689[Team],$C9)</f>
        <v>0</v>
      </c>
      <c r="K9" s="69">
        <f>SUMIFS(Tabelle13245689[Jira Story Points],Tabelle13245689[Team],$C9)</f>
        <v>43</v>
      </c>
      <c r="L9" s="84">
        <f t="shared" si="1"/>
        <v>0.92105263157894735</v>
      </c>
      <c r="M9" s="6">
        <f>SUMIFS(Tabelle13245689[SP Initially Planned (COS)],Tabelle13245689[Pulled after Start],"",Tabelle13245689[Team],$C9)</f>
        <v>26</v>
      </c>
      <c r="N9" s="6">
        <f>SUMIFS(Tabelle13245689[SP Pulled after Start (COS)],Tabelle13245689[Team],$C9)</f>
        <v>5</v>
      </c>
      <c r="O9" s="25">
        <f>SUMIFS(Tabelle13245689[SP Completed (COS &amp; SOS)],Tabelle13245689[Team],$C9)</f>
        <v>26</v>
      </c>
      <c r="P9" s="25">
        <f>SUMIFS(Tabelle13245689[SP Removed (COS &amp; SOS)],Tabelle13245689[Team],$C9)</f>
        <v>0</v>
      </c>
      <c r="Q9" s="41">
        <f>SUMIFS(Tabelle13245689[SP Not Completed (COS &amp; SOS)],Tabelle13245689[Team],$C9)</f>
        <v>5</v>
      </c>
      <c r="R9" s="40">
        <f t="shared" si="0"/>
        <v>1</v>
      </c>
      <c r="T9" s="43"/>
    </row>
    <row r="10" spans="2:22" ht="13.5" customHeight="1">
      <c r="B10" s="415"/>
      <c r="C10" s="59" t="s">
        <v>32</v>
      </c>
      <c r="D10" s="61">
        <f>COUNTIFS(Tabelle13245689[Team],$C10)</f>
        <v>14</v>
      </c>
      <c r="E10" s="74">
        <f>COUNTIFS(Tabelle13245689[Team],$C10,Tabelle13245689[Status],$E$5)</f>
        <v>9</v>
      </c>
      <c r="F10" s="68">
        <f>SUMIFS(Tabelle13245689[Jira Story Points],Tabelle13245689[Pulled after Start],"",Tabelle13245689[Team],$C10)</f>
        <v>35</v>
      </c>
      <c r="G10" s="6">
        <f>SUMIFS(Tabelle13245689[Jira Story Points],Tabelle13245689[Pulled after Start],"yes",Tabelle13245689[Team],$C10)</f>
        <v>6</v>
      </c>
      <c r="H10" s="7">
        <f>SUMIFS(Tabelle13245689[Jira Story Points],Tabelle13245689[Status],$H$5,Tabelle13245689[Team],$C10)</f>
        <v>26</v>
      </c>
      <c r="I10" s="6">
        <f>SUMIFS(Tabelle13245689[Jira Story Points],Tabelle13245689[Status],$I$5,Tabelle13245689[Team],$C10)</f>
        <v>15</v>
      </c>
      <c r="J10" s="6">
        <f>SUMIFS(Tabelle13245689[Jira Story Points],Tabelle13245689[Status],$J$5,Tabelle13245689[Team],$C10)</f>
        <v>0</v>
      </c>
      <c r="K10" s="69">
        <f>SUMIFS(Tabelle13245689[Jira Story Points],Tabelle13245689[Team],$C10)</f>
        <v>41</v>
      </c>
      <c r="L10" s="84">
        <f t="shared" si="1"/>
        <v>0.74285714285714288</v>
      </c>
      <c r="M10" s="6">
        <f>SUMIFS(Tabelle13245689[SP Initially Planned (COS)],Tabelle13245689[Pulled after Start],"",Tabelle13245689[Team],$C10)</f>
        <v>35</v>
      </c>
      <c r="N10" s="6">
        <f>SUMIFS(Tabelle13245689[SP Pulled after Start (COS)],Tabelle13245689[Team],$C10)</f>
        <v>6</v>
      </c>
      <c r="O10" s="25">
        <f>SUMIFS(Tabelle13245689[SP Completed (COS &amp; SOS)],Tabelle13245689[Team],$C10)</f>
        <v>26</v>
      </c>
      <c r="P10" s="25">
        <f>SUMIFS(Tabelle13245689[SP Removed (COS &amp; SOS)],Tabelle13245689[Team],$C10)</f>
        <v>0</v>
      </c>
      <c r="Q10" s="41">
        <f>SUMIFS(Tabelle13245689[SP Not Completed (COS &amp; SOS)],Tabelle13245689[Team],$C10)</f>
        <v>15</v>
      </c>
      <c r="R10" s="40">
        <f t="shared" si="0"/>
        <v>0.74285714285714288</v>
      </c>
      <c r="T10" s="43"/>
    </row>
    <row r="11" spans="2:22" ht="13.5" customHeight="1">
      <c r="B11" s="415"/>
      <c r="C11" s="59" t="s">
        <v>24</v>
      </c>
      <c r="D11" s="61">
        <f>COUNTIFS(Tabelle13245689[Team],$C11)</f>
        <v>17</v>
      </c>
      <c r="E11" s="74">
        <f>COUNTIFS(Tabelle13245689[Team],$C11,Tabelle13245689[Status],$E$5)</f>
        <v>16</v>
      </c>
      <c r="F11" s="68">
        <f>SUMIFS(Tabelle13245689[Jira Story Points],Tabelle13245689[Pulled after Start],"",Tabelle13245689[Team],$C11)</f>
        <v>45</v>
      </c>
      <c r="G11" s="6">
        <f>SUMIFS(Tabelle13245689[Jira Story Points],Tabelle13245689[Pulled after Start],"yes",Tabelle13245689[Team],$C11)</f>
        <v>5</v>
      </c>
      <c r="H11" s="7">
        <f>SUMIFS(Tabelle13245689[Jira Story Points],Tabelle13245689[Status],$H$5,Tabelle13245689[Team],$C11)</f>
        <v>47</v>
      </c>
      <c r="I11" s="6">
        <f>SUMIFS(Tabelle13245689[Jira Story Points],Tabelle13245689[Status],$I$5,Tabelle13245689[Team],$C11)</f>
        <v>3</v>
      </c>
      <c r="J11" s="6">
        <f>SUMIFS(Tabelle13245689[Jira Story Points],Tabelle13245689[Status],$J$5,Tabelle13245689[Team],$C11)</f>
        <v>0</v>
      </c>
      <c r="K11" s="69">
        <f>SUMIFS(Tabelle13245689[Jira Story Points],Tabelle13245689[Team],$C11)</f>
        <v>50</v>
      </c>
      <c r="L11" s="84">
        <f t="shared" si="1"/>
        <v>1.0444444444444445</v>
      </c>
      <c r="M11" s="6">
        <f>SUMIFS(Tabelle13245689[SP Initially Planned (COS)],Tabelle13245689[Pulled after Start],"",Tabelle13245689[Team],$C11)</f>
        <v>45</v>
      </c>
      <c r="N11" s="6">
        <f>SUMIFS(Tabelle13245689[SP Pulled after Start (COS)],Tabelle13245689[Team],$C11)</f>
        <v>5</v>
      </c>
      <c r="O11" s="25">
        <f>SUMIFS(Tabelle13245689[SP Completed (COS &amp; SOS)],Tabelle13245689[Team],$C11)</f>
        <v>49</v>
      </c>
      <c r="P11" s="25">
        <f>SUMIFS(Tabelle13245689[SP Removed (COS &amp; SOS)],Tabelle13245689[Team],$C11)</f>
        <v>0</v>
      </c>
      <c r="Q11" s="41">
        <f>SUMIFS(Tabelle13245689[SP Not Completed (COS &amp; SOS)],Tabelle13245689[Team],$C11)</f>
        <v>1</v>
      </c>
      <c r="R11" s="40">
        <f t="shared" si="0"/>
        <v>1.0888888888888888</v>
      </c>
      <c r="T11" s="43"/>
    </row>
    <row r="12" spans="2:22" ht="13.5" customHeight="1">
      <c r="B12" s="415"/>
      <c r="C12" s="59" t="s">
        <v>17</v>
      </c>
      <c r="D12" s="61">
        <f>COUNTIFS(Tabelle13245689[Team],$C12)</f>
        <v>8</v>
      </c>
      <c r="E12" s="74">
        <f>COUNTIFS(Tabelle13245689[Team],$C12,Tabelle13245689[Status],$E$5)</f>
        <v>6</v>
      </c>
      <c r="F12" s="68">
        <f>SUMIFS(Tabelle13245689[Jira Story Points],Tabelle13245689[Pulled after Start],"",Tabelle13245689[Team],$C12)</f>
        <v>40</v>
      </c>
      <c r="G12" s="6">
        <f>SUMIFS(Tabelle13245689[Jira Story Points],Tabelle13245689[Pulled after Start],"yes",Tabelle13245689[Team],$C12)</f>
        <v>0</v>
      </c>
      <c r="H12" s="7">
        <f>SUMIFS(Tabelle13245689[Jira Story Points],Tabelle13245689[Status],$H$5,Tabelle13245689[Team],$C12)</f>
        <v>29</v>
      </c>
      <c r="I12" s="6">
        <f>SUMIFS(Tabelle13245689[Jira Story Points],Tabelle13245689[Status],$I$5,Tabelle13245689[Team],$C12)</f>
        <v>11</v>
      </c>
      <c r="J12" s="6">
        <f>SUMIFS(Tabelle13245689[Jira Story Points],Tabelle13245689[Status],$J$5,Tabelle13245689[Team],$C12)</f>
        <v>0</v>
      </c>
      <c r="K12" s="69">
        <f>SUMIFS(Tabelle13245689[Jira Story Points],Tabelle13245689[Team],$C12)</f>
        <v>40</v>
      </c>
      <c r="L12" s="84">
        <f t="shared" si="1"/>
        <v>0.72499999999999998</v>
      </c>
      <c r="M12" s="6">
        <f>SUMIFS(Tabelle13245689[SP Initially Planned (COS)],Tabelle13245689[Pulled after Start],"",Tabelle13245689[Team],$C12)</f>
        <v>27</v>
      </c>
      <c r="N12" s="6">
        <f>SUMIFS(Tabelle13245689[SP Pulled after Start (COS)],Tabelle13245689[Team],$C12)</f>
        <v>0</v>
      </c>
      <c r="O12" s="25">
        <f>SUMIFS(Tabelle13245689[SP Completed (COS &amp; SOS)],Tabelle13245689[Team],$C12)</f>
        <v>16</v>
      </c>
      <c r="P12" s="25">
        <f>SUMIFS(Tabelle13245689[SP Removed (COS &amp; SOS)],Tabelle13245689[Team],$C12)</f>
        <v>0</v>
      </c>
      <c r="Q12" s="41">
        <f>SUMIFS(Tabelle13245689[SP Not Completed (COS &amp; SOS)],Tabelle13245689[Team],$C12)</f>
        <v>11</v>
      </c>
      <c r="R12" s="40">
        <f t="shared" si="0"/>
        <v>0.59259259259259256</v>
      </c>
      <c r="T12" s="43"/>
    </row>
    <row r="13" spans="2:22" ht="13.5" customHeight="1">
      <c r="B13" s="415"/>
      <c r="C13" s="64" t="s">
        <v>107</v>
      </c>
      <c r="D13" s="61">
        <f>COUNTIFS(Tabelle13245689[Team],$C13)</f>
        <v>0</v>
      </c>
      <c r="E13" s="74">
        <f>COUNTIFS(Tabelle13245689[Team],$C13,Tabelle13245689[Status],$E$5)</f>
        <v>0</v>
      </c>
      <c r="F13" s="68">
        <f>SUMIFS(Tabelle13245689[Jira Story Points],Tabelle13245689[Pulled after Start],"",Tabelle13245689[Team],$C13)</f>
        <v>0</v>
      </c>
      <c r="G13" s="6">
        <f>SUMIFS(Tabelle13245689[Jira Story Points],Tabelle13245689[Pulled after Start],"yes",Tabelle13245689[Team],$C13)</f>
        <v>0</v>
      </c>
      <c r="H13" s="7">
        <f>SUMIFS(Tabelle13245689[Jira Story Points],Tabelle13245689[Status],$H$5,Tabelle13245689[Team],$C13)</f>
        <v>0</v>
      </c>
      <c r="I13" s="6">
        <f>SUMIFS(Tabelle13245689[Jira Story Points],Tabelle13245689[Status],$I$5,Tabelle13245689[Team],$C13)</f>
        <v>0</v>
      </c>
      <c r="J13" s="6">
        <f>SUMIFS(Tabelle13245689[Jira Story Points],Tabelle13245689[Status],$J$5,Tabelle13245689[Team],$C13)</f>
        <v>0</v>
      </c>
      <c r="K13" s="69">
        <f>SUMIFS(Tabelle13245689[Jira Story Points],Tabelle13245689[Team],$C13)</f>
        <v>0</v>
      </c>
      <c r="L13" s="84"/>
      <c r="M13" s="6">
        <f>SUMIFS(Tabelle13245689[SP Initially Planned (COS)],Tabelle13245689[Pulled after Start],"",Tabelle13245689[Team],$C13)</f>
        <v>0</v>
      </c>
      <c r="N13" s="6">
        <f>SUMIFS(Tabelle13245689[SP Pulled after Start (COS)],Tabelle13245689[Team],$C13)</f>
        <v>0</v>
      </c>
      <c r="O13" s="25">
        <f>SUMIFS(Tabelle13245689[SP Completed (COS &amp; SOS)],Tabelle13245689[Team],$C13)</f>
        <v>0</v>
      </c>
      <c r="P13" s="25">
        <f>SUMIFS(Tabelle13245689[SP Removed (COS &amp; SOS)],Tabelle13245689[Team],$C13)</f>
        <v>0</v>
      </c>
      <c r="Q13" s="41">
        <f>SUMIFS(Tabelle13245689[SP Not Completed (COS &amp; SOS)],Tabelle13245689[Team],$C13)</f>
        <v>0</v>
      </c>
      <c r="R13" s="40" t="str">
        <f t="shared" si="0"/>
        <v xml:space="preserve"> </v>
      </c>
      <c r="T13" s="43"/>
    </row>
    <row r="14" spans="2:22" ht="13.5" customHeight="1">
      <c r="B14" s="415"/>
      <c r="C14" s="41" t="s">
        <v>21</v>
      </c>
      <c r="D14" s="61">
        <f>COUNTIFS(Tabelle13245689[Team],$C14)</f>
        <v>10</v>
      </c>
      <c r="E14" s="74">
        <f>COUNTIFS(Tabelle13245689[Team],$C14,Tabelle13245689[Status],$E$5)</f>
        <v>7</v>
      </c>
      <c r="F14" s="68">
        <f>SUMIFS(Tabelle13245689[Jira Story Points],Tabelle13245689[Pulled after Start],"",Tabelle13245689[Team],$C14)</f>
        <v>31</v>
      </c>
      <c r="G14" s="6">
        <f>SUMIFS(Tabelle13245689[Jira Story Points],Tabelle13245689[Pulled after Start],"yes",Tabelle13245689[Team],$C14)</f>
        <v>9</v>
      </c>
      <c r="H14" s="7">
        <f>SUMIFS(Tabelle13245689[Jira Story Points],Tabelle13245689[Status],$H$5,Tabelle13245689[Team],$C14)</f>
        <v>29</v>
      </c>
      <c r="I14" s="6">
        <f>SUMIFS(Tabelle13245689[Jira Story Points],Tabelle13245689[Status],$I$5,Tabelle13245689[Team],$C14)</f>
        <v>11</v>
      </c>
      <c r="J14" s="6">
        <f>SUMIFS(Tabelle13245689[Jira Story Points],Tabelle13245689[Status],$J$5,Tabelle13245689[Team],$C14)</f>
        <v>0</v>
      </c>
      <c r="K14" s="69">
        <f>SUMIFS(Tabelle13245689[Jira Story Points],Tabelle13245689[Team],$C14)</f>
        <v>40</v>
      </c>
      <c r="L14" s="84">
        <f t="shared" si="1"/>
        <v>0.93548387096774188</v>
      </c>
      <c r="M14" s="6">
        <f>SUMIFS(Tabelle13245689[SP Initially Planned (COS)],Tabelle13245689[Pulled after Start],"",Tabelle13245689[Team],$C14)</f>
        <v>31</v>
      </c>
      <c r="N14" s="6">
        <f>SUMIFS(Tabelle13245689[SP Pulled after Start (COS)],Tabelle13245689[Team],$C14)</f>
        <v>9</v>
      </c>
      <c r="O14" s="25">
        <f>SUMIFS(Tabelle13245689[SP Completed (COS &amp; SOS)],Tabelle13245689[Team],$C14)</f>
        <v>31</v>
      </c>
      <c r="P14" s="25">
        <f>SUMIFS(Tabelle13245689[SP Removed (COS &amp; SOS)],Tabelle13245689[Team],$C14)</f>
        <v>0</v>
      </c>
      <c r="Q14" s="41">
        <f>SUMIFS(Tabelle13245689[SP Not Completed (COS &amp; SOS)],Tabelle13245689[Team],$C14)</f>
        <v>9</v>
      </c>
      <c r="R14" s="40">
        <f t="shared" si="0"/>
        <v>1</v>
      </c>
      <c r="T14" s="43"/>
    </row>
    <row r="15" spans="2:22" ht="13.5" customHeight="1">
      <c r="B15" s="415"/>
      <c r="C15" s="41" t="s">
        <v>9</v>
      </c>
      <c r="D15" s="61">
        <f>COUNTIFS(Tabelle13245689[Team],$C15)</f>
        <v>21</v>
      </c>
      <c r="E15" s="74">
        <f>COUNTIFS(Tabelle13245689[Team],$C15,Tabelle13245689[Status],$E$5)</f>
        <v>15</v>
      </c>
      <c r="F15" s="68">
        <f>SUMIFS(Tabelle13245689[Jira Story Points],Tabelle13245689[Pulled after Start],"",Tabelle13245689[Team],$C15)</f>
        <v>37</v>
      </c>
      <c r="G15" s="6">
        <f>SUMIFS(Tabelle13245689[Jira Story Points],Tabelle13245689[Pulled after Start],"yes",Tabelle13245689[Team],$C15)</f>
        <v>19.5</v>
      </c>
      <c r="H15" s="77">
        <f>SUMIFS(Tabelle13245689[Jira Story Points],Tabelle13245689[Status],$H$5,Tabelle13245689[Team],$C15)</f>
        <v>41.5</v>
      </c>
      <c r="I15" s="6">
        <f>SUMIFS(Tabelle13245689[Jira Story Points],Tabelle13245689[Status],$I$5,Tabelle13245689[Team],$C15)</f>
        <v>15</v>
      </c>
      <c r="J15" s="6">
        <v>1</v>
      </c>
      <c r="K15" s="69">
        <f>SUMIFS(Tabelle13245689[Jira Story Points],Tabelle13245689[Team],$C15)</f>
        <v>56.5</v>
      </c>
      <c r="L15" s="84">
        <f t="shared" si="1"/>
        <v>1.1216216216216217</v>
      </c>
      <c r="M15" s="6">
        <f>SUMIFS(Tabelle13245689[SP Initially Planned (COS)],Tabelle13245689[Pulled after Start],"",Tabelle13245689[Team],$C15)</f>
        <v>37</v>
      </c>
      <c r="N15" s="6">
        <f>SUMIFS(Tabelle13245689[SP Pulled after Start (COS)],Tabelle13245689[Team],$C15)</f>
        <v>19.5</v>
      </c>
      <c r="O15" s="25">
        <f>SUMIFS(Tabelle13245689[SP Completed (COS &amp; SOS)],Tabelle13245689[Team],$C15)</f>
        <v>41.5</v>
      </c>
      <c r="P15" s="25">
        <f>SUMIFS(Tabelle13245689[SP Removed (COS &amp; SOS)],Tabelle13245689[Team],$C15)</f>
        <v>0</v>
      </c>
      <c r="Q15" s="41">
        <f>SUMIFS(Tabelle13245689[SP Not Completed (COS &amp; SOS)],Tabelle13245689[Team],$C15)</f>
        <v>15</v>
      </c>
      <c r="R15" s="40">
        <f t="shared" si="0"/>
        <v>1.1216216216216217</v>
      </c>
      <c r="T15" s="43"/>
    </row>
    <row r="16" spans="2:22" ht="13.5" customHeight="1">
      <c r="C16" s="65" t="s">
        <v>172</v>
      </c>
      <c r="D16" s="62">
        <f t="shared" ref="D16" si="2">SUM(D6:D13)</f>
        <v>113</v>
      </c>
      <c r="E16" s="75">
        <f t="shared" ref="E16:K16" si="3">SUM(E6:E13)</f>
        <v>85</v>
      </c>
      <c r="F16" s="62">
        <f t="shared" si="3"/>
        <v>288</v>
      </c>
      <c r="G16" s="70">
        <f t="shared" si="3"/>
        <v>44</v>
      </c>
      <c r="H16" s="71">
        <f t="shared" si="3"/>
        <v>250</v>
      </c>
      <c r="I16" s="71">
        <f t="shared" si="3"/>
        <v>72</v>
      </c>
      <c r="J16" s="71">
        <f t="shared" si="3"/>
        <v>10</v>
      </c>
      <c r="K16" s="72">
        <f t="shared" si="3"/>
        <v>332</v>
      </c>
      <c r="L16" s="84">
        <f t="shared" si="1"/>
        <v>0.86805555555555558</v>
      </c>
      <c r="M16" s="23">
        <f t="shared" ref="M16:N16" si="4">SUM(M6:M13)</f>
        <v>248</v>
      </c>
      <c r="N16" s="21">
        <f t="shared" si="4"/>
        <v>44</v>
      </c>
      <c r="O16" s="31">
        <f>SUM(O6:O13)</f>
        <v>221</v>
      </c>
      <c r="P16" s="31">
        <f>SUM(P6:P13)</f>
        <v>10</v>
      </c>
      <c r="Q16" s="22">
        <f>SUM(Q6:Q13)</f>
        <v>61</v>
      </c>
      <c r="R16" s="38" t="s">
        <v>185</v>
      </c>
      <c r="T16" s="42"/>
      <c r="U16" s="42"/>
      <c r="V16" s="42"/>
    </row>
    <row r="17" spans="1:39" ht="13.5" customHeight="1">
      <c r="T17" s="5"/>
      <c r="U17" s="5"/>
      <c r="V17" s="5"/>
    </row>
    <row r="18" spans="1:39" ht="13.5" customHeight="1">
      <c r="T18" s="5"/>
      <c r="U18" s="5"/>
      <c r="V18" s="5"/>
    </row>
    <row r="19" spans="1:39" ht="13.5" customHeight="1">
      <c r="T19" s="5"/>
      <c r="U19" s="5"/>
      <c r="V19" s="5"/>
    </row>
    <row r="20" spans="1:39" ht="13.5" customHeight="1">
      <c r="T20" s="5"/>
      <c r="U20" s="5"/>
      <c r="V20" s="5"/>
    </row>
    <row r="21" spans="1:39" ht="13.5" customHeight="1">
      <c r="C21" s="33" t="s">
        <v>186</v>
      </c>
      <c r="D21" s="9"/>
      <c r="E21" s="9"/>
      <c r="F21" s="9"/>
      <c r="G21" s="9"/>
      <c r="H21" s="9"/>
      <c r="I21" s="9"/>
      <c r="J21" s="9"/>
      <c r="K21" s="9"/>
      <c r="L21" s="9"/>
      <c r="M21" s="9"/>
      <c r="N21" s="9"/>
      <c r="O21" s="9"/>
      <c r="T21" s="5"/>
      <c r="U21" s="5"/>
      <c r="V21" s="5"/>
    </row>
    <row r="22" spans="1:39" ht="13.5" customHeight="1">
      <c r="C22" s="10"/>
      <c r="D22" s="425" t="s">
        <v>187</v>
      </c>
      <c r="E22" s="425"/>
      <c r="F22" s="425" t="s">
        <v>106</v>
      </c>
      <c r="G22" s="425"/>
      <c r="H22" s="425" t="s">
        <v>172</v>
      </c>
      <c r="I22" s="425"/>
      <c r="J22" s="426" t="s">
        <v>2134</v>
      </c>
      <c r="K22" s="426"/>
      <c r="L22" s="426" t="s">
        <v>189</v>
      </c>
      <c r="M22" s="426"/>
      <c r="N22" s="416" t="s">
        <v>172</v>
      </c>
      <c r="O22" s="416"/>
    </row>
    <row r="23" spans="1:39" ht="13.5" customHeight="1">
      <c r="C23" s="10"/>
      <c r="D23" s="11" t="s">
        <v>190</v>
      </c>
      <c r="E23" s="12" t="s">
        <v>191</v>
      </c>
      <c r="F23" s="11" t="s">
        <v>190</v>
      </c>
      <c r="G23" s="12" t="s">
        <v>191</v>
      </c>
      <c r="H23" s="12" t="s">
        <v>190</v>
      </c>
      <c r="I23" s="12" t="s">
        <v>191</v>
      </c>
      <c r="J23" s="34" t="s">
        <v>190</v>
      </c>
      <c r="K23" s="13" t="s">
        <v>191</v>
      </c>
      <c r="L23" s="14" t="s">
        <v>190</v>
      </c>
      <c r="M23" s="14" t="s">
        <v>191</v>
      </c>
      <c r="N23" s="14" t="s">
        <v>190</v>
      </c>
      <c r="O23" s="14" t="s">
        <v>191</v>
      </c>
    </row>
    <row r="24" spans="1:39" ht="13.5" customHeight="1">
      <c r="C24" s="15" t="s">
        <v>192</v>
      </c>
      <c r="D24" s="7">
        <f>COUNTIFS(Tabelle13245689[Team],"*",Tabelle13245689[Pulled after Start],"&lt;&gt;yes")</f>
        <v>110</v>
      </c>
      <c r="E24" s="7">
        <f>SUMIFS(Tabelle13245689[Jira Story Points],Tabelle13245689[Team],"*",Tabelle13245689[Pulled after Start],"&lt;&gt;yes")+COUNTIFS(Tabelle13245689[Team],"*",Tabelle13245689[Jira Story Points],"-",Tabelle13245689[Pulled after Start],"&lt;&gt;yes")*$M$28</f>
        <v>390</v>
      </c>
      <c r="F24" s="7">
        <f>COUNTIF(Tabelle13245689[Pulled after Start],"yes")</f>
        <v>34</v>
      </c>
      <c r="G24" s="7">
        <f>SUMIFS(Tabelle13245689[Jira Story Points],Tabelle13245689[Team],"*",Tabelle13245689[Pulled after Start],"yes")+COUNTIFS(Tabelle13245689[Team],"*",Tabelle13245689[Jira Story Points],"-",Tabelle13245689[Pulled after Start],"yes")*$M$28</f>
        <v>78.5</v>
      </c>
      <c r="H24" s="7">
        <f t="shared" ref="H24:I27" si="5">D24+F24</f>
        <v>144</v>
      </c>
      <c r="I24" s="7">
        <f t="shared" si="5"/>
        <v>468.5</v>
      </c>
      <c r="J24" s="7">
        <f>COUNTIFS(Tabelle13245689[Team],"*",Tabelle13245689[Jira Story Points],"&lt;&gt;-")</f>
        <v>124</v>
      </c>
      <c r="K24" s="16">
        <f>SUMIFS(Tabelle13245689[Jira Story Points],Tabelle13245689[Team],"*",Tabelle13245689[Jira Story Points],"&lt;&gt;-")</f>
        <v>428.5</v>
      </c>
      <c r="L24" s="8">
        <f>COUNTIFS(Tabelle13245689[Team],"*",Tabelle13245689[Jira Story Points],"-")</f>
        <v>20</v>
      </c>
      <c r="M24" s="8">
        <f>L24*$M$28</f>
        <v>40</v>
      </c>
      <c r="N24" s="35">
        <f t="shared" ref="N24:O27" si="6">J24+L24</f>
        <v>144</v>
      </c>
      <c r="O24" s="7">
        <f t="shared" si="6"/>
        <v>468.5</v>
      </c>
    </row>
    <row r="25" spans="1:39" ht="13.5" customHeight="1">
      <c r="C25" s="15" t="s">
        <v>125</v>
      </c>
      <c r="D25" s="7">
        <f>COUNTIFS(Tabelle13245689[Team],"*",Tabelle13245689[Pulled after Start],"&lt;&gt;yes",Tabelle13245689[Status],H5)</f>
        <v>86</v>
      </c>
      <c r="E25" s="7">
        <f>SUMIFS(Tabelle13245689[Jira Story Points],Tabelle13245689[Team],"*",Tabelle13245689[Pulled after Start],"&lt;&gt;yes",Tabelle13245689[Status],H5)+COUNTIFS(Tabelle13245689[Team],"*",Tabelle13245689[Jira Story Points],"-",Tabelle13245689[Pulled after Start],"&lt;&gt;yes",Tabelle13245689[Status],H5)*$M$28</f>
        <v>306</v>
      </c>
      <c r="F25" s="7">
        <f>COUNTIFS(Tabelle13245689[Pulled after Start],"yes",Tabelle13245689[Status],H5)</f>
        <v>21</v>
      </c>
      <c r="G25" s="7">
        <f>SUMIFS(Tabelle13245689[Jira Story Points],Tabelle13245689[Team],"*",Tabelle13245689[Pulled after Start],"yes",Tabelle13245689[Status],H5)+COUNTIFS(Tabelle13245689[Team],"*",Tabelle13245689[Jira Story Points],"-",Tabelle13245689[Pulled after Start],"yes",Tabelle13245689[Status],H5)*$M$28</f>
        <v>44.5</v>
      </c>
      <c r="H25" s="7">
        <f t="shared" si="5"/>
        <v>107</v>
      </c>
      <c r="I25" s="7">
        <f t="shared" si="5"/>
        <v>350.5</v>
      </c>
      <c r="J25" s="7">
        <f>COUNTIFS(Tabelle13245689[Team],"*",Tabelle13245689[Jira Story Points],"&lt;&gt;-",Tabelle13245689[Status],H5)</f>
        <v>92</v>
      </c>
      <c r="K25" s="7">
        <f>SUMIFS(Tabelle13245689[Jira Story Points],Tabelle13245689[Team],"*",Tabelle13245689[Jira Story Points],"&lt;&gt;-",Tabelle13245689[Status],H5)</f>
        <v>320.5</v>
      </c>
      <c r="L25" s="17">
        <f>COUNTIFS(Tabelle13245689[Team],"*",Tabelle13245689[Jira Story Points],"-",Tabelle13245689[Status],H5)</f>
        <v>15</v>
      </c>
      <c r="M25" s="8">
        <f>L25*$M$28</f>
        <v>30</v>
      </c>
      <c r="N25" s="7">
        <f t="shared" si="6"/>
        <v>107</v>
      </c>
      <c r="O25" s="7">
        <f t="shared" si="6"/>
        <v>350.5</v>
      </c>
    </row>
    <row r="26" spans="1:39" ht="13.5" customHeight="1">
      <c r="C26" s="15" t="s">
        <v>127</v>
      </c>
      <c r="D26" s="7">
        <f>COUNTIFS(Tabelle13245689[Team],"*",Tabelle13245689[Pulled after Start],"&lt;&gt;yes",Tabelle13245689[Status],I5)</f>
        <v>23</v>
      </c>
      <c r="E26" s="7">
        <f>SUMIFS(Tabelle13245689[Jira Story Points],Tabelle13245689[Team],"*",Tabelle13245689[Pulled after Start],"&lt;&gt;yes",Tabelle13245689[Status],I5)+COUNTIFS(Tabelle13245689[Team],"*",Tabelle13245689[Jira Story Points],"-",Tabelle13245689[Pulled after Start],"&lt;&gt;yes",Tabelle13245689[Status],I5)*$M$28</f>
        <v>79</v>
      </c>
      <c r="F26" s="7">
        <f>COUNTIFS(Tabelle13245689[Pulled after Start],"yes",Tabelle13245689[Status],I5)</f>
        <v>10</v>
      </c>
      <c r="G26" s="7">
        <f>SUMIFS(Tabelle13245689[Jira Story Points],Tabelle13245689[Team],"*",Tabelle13245689[Pulled after Start],"yes",Tabelle13245689[Status],I5)+COUNTIFS(Tabelle13245689[Team],"*",Tabelle13245689[Jira Story Points],"-",Tabelle13245689[Pulled after Start],"yes",Tabelle13245689[Status],I5)*$M$28</f>
        <v>29</v>
      </c>
      <c r="H26" s="7">
        <f t="shared" si="5"/>
        <v>33</v>
      </c>
      <c r="I26" s="7">
        <f t="shared" si="5"/>
        <v>108</v>
      </c>
      <c r="J26" s="7">
        <f>COUNTIFS(Tabelle13245689[Team],"*",Tabelle13245689[Jira Story Points],"&lt;&gt;-",Tabelle13245689[Status],I5)</f>
        <v>28</v>
      </c>
      <c r="K26" s="7">
        <f>SUMIFS(Tabelle13245689[Jira Story Points],Tabelle13245689[Team],"*",Tabelle13245689[Jira Story Points],"&lt;&gt;-",Tabelle13245689[Status],I5)</f>
        <v>98</v>
      </c>
      <c r="L26" s="17">
        <f>COUNTIFS(Tabelle13245689[Team],"*",Tabelle13245689[Jira Story Points],"-",Tabelle13245689[Status],I5)</f>
        <v>5</v>
      </c>
      <c r="M26" s="8">
        <f>L26*$M$28</f>
        <v>10</v>
      </c>
      <c r="N26" s="7">
        <f t="shared" si="6"/>
        <v>33</v>
      </c>
      <c r="O26" s="7">
        <f t="shared" si="6"/>
        <v>108</v>
      </c>
    </row>
    <row r="27" spans="1:39" ht="13.5" customHeight="1">
      <c r="C27" s="15" t="s">
        <v>126</v>
      </c>
      <c r="D27" s="7">
        <f>COUNTIFS(Tabelle13245689[Team],"*",Tabelle13245689[Pulled after Start],"&lt;&gt;yes",Tabelle13245689[Status],J5)</f>
        <v>1</v>
      </c>
      <c r="E27" s="7">
        <f>SUMIFS(Tabelle13245689[Jira Story Points],Tabelle13245689[Team],"*",Tabelle13245689[Pulled after Start],"&lt;&gt;yes",Tabelle13245689[Status],J5)+COUNTIFS(Tabelle13245689[Team],"*",Tabelle13245689[Jira Story Points],"-",Tabelle13245689[Pulled after Start],"&lt;&gt;yes",Tabelle13245689[Status],J5)*$M$28</f>
        <v>5</v>
      </c>
      <c r="F27" s="7">
        <f>COUNTIFS(Tabelle13245689[Pulled after Start],"yes",Tabelle13245689[Status],J5)</f>
        <v>3</v>
      </c>
      <c r="G27" s="7">
        <f>SUMIFS(Tabelle13245689[Jira Story Points],Tabelle13245689[Team],"*",Tabelle13245689[Pulled after Start],"yes",Tabelle13245689[Status],J5)+COUNTIFS(Tabelle13245689[Team],"*",Tabelle13245689[Jira Story Points],"-",Tabelle13245689[Pulled after Start],"yes",Tabelle13245689[Status],J5)*$M$28</f>
        <v>5</v>
      </c>
      <c r="H27" s="7">
        <f t="shared" si="5"/>
        <v>4</v>
      </c>
      <c r="I27" s="7">
        <f t="shared" si="5"/>
        <v>10</v>
      </c>
      <c r="J27" s="7">
        <f>COUNTIFS(Tabelle13245689[Team],"*",Tabelle13245689[Jira Story Points],"&lt;&gt;-",Tabelle13245689[Status],J5)</f>
        <v>4</v>
      </c>
      <c r="K27" s="7">
        <f>SUMIFS(Tabelle13245689[Jira Story Points],Tabelle13245689[Team],"*",Tabelle13245689[Jira Story Points],"&lt;&gt;-",Tabelle13245689[Status],J5)</f>
        <v>10</v>
      </c>
      <c r="L27" s="17">
        <f>COUNTIFS(Tabelle13245689[Team],"*",Tabelle13245689[Jira Story Points],"-",Tabelle13245689[Status],J5)</f>
        <v>0</v>
      </c>
      <c r="M27" s="8">
        <f>L27*$M$28</f>
        <v>0</v>
      </c>
      <c r="N27" s="7">
        <f t="shared" si="6"/>
        <v>4</v>
      </c>
      <c r="O27" s="7">
        <f t="shared" si="6"/>
        <v>10</v>
      </c>
    </row>
    <row r="28" spans="1:39" ht="13.5" customHeight="1">
      <c r="C28" s="1"/>
      <c r="D28" s="1"/>
      <c r="E28" s="1"/>
      <c r="F28" s="1"/>
      <c r="G28" s="1"/>
      <c r="H28" s="1"/>
      <c r="I28" s="1"/>
      <c r="J28" s="1"/>
      <c r="K28" s="1"/>
      <c r="L28" s="24" t="s">
        <v>193</v>
      </c>
      <c r="M28" s="45">
        <v>2</v>
      </c>
    </row>
    <row r="31" spans="1:39" s="116" customFormat="1" ht="27">
      <c r="A31" s="146" t="s">
        <v>194</v>
      </c>
      <c r="B31" s="146" t="s">
        <v>195</v>
      </c>
      <c r="C31" s="146" t="s">
        <v>196</v>
      </c>
      <c r="D31" s="146" t="s">
        <v>197</v>
      </c>
      <c r="E31" s="146" t="s">
        <v>198</v>
      </c>
      <c r="F31" s="146" t="s">
        <v>199</v>
      </c>
      <c r="G31" s="146" t="s">
        <v>167</v>
      </c>
      <c r="H31" s="146" t="s">
        <v>106</v>
      </c>
      <c r="I31" s="146" t="s">
        <v>200</v>
      </c>
      <c r="J31" s="146" t="s">
        <v>201</v>
      </c>
      <c r="K31" s="146" t="s">
        <v>202</v>
      </c>
      <c r="L31" s="146" t="s">
        <v>203</v>
      </c>
      <c r="M31" s="147" t="s">
        <v>1304</v>
      </c>
      <c r="N31" s="148" t="s">
        <v>1305</v>
      </c>
      <c r="O31" s="148" t="s">
        <v>1306</v>
      </c>
      <c r="P31" s="149" t="s">
        <v>1307</v>
      </c>
      <c r="Q31" s="148" t="s">
        <v>1308</v>
      </c>
    </row>
    <row r="32" spans="1:39" s="109" customFormat="1">
      <c r="A32" s="88" t="s">
        <v>2536</v>
      </c>
      <c r="B32" s="46" t="s">
        <v>2537</v>
      </c>
      <c r="C32" s="76" t="s">
        <v>375</v>
      </c>
      <c r="D32" s="76">
        <v>2</v>
      </c>
      <c r="E32" s="76" t="s">
        <v>216</v>
      </c>
      <c r="F32" s="104">
        <v>3</v>
      </c>
      <c r="G32" s="76" t="s">
        <v>12</v>
      </c>
      <c r="H32" s="83" t="s">
        <v>209</v>
      </c>
      <c r="I32" s="103"/>
      <c r="J32" s="76" t="s">
        <v>125</v>
      </c>
      <c r="K32" s="104"/>
      <c r="L32" s="104"/>
      <c r="M32" s="105">
        <f>IF(Tabelle13245689[[#This Row],[Pulled after Start]]="",MIN(Tabelle13245689[[#This Row],[Jira Story Points]],Tabelle13245689[[#This Row],[Carry-over]]),0)</f>
        <v>0</v>
      </c>
      <c r="N32" s="106">
        <f>MIN(Tabelle13245689[[#This Row],[Jira Story Points]],Tabelle13245689[[#This Row],[Carry-over]])-Tabelle13245689[[#This Row],[SP Initially Planned (COS)]]</f>
        <v>3</v>
      </c>
      <c r="O32"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32" s="108">
        <f>IFERROR(IF(Tabelle13245689[[#This Row],[Status]]=$J$5,MIN(Tabelle13245689[[#This Row],[Jira Story Points]],Tabelle13245689[[#This Row],[Carry-over]]),0),0)</f>
        <v>0</v>
      </c>
      <c r="Q32" s="108">
        <f>IFERROR(IF(Tabelle13245689[[#This Row],[Status]]=$J$5,0,MIN(Tabelle13245689[[#This Row],[Jira Story Points]],Tabelle13245689[[#This Row],[Carry-over]])-Tabelle13245689[[#This Row],[SP Completed (COS &amp; SOS)]]),0)</f>
        <v>0</v>
      </c>
      <c r="AA32" s="46"/>
      <c r="AB32" s="46"/>
      <c r="AC32" s="46"/>
      <c r="AD32" s="46"/>
      <c r="AE32" s="46"/>
      <c r="AF32" s="46"/>
      <c r="AG32" s="46"/>
      <c r="AH32" s="46"/>
      <c r="AI32" s="46"/>
      <c r="AJ32" s="46"/>
      <c r="AK32" s="46"/>
      <c r="AL32" s="46"/>
      <c r="AM32" s="46"/>
    </row>
    <row r="33" spans="1:39" s="109" customFormat="1">
      <c r="A33" s="88" t="s">
        <v>2538</v>
      </c>
      <c r="B33" s="46" t="s">
        <v>2539</v>
      </c>
      <c r="C33" s="76" t="s">
        <v>375</v>
      </c>
      <c r="D33" s="76">
        <v>2</v>
      </c>
      <c r="E33" s="76" t="s">
        <v>216</v>
      </c>
      <c r="F33" s="104">
        <v>3</v>
      </c>
      <c r="G33" s="76" t="s">
        <v>12</v>
      </c>
      <c r="H33" s="83" t="s">
        <v>209</v>
      </c>
      <c r="I33" s="103" t="s">
        <v>2540</v>
      </c>
      <c r="J33" s="76" t="s">
        <v>126</v>
      </c>
      <c r="K33" s="104"/>
      <c r="L33" s="104"/>
      <c r="M33" s="105">
        <f>IF(Tabelle13245689[[#This Row],[Pulled after Start]]="",MIN(Tabelle13245689[[#This Row],[Jira Story Points]],Tabelle13245689[[#This Row],[Carry-over]]),0)</f>
        <v>0</v>
      </c>
      <c r="N33" s="106">
        <f>MIN(Tabelle13245689[[#This Row],[Jira Story Points]],Tabelle13245689[[#This Row],[Carry-over]])-Tabelle13245689[[#This Row],[SP Initially Planned (COS)]]</f>
        <v>3</v>
      </c>
      <c r="O33"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33" s="108">
        <f>IFERROR(IF(Tabelle13245689[[#This Row],[Status]]=$J$5,MIN(Tabelle13245689[[#This Row],[Jira Story Points]],Tabelle13245689[[#This Row],[Carry-over]]),0),0)</f>
        <v>3</v>
      </c>
      <c r="Q33" s="108">
        <f>IFERROR(IF(Tabelle13245689[[#This Row],[Status]]=$J$5,0,MIN(Tabelle13245689[[#This Row],[Jira Story Points]],Tabelle13245689[[#This Row],[Carry-over]])-Tabelle13245689[[#This Row],[SP Completed (COS &amp; SOS)]]),0)</f>
        <v>0</v>
      </c>
      <c r="AA33" s="46"/>
      <c r="AB33" s="46"/>
      <c r="AC33" s="46"/>
      <c r="AD33" s="46"/>
      <c r="AE33" s="46"/>
      <c r="AF33" s="46"/>
      <c r="AG33" s="46"/>
      <c r="AH33" s="46"/>
      <c r="AI33" s="46"/>
      <c r="AJ33" s="46"/>
      <c r="AK33" s="46"/>
      <c r="AL33" s="46"/>
      <c r="AM33" s="46"/>
    </row>
    <row r="34" spans="1:39" s="109" customFormat="1">
      <c r="A34" s="88" t="s">
        <v>1922</v>
      </c>
      <c r="B34" s="46" t="s">
        <v>1923</v>
      </c>
      <c r="C34" s="76" t="s">
        <v>375</v>
      </c>
      <c r="D34" s="76">
        <v>2</v>
      </c>
      <c r="E34" s="76" t="s">
        <v>238</v>
      </c>
      <c r="F34" s="76">
        <v>3</v>
      </c>
      <c r="G34" s="76" t="s">
        <v>12</v>
      </c>
      <c r="H34" s="76"/>
      <c r="I34" s="103"/>
      <c r="J34" s="76" t="s">
        <v>127</v>
      </c>
      <c r="K34" s="76"/>
      <c r="L34" s="76">
        <v>2</v>
      </c>
      <c r="M34" s="105">
        <f>IF(Tabelle13245689[[#This Row],[Pulled after Start]]="",MIN(Tabelle13245689[[#This Row],[Jira Story Points]],Tabelle13245689[[#This Row],[Carry-over]]),0)</f>
        <v>3</v>
      </c>
      <c r="N34" s="106">
        <f>MIN(Tabelle13245689[[#This Row],[Jira Story Points]],Tabelle13245689[[#This Row],[Carry-over]])-Tabelle13245689[[#This Row],[SP Initially Planned (COS)]]</f>
        <v>0</v>
      </c>
      <c r="O34"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1</v>
      </c>
      <c r="P34" s="108">
        <f>IFERROR(IF(Tabelle13245689[[#This Row],[Status]]=$J$5,MIN(Tabelle13245689[[#This Row],[Jira Story Points]],Tabelle13245689[[#This Row],[Carry-over]]),0),0)</f>
        <v>0</v>
      </c>
      <c r="Q34" s="108">
        <f>IFERROR(IF(Tabelle13245689[[#This Row],[Status]]=$J$5,0,MIN(Tabelle13245689[[#This Row],[Jira Story Points]],Tabelle13245689[[#This Row],[Carry-over]])-Tabelle13245689[[#This Row],[SP Completed (COS &amp; SOS)]]),0)</f>
        <v>2</v>
      </c>
      <c r="AA34" s="46"/>
      <c r="AB34" s="46"/>
      <c r="AC34" s="46"/>
      <c r="AD34" s="46"/>
      <c r="AE34" s="46"/>
      <c r="AF34" s="46"/>
      <c r="AG34" s="46"/>
      <c r="AH34" s="46"/>
      <c r="AI34" s="46"/>
      <c r="AJ34" s="46"/>
      <c r="AK34" s="46"/>
      <c r="AL34" s="46"/>
      <c r="AM34" s="46"/>
    </row>
    <row r="35" spans="1:39" s="109" customFormat="1">
      <c r="A35" s="88" t="s">
        <v>2541</v>
      </c>
      <c r="B35" s="46" t="s">
        <v>2542</v>
      </c>
      <c r="C35" s="76" t="s">
        <v>382</v>
      </c>
      <c r="D35" s="76">
        <v>2</v>
      </c>
      <c r="E35" s="76" t="s">
        <v>216</v>
      </c>
      <c r="F35" s="76" t="s">
        <v>210</v>
      </c>
      <c r="G35" s="76" t="s">
        <v>12</v>
      </c>
      <c r="H35" s="76"/>
      <c r="I35" s="120"/>
      <c r="J35" s="76" t="s">
        <v>125</v>
      </c>
      <c r="K35" s="104"/>
      <c r="L35" s="104"/>
      <c r="M35" s="105">
        <f>IF(Tabelle13245689[[#This Row],[Pulled after Start]]="",MIN(Tabelle13245689[[#This Row],[Jira Story Points]],Tabelle13245689[[#This Row],[Carry-over]]),0)</f>
        <v>0</v>
      </c>
      <c r="N35" s="106">
        <f>MIN(Tabelle13245689[[#This Row],[Jira Story Points]],Tabelle13245689[[#This Row],[Carry-over]])-Tabelle13245689[[#This Row],[SP Initially Planned (COS)]]</f>
        <v>0</v>
      </c>
      <c r="O35" s="107" t="str">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v>
      </c>
      <c r="P35" s="108">
        <f>IFERROR(IF(Tabelle13245689[[#This Row],[Status]]=$J$5,MIN(Tabelle13245689[[#This Row],[Jira Story Points]],Tabelle13245689[[#This Row],[Carry-over]]),0),0)</f>
        <v>0</v>
      </c>
      <c r="Q35" s="108">
        <f>IFERROR(IF(Tabelle13245689[[#This Row],[Status]]=$J$5,0,MIN(Tabelle13245689[[#This Row],[Jira Story Points]],Tabelle13245689[[#This Row],[Carry-over]])-Tabelle13245689[[#This Row],[SP Completed (COS &amp; SOS)]]),0)</f>
        <v>0</v>
      </c>
      <c r="AA35" s="112"/>
      <c r="AB35" s="112"/>
      <c r="AC35" s="112"/>
      <c r="AD35" s="112"/>
      <c r="AE35" s="112"/>
      <c r="AF35" s="112"/>
      <c r="AG35" s="112"/>
      <c r="AH35" s="112"/>
      <c r="AI35" s="112"/>
      <c r="AJ35" s="112"/>
      <c r="AK35" s="112"/>
      <c r="AL35" s="112"/>
      <c r="AM35" s="112"/>
    </row>
    <row r="36" spans="1:39" s="109" customFormat="1">
      <c r="A36" s="88" t="s">
        <v>2543</v>
      </c>
      <c r="B36" s="46" t="s">
        <v>2544</v>
      </c>
      <c r="C36" s="76" t="s">
        <v>382</v>
      </c>
      <c r="D36" s="76">
        <v>3</v>
      </c>
      <c r="E36" s="76" t="s">
        <v>216</v>
      </c>
      <c r="F36" s="104" t="s">
        <v>210</v>
      </c>
      <c r="G36" s="76" t="s">
        <v>12</v>
      </c>
      <c r="H36" s="83" t="s">
        <v>209</v>
      </c>
      <c r="I36" s="103"/>
      <c r="J36" s="76" t="s">
        <v>125</v>
      </c>
      <c r="K36" s="104"/>
      <c r="L36" s="104"/>
      <c r="M36" s="105">
        <f>IF(Tabelle13245689[[#This Row],[Pulled after Start]]="",MIN(Tabelle13245689[[#This Row],[Jira Story Points]],Tabelle13245689[[#This Row],[Carry-over]]),0)</f>
        <v>0</v>
      </c>
      <c r="N36" s="106">
        <f>MIN(Tabelle13245689[[#This Row],[Jira Story Points]],Tabelle13245689[[#This Row],[Carry-over]])-Tabelle13245689[[#This Row],[SP Initially Planned (COS)]]</f>
        <v>0</v>
      </c>
      <c r="O36" s="107" t="str">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v>
      </c>
      <c r="P36" s="108">
        <f>IFERROR(IF(Tabelle13245689[[#This Row],[Status]]=$J$5,MIN(Tabelle13245689[[#This Row],[Jira Story Points]],Tabelle13245689[[#This Row],[Carry-over]]),0),0)</f>
        <v>0</v>
      </c>
      <c r="Q36" s="108">
        <f>IFERROR(IF(Tabelle13245689[[#This Row],[Status]]=$J$5,0,MIN(Tabelle13245689[[#This Row],[Jira Story Points]],Tabelle13245689[[#This Row],[Carry-over]])-Tabelle13245689[[#This Row],[SP Completed (COS &amp; SOS)]]),0)</f>
        <v>0</v>
      </c>
      <c r="AA36" s="112"/>
      <c r="AB36" s="112"/>
      <c r="AC36" s="112"/>
      <c r="AD36" s="112"/>
      <c r="AE36" s="112"/>
      <c r="AF36" s="112"/>
      <c r="AG36" s="112"/>
      <c r="AH36" s="112"/>
      <c r="AI36" s="112"/>
      <c r="AJ36" s="112"/>
      <c r="AK36" s="112"/>
      <c r="AL36" s="112"/>
      <c r="AM36" s="112"/>
    </row>
    <row r="37" spans="1:39" s="113" customFormat="1">
      <c r="A37" s="88" t="s">
        <v>2545</v>
      </c>
      <c r="B37" s="46" t="s">
        <v>2546</v>
      </c>
      <c r="C37" s="76" t="s">
        <v>372</v>
      </c>
      <c r="D37" s="76">
        <v>3</v>
      </c>
      <c r="E37" s="76" t="s">
        <v>216</v>
      </c>
      <c r="F37" s="76">
        <v>1</v>
      </c>
      <c r="G37" s="76" t="s">
        <v>12</v>
      </c>
      <c r="H37" s="76"/>
      <c r="I37" s="103"/>
      <c r="J37" s="76" t="s">
        <v>125</v>
      </c>
      <c r="K37" s="76"/>
      <c r="L37" s="76"/>
      <c r="M37" s="105">
        <f>IF(Tabelle13245689[[#This Row],[Pulled after Start]]="",MIN(Tabelle13245689[[#This Row],[Jira Story Points]],Tabelle13245689[[#This Row],[Carry-over]]),0)</f>
        <v>1</v>
      </c>
      <c r="N37" s="106">
        <f>MIN(Tabelle13245689[[#This Row],[Jira Story Points]],Tabelle13245689[[#This Row],[Carry-over]])-Tabelle13245689[[#This Row],[SP Initially Planned (COS)]]</f>
        <v>0</v>
      </c>
      <c r="O37"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1</v>
      </c>
      <c r="P37" s="108">
        <f>IFERROR(IF(Tabelle13245689[[#This Row],[Status]]=$J$5,MIN(Tabelle13245689[[#This Row],[Jira Story Points]],Tabelle13245689[[#This Row],[Carry-over]]),0),0)</f>
        <v>0</v>
      </c>
      <c r="Q37" s="108">
        <f>IFERROR(IF(Tabelle13245689[[#This Row],[Status]]=$J$5,0,MIN(Tabelle13245689[[#This Row],[Jira Story Points]],Tabelle13245689[[#This Row],[Carry-over]])-Tabelle13245689[[#This Row],[SP Completed (COS &amp; SOS)]]),0)</f>
        <v>0</v>
      </c>
      <c r="AA37" s="46"/>
      <c r="AB37" s="46"/>
      <c r="AC37" s="46"/>
      <c r="AD37" s="46"/>
      <c r="AE37" s="46"/>
      <c r="AF37" s="46"/>
      <c r="AG37" s="46"/>
      <c r="AH37" s="46"/>
      <c r="AI37" s="46"/>
      <c r="AK37" s="112"/>
      <c r="AL37" s="112"/>
      <c r="AM37" s="112"/>
    </row>
    <row r="38" spans="1:39" s="46" customFormat="1">
      <c r="A38" s="88" t="s">
        <v>2547</v>
      </c>
      <c r="B38" s="46" t="s">
        <v>2548</v>
      </c>
      <c r="C38" s="76" t="s">
        <v>372</v>
      </c>
      <c r="D38" s="76">
        <v>3</v>
      </c>
      <c r="E38" s="76" t="s">
        <v>216</v>
      </c>
      <c r="F38" s="76">
        <v>1</v>
      </c>
      <c r="G38" s="76" t="s">
        <v>12</v>
      </c>
      <c r="H38" s="76"/>
      <c r="I38" s="103"/>
      <c r="J38" s="76" t="s">
        <v>125</v>
      </c>
      <c r="K38" s="104"/>
      <c r="L38" s="104"/>
      <c r="M38" s="105">
        <f>IF(Tabelle13245689[[#This Row],[Pulled after Start]]="",MIN(Tabelle13245689[[#This Row],[Jira Story Points]],Tabelle13245689[[#This Row],[Carry-over]]),0)</f>
        <v>1</v>
      </c>
      <c r="N38" s="106">
        <f>MIN(Tabelle13245689[[#This Row],[Jira Story Points]],Tabelle13245689[[#This Row],[Carry-over]])-Tabelle13245689[[#This Row],[SP Initially Planned (COS)]]</f>
        <v>0</v>
      </c>
      <c r="O38"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1</v>
      </c>
      <c r="P38" s="108">
        <f>IFERROR(IF(Tabelle13245689[[#This Row],[Status]]=$J$5,MIN(Tabelle13245689[[#This Row],[Jira Story Points]],Tabelle13245689[[#This Row],[Carry-over]]),0),0)</f>
        <v>0</v>
      </c>
      <c r="Q38" s="108">
        <f>IFERROR(IF(Tabelle13245689[[#This Row],[Status]]=$J$5,0,MIN(Tabelle13245689[[#This Row],[Jira Story Points]],Tabelle13245689[[#This Row],[Carry-over]])-Tabelle13245689[[#This Row],[SP Completed (COS &amp; SOS)]]),0)</f>
        <v>0</v>
      </c>
      <c r="AL38" s="112"/>
      <c r="AM38" s="112"/>
    </row>
    <row r="39" spans="1:39" s="46" customFormat="1">
      <c r="A39" s="88" t="s">
        <v>2549</v>
      </c>
      <c r="B39" s="46" t="s">
        <v>2550</v>
      </c>
      <c r="C39" s="76" t="s">
        <v>372</v>
      </c>
      <c r="D39" s="76">
        <v>3</v>
      </c>
      <c r="E39" s="76" t="s">
        <v>216</v>
      </c>
      <c r="F39" s="104">
        <v>1</v>
      </c>
      <c r="G39" s="76" t="s">
        <v>12</v>
      </c>
      <c r="H39" s="83" t="s">
        <v>209</v>
      </c>
      <c r="I39" s="103"/>
      <c r="J39" s="76" t="s">
        <v>126</v>
      </c>
      <c r="K39" s="104"/>
      <c r="L39" s="104"/>
      <c r="M39" s="105">
        <f>IF(Tabelle13245689[[#This Row],[Pulled after Start]]="",MIN(Tabelle13245689[[#This Row],[Jira Story Points]],Tabelle13245689[[#This Row],[Carry-over]]),0)</f>
        <v>0</v>
      </c>
      <c r="N39" s="106">
        <f>MIN(Tabelle13245689[[#This Row],[Jira Story Points]],Tabelle13245689[[#This Row],[Carry-over]])-Tabelle13245689[[#This Row],[SP Initially Planned (COS)]]</f>
        <v>1</v>
      </c>
      <c r="O39"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39" s="108">
        <f>IFERROR(IF(Tabelle13245689[[#This Row],[Status]]=$J$5,MIN(Tabelle13245689[[#This Row],[Jira Story Points]],Tabelle13245689[[#This Row],[Carry-over]]),0),0)</f>
        <v>1</v>
      </c>
      <c r="Q39" s="108">
        <f>IFERROR(IF(Tabelle13245689[[#This Row],[Status]]=$J$5,0,MIN(Tabelle13245689[[#This Row],[Jira Story Points]],Tabelle13245689[[#This Row],[Carry-over]])-Tabelle13245689[[#This Row],[SP Completed (COS &amp; SOS)]]),0)</f>
        <v>0</v>
      </c>
      <c r="AL39" s="112"/>
      <c r="AM39" s="112"/>
    </row>
    <row r="40" spans="1:39" s="46" customFormat="1">
      <c r="A40" s="88" t="s">
        <v>2551</v>
      </c>
      <c r="B40" s="46" t="s">
        <v>2552</v>
      </c>
      <c r="C40" s="76" t="s">
        <v>372</v>
      </c>
      <c r="D40" s="76">
        <v>3</v>
      </c>
      <c r="E40" s="76" t="s">
        <v>216</v>
      </c>
      <c r="F40" s="104">
        <v>1</v>
      </c>
      <c r="G40" s="76" t="s">
        <v>12</v>
      </c>
      <c r="H40" s="83" t="s">
        <v>209</v>
      </c>
      <c r="I40" s="103"/>
      <c r="J40" s="76" t="s">
        <v>125</v>
      </c>
      <c r="K40" s="104"/>
      <c r="L40" s="104"/>
      <c r="M40" s="105">
        <f>IF(Tabelle13245689[[#This Row],[Pulled after Start]]="",MIN(Tabelle13245689[[#This Row],[Jira Story Points]],Tabelle13245689[[#This Row],[Carry-over]]),0)</f>
        <v>0</v>
      </c>
      <c r="N40" s="106">
        <f>MIN(Tabelle13245689[[#This Row],[Jira Story Points]],Tabelle13245689[[#This Row],[Carry-over]])-Tabelle13245689[[#This Row],[SP Initially Planned (COS)]]</f>
        <v>1</v>
      </c>
      <c r="O40"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1</v>
      </c>
      <c r="P40" s="108">
        <f>IFERROR(IF(Tabelle13245689[[#This Row],[Status]]=$J$5,MIN(Tabelle13245689[[#This Row],[Jira Story Points]],Tabelle13245689[[#This Row],[Carry-over]]),0),0)</f>
        <v>0</v>
      </c>
      <c r="Q40" s="108">
        <f>IFERROR(IF(Tabelle13245689[[#This Row],[Status]]=$J$5,0,MIN(Tabelle13245689[[#This Row],[Jira Story Points]],Tabelle13245689[[#This Row],[Carry-over]])-Tabelle13245689[[#This Row],[SP Completed (COS &amp; SOS)]]),0)</f>
        <v>0</v>
      </c>
      <c r="AL40" s="112"/>
      <c r="AM40" s="112"/>
    </row>
    <row r="41" spans="1:39" s="46" customFormat="1">
      <c r="A41" s="88" t="s">
        <v>2553</v>
      </c>
      <c r="B41" s="46" t="s">
        <v>2554</v>
      </c>
      <c r="C41" s="76" t="s">
        <v>372</v>
      </c>
      <c r="D41" s="76">
        <v>3</v>
      </c>
      <c r="E41" s="76" t="s">
        <v>216</v>
      </c>
      <c r="F41" s="104">
        <v>1</v>
      </c>
      <c r="G41" s="76" t="s">
        <v>12</v>
      </c>
      <c r="H41" s="83" t="s">
        <v>209</v>
      </c>
      <c r="I41" s="103"/>
      <c r="J41" s="76" t="s">
        <v>126</v>
      </c>
      <c r="K41" s="104"/>
      <c r="L41" s="104"/>
      <c r="M41" s="105">
        <f>IF(Tabelle13245689[[#This Row],[Pulled after Start]]="",MIN(Tabelle13245689[[#This Row],[Jira Story Points]],Tabelle13245689[[#This Row],[Carry-over]]),0)</f>
        <v>0</v>
      </c>
      <c r="N41" s="106">
        <f>MIN(Tabelle13245689[[#This Row],[Jira Story Points]],Tabelle13245689[[#This Row],[Carry-over]])-Tabelle13245689[[#This Row],[SP Initially Planned (COS)]]</f>
        <v>1</v>
      </c>
      <c r="O41"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41" s="108">
        <f>IFERROR(IF(Tabelle13245689[[#This Row],[Status]]=$J$5,MIN(Tabelle13245689[[#This Row],[Jira Story Points]],Tabelle13245689[[#This Row],[Carry-over]]),0),0)</f>
        <v>1</v>
      </c>
      <c r="Q41" s="108">
        <f>IFERROR(IF(Tabelle13245689[[#This Row],[Status]]=$J$5,0,MIN(Tabelle13245689[[#This Row],[Jira Story Points]],Tabelle13245689[[#This Row],[Carry-over]])-Tabelle13245689[[#This Row],[SP Completed (COS &amp; SOS)]]),0)</f>
        <v>0</v>
      </c>
      <c r="AL41" s="112"/>
      <c r="AM41" s="112"/>
    </row>
    <row r="42" spans="1:39" s="46" customFormat="1">
      <c r="A42" s="88" t="s">
        <v>2555</v>
      </c>
      <c r="B42" s="46" t="s">
        <v>2556</v>
      </c>
      <c r="C42" s="76" t="s">
        <v>372</v>
      </c>
      <c r="D42" s="76">
        <v>3</v>
      </c>
      <c r="E42" s="76" t="s">
        <v>216</v>
      </c>
      <c r="F42" s="76">
        <v>2</v>
      </c>
      <c r="G42" s="76" t="s">
        <v>12</v>
      </c>
      <c r="H42" s="76"/>
      <c r="I42" s="103"/>
      <c r="J42" s="76" t="s">
        <v>125</v>
      </c>
      <c r="K42" s="104"/>
      <c r="L42" s="104"/>
      <c r="M42" s="105">
        <f>IF(Tabelle13245689[[#This Row],[Pulled after Start]]="",MIN(Tabelle13245689[[#This Row],[Jira Story Points]],Tabelle13245689[[#This Row],[Carry-over]]),0)</f>
        <v>2</v>
      </c>
      <c r="N42" s="106">
        <f>MIN(Tabelle13245689[[#This Row],[Jira Story Points]],Tabelle13245689[[#This Row],[Carry-over]])-Tabelle13245689[[#This Row],[SP Initially Planned (COS)]]</f>
        <v>0</v>
      </c>
      <c r="O42"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42" s="108">
        <f>IFERROR(IF(Tabelle13245689[[#This Row],[Status]]=$J$5,MIN(Tabelle13245689[[#This Row],[Jira Story Points]],Tabelle13245689[[#This Row],[Carry-over]]),0),0)</f>
        <v>0</v>
      </c>
      <c r="Q42" s="108">
        <f>IFERROR(IF(Tabelle13245689[[#This Row],[Status]]=$J$5,0,MIN(Tabelle13245689[[#This Row],[Jira Story Points]],Tabelle13245689[[#This Row],[Carry-over]])-Tabelle13245689[[#This Row],[SP Completed (COS &amp; SOS)]]),0)</f>
        <v>0</v>
      </c>
      <c r="AL42" s="112"/>
      <c r="AM42" s="112"/>
    </row>
    <row r="43" spans="1:39" s="46" customFormat="1">
      <c r="A43" s="88" t="s">
        <v>2557</v>
      </c>
      <c r="B43" s="46" t="s">
        <v>2558</v>
      </c>
      <c r="C43" s="76" t="s">
        <v>372</v>
      </c>
      <c r="D43" s="76">
        <v>3</v>
      </c>
      <c r="E43" s="76" t="s">
        <v>216</v>
      </c>
      <c r="F43" s="76">
        <v>3</v>
      </c>
      <c r="G43" s="76" t="s">
        <v>12</v>
      </c>
      <c r="H43" s="76"/>
      <c r="I43" s="103"/>
      <c r="J43" s="76" t="s">
        <v>125</v>
      </c>
      <c r="K43" s="104">
        <v>1</v>
      </c>
      <c r="L43" s="104"/>
      <c r="M43" s="105">
        <f>IF(Tabelle13245689[[#This Row],[Pulled after Start]]="",MIN(Tabelle13245689[[#This Row],[Jira Story Points]],Tabelle13245689[[#This Row],[Carry-over]]),0)</f>
        <v>1</v>
      </c>
      <c r="N43" s="106">
        <f>MIN(Tabelle13245689[[#This Row],[Jira Story Points]],Tabelle13245689[[#This Row],[Carry-over]])-Tabelle13245689[[#This Row],[SP Initially Planned (COS)]]</f>
        <v>0</v>
      </c>
      <c r="O43"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1</v>
      </c>
      <c r="P43" s="108">
        <f>IFERROR(IF(Tabelle13245689[[#This Row],[Status]]=$J$5,MIN(Tabelle13245689[[#This Row],[Jira Story Points]],Tabelle13245689[[#This Row],[Carry-over]]),0),0)</f>
        <v>0</v>
      </c>
      <c r="Q43" s="108">
        <f>IFERROR(IF(Tabelle13245689[[#This Row],[Status]]=$J$5,0,MIN(Tabelle13245689[[#This Row],[Jira Story Points]],Tabelle13245689[[#This Row],[Carry-over]])-Tabelle13245689[[#This Row],[SP Completed (COS &amp; SOS)]]),0)</f>
        <v>0</v>
      </c>
      <c r="AJ43" s="112"/>
      <c r="AK43" s="112"/>
      <c r="AL43" s="112"/>
      <c r="AM43" s="112"/>
    </row>
    <row r="44" spans="1:39" s="46" customFormat="1">
      <c r="A44" s="88" t="s">
        <v>2559</v>
      </c>
      <c r="B44" s="46" t="s">
        <v>2560</v>
      </c>
      <c r="C44" s="76" t="s">
        <v>372</v>
      </c>
      <c r="D44" s="76">
        <v>3</v>
      </c>
      <c r="E44" s="76" t="s">
        <v>216</v>
      </c>
      <c r="F44" s="76">
        <v>5</v>
      </c>
      <c r="G44" s="76" t="s">
        <v>12</v>
      </c>
      <c r="H44" s="76"/>
      <c r="I44" s="103"/>
      <c r="J44" s="76" t="s">
        <v>125</v>
      </c>
      <c r="K44" s="104">
        <v>1</v>
      </c>
      <c r="L44" s="104"/>
      <c r="M44" s="105">
        <f>IF(Tabelle13245689[[#This Row],[Pulled after Start]]="",MIN(Tabelle13245689[[#This Row],[Jira Story Points]],Tabelle13245689[[#This Row],[Carry-over]]),0)</f>
        <v>1</v>
      </c>
      <c r="N44" s="106">
        <f>MIN(Tabelle13245689[[#This Row],[Jira Story Points]],Tabelle13245689[[#This Row],[Carry-over]])-Tabelle13245689[[#This Row],[SP Initially Planned (COS)]]</f>
        <v>0</v>
      </c>
      <c r="O44"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1</v>
      </c>
      <c r="P44" s="108">
        <f>IFERROR(IF(Tabelle13245689[[#This Row],[Status]]=$J$5,MIN(Tabelle13245689[[#This Row],[Jira Story Points]],Tabelle13245689[[#This Row],[Carry-over]]),0),0)</f>
        <v>0</v>
      </c>
      <c r="Q44" s="108">
        <f>IFERROR(IF(Tabelle13245689[[#This Row],[Status]]=$J$5,0,MIN(Tabelle13245689[[#This Row],[Jira Story Points]],Tabelle13245689[[#This Row],[Carry-over]])-Tabelle13245689[[#This Row],[SP Completed (COS &amp; SOS)]]),0)</f>
        <v>0</v>
      </c>
      <c r="AJ44" s="112"/>
      <c r="AK44" s="112"/>
      <c r="AL44" s="112"/>
      <c r="AM44" s="112"/>
    </row>
    <row r="45" spans="1:39" s="46" customFormat="1">
      <c r="A45" s="88" t="s">
        <v>2561</v>
      </c>
      <c r="B45" s="46" t="s">
        <v>2562</v>
      </c>
      <c r="C45" s="76" t="s">
        <v>372</v>
      </c>
      <c r="D45" s="76">
        <v>3</v>
      </c>
      <c r="E45" s="76" t="s">
        <v>216</v>
      </c>
      <c r="F45" s="76">
        <v>5</v>
      </c>
      <c r="G45" s="76" t="s">
        <v>12</v>
      </c>
      <c r="H45" s="76"/>
      <c r="I45" s="103"/>
      <c r="J45" s="76" t="s">
        <v>125</v>
      </c>
      <c r="K45" s="104">
        <v>1</v>
      </c>
      <c r="L45" s="104"/>
      <c r="M45" s="105">
        <f>IF(Tabelle13245689[[#This Row],[Pulled after Start]]="",MIN(Tabelle13245689[[#This Row],[Jira Story Points]],Tabelle13245689[[#This Row],[Carry-over]]),0)</f>
        <v>1</v>
      </c>
      <c r="N45" s="106">
        <f>MIN(Tabelle13245689[[#This Row],[Jira Story Points]],Tabelle13245689[[#This Row],[Carry-over]])-Tabelle13245689[[#This Row],[SP Initially Planned (COS)]]</f>
        <v>0</v>
      </c>
      <c r="O45"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1</v>
      </c>
      <c r="P45" s="108">
        <f>IFERROR(IF(Tabelle13245689[[#This Row],[Status]]=$J$5,MIN(Tabelle13245689[[#This Row],[Jira Story Points]],Tabelle13245689[[#This Row],[Carry-over]]),0),0)</f>
        <v>0</v>
      </c>
      <c r="Q45" s="108">
        <f>IFERROR(IF(Tabelle13245689[[#This Row],[Status]]=$J$5,0,MIN(Tabelle13245689[[#This Row],[Jira Story Points]],Tabelle13245689[[#This Row],[Carry-over]])-Tabelle13245689[[#This Row],[SP Completed (COS &amp; SOS)]]),0)</f>
        <v>0</v>
      </c>
      <c r="AJ45" s="112"/>
      <c r="AK45" s="112"/>
      <c r="AL45" s="112"/>
      <c r="AM45" s="112"/>
    </row>
    <row r="46" spans="1:39" s="46" customFormat="1">
      <c r="A46" s="88" t="s">
        <v>2563</v>
      </c>
      <c r="B46" s="46" t="s">
        <v>2564</v>
      </c>
      <c r="C46" s="76" t="s">
        <v>372</v>
      </c>
      <c r="D46" s="76">
        <v>3</v>
      </c>
      <c r="E46" s="76" t="s">
        <v>216</v>
      </c>
      <c r="F46" s="104">
        <v>5</v>
      </c>
      <c r="G46" s="76" t="s">
        <v>12</v>
      </c>
      <c r="H46" s="83"/>
      <c r="I46" s="103"/>
      <c r="J46" s="76" t="s">
        <v>125</v>
      </c>
      <c r="K46" s="104">
        <v>1</v>
      </c>
      <c r="L46" s="104"/>
      <c r="M46" s="105">
        <f>IF(Tabelle13245689[[#This Row],[Pulled after Start]]="",MIN(Tabelle13245689[[#This Row],[Jira Story Points]],Tabelle13245689[[#This Row],[Carry-over]]),0)</f>
        <v>1</v>
      </c>
      <c r="N46" s="106">
        <f>MIN(Tabelle13245689[[#This Row],[Jira Story Points]],Tabelle13245689[[#This Row],[Carry-over]])-Tabelle13245689[[#This Row],[SP Initially Planned (COS)]]</f>
        <v>0</v>
      </c>
      <c r="O46"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1</v>
      </c>
      <c r="P46" s="108">
        <f>IFERROR(IF(Tabelle13245689[[#This Row],[Status]]=$J$5,MIN(Tabelle13245689[[#This Row],[Jira Story Points]],Tabelle13245689[[#This Row],[Carry-over]]),0),0)</f>
        <v>0</v>
      </c>
      <c r="Q46" s="108">
        <f>IFERROR(IF(Tabelle13245689[[#This Row],[Status]]=$J$5,0,MIN(Tabelle13245689[[#This Row],[Jira Story Points]],Tabelle13245689[[#This Row],[Carry-over]])-Tabelle13245689[[#This Row],[SP Completed (COS &amp; SOS)]]),0)</f>
        <v>0</v>
      </c>
      <c r="AJ46" s="112"/>
      <c r="AK46" s="112"/>
      <c r="AL46" s="112"/>
      <c r="AM46" s="112"/>
    </row>
    <row r="47" spans="1:39" s="46" customFormat="1" ht="14.45" customHeight="1">
      <c r="A47" s="88" t="s">
        <v>2325</v>
      </c>
      <c r="B47" s="46" t="s">
        <v>2326</v>
      </c>
      <c r="C47" s="76" t="s">
        <v>372</v>
      </c>
      <c r="D47" s="76">
        <v>3</v>
      </c>
      <c r="E47" s="76" t="s">
        <v>238</v>
      </c>
      <c r="F47" s="104">
        <v>3</v>
      </c>
      <c r="G47" s="76" t="s">
        <v>12</v>
      </c>
      <c r="H47" s="83"/>
      <c r="I47" s="103" t="s">
        <v>2327</v>
      </c>
      <c r="J47" s="76" t="s">
        <v>127</v>
      </c>
      <c r="K47" s="104">
        <v>2</v>
      </c>
      <c r="L47" s="104">
        <v>0</v>
      </c>
      <c r="M47" s="105">
        <f>IF(Tabelle13245689[[#This Row],[Pulled after Start]]="",MIN(Tabelle13245689[[#This Row],[Jira Story Points]],Tabelle13245689[[#This Row],[Carry-over]]),0)</f>
        <v>2</v>
      </c>
      <c r="N47" s="106">
        <f>MIN(Tabelle13245689[[#This Row],[Jira Story Points]],Tabelle13245689[[#This Row],[Carry-over]])-Tabelle13245689[[#This Row],[SP Initially Planned (COS)]]</f>
        <v>0</v>
      </c>
      <c r="O47"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47" s="108">
        <f>IFERROR(IF(Tabelle13245689[[#This Row],[Status]]=$J$5,MIN(Tabelle13245689[[#This Row],[Jira Story Points]],Tabelle13245689[[#This Row],[Carry-over]]),0),0)</f>
        <v>0</v>
      </c>
      <c r="Q47" s="108">
        <f>IFERROR(IF(Tabelle13245689[[#This Row],[Status]]=$J$5,0,MIN(Tabelle13245689[[#This Row],[Jira Story Points]],Tabelle13245689[[#This Row],[Carry-over]])-Tabelle13245689[[#This Row],[SP Completed (COS &amp; SOS)]]),0)</f>
        <v>0</v>
      </c>
      <c r="AJ47" s="112"/>
      <c r="AK47" s="112"/>
      <c r="AL47" s="112"/>
      <c r="AM47" s="112"/>
    </row>
    <row r="48" spans="1:39" s="46" customFormat="1" ht="14.45" customHeight="1">
      <c r="A48" s="88" t="s">
        <v>2565</v>
      </c>
      <c r="B48" s="46" t="s">
        <v>2566</v>
      </c>
      <c r="C48" s="76" t="s">
        <v>375</v>
      </c>
      <c r="D48" s="76">
        <v>3</v>
      </c>
      <c r="E48" s="76" t="s">
        <v>216</v>
      </c>
      <c r="F48" s="104">
        <v>3</v>
      </c>
      <c r="G48" s="76" t="s">
        <v>12</v>
      </c>
      <c r="H48" s="83" t="s">
        <v>209</v>
      </c>
      <c r="I48" s="103" t="s">
        <v>2567</v>
      </c>
      <c r="J48" s="76" t="s">
        <v>125</v>
      </c>
      <c r="K48" s="104"/>
      <c r="L48" s="104"/>
      <c r="M48" s="105">
        <f>IF(Tabelle13245689[[#This Row],[Pulled after Start]]="",MIN(Tabelle13245689[[#This Row],[Jira Story Points]],Tabelle13245689[[#This Row],[Carry-over]]),0)</f>
        <v>0</v>
      </c>
      <c r="N48" s="106">
        <f>MIN(Tabelle13245689[[#This Row],[Jira Story Points]],Tabelle13245689[[#This Row],[Carry-over]])-Tabelle13245689[[#This Row],[SP Initially Planned (COS)]]</f>
        <v>3</v>
      </c>
      <c r="O48"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48" s="108">
        <f>IFERROR(IF(Tabelle13245689[[#This Row],[Status]]=$J$5,MIN(Tabelle13245689[[#This Row],[Jira Story Points]],Tabelle13245689[[#This Row],[Carry-over]]),0),0)</f>
        <v>0</v>
      </c>
      <c r="Q48" s="108">
        <f>IFERROR(IF(Tabelle13245689[[#This Row],[Status]]=$J$5,0,MIN(Tabelle13245689[[#This Row],[Jira Story Points]],Tabelle13245689[[#This Row],[Carry-over]])-Tabelle13245689[[#This Row],[SP Completed (COS &amp; SOS)]]),0)</f>
        <v>0</v>
      </c>
      <c r="AJ48" s="112"/>
      <c r="AK48" s="112"/>
      <c r="AL48" s="112"/>
      <c r="AM48" s="112"/>
    </row>
    <row r="49" spans="1:39" s="46" customFormat="1" ht="14.45" customHeight="1">
      <c r="A49" s="88" t="s">
        <v>2323</v>
      </c>
      <c r="B49" s="46" t="s">
        <v>2324</v>
      </c>
      <c r="C49" s="76" t="s">
        <v>375</v>
      </c>
      <c r="D49" s="76">
        <v>2</v>
      </c>
      <c r="E49" s="76" t="s">
        <v>2568</v>
      </c>
      <c r="F49" s="104">
        <v>3</v>
      </c>
      <c r="G49" s="76" t="s">
        <v>12</v>
      </c>
      <c r="H49" s="83" t="s">
        <v>209</v>
      </c>
      <c r="I49" s="103"/>
      <c r="J49" s="76" t="s">
        <v>127</v>
      </c>
      <c r="K49" s="104"/>
      <c r="L49" s="104">
        <v>1</v>
      </c>
      <c r="M49" s="105">
        <f>IF(Tabelle13245689[[#This Row],[Pulled after Start]]="",MIN(Tabelle13245689[[#This Row],[Jira Story Points]],Tabelle13245689[[#This Row],[Carry-over]]),0)</f>
        <v>0</v>
      </c>
      <c r="N49" s="106">
        <f>MIN(Tabelle13245689[[#This Row],[Jira Story Points]],Tabelle13245689[[#This Row],[Carry-over]])-Tabelle13245689[[#This Row],[SP Initially Planned (COS)]]</f>
        <v>3</v>
      </c>
      <c r="O49"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49" s="108">
        <f>IFERROR(IF(Tabelle13245689[[#This Row],[Status]]=$J$5,MIN(Tabelle13245689[[#This Row],[Jira Story Points]],Tabelle13245689[[#This Row],[Carry-over]]),0),0)</f>
        <v>0</v>
      </c>
      <c r="Q49" s="108">
        <f>IFERROR(IF(Tabelle13245689[[#This Row],[Status]]=$J$5,0,MIN(Tabelle13245689[[#This Row],[Jira Story Points]],Tabelle13245689[[#This Row],[Carry-over]])-Tabelle13245689[[#This Row],[SP Completed (COS &amp; SOS)]]),0)</f>
        <v>1</v>
      </c>
      <c r="AJ49" s="112"/>
      <c r="AK49" s="112"/>
      <c r="AL49" s="112"/>
      <c r="AM49" s="112"/>
    </row>
    <row r="50" spans="1:39" s="46" customFormat="1" ht="14.45" customHeight="1">
      <c r="A50" s="88" t="s">
        <v>2195</v>
      </c>
      <c r="B50" s="46" t="s">
        <v>2196</v>
      </c>
      <c r="C50" s="76" t="s">
        <v>375</v>
      </c>
      <c r="D50" s="76">
        <v>3</v>
      </c>
      <c r="E50" s="76" t="s">
        <v>238</v>
      </c>
      <c r="F50" s="104">
        <v>3</v>
      </c>
      <c r="G50" s="76" t="s">
        <v>12</v>
      </c>
      <c r="H50" s="83" t="s">
        <v>209</v>
      </c>
      <c r="I50" s="103"/>
      <c r="J50" s="76" t="s">
        <v>127</v>
      </c>
      <c r="K50" s="104"/>
      <c r="L50" s="104">
        <v>3</v>
      </c>
      <c r="M50" s="105">
        <f>IF(Tabelle13245689[[#This Row],[Pulled after Start]]="",MIN(Tabelle13245689[[#This Row],[Jira Story Points]],Tabelle13245689[[#This Row],[Carry-over]]),0)</f>
        <v>0</v>
      </c>
      <c r="N50" s="106">
        <f>MIN(Tabelle13245689[[#This Row],[Jira Story Points]],Tabelle13245689[[#This Row],[Carry-over]])-Tabelle13245689[[#This Row],[SP Initially Planned (COS)]]</f>
        <v>3</v>
      </c>
      <c r="O50"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50" s="108">
        <f>IFERROR(IF(Tabelle13245689[[#This Row],[Status]]=$J$5,MIN(Tabelle13245689[[#This Row],[Jira Story Points]],Tabelle13245689[[#This Row],[Carry-over]]),0),0)</f>
        <v>0</v>
      </c>
      <c r="Q50" s="108">
        <f>IFERROR(IF(Tabelle13245689[[#This Row],[Status]]=$J$5,0,MIN(Tabelle13245689[[#This Row],[Jira Story Points]],Tabelle13245689[[#This Row],[Carry-over]])-Tabelle13245689[[#This Row],[SP Completed (COS &amp; SOS)]]),0)</f>
        <v>3</v>
      </c>
      <c r="AJ50" s="112"/>
      <c r="AK50" s="112"/>
      <c r="AL50" s="112"/>
      <c r="AM50" s="112"/>
    </row>
    <row r="51" spans="1:39" s="46" customFormat="1" ht="14.45" customHeight="1">
      <c r="A51" s="88" t="s">
        <v>2569</v>
      </c>
      <c r="B51" s="46" t="s">
        <v>2570</v>
      </c>
      <c r="C51" s="76" t="s">
        <v>382</v>
      </c>
      <c r="D51" s="76">
        <v>3</v>
      </c>
      <c r="E51" s="76" t="s">
        <v>216</v>
      </c>
      <c r="F51" s="104" t="s">
        <v>210</v>
      </c>
      <c r="G51" s="76" t="s">
        <v>12</v>
      </c>
      <c r="H51" s="83"/>
      <c r="I51" s="103"/>
      <c r="J51" s="76" t="s">
        <v>125</v>
      </c>
      <c r="K51" s="104"/>
      <c r="L51" s="104"/>
      <c r="M51" s="105">
        <f>IF(Tabelle13245689[[#This Row],[Pulled after Start]]="",MIN(Tabelle13245689[[#This Row],[Jira Story Points]],Tabelle13245689[[#This Row],[Carry-over]]),0)</f>
        <v>0</v>
      </c>
      <c r="N51" s="106">
        <f>MIN(Tabelle13245689[[#This Row],[Jira Story Points]],Tabelle13245689[[#This Row],[Carry-over]])-Tabelle13245689[[#This Row],[SP Initially Planned (COS)]]</f>
        <v>0</v>
      </c>
      <c r="O51" s="107" t="str">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v>
      </c>
      <c r="P51" s="108">
        <f>IFERROR(IF(Tabelle13245689[[#This Row],[Status]]=$J$5,MIN(Tabelle13245689[[#This Row],[Jira Story Points]],Tabelle13245689[[#This Row],[Carry-over]]),0),0)</f>
        <v>0</v>
      </c>
      <c r="Q51" s="108">
        <f>IFERROR(IF(Tabelle13245689[[#This Row],[Status]]=$J$5,0,MIN(Tabelle13245689[[#This Row],[Jira Story Points]],Tabelle13245689[[#This Row],[Carry-over]])-Tabelle13245689[[#This Row],[SP Completed (COS &amp; SOS)]]),0)</f>
        <v>0</v>
      </c>
      <c r="AJ51" s="112"/>
      <c r="AK51" s="112"/>
      <c r="AL51" s="112"/>
      <c r="AM51" s="112"/>
    </row>
    <row r="52" spans="1:39" s="46" customFormat="1" ht="14.45" customHeight="1">
      <c r="A52" s="88" t="s">
        <v>2571</v>
      </c>
      <c r="B52" s="46" t="s">
        <v>2572</v>
      </c>
      <c r="C52" s="76" t="s">
        <v>372</v>
      </c>
      <c r="D52" s="76">
        <v>3</v>
      </c>
      <c r="E52" s="76" t="s">
        <v>216</v>
      </c>
      <c r="F52" s="104">
        <v>1</v>
      </c>
      <c r="G52" s="76" t="s">
        <v>12</v>
      </c>
      <c r="H52" s="83" t="s">
        <v>209</v>
      </c>
      <c r="I52" s="103"/>
      <c r="J52" s="76" t="s">
        <v>125</v>
      </c>
      <c r="K52" s="104"/>
      <c r="L52" s="104"/>
      <c r="M52" s="105">
        <f>IF(Tabelle13245689[[#This Row],[Pulled after Start]]="",MIN(Tabelle13245689[[#This Row],[Jira Story Points]],Tabelle13245689[[#This Row],[Carry-over]]),0)</f>
        <v>0</v>
      </c>
      <c r="N52" s="106">
        <f>MIN(Tabelle13245689[[#This Row],[Jira Story Points]],Tabelle13245689[[#This Row],[Carry-over]])-Tabelle13245689[[#This Row],[SP Initially Planned (COS)]]</f>
        <v>1</v>
      </c>
      <c r="O52"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1</v>
      </c>
      <c r="P52" s="108">
        <f>IFERROR(IF(Tabelle13245689[[#This Row],[Status]]=$J$5,MIN(Tabelle13245689[[#This Row],[Jira Story Points]],Tabelle13245689[[#This Row],[Carry-over]]),0),0)</f>
        <v>0</v>
      </c>
      <c r="Q52" s="108">
        <f>IFERROR(IF(Tabelle13245689[[#This Row],[Status]]=$J$5,0,MIN(Tabelle13245689[[#This Row],[Jira Story Points]],Tabelle13245689[[#This Row],[Carry-over]])-Tabelle13245689[[#This Row],[SP Completed (COS &amp; SOS)]]),0)</f>
        <v>0</v>
      </c>
      <c r="AJ52" s="112"/>
      <c r="AK52" s="112"/>
      <c r="AL52" s="112"/>
      <c r="AM52" s="112"/>
    </row>
    <row r="53" spans="1:39" s="46" customFormat="1" ht="14.45" customHeight="1">
      <c r="A53" s="88" t="s">
        <v>2573</v>
      </c>
      <c r="B53" s="46" t="s">
        <v>2334</v>
      </c>
      <c r="C53" s="76" t="s">
        <v>382</v>
      </c>
      <c r="D53" s="76">
        <v>3</v>
      </c>
      <c r="E53" s="76" t="s">
        <v>216</v>
      </c>
      <c r="F53" s="104" t="s">
        <v>210</v>
      </c>
      <c r="G53" s="76" t="s">
        <v>12</v>
      </c>
      <c r="H53" s="83" t="s">
        <v>209</v>
      </c>
      <c r="I53" s="103" t="s">
        <v>2574</v>
      </c>
      <c r="J53" s="76" t="s">
        <v>125</v>
      </c>
      <c r="K53" s="104"/>
      <c r="L53" s="104"/>
      <c r="M53" s="105">
        <f>IF(Tabelle13245689[[#This Row],[Pulled after Start]]="",MIN(Tabelle13245689[[#This Row],[Jira Story Points]],Tabelle13245689[[#This Row],[Carry-over]]),0)</f>
        <v>0</v>
      </c>
      <c r="N53" s="106">
        <f>MIN(Tabelle13245689[[#This Row],[Jira Story Points]],Tabelle13245689[[#This Row],[Carry-over]])-Tabelle13245689[[#This Row],[SP Initially Planned (COS)]]</f>
        <v>0</v>
      </c>
      <c r="O53" s="107" t="str">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v>
      </c>
      <c r="P53" s="108">
        <f>IFERROR(IF(Tabelle13245689[[#This Row],[Status]]=$J$5,MIN(Tabelle13245689[[#This Row],[Jira Story Points]],Tabelle13245689[[#This Row],[Carry-over]]),0),0)</f>
        <v>0</v>
      </c>
      <c r="Q53" s="108">
        <f>IFERROR(IF(Tabelle13245689[[#This Row],[Status]]=$J$5,0,MIN(Tabelle13245689[[#This Row],[Jira Story Points]],Tabelle13245689[[#This Row],[Carry-over]])-Tabelle13245689[[#This Row],[SP Completed (COS &amp; SOS)]]),0)</f>
        <v>0</v>
      </c>
      <c r="AJ53" s="112"/>
      <c r="AK53" s="112"/>
      <c r="AL53" s="112"/>
      <c r="AM53" s="112"/>
    </row>
    <row r="54" spans="1:39" s="46" customFormat="1" ht="14.45" hidden="1" customHeight="1">
      <c r="A54" s="88" t="s">
        <v>2359</v>
      </c>
      <c r="B54" s="46" t="s">
        <v>2360</v>
      </c>
      <c r="C54" s="76" t="s">
        <v>375</v>
      </c>
      <c r="D54" s="76">
        <v>2</v>
      </c>
      <c r="E54" s="76" t="s">
        <v>327</v>
      </c>
      <c r="F54" s="104">
        <v>3</v>
      </c>
      <c r="G54" s="112" t="s">
        <v>32</v>
      </c>
      <c r="H54" s="83" t="s">
        <v>209</v>
      </c>
      <c r="I54" s="103"/>
      <c r="J54" s="76" t="s">
        <v>127</v>
      </c>
      <c r="K54" s="104"/>
      <c r="L54" s="104"/>
      <c r="M54" s="105">
        <f>IF(Tabelle13245689[[#This Row],[Pulled after Start]]="",MIN(Tabelle13245689[[#This Row],[Jira Story Points]],Tabelle13245689[[#This Row],[Carry-over]]),0)</f>
        <v>0</v>
      </c>
      <c r="N54" s="106">
        <f>MIN(Tabelle13245689[[#This Row],[Jira Story Points]],Tabelle13245689[[#This Row],[Carry-over]])-Tabelle13245689[[#This Row],[SP Initially Planned (COS)]]</f>
        <v>3</v>
      </c>
      <c r="O54"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54" s="108">
        <f>IFERROR(IF(Tabelle13245689[[#This Row],[Status]]=$J$5,MIN(Tabelle13245689[[#This Row],[Jira Story Points]],Tabelle13245689[[#This Row],[Carry-over]]),0),0)</f>
        <v>0</v>
      </c>
      <c r="Q54" s="108">
        <f>IFERROR(IF(Tabelle13245689[[#This Row],[Status]]=$J$5,0,MIN(Tabelle13245689[[#This Row],[Jira Story Points]],Tabelle13245689[[#This Row],[Carry-over]])-Tabelle13245689[[#This Row],[SP Completed (COS &amp; SOS)]]),0)</f>
        <v>3</v>
      </c>
      <c r="AJ54" s="112"/>
      <c r="AK54" s="112"/>
      <c r="AL54" s="112"/>
      <c r="AM54" s="112"/>
    </row>
    <row r="55" spans="1:39" s="46" customFormat="1" ht="14.45" hidden="1" customHeight="1">
      <c r="A55" s="88" t="s">
        <v>2575</v>
      </c>
      <c r="B55" s="46" t="s">
        <v>2576</v>
      </c>
      <c r="C55" s="76" t="s">
        <v>382</v>
      </c>
      <c r="D55" s="76">
        <v>3</v>
      </c>
      <c r="E55" s="76" t="s">
        <v>324</v>
      </c>
      <c r="F55" s="104">
        <v>5</v>
      </c>
      <c r="G55" s="76" t="s">
        <v>32</v>
      </c>
      <c r="H55" s="83"/>
      <c r="I55" s="103"/>
      <c r="J55" s="76" t="s">
        <v>125</v>
      </c>
      <c r="K55" s="104"/>
      <c r="L55" s="104"/>
      <c r="M55" s="105">
        <f>IF(Tabelle13245689[[#This Row],[Pulled after Start]]="",MIN(Tabelle13245689[[#This Row],[Jira Story Points]],Tabelle13245689[[#This Row],[Carry-over]]),0)</f>
        <v>5</v>
      </c>
      <c r="N55" s="106">
        <f>MIN(Tabelle13245689[[#This Row],[Jira Story Points]],Tabelle13245689[[#This Row],[Carry-over]])-Tabelle13245689[[#This Row],[SP Initially Planned (COS)]]</f>
        <v>0</v>
      </c>
      <c r="O55"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5</v>
      </c>
      <c r="P55" s="108">
        <f>IFERROR(IF(Tabelle13245689[[#This Row],[Status]]=$J$5,MIN(Tabelle13245689[[#This Row],[Jira Story Points]],Tabelle13245689[[#This Row],[Carry-over]]),0),0)</f>
        <v>0</v>
      </c>
      <c r="Q55" s="108">
        <f>IFERROR(IF(Tabelle13245689[[#This Row],[Status]]=$J$5,0,MIN(Tabelle13245689[[#This Row],[Jira Story Points]],Tabelle13245689[[#This Row],[Carry-over]])-Tabelle13245689[[#This Row],[SP Completed (COS &amp; SOS)]]),0)</f>
        <v>0</v>
      </c>
      <c r="AJ55" s="112"/>
      <c r="AK55" s="112"/>
      <c r="AL55" s="112"/>
      <c r="AM55" s="112"/>
    </row>
    <row r="56" spans="1:39" s="46" customFormat="1" ht="14.45" hidden="1" customHeight="1">
      <c r="A56" s="88" t="s">
        <v>2365</v>
      </c>
      <c r="B56" s="46" t="s">
        <v>2366</v>
      </c>
      <c r="C56" s="76" t="s">
        <v>372</v>
      </c>
      <c r="D56" s="76">
        <v>3</v>
      </c>
      <c r="E56" s="76" t="s">
        <v>327</v>
      </c>
      <c r="F56" s="104">
        <v>2</v>
      </c>
      <c r="G56" s="76" t="s">
        <v>32</v>
      </c>
      <c r="H56" s="83"/>
      <c r="I56" s="103"/>
      <c r="J56" s="76" t="s">
        <v>127</v>
      </c>
      <c r="K56" s="104"/>
      <c r="L56" s="104"/>
      <c r="M56" s="105">
        <f>IF(Tabelle13245689[[#This Row],[Pulled after Start]]="",MIN(Tabelle13245689[[#This Row],[Jira Story Points]],Tabelle13245689[[#This Row],[Carry-over]]),0)</f>
        <v>2</v>
      </c>
      <c r="N56" s="106">
        <f>MIN(Tabelle13245689[[#This Row],[Jira Story Points]],Tabelle13245689[[#This Row],[Carry-over]])-Tabelle13245689[[#This Row],[SP Initially Planned (COS)]]</f>
        <v>0</v>
      </c>
      <c r="O56"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56" s="108">
        <f>IFERROR(IF(Tabelle13245689[[#This Row],[Status]]=$J$5,MIN(Tabelle13245689[[#This Row],[Jira Story Points]],Tabelle13245689[[#This Row],[Carry-over]]),0),0)</f>
        <v>0</v>
      </c>
      <c r="Q56" s="108">
        <f>IFERROR(IF(Tabelle13245689[[#This Row],[Status]]=$J$5,0,MIN(Tabelle13245689[[#This Row],[Jira Story Points]],Tabelle13245689[[#This Row],[Carry-over]])-Tabelle13245689[[#This Row],[SP Completed (COS &amp; SOS)]]),0)</f>
        <v>2</v>
      </c>
      <c r="AJ56" s="112"/>
      <c r="AK56" s="112"/>
      <c r="AL56" s="112"/>
      <c r="AM56" s="112"/>
    </row>
    <row r="57" spans="1:39" s="46" customFormat="1" ht="14.45" hidden="1" customHeight="1">
      <c r="A57" s="88" t="s">
        <v>2577</v>
      </c>
      <c r="B57" s="46" t="s">
        <v>2578</v>
      </c>
      <c r="C57" s="76" t="s">
        <v>372</v>
      </c>
      <c r="D57" s="76">
        <v>3</v>
      </c>
      <c r="E57" s="76" t="s">
        <v>327</v>
      </c>
      <c r="F57" s="104">
        <v>3</v>
      </c>
      <c r="G57" s="76" t="s">
        <v>32</v>
      </c>
      <c r="H57" s="83"/>
      <c r="I57" s="103"/>
      <c r="J57" s="76" t="s">
        <v>125</v>
      </c>
      <c r="K57" s="104"/>
      <c r="L57" s="104"/>
      <c r="M57" s="105">
        <f>IF(Tabelle13245689[[#This Row],[Pulled after Start]]="",MIN(Tabelle13245689[[#This Row],[Jira Story Points]],Tabelle13245689[[#This Row],[Carry-over]]),0)</f>
        <v>3</v>
      </c>
      <c r="N57" s="106">
        <f>MIN(Tabelle13245689[[#This Row],[Jira Story Points]],Tabelle13245689[[#This Row],[Carry-over]])-Tabelle13245689[[#This Row],[SP Initially Planned (COS)]]</f>
        <v>0</v>
      </c>
      <c r="O57"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57" s="108">
        <f>IFERROR(IF(Tabelle13245689[[#This Row],[Status]]=$J$5,MIN(Tabelle13245689[[#This Row],[Jira Story Points]],Tabelle13245689[[#This Row],[Carry-over]]),0),0)</f>
        <v>0</v>
      </c>
      <c r="Q57" s="108">
        <f>IFERROR(IF(Tabelle13245689[[#This Row],[Status]]=$J$5,0,MIN(Tabelle13245689[[#This Row],[Jira Story Points]],Tabelle13245689[[#This Row],[Carry-over]])-Tabelle13245689[[#This Row],[SP Completed (COS &amp; SOS)]]),0)</f>
        <v>0</v>
      </c>
      <c r="AJ57" s="112"/>
      <c r="AK57" s="112"/>
      <c r="AL57" s="112"/>
      <c r="AM57" s="112"/>
    </row>
    <row r="58" spans="1:39" s="46" customFormat="1" ht="14.45" hidden="1" customHeight="1">
      <c r="A58" s="88" t="s">
        <v>2367</v>
      </c>
      <c r="B58" s="46" t="s">
        <v>2368</v>
      </c>
      <c r="C58" s="76" t="s">
        <v>372</v>
      </c>
      <c r="D58" s="76">
        <v>3</v>
      </c>
      <c r="E58" s="76" t="s">
        <v>327</v>
      </c>
      <c r="F58" s="104">
        <v>2</v>
      </c>
      <c r="G58" s="76" t="s">
        <v>32</v>
      </c>
      <c r="H58" s="83"/>
      <c r="I58" s="103"/>
      <c r="J58" s="76" t="s">
        <v>127</v>
      </c>
      <c r="K58" s="104"/>
      <c r="L58" s="104"/>
      <c r="M58" s="105">
        <f>IF(Tabelle13245689[[#This Row],[Pulled after Start]]="",MIN(Tabelle13245689[[#This Row],[Jira Story Points]],Tabelle13245689[[#This Row],[Carry-over]]),0)</f>
        <v>2</v>
      </c>
      <c r="N58" s="106">
        <f>MIN(Tabelle13245689[[#This Row],[Jira Story Points]],Tabelle13245689[[#This Row],[Carry-over]])-Tabelle13245689[[#This Row],[SP Initially Planned (COS)]]</f>
        <v>0</v>
      </c>
      <c r="O58"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58" s="108">
        <f>IFERROR(IF(Tabelle13245689[[#This Row],[Status]]=$J$5,MIN(Tabelle13245689[[#This Row],[Jira Story Points]],Tabelle13245689[[#This Row],[Carry-over]]),0),0)</f>
        <v>0</v>
      </c>
      <c r="Q58" s="108">
        <f>IFERROR(IF(Tabelle13245689[[#This Row],[Status]]=$J$5,0,MIN(Tabelle13245689[[#This Row],[Jira Story Points]],Tabelle13245689[[#This Row],[Carry-over]])-Tabelle13245689[[#This Row],[SP Completed (COS &amp; SOS)]]),0)</f>
        <v>2</v>
      </c>
      <c r="AJ58" s="112"/>
      <c r="AK58" s="112"/>
      <c r="AL58" s="112"/>
      <c r="AM58" s="112"/>
    </row>
    <row r="59" spans="1:39" s="46" customFormat="1" ht="14.45" hidden="1" customHeight="1">
      <c r="A59" s="88" t="s">
        <v>2579</v>
      </c>
      <c r="B59" s="46" t="s">
        <v>2580</v>
      </c>
      <c r="C59" s="76" t="s">
        <v>382</v>
      </c>
      <c r="D59" s="76">
        <v>3</v>
      </c>
      <c r="E59" s="76" t="s">
        <v>330</v>
      </c>
      <c r="F59" s="104">
        <v>2</v>
      </c>
      <c r="G59" s="76" t="s">
        <v>32</v>
      </c>
      <c r="H59" s="83"/>
      <c r="I59" s="103"/>
      <c r="J59" s="76" t="s">
        <v>125</v>
      </c>
      <c r="K59" s="104"/>
      <c r="L59" s="104"/>
      <c r="M59" s="105">
        <f>IF(Tabelle13245689[[#This Row],[Pulled after Start]]="",MIN(Tabelle13245689[[#This Row],[Jira Story Points]],Tabelle13245689[[#This Row],[Carry-over]]),0)</f>
        <v>2</v>
      </c>
      <c r="N59" s="106">
        <f>MIN(Tabelle13245689[[#This Row],[Jira Story Points]],Tabelle13245689[[#This Row],[Carry-over]])-Tabelle13245689[[#This Row],[SP Initially Planned (COS)]]</f>
        <v>0</v>
      </c>
      <c r="O59"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59" s="108">
        <f>IFERROR(IF(Tabelle13245689[[#This Row],[Status]]=$J$5,MIN(Tabelle13245689[[#This Row],[Jira Story Points]],Tabelle13245689[[#This Row],[Carry-over]]),0),0)</f>
        <v>0</v>
      </c>
      <c r="Q59" s="108">
        <f>IFERROR(IF(Tabelle13245689[[#This Row],[Status]]=$J$5,0,MIN(Tabelle13245689[[#This Row],[Jira Story Points]],Tabelle13245689[[#This Row],[Carry-over]])-Tabelle13245689[[#This Row],[SP Completed (COS &amp; SOS)]]),0)</f>
        <v>0</v>
      </c>
      <c r="AJ59" s="112"/>
      <c r="AK59" s="112"/>
      <c r="AL59" s="112"/>
      <c r="AM59" s="112"/>
    </row>
    <row r="60" spans="1:39" s="46" customFormat="1" ht="14.45" hidden="1" customHeight="1">
      <c r="A60" s="88" t="s">
        <v>2369</v>
      </c>
      <c r="B60" s="46" t="s">
        <v>2370</v>
      </c>
      <c r="C60" s="76" t="s">
        <v>372</v>
      </c>
      <c r="D60" s="76">
        <v>3</v>
      </c>
      <c r="E60" s="76" t="s">
        <v>327</v>
      </c>
      <c r="F60" s="104">
        <v>5</v>
      </c>
      <c r="G60" s="76" t="s">
        <v>32</v>
      </c>
      <c r="H60" s="83"/>
      <c r="I60" s="103"/>
      <c r="J60" s="76" t="s">
        <v>127</v>
      </c>
      <c r="K60" s="104"/>
      <c r="L60" s="104"/>
      <c r="M60" s="105">
        <f>IF(Tabelle13245689[[#This Row],[Pulled after Start]]="",MIN(Tabelle13245689[[#This Row],[Jira Story Points]],Tabelle13245689[[#This Row],[Carry-over]]),0)</f>
        <v>5</v>
      </c>
      <c r="N60" s="106">
        <f>MIN(Tabelle13245689[[#This Row],[Jira Story Points]],Tabelle13245689[[#This Row],[Carry-over]])-Tabelle13245689[[#This Row],[SP Initially Planned (COS)]]</f>
        <v>0</v>
      </c>
      <c r="O60"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60" s="108">
        <f>IFERROR(IF(Tabelle13245689[[#This Row],[Status]]=$J$5,MIN(Tabelle13245689[[#This Row],[Jira Story Points]],Tabelle13245689[[#This Row],[Carry-over]]),0),0)</f>
        <v>0</v>
      </c>
      <c r="Q60" s="108">
        <f>IFERROR(IF(Tabelle13245689[[#This Row],[Status]]=$J$5,0,MIN(Tabelle13245689[[#This Row],[Jira Story Points]],Tabelle13245689[[#This Row],[Carry-over]])-Tabelle13245689[[#This Row],[SP Completed (COS &amp; SOS)]]),0)</f>
        <v>5</v>
      </c>
      <c r="AJ60" s="112"/>
      <c r="AK60" s="112"/>
      <c r="AL60" s="112"/>
      <c r="AM60" s="112"/>
    </row>
    <row r="61" spans="1:39" s="46" customFormat="1" ht="14.45" hidden="1" customHeight="1">
      <c r="A61" s="88" t="s">
        <v>2581</v>
      </c>
      <c r="B61" s="46" t="s">
        <v>2582</v>
      </c>
      <c r="C61" s="76" t="s">
        <v>372</v>
      </c>
      <c r="D61" s="76">
        <v>3</v>
      </c>
      <c r="E61" s="76" t="s">
        <v>327</v>
      </c>
      <c r="F61" s="104">
        <v>3</v>
      </c>
      <c r="G61" s="76" t="s">
        <v>32</v>
      </c>
      <c r="H61" s="83"/>
      <c r="I61" s="103"/>
      <c r="J61" s="76" t="s">
        <v>125</v>
      </c>
      <c r="K61" s="104"/>
      <c r="L61" s="104"/>
      <c r="M61" s="105">
        <f>IF(Tabelle13245689[[#This Row],[Pulled after Start]]="",MIN(Tabelle13245689[[#This Row],[Jira Story Points]],Tabelle13245689[[#This Row],[Carry-over]]),0)</f>
        <v>3</v>
      </c>
      <c r="N61" s="106">
        <f>MIN(Tabelle13245689[[#This Row],[Jira Story Points]],Tabelle13245689[[#This Row],[Carry-over]])-Tabelle13245689[[#This Row],[SP Initially Planned (COS)]]</f>
        <v>0</v>
      </c>
      <c r="O61"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61" s="108">
        <f>IFERROR(IF(Tabelle13245689[[#This Row],[Status]]=$J$5,MIN(Tabelle13245689[[#This Row],[Jira Story Points]],Tabelle13245689[[#This Row],[Carry-over]]),0),0)</f>
        <v>0</v>
      </c>
      <c r="Q61" s="108">
        <f>IFERROR(IF(Tabelle13245689[[#This Row],[Status]]=$J$5,0,MIN(Tabelle13245689[[#This Row],[Jira Story Points]],Tabelle13245689[[#This Row],[Carry-over]])-Tabelle13245689[[#This Row],[SP Completed (COS &amp; SOS)]]),0)</f>
        <v>0</v>
      </c>
      <c r="AJ61" s="112"/>
      <c r="AK61" s="112"/>
      <c r="AL61" s="112"/>
      <c r="AM61" s="112"/>
    </row>
    <row r="62" spans="1:39" s="46" customFormat="1" ht="14.45" hidden="1" customHeight="1">
      <c r="A62" s="88" t="s">
        <v>2583</v>
      </c>
      <c r="B62" s="46" t="s">
        <v>2584</v>
      </c>
      <c r="C62" s="76" t="s">
        <v>382</v>
      </c>
      <c r="D62" s="76">
        <v>3</v>
      </c>
      <c r="E62" s="76" t="s">
        <v>330</v>
      </c>
      <c r="F62" s="104">
        <v>1</v>
      </c>
      <c r="G62" s="76" t="s">
        <v>32</v>
      </c>
      <c r="H62" s="83"/>
      <c r="I62" s="103"/>
      <c r="J62" s="76" t="s">
        <v>125</v>
      </c>
      <c r="K62" s="104"/>
      <c r="L62" s="104"/>
      <c r="M62" s="105">
        <f>IF(Tabelle13245689[[#This Row],[Pulled after Start]]="",MIN(Tabelle13245689[[#This Row],[Jira Story Points]],Tabelle13245689[[#This Row],[Carry-over]]),0)</f>
        <v>1</v>
      </c>
      <c r="N62" s="106">
        <f>MIN(Tabelle13245689[[#This Row],[Jira Story Points]],Tabelle13245689[[#This Row],[Carry-over]])-Tabelle13245689[[#This Row],[SP Initially Planned (COS)]]</f>
        <v>0</v>
      </c>
      <c r="O62"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1</v>
      </c>
      <c r="P62" s="108">
        <f>IFERROR(IF(Tabelle13245689[[#This Row],[Status]]=$J$5,MIN(Tabelle13245689[[#This Row],[Jira Story Points]],Tabelle13245689[[#This Row],[Carry-over]]),0),0)</f>
        <v>0</v>
      </c>
      <c r="Q62" s="108">
        <f>IFERROR(IF(Tabelle13245689[[#This Row],[Status]]=$J$5,0,MIN(Tabelle13245689[[#This Row],[Jira Story Points]],Tabelle13245689[[#This Row],[Carry-over]])-Tabelle13245689[[#This Row],[SP Completed (COS &amp; SOS)]]),0)</f>
        <v>0</v>
      </c>
      <c r="AJ62" s="112"/>
      <c r="AK62" s="112"/>
      <c r="AL62" s="112"/>
      <c r="AM62" s="112"/>
    </row>
    <row r="63" spans="1:39" s="46" customFormat="1" ht="14.45" hidden="1" customHeight="1">
      <c r="A63" s="88" t="s">
        <v>2585</v>
      </c>
      <c r="B63" s="46" t="s">
        <v>2586</v>
      </c>
      <c r="C63" s="76" t="s">
        <v>382</v>
      </c>
      <c r="D63" s="76">
        <v>3</v>
      </c>
      <c r="E63" s="76" t="s">
        <v>330</v>
      </c>
      <c r="F63" s="104">
        <v>3</v>
      </c>
      <c r="G63" s="76" t="s">
        <v>32</v>
      </c>
      <c r="H63" s="83"/>
      <c r="I63" s="103"/>
      <c r="J63" s="76" t="s">
        <v>125</v>
      </c>
      <c r="K63" s="104"/>
      <c r="L63" s="104"/>
      <c r="M63" s="105">
        <f>IF(Tabelle13245689[[#This Row],[Pulled after Start]]="",MIN(Tabelle13245689[[#This Row],[Jira Story Points]],Tabelle13245689[[#This Row],[Carry-over]]),0)</f>
        <v>3</v>
      </c>
      <c r="N63" s="106">
        <f>MIN(Tabelle13245689[[#This Row],[Jira Story Points]],Tabelle13245689[[#This Row],[Carry-over]])-Tabelle13245689[[#This Row],[SP Initially Planned (COS)]]</f>
        <v>0</v>
      </c>
      <c r="O63"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63" s="108">
        <f>IFERROR(IF(Tabelle13245689[[#This Row],[Status]]=$J$5,MIN(Tabelle13245689[[#This Row],[Jira Story Points]],Tabelle13245689[[#This Row],[Carry-over]]),0),0)</f>
        <v>0</v>
      </c>
      <c r="Q63" s="108">
        <f>IFERROR(IF(Tabelle13245689[[#This Row],[Status]]=$J$5,0,MIN(Tabelle13245689[[#This Row],[Jira Story Points]],Tabelle13245689[[#This Row],[Carry-over]])-Tabelle13245689[[#This Row],[SP Completed (COS &amp; SOS)]]),0)</f>
        <v>0</v>
      </c>
      <c r="AJ63" s="112"/>
      <c r="AK63" s="112"/>
      <c r="AL63" s="112"/>
      <c r="AM63" s="112"/>
    </row>
    <row r="64" spans="1:39" s="46" customFormat="1" ht="14.45" hidden="1" customHeight="1">
      <c r="A64" s="88" t="s">
        <v>2587</v>
      </c>
      <c r="B64" s="46" t="s">
        <v>2588</v>
      </c>
      <c r="C64" s="76" t="s">
        <v>382</v>
      </c>
      <c r="D64" s="76">
        <v>3</v>
      </c>
      <c r="E64" s="76" t="s">
        <v>324</v>
      </c>
      <c r="F64" s="104">
        <v>3</v>
      </c>
      <c r="G64" s="76" t="s">
        <v>32</v>
      </c>
      <c r="H64" s="83"/>
      <c r="I64" s="103"/>
      <c r="J64" s="76" t="s">
        <v>125</v>
      </c>
      <c r="K64" s="104"/>
      <c r="L64" s="104"/>
      <c r="M64" s="105">
        <f>IF(Tabelle13245689[[#This Row],[Pulled after Start]]="",MIN(Tabelle13245689[[#This Row],[Jira Story Points]],Tabelle13245689[[#This Row],[Carry-over]]),0)</f>
        <v>3</v>
      </c>
      <c r="N64" s="106">
        <f>MIN(Tabelle13245689[[#This Row],[Jira Story Points]],Tabelle13245689[[#This Row],[Carry-over]])-Tabelle13245689[[#This Row],[SP Initially Planned (COS)]]</f>
        <v>0</v>
      </c>
      <c r="O64"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64" s="108">
        <f>IFERROR(IF(Tabelle13245689[[#This Row],[Status]]=$J$5,MIN(Tabelle13245689[[#This Row],[Jira Story Points]],Tabelle13245689[[#This Row],[Carry-over]]),0),0)</f>
        <v>0</v>
      </c>
      <c r="Q64" s="108">
        <f>IFERROR(IF(Tabelle13245689[[#This Row],[Status]]=$J$5,0,MIN(Tabelle13245689[[#This Row],[Jira Story Points]],Tabelle13245689[[#This Row],[Carry-over]])-Tabelle13245689[[#This Row],[SP Completed (COS &amp; SOS)]]),0)</f>
        <v>0</v>
      </c>
      <c r="AJ64" s="112"/>
      <c r="AK64" s="112"/>
      <c r="AL64" s="112"/>
      <c r="AM64" s="112"/>
    </row>
    <row r="65" spans="1:39" s="46" customFormat="1" hidden="1">
      <c r="A65" s="88" t="s">
        <v>2361</v>
      </c>
      <c r="B65" s="46" t="s">
        <v>2362</v>
      </c>
      <c r="C65" s="76" t="s">
        <v>375</v>
      </c>
      <c r="D65" s="76">
        <v>3</v>
      </c>
      <c r="E65" s="76" t="s">
        <v>327</v>
      </c>
      <c r="F65" s="104">
        <v>3</v>
      </c>
      <c r="G65" s="76" t="s">
        <v>32</v>
      </c>
      <c r="H65" s="83" t="s">
        <v>209</v>
      </c>
      <c r="I65" s="103"/>
      <c r="J65" s="76" t="s">
        <v>127</v>
      </c>
      <c r="K65" s="104"/>
      <c r="L65" s="104"/>
      <c r="M65" s="105">
        <f>IF(Tabelle13245689[[#This Row],[Pulled after Start]]="",MIN(Tabelle13245689[[#This Row],[Jira Story Points]],Tabelle13245689[[#This Row],[Carry-over]]),0)</f>
        <v>0</v>
      </c>
      <c r="N65" s="106">
        <f>MIN(Tabelle13245689[[#This Row],[Jira Story Points]],Tabelle13245689[[#This Row],[Carry-over]])-Tabelle13245689[[#This Row],[SP Initially Planned (COS)]]</f>
        <v>3</v>
      </c>
      <c r="O65"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65" s="108">
        <f>IFERROR(IF(Tabelle13245689[[#This Row],[Status]]=$J$5,MIN(Tabelle13245689[[#This Row],[Jira Story Points]],Tabelle13245689[[#This Row],[Carry-over]]),0),0)</f>
        <v>0</v>
      </c>
      <c r="Q65" s="108">
        <f>IFERROR(IF(Tabelle13245689[[#This Row],[Status]]=$J$5,0,MIN(Tabelle13245689[[#This Row],[Jira Story Points]],Tabelle13245689[[#This Row],[Carry-over]])-Tabelle13245689[[#This Row],[SP Completed (COS &amp; SOS)]]),0)</f>
        <v>3</v>
      </c>
      <c r="AJ65" s="112"/>
      <c r="AK65" s="112"/>
      <c r="AL65" s="112"/>
      <c r="AM65" s="112"/>
    </row>
    <row r="66" spans="1:39" s="46" customFormat="1" hidden="1">
      <c r="A66" s="88" t="s">
        <v>2589</v>
      </c>
      <c r="B66" s="46" t="s">
        <v>2590</v>
      </c>
      <c r="C66" s="76" t="s">
        <v>382</v>
      </c>
      <c r="D66" s="76">
        <v>3</v>
      </c>
      <c r="E66" s="76" t="s">
        <v>448</v>
      </c>
      <c r="F66" s="104">
        <v>3</v>
      </c>
      <c r="G66" s="76" t="s">
        <v>32</v>
      </c>
      <c r="H66" s="83"/>
      <c r="I66" s="103"/>
      <c r="J66" s="76" t="s">
        <v>125</v>
      </c>
      <c r="K66" s="104"/>
      <c r="L66" s="104"/>
      <c r="M66" s="105">
        <f>IF(Tabelle13245689[[#This Row],[Pulled after Start]]="",MIN(Tabelle13245689[[#This Row],[Jira Story Points]],Tabelle13245689[[#This Row],[Carry-over]]),0)</f>
        <v>3</v>
      </c>
      <c r="N66" s="106">
        <f>MIN(Tabelle13245689[[#This Row],[Jira Story Points]],Tabelle13245689[[#This Row],[Carry-over]])-Tabelle13245689[[#This Row],[SP Initially Planned (COS)]]</f>
        <v>0</v>
      </c>
      <c r="O66"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66" s="108">
        <f>IFERROR(IF(Tabelle13245689[[#This Row],[Status]]=$J$5,MIN(Tabelle13245689[[#This Row],[Jira Story Points]],Tabelle13245689[[#This Row],[Carry-over]]),0),0)</f>
        <v>0</v>
      </c>
      <c r="Q66" s="108">
        <f>IFERROR(IF(Tabelle13245689[[#This Row],[Status]]=$J$5,0,MIN(Tabelle13245689[[#This Row],[Jira Story Points]],Tabelle13245689[[#This Row],[Carry-over]])-Tabelle13245689[[#This Row],[SP Completed (COS &amp; SOS)]]),0)</f>
        <v>0</v>
      </c>
      <c r="AJ66" s="112"/>
      <c r="AK66" s="112"/>
      <c r="AL66" s="112"/>
      <c r="AM66" s="112"/>
    </row>
    <row r="67" spans="1:39" s="46" customFormat="1" hidden="1">
      <c r="A67" s="88" t="s">
        <v>2591</v>
      </c>
      <c r="B67" s="46" t="s">
        <v>2592</v>
      </c>
      <c r="C67" s="76" t="s">
        <v>382</v>
      </c>
      <c r="D67" s="76">
        <v>3</v>
      </c>
      <c r="E67" s="76" t="s">
        <v>448</v>
      </c>
      <c r="F67" s="104">
        <v>3</v>
      </c>
      <c r="G67" s="76" t="s">
        <v>32</v>
      </c>
      <c r="H67" s="83"/>
      <c r="I67" s="103"/>
      <c r="J67" s="76" t="s">
        <v>125</v>
      </c>
      <c r="K67" s="104"/>
      <c r="L67" s="104"/>
      <c r="M67" s="105">
        <f>IF(Tabelle13245689[[#This Row],[Pulled after Start]]="",MIN(Tabelle13245689[[#This Row],[Jira Story Points]],Tabelle13245689[[#This Row],[Carry-over]]),0)</f>
        <v>3</v>
      </c>
      <c r="N67" s="106">
        <f>MIN(Tabelle13245689[[#This Row],[Jira Story Points]],Tabelle13245689[[#This Row],[Carry-over]])-Tabelle13245689[[#This Row],[SP Initially Planned (COS)]]</f>
        <v>0</v>
      </c>
      <c r="O67"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67" s="108">
        <f>IFERROR(IF(Tabelle13245689[[#This Row],[Status]]=$J$5,MIN(Tabelle13245689[[#This Row],[Jira Story Points]],Tabelle13245689[[#This Row],[Carry-over]]),0),0)</f>
        <v>0</v>
      </c>
      <c r="Q67" s="108">
        <f>IFERROR(IF(Tabelle13245689[[#This Row],[Status]]=$J$5,0,MIN(Tabelle13245689[[#This Row],[Jira Story Points]],Tabelle13245689[[#This Row],[Carry-over]])-Tabelle13245689[[#This Row],[SP Completed (COS &amp; SOS)]]),0)</f>
        <v>0</v>
      </c>
      <c r="AJ67" s="112"/>
      <c r="AK67" s="112"/>
      <c r="AL67" s="112"/>
      <c r="AM67" s="112"/>
    </row>
    <row r="68" spans="1:39" s="46" customFormat="1" hidden="1">
      <c r="A68" s="88" t="s">
        <v>2593</v>
      </c>
      <c r="B68" s="46" t="s">
        <v>2594</v>
      </c>
      <c r="C68" s="76"/>
      <c r="D68" s="76">
        <v>3</v>
      </c>
      <c r="E68" s="76" t="s">
        <v>324</v>
      </c>
      <c r="F68" s="104">
        <v>2</v>
      </c>
      <c r="G68" s="78" t="s">
        <v>17</v>
      </c>
      <c r="H68" s="83"/>
      <c r="I68" s="103"/>
      <c r="J68" s="76" t="s">
        <v>125</v>
      </c>
      <c r="K68" s="104"/>
      <c r="L68" s="104"/>
      <c r="M68" s="105">
        <f>IF(Tabelle13245689[[#This Row],[Pulled after Start]]="",MIN(Tabelle13245689[[#This Row],[Jira Story Points]],Tabelle13245689[[#This Row],[Carry-over]]),0)</f>
        <v>2</v>
      </c>
      <c r="N68" s="106">
        <f>MIN(Tabelle13245689[[#This Row],[Jira Story Points]],Tabelle13245689[[#This Row],[Carry-over]])-Tabelle13245689[[#This Row],[SP Initially Planned (COS)]]</f>
        <v>0</v>
      </c>
      <c r="O68"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68" s="108">
        <f>IFERROR(IF(Tabelle13245689[[#This Row],[Status]]=$J$5,MIN(Tabelle13245689[[#This Row],[Jira Story Points]],Tabelle13245689[[#This Row],[Carry-over]]),0),0)</f>
        <v>0</v>
      </c>
      <c r="Q68" s="108">
        <f>IFERROR(IF(Tabelle13245689[[#This Row],[Status]]=$J$5,0,MIN(Tabelle13245689[[#This Row],[Jira Story Points]],Tabelle13245689[[#This Row],[Carry-over]])-Tabelle13245689[[#This Row],[SP Completed (COS &amp; SOS)]]),0)</f>
        <v>0</v>
      </c>
      <c r="AJ68" s="112"/>
      <c r="AK68" s="112"/>
      <c r="AL68" s="112"/>
      <c r="AM68" s="112"/>
    </row>
    <row r="69" spans="1:39" s="46" customFormat="1" hidden="1">
      <c r="A69" s="88" t="s">
        <v>2595</v>
      </c>
      <c r="B69" s="46" t="s">
        <v>2596</v>
      </c>
      <c r="C69" s="76"/>
      <c r="D69" s="76">
        <v>3</v>
      </c>
      <c r="E69" s="76" t="s">
        <v>324</v>
      </c>
      <c r="F69" s="104">
        <v>5</v>
      </c>
      <c r="G69" s="78" t="s">
        <v>17</v>
      </c>
      <c r="H69" s="83"/>
      <c r="I69" s="103"/>
      <c r="J69" s="76" t="s">
        <v>125</v>
      </c>
      <c r="K69" s="104"/>
      <c r="L69" s="104"/>
      <c r="M69" s="105">
        <f>IF(Tabelle13245689[[#This Row],[Pulled after Start]]="",MIN(Tabelle13245689[[#This Row],[Jira Story Points]],Tabelle13245689[[#This Row],[Carry-over]]),0)</f>
        <v>5</v>
      </c>
      <c r="N69" s="106">
        <f>MIN(Tabelle13245689[[#This Row],[Jira Story Points]],Tabelle13245689[[#This Row],[Carry-over]])-Tabelle13245689[[#This Row],[SP Initially Planned (COS)]]</f>
        <v>0</v>
      </c>
      <c r="O69"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5</v>
      </c>
      <c r="P69" s="108">
        <f>IFERROR(IF(Tabelle13245689[[#This Row],[Status]]=$J$5,MIN(Tabelle13245689[[#This Row],[Jira Story Points]],Tabelle13245689[[#This Row],[Carry-over]]),0),0)</f>
        <v>0</v>
      </c>
      <c r="Q69" s="108">
        <f>IFERROR(IF(Tabelle13245689[[#This Row],[Status]]=$J$5,0,MIN(Tabelle13245689[[#This Row],[Jira Story Points]],Tabelle13245689[[#This Row],[Carry-over]])-Tabelle13245689[[#This Row],[SP Completed (COS &amp; SOS)]]),0)</f>
        <v>0</v>
      </c>
      <c r="AJ69" s="112"/>
      <c r="AK69" s="112"/>
      <c r="AL69" s="112"/>
      <c r="AM69" s="112"/>
    </row>
    <row r="70" spans="1:39" s="46" customFormat="1" ht="14.45" hidden="1" customHeight="1">
      <c r="A70" s="88" t="s">
        <v>2597</v>
      </c>
      <c r="B70" s="46" t="s">
        <v>2598</v>
      </c>
      <c r="C70" s="76"/>
      <c r="D70" s="76">
        <v>3</v>
      </c>
      <c r="E70" s="76" t="s">
        <v>324</v>
      </c>
      <c r="F70" s="104">
        <v>3</v>
      </c>
      <c r="G70" s="78" t="s">
        <v>17</v>
      </c>
      <c r="H70" s="83"/>
      <c r="I70" s="103"/>
      <c r="J70" s="76" t="s">
        <v>125</v>
      </c>
      <c r="K70" s="104"/>
      <c r="L70" s="104"/>
      <c r="M70" s="105">
        <f>IF(Tabelle13245689[[#This Row],[Pulled after Start]]="",MIN(Tabelle13245689[[#This Row],[Jira Story Points]],Tabelle13245689[[#This Row],[Carry-over]]),0)</f>
        <v>3</v>
      </c>
      <c r="N70" s="106">
        <f>MIN(Tabelle13245689[[#This Row],[Jira Story Points]],Tabelle13245689[[#This Row],[Carry-over]])-Tabelle13245689[[#This Row],[SP Initially Planned (COS)]]</f>
        <v>0</v>
      </c>
      <c r="O70"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70" s="108">
        <f>IFERROR(IF(Tabelle13245689[[#This Row],[Status]]=$J$5,MIN(Tabelle13245689[[#This Row],[Jira Story Points]],Tabelle13245689[[#This Row],[Carry-over]]),0),0)</f>
        <v>0</v>
      </c>
      <c r="Q70" s="108">
        <f>IFERROR(IF(Tabelle13245689[[#This Row],[Status]]=$J$5,0,MIN(Tabelle13245689[[#This Row],[Jira Story Points]],Tabelle13245689[[#This Row],[Carry-over]])-Tabelle13245689[[#This Row],[SP Completed (COS &amp; SOS)]]),0)</f>
        <v>0</v>
      </c>
      <c r="AJ70" s="112"/>
      <c r="AK70" s="112"/>
      <c r="AL70" s="112"/>
      <c r="AM70" s="112"/>
    </row>
    <row r="71" spans="1:39" s="46" customFormat="1" ht="14.45" hidden="1" customHeight="1">
      <c r="A71" s="88" t="s">
        <v>2599</v>
      </c>
      <c r="B71" s="46" t="s">
        <v>2600</v>
      </c>
      <c r="C71" s="76"/>
      <c r="D71" s="76">
        <v>3</v>
      </c>
      <c r="E71" s="78" t="s">
        <v>324</v>
      </c>
      <c r="F71" s="104">
        <v>13</v>
      </c>
      <c r="G71" s="78" t="s">
        <v>17</v>
      </c>
      <c r="H71" s="83"/>
      <c r="I71" s="103"/>
      <c r="J71" s="76" t="s">
        <v>125</v>
      </c>
      <c r="K71" s="104">
        <v>1</v>
      </c>
      <c r="L71" s="104"/>
      <c r="M71" s="105">
        <f>IF(Tabelle13245689[[#This Row],[Pulled after Start]]="",MIN(Tabelle13245689[[#This Row],[Jira Story Points]],Tabelle13245689[[#This Row],[Carry-over]]),0)</f>
        <v>1</v>
      </c>
      <c r="N71" s="106">
        <f>MIN(Tabelle13245689[[#This Row],[Jira Story Points]],Tabelle13245689[[#This Row],[Carry-over]])-Tabelle13245689[[#This Row],[SP Initially Planned (COS)]]</f>
        <v>0</v>
      </c>
      <c r="O71"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1</v>
      </c>
      <c r="P71" s="108">
        <f>IFERROR(IF(Tabelle13245689[[#This Row],[Status]]=$J$5,MIN(Tabelle13245689[[#This Row],[Jira Story Points]],Tabelle13245689[[#This Row],[Carry-over]]),0),0)</f>
        <v>0</v>
      </c>
      <c r="Q71" s="108">
        <f>IFERROR(IF(Tabelle13245689[[#This Row],[Status]]=$J$5,0,MIN(Tabelle13245689[[#This Row],[Jira Story Points]],Tabelle13245689[[#This Row],[Carry-over]])-Tabelle13245689[[#This Row],[SP Completed (COS &amp; SOS)]]),0)</f>
        <v>0</v>
      </c>
      <c r="AJ71" s="112"/>
      <c r="AK71" s="112"/>
      <c r="AL71" s="112"/>
      <c r="AM71" s="112"/>
    </row>
    <row r="72" spans="1:39" s="46" customFormat="1" ht="14.45" hidden="1" customHeight="1">
      <c r="A72" s="88" t="s">
        <v>2253</v>
      </c>
      <c r="B72" s="46" t="s">
        <v>2254</v>
      </c>
      <c r="C72" s="76"/>
      <c r="D72" s="76">
        <v>3</v>
      </c>
      <c r="E72" s="76" t="s">
        <v>327</v>
      </c>
      <c r="F72" s="104">
        <v>8</v>
      </c>
      <c r="G72" s="78" t="s">
        <v>17</v>
      </c>
      <c r="H72" s="83"/>
      <c r="I72" s="103"/>
      <c r="J72" s="76" t="s">
        <v>127</v>
      </c>
      <c r="K72" s="104"/>
      <c r="L72" s="104">
        <v>8</v>
      </c>
      <c r="M72" s="105">
        <f>IF(Tabelle13245689[[#This Row],[Pulled after Start]]="",MIN(Tabelle13245689[[#This Row],[Jira Story Points]],Tabelle13245689[[#This Row],[Carry-over]]),0)</f>
        <v>8</v>
      </c>
      <c r="N72" s="106">
        <f>MIN(Tabelle13245689[[#This Row],[Jira Story Points]],Tabelle13245689[[#This Row],[Carry-over]])-Tabelle13245689[[#This Row],[SP Initially Planned (COS)]]</f>
        <v>0</v>
      </c>
      <c r="O72"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72" s="108">
        <f>IFERROR(IF(Tabelle13245689[[#This Row],[Status]]=$J$5,MIN(Tabelle13245689[[#This Row],[Jira Story Points]],Tabelle13245689[[#This Row],[Carry-over]]),0),0)</f>
        <v>0</v>
      </c>
      <c r="Q72" s="108">
        <f>IFERROR(IF(Tabelle13245689[[#This Row],[Status]]=$J$5,0,MIN(Tabelle13245689[[#This Row],[Jira Story Points]],Tabelle13245689[[#This Row],[Carry-over]])-Tabelle13245689[[#This Row],[SP Completed (COS &amp; SOS)]]),0)</f>
        <v>8</v>
      </c>
      <c r="AJ72" s="112"/>
      <c r="AK72" s="112"/>
      <c r="AL72" s="112"/>
      <c r="AM72" s="112"/>
    </row>
    <row r="73" spans="1:39" s="46" customFormat="1" ht="14.45" hidden="1" customHeight="1">
      <c r="A73" s="88" t="s">
        <v>2601</v>
      </c>
      <c r="B73" s="46" t="s">
        <v>2602</v>
      </c>
      <c r="C73" s="76"/>
      <c r="D73" s="76">
        <v>3</v>
      </c>
      <c r="E73" s="76" t="s">
        <v>324</v>
      </c>
      <c r="F73" s="104">
        <v>3</v>
      </c>
      <c r="G73" s="78" t="s">
        <v>17</v>
      </c>
      <c r="H73" s="83"/>
      <c r="I73" s="103"/>
      <c r="J73" s="76" t="s">
        <v>125</v>
      </c>
      <c r="K73" s="104"/>
      <c r="L73" s="104"/>
      <c r="M73" s="105">
        <f>IF(Tabelle13245689[[#This Row],[Pulled after Start]]="",MIN(Tabelle13245689[[#This Row],[Jira Story Points]],Tabelle13245689[[#This Row],[Carry-over]]),0)</f>
        <v>3</v>
      </c>
      <c r="N73" s="106">
        <f>MIN(Tabelle13245689[[#This Row],[Jira Story Points]],Tabelle13245689[[#This Row],[Carry-over]])-Tabelle13245689[[#This Row],[SP Initially Planned (COS)]]</f>
        <v>0</v>
      </c>
      <c r="O73"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73" s="108">
        <f>IFERROR(IF(Tabelle13245689[[#This Row],[Status]]=$J$5,MIN(Tabelle13245689[[#This Row],[Jira Story Points]],Tabelle13245689[[#This Row],[Carry-over]]),0),0)</f>
        <v>0</v>
      </c>
      <c r="Q73" s="108">
        <f>IFERROR(IF(Tabelle13245689[[#This Row],[Status]]=$J$5,0,MIN(Tabelle13245689[[#This Row],[Jira Story Points]],Tabelle13245689[[#This Row],[Carry-over]])-Tabelle13245689[[#This Row],[SP Completed (COS &amp; SOS)]]),0)</f>
        <v>0</v>
      </c>
      <c r="AJ73" s="112"/>
      <c r="AK73" s="112"/>
      <c r="AL73" s="112"/>
      <c r="AM73" s="112"/>
    </row>
    <row r="74" spans="1:39" s="46" customFormat="1" ht="14.45" hidden="1" customHeight="1">
      <c r="A74" s="88" t="s">
        <v>2603</v>
      </c>
      <c r="B74" s="46" t="s">
        <v>2604</v>
      </c>
      <c r="C74" s="76"/>
      <c r="D74" s="76">
        <v>3</v>
      </c>
      <c r="E74" s="76" t="s">
        <v>324</v>
      </c>
      <c r="F74" s="104">
        <v>3</v>
      </c>
      <c r="G74" s="78" t="s">
        <v>17</v>
      </c>
      <c r="H74" s="83"/>
      <c r="I74" s="103"/>
      <c r="J74" s="76" t="s">
        <v>125</v>
      </c>
      <c r="K74" s="104">
        <v>2</v>
      </c>
      <c r="L74" s="104"/>
      <c r="M74" s="105">
        <f>IF(Tabelle13245689[[#This Row],[Pulled after Start]]="",MIN(Tabelle13245689[[#This Row],[Jira Story Points]],Tabelle13245689[[#This Row],[Carry-over]]),0)</f>
        <v>2</v>
      </c>
      <c r="N74" s="106">
        <f>MIN(Tabelle13245689[[#This Row],[Jira Story Points]],Tabelle13245689[[#This Row],[Carry-over]])-Tabelle13245689[[#This Row],[SP Initially Planned (COS)]]</f>
        <v>0</v>
      </c>
      <c r="O74"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74" s="108">
        <f>IFERROR(IF(Tabelle13245689[[#This Row],[Status]]=$J$5,MIN(Tabelle13245689[[#This Row],[Jira Story Points]],Tabelle13245689[[#This Row],[Carry-over]]),0),0)</f>
        <v>0</v>
      </c>
      <c r="Q74" s="108">
        <f>IFERROR(IF(Tabelle13245689[[#This Row],[Status]]=$J$5,0,MIN(Tabelle13245689[[#This Row],[Jira Story Points]],Tabelle13245689[[#This Row],[Carry-over]])-Tabelle13245689[[#This Row],[SP Completed (COS &amp; SOS)]]),0)</f>
        <v>0</v>
      </c>
    </row>
    <row r="75" spans="1:39" s="46" customFormat="1" ht="14.45" hidden="1" customHeight="1">
      <c r="A75" s="88" t="s">
        <v>2385</v>
      </c>
      <c r="B75" s="46" t="s">
        <v>2386</v>
      </c>
      <c r="C75" s="76"/>
      <c r="D75" s="76">
        <v>3</v>
      </c>
      <c r="E75" s="76" t="s">
        <v>327</v>
      </c>
      <c r="F75" s="104">
        <v>3</v>
      </c>
      <c r="G75" s="78" t="s">
        <v>17</v>
      </c>
      <c r="H75" s="83"/>
      <c r="I75" s="103"/>
      <c r="J75" s="76" t="s">
        <v>127</v>
      </c>
      <c r="K75" s="104"/>
      <c r="L75" s="104"/>
      <c r="M75" s="105">
        <f>IF(Tabelle13245689[[#This Row],[Pulled after Start]]="",MIN(Tabelle13245689[[#This Row],[Jira Story Points]],Tabelle13245689[[#This Row],[Carry-over]]),0)</f>
        <v>3</v>
      </c>
      <c r="N75" s="106">
        <f>MIN(Tabelle13245689[[#This Row],[Jira Story Points]],Tabelle13245689[[#This Row],[Carry-over]])-Tabelle13245689[[#This Row],[SP Initially Planned (COS)]]</f>
        <v>0</v>
      </c>
      <c r="O75"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75" s="108">
        <f>IFERROR(IF(Tabelle13245689[[#This Row],[Status]]=$J$5,MIN(Tabelle13245689[[#This Row],[Jira Story Points]],Tabelle13245689[[#This Row],[Carry-over]]),0),0)</f>
        <v>0</v>
      </c>
      <c r="Q75" s="108">
        <f>IFERROR(IF(Tabelle13245689[[#This Row],[Status]]=$J$5,0,MIN(Tabelle13245689[[#This Row],[Jira Story Points]],Tabelle13245689[[#This Row],[Carry-over]])-Tabelle13245689[[#This Row],[SP Completed (COS &amp; SOS)]]),0)</f>
        <v>3</v>
      </c>
    </row>
    <row r="76" spans="1:39" s="46" customFormat="1" ht="14.45" hidden="1" customHeight="1">
      <c r="A76" s="88"/>
      <c r="B76" s="88"/>
      <c r="C76" s="101"/>
      <c r="D76" s="101"/>
      <c r="E76" s="101"/>
      <c r="F76" s="101"/>
      <c r="G76" s="88"/>
      <c r="H76" s="101"/>
      <c r="I76" s="101"/>
      <c r="J76" s="76"/>
      <c r="K76" s="104"/>
      <c r="L76" s="104"/>
      <c r="M76" s="105">
        <f>IF(Tabelle13245689[[#This Row],[Pulled after Start]]="",MIN(Tabelle13245689[[#This Row],[Jira Story Points]],Tabelle13245689[[#This Row],[Carry-over]]),0)</f>
        <v>0</v>
      </c>
      <c r="N76" s="106">
        <f>MIN(Tabelle13245689[[#This Row],[Jira Story Points]],Tabelle13245689[[#This Row],[Carry-over]])-Tabelle13245689[[#This Row],[SP Initially Planned (COS)]]</f>
        <v>0</v>
      </c>
      <c r="O76"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76" s="108">
        <f>IFERROR(IF(Tabelle13245689[[#This Row],[Status]]=$J$5,MIN(Tabelle13245689[[#This Row],[Jira Story Points]],Tabelle13245689[[#This Row],[Carry-over]]),0),0)</f>
        <v>0</v>
      </c>
      <c r="Q76" s="108">
        <f>IFERROR(IF(Tabelle13245689[[#This Row],[Status]]=$J$5,0,MIN(Tabelle13245689[[#This Row],[Jira Story Points]],Tabelle13245689[[#This Row],[Carry-over]])-Tabelle13245689[[#This Row],[SP Completed (COS &amp; SOS)]]),0)</f>
        <v>0</v>
      </c>
    </row>
    <row r="77" spans="1:39" s="46" customFormat="1" ht="14.45" hidden="1" customHeight="1">
      <c r="A77" s="88" t="s">
        <v>2605</v>
      </c>
      <c r="B77" s="47" t="s">
        <v>2606</v>
      </c>
      <c r="C77" s="76" t="s">
        <v>382</v>
      </c>
      <c r="D77" s="76">
        <v>3</v>
      </c>
      <c r="E77" s="76" t="s">
        <v>324</v>
      </c>
      <c r="F77" s="76">
        <v>2</v>
      </c>
      <c r="G77" s="76" t="s">
        <v>24</v>
      </c>
      <c r="H77" s="83"/>
      <c r="I77" s="101"/>
      <c r="J77" s="76" t="s">
        <v>125</v>
      </c>
      <c r="K77" s="76"/>
      <c r="L77" s="76"/>
      <c r="M77" s="105">
        <f>IF(Tabelle13245689[[#This Row],[Pulled after Start]]="",MIN(Tabelle13245689[[#This Row],[Jira Story Points]],Tabelle13245689[[#This Row],[Carry-over]]),0)</f>
        <v>2</v>
      </c>
      <c r="N77" s="106">
        <f>MIN(Tabelle13245689[[#This Row],[Jira Story Points]],Tabelle13245689[[#This Row],[Carry-over]])-Tabelle13245689[[#This Row],[SP Initially Planned (COS)]]</f>
        <v>0</v>
      </c>
      <c r="O77"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77" s="108">
        <f>IFERROR(IF(Tabelle13245689[[#This Row],[Status]]=$J$5,MIN(Tabelle13245689[[#This Row],[Jira Story Points]],Tabelle13245689[[#This Row],[Carry-over]]),0),0)</f>
        <v>0</v>
      </c>
      <c r="Q77" s="108">
        <f>IFERROR(IF(Tabelle13245689[[#This Row],[Status]]=$J$5,0,MIN(Tabelle13245689[[#This Row],[Jira Story Points]],Tabelle13245689[[#This Row],[Carry-over]])-Tabelle13245689[[#This Row],[SP Completed (COS &amp; SOS)]]),0)</f>
        <v>0</v>
      </c>
    </row>
    <row r="78" spans="1:39" s="46" customFormat="1" ht="14.45" hidden="1" customHeight="1">
      <c r="A78" s="88" t="s">
        <v>2607</v>
      </c>
      <c r="B78" s="47" t="s">
        <v>2608</v>
      </c>
      <c r="C78" s="76" t="s">
        <v>382</v>
      </c>
      <c r="D78" s="76">
        <v>3</v>
      </c>
      <c r="E78" s="76" t="s">
        <v>324</v>
      </c>
      <c r="F78" s="76">
        <v>3</v>
      </c>
      <c r="G78" s="76" t="s">
        <v>24</v>
      </c>
      <c r="H78" s="83"/>
      <c r="I78" s="101"/>
      <c r="J78" s="76" t="s">
        <v>125</v>
      </c>
      <c r="K78" s="104"/>
      <c r="L78" s="104"/>
      <c r="M78" s="105">
        <f>IF(Tabelle13245689[[#This Row],[Pulled after Start]]="",MIN(Tabelle13245689[[#This Row],[Jira Story Points]],Tabelle13245689[[#This Row],[Carry-over]]),0)</f>
        <v>3</v>
      </c>
      <c r="N78" s="106">
        <f>MIN(Tabelle13245689[[#This Row],[Jira Story Points]],Tabelle13245689[[#This Row],[Carry-over]])-Tabelle13245689[[#This Row],[SP Initially Planned (COS)]]</f>
        <v>0</v>
      </c>
      <c r="O78"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78" s="108">
        <f>IFERROR(IF(Tabelle13245689[[#This Row],[Status]]=$J$5,MIN(Tabelle13245689[[#This Row],[Jira Story Points]],Tabelle13245689[[#This Row],[Carry-over]]),0),0)</f>
        <v>0</v>
      </c>
      <c r="Q78" s="108">
        <f>IFERROR(IF(Tabelle13245689[[#This Row],[Status]]=$J$5,0,MIN(Tabelle13245689[[#This Row],[Jira Story Points]],Tabelle13245689[[#This Row],[Carry-over]])-Tabelle13245689[[#This Row],[SP Completed (COS &amp; SOS)]]),0)</f>
        <v>0</v>
      </c>
    </row>
    <row r="79" spans="1:39" s="46" customFormat="1" ht="14.45" hidden="1" customHeight="1">
      <c r="A79" s="88" t="s">
        <v>2609</v>
      </c>
      <c r="B79" s="47" t="s">
        <v>2610</v>
      </c>
      <c r="C79" s="76" t="s">
        <v>375</v>
      </c>
      <c r="D79" s="76">
        <v>2</v>
      </c>
      <c r="E79" s="76" t="s">
        <v>324</v>
      </c>
      <c r="F79" s="76">
        <v>3</v>
      </c>
      <c r="G79" s="76" t="s">
        <v>24</v>
      </c>
      <c r="H79" s="83"/>
      <c r="I79" s="101"/>
      <c r="J79" s="76" t="s">
        <v>125</v>
      </c>
      <c r="K79" s="104"/>
      <c r="L79" s="104"/>
      <c r="M79" s="105">
        <f>IF(Tabelle13245689[[#This Row],[Pulled after Start]]="",MIN(Tabelle13245689[[#This Row],[Jira Story Points]],Tabelle13245689[[#This Row],[Carry-over]]),0)</f>
        <v>3</v>
      </c>
      <c r="N79" s="106">
        <f>MIN(Tabelle13245689[[#This Row],[Jira Story Points]],Tabelle13245689[[#This Row],[Carry-over]])-Tabelle13245689[[#This Row],[SP Initially Planned (COS)]]</f>
        <v>0</v>
      </c>
      <c r="O79"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79" s="108">
        <f>IFERROR(IF(Tabelle13245689[[#This Row],[Status]]=$J$5,MIN(Tabelle13245689[[#This Row],[Jira Story Points]],Tabelle13245689[[#This Row],[Carry-over]]),0),0)</f>
        <v>0</v>
      </c>
      <c r="Q79" s="108">
        <f>IFERROR(IF(Tabelle13245689[[#This Row],[Status]]=$J$5,0,MIN(Tabelle13245689[[#This Row],[Jira Story Points]],Tabelle13245689[[#This Row],[Carry-over]])-Tabelle13245689[[#This Row],[SP Completed (COS &amp; SOS)]]),0)</f>
        <v>0</v>
      </c>
    </row>
    <row r="80" spans="1:39" s="46" customFormat="1" ht="14.45" hidden="1" customHeight="1">
      <c r="A80" s="88" t="s">
        <v>2611</v>
      </c>
      <c r="B80" s="47" t="s">
        <v>2612</v>
      </c>
      <c r="C80" s="76" t="s">
        <v>372</v>
      </c>
      <c r="D80" s="76">
        <v>3</v>
      </c>
      <c r="E80" s="76" t="s">
        <v>324</v>
      </c>
      <c r="F80" s="76">
        <v>5</v>
      </c>
      <c r="G80" s="76" t="s">
        <v>24</v>
      </c>
      <c r="H80" s="83"/>
      <c r="I80" s="101"/>
      <c r="J80" s="76" t="s">
        <v>125</v>
      </c>
      <c r="K80" s="104"/>
      <c r="L80" s="104"/>
      <c r="M80" s="105">
        <f>IF(Tabelle13245689[[#This Row],[Pulled after Start]]="",MIN(Tabelle13245689[[#This Row],[Jira Story Points]],Tabelle13245689[[#This Row],[Carry-over]]),0)</f>
        <v>5</v>
      </c>
      <c r="N80" s="106">
        <f>MIN(Tabelle13245689[[#This Row],[Jira Story Points]],Tabelle13245689[[#This Row],[Carry-over]])-Tabelle13245689[[#This Row],[SP Initially Planned (COS)]]</f>
        <v>0</v>
      </c>
      <c r="O80"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5</v>
      </c>
      <c r="P80" s="108">
        <f>IFERROR(IF(Tabelle13245689[[#This Row],[Status]]=$J$5,MIN(Tabelle13245689[[#This Row],[Jira Story Points]],Tabelle13245689[[#This Row],[Carry-over]]),0),0)</f>
        <v>0</v>
      </c>
      <c r="Q80" s="108">
        <f>IFERROR(IF(Tabelle13245689[[#This Row],[Status]]=$J$5,0,MIN(Tabelle13245689[[#This Row],[Jira Story Points]],Tabelle13245689[[#This Row],[Carry-over]])-Tabelle13245689[[#This Row],[SP Completed (COS &amp; SOS)]]),0)</f>
        <v>0</v>
      </c>
    </row>
    <row r="81" spans="1:17" s="46" customFormat="1" ht="14.45" hidden="1" customHeight="1">
      <c r="A81" s="88" t="s">
        <v>2613</v>
      </c>
      <c r="B81" s="47" t="s">
        <v>2614</v>
      </c>
      <c r="C81" s="76" t="s">
        <v>382</v>
      </c>
      <c r="D81" s="76">
        <v>3</v>
      </c>
      <c r="E81" s="76" t="s">
        <v>324</v>
      </c>
      <c r="F81" s="76">
        <v>3</v>
      </c>
      <c r="G81" s="76" t="s">
        <v>24</v>
      </c>
      <c r="H81" s="83"/>
      <c r="I81" s="101"/>
      <c r="J81" s="76" t="s">
        <v>125</v>
      </c>
      <c r="K81" s="76"/>
      <c r="L81" s="76"/>
      <c r="M81" s="105">
        <f>IF(Tabelle13245689[[#This Row],[Pulled after Start]]="",MIN(Tabelle13245689[[#This Row],[Jira Story Points]],Tabelle13245689[[#This Row],[Carry-over]]),0)</f>
        <v>3</v>
      </c>
      <c r="N81" s="106">
        <f>MIN(Tabelle13245689[[#This Row],[Jira Story Points]],Tabelle13245689[[#This Row],[Carry-over]])-Tabelle13245689[[#This Row],[SP Initially Planned (COS)]]</f>
        <v>0</v>
      </c>
      <c r="O81"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81" s="108">
        <f>IFERROR(IF(Tabelle13245689[[#This Row],[Status]]=$J$5,MIN(Tabelle13245689[[#This Row],[Jira Story Points]],Tabelle13245689[[#This Row],[Carry-over]]),0),0)</f>
        <v>0</v>
      </c>
      <c r="Q81" s="108">
        <f>IFERROR(IF(Tabelle13245689[[#This Row],[Status]]=$J$5,0,MIN(Tabelle13245689[[#This Row],[Jira Story Points]],Tabelle13245689[[#This Row],[Carry-over]])-Tabelle13245689[[#This Row],[SP Completed (COS &amp; SOS)]]),0)</f>
        <v>0</v>
      </c>
    </row>
    <row r="82" spans="1:17" s="46" customFormat="1" ht="14.45" hidden="1" customHeight="1">
      <c r="A82" s="88" t="s">
        <v>2615</v>
      </c>
      <c r="B82" s="47" t="s">
        <v>2616</v>
      </c>
      <c r="C82" s="76" t="s">
        <v>372</v>
      </c>
      <c r="D82" s="76">
        <v>3</v>
      </c>
      <c r="E82" s="76" t="s">
        <v>327</v>
      </c>
      <c r="F82" s="76">
        <v>3</v>
      </c>
      <c r="G82" s="76" t="s">
        <v>24</v>
      </c>
      <c r="H82" s="83"/>
      <c r="I82" s="101"/>
      <c r="J82" s="76" t="s">
        <v>125</v>
      </c>
      <c r="K82" s="76"/>
      <c r="L82" s="76"/>
      <c r="M82" s="105">
        <f>IF(Tabelle13245689[[#This Row],[Pulled after Start]]="",MIN(Tabelle13245689[[#This Row],[Jira Story Points]],Tabelle13245689[[#This Row],[Carry-over]]),0)</f>
        <v>3</v>
      </c>
      <c r="N82" s="106">
        <f>MIN(Tabelle13245689[[#This Row],[Jira Story Points]],Tabelle13245689[[#This Row],[Carry-over]])-Tabelle13245689[[#This Row],[SP Initially Planned (COS)]]</f>
        <v>0</v>
      </c>
      <c r="O82"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82" s="108">
        <f>IFERROR(IF(Tabelle13245689[[#This Row],[Status]]=$J$5,MIN(Tabelle13245689[[#This Row],[Jira Story Points]],Tabelle13245689[[#This Row],[Carry-over]]),0),0)</f>
        <v>0</v>
      </c>
      <c r="Q82" s="108">
        <f>IFERROR(IF(Tabelle13245689[[#This Row],[Status]]=$J$5,0,MIN(Tabelle13245689[[#This Row],[Jira Story Points]],Tabelle13245689[[#This Row],[Carry-over]])-Tabelle13245689[[#This Row],[SP Completed (COS &amp; SOS)]]),0)</f>
        <v>0</v>
      </c>
    </row>
    <row r="83" spans="1:17" s="46" customFormat="1" hidden="1">
      <c r="A83" s="88" t="s">
        <v>2617</v>
      </c>
      <c r="B83" s="47" t="s">
        <v>2618</v>
      </c>
      <c r="C83" s="76" t="s">
        <v>382</v>
      </c>
      <c r="D83" s="76">
        <v>3</v>
      </c>
      <c r="E83" s="76" t="s">
        <v>324</v>
      </c>
      <c r="F83" s="76">
        <v>5</v>
      </c>
      <c r="G83" s="76" t="s">
        <v>24</v>
      </c>
      <c r="H83" s="83"/>
      <c r="I83" s="101"/>
      <c r="J83" s="76" t="s">
        <v>125</v>
      </c>
      <c r="K83" s="104"/>
      <c r="L83" s="104"/>
      <c r="M83" s="105">
        <f>IF(Tabelle13245689[[#This Row],[Pulled after Start]]="",MIN(Tabelle13245689[[#This Row],[Jira Story Points]],Tabelle13245689[[#This Row],[Carry-over]]),0)</f>
        <v>5</v>
      </c>
      <c r="N83" s="106">
        <f>MIN(Tabelle13245689[[#This Row],[Jira Story Points]],Tabelle13245689[[#This Row],[Carry-over]])-Tabelle13245689[[#This Row],[SP Initially Planned (COS)]]</f>
        <v>0</v>
      </c>
      <c r="O83"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5</v>
      </c>
      <c r="P83" s="108">
        <f>IFERROR(IF(Tabelle13245689[[#This Row],[Status]]=$J$5,MIN(Tabelle13245689[[#This Row],[Jira Story Points]],Tabelle13245689[[#This Row],[Carry-over]]),0),0)</f>
        <v>0</v>
      </c>
      <c r="Q83" s="108">
        <f>IFERROR(IF(Tabelle13245689[[#This Row],[Status]]=$J$5,0,MIN(Tabelle13245689[[#This Row],[Jira Story Points]],Tabelle13245689[[#This Row],[Carry-over]])-Tabelle13245689[[#This Row],[SP Completed (COS &amp; SOS)]]),0)</f>
        <v>0</v>
      </c>
    </row>
    <row r="84" spans="1:17" s="46" customFormat="1" ht="13.5" hidden="1" customHeight="1">
      <c r="A84" s="88" t="s">
        <v>2619</v>
      </c>
      <c r="B84" s="47" t="s">
        <v>2620</v>
      </c>
      <c r="C84" s="76" t="s">
        <v>382</v>
      </c>
      <c r="D84" s="76">
        <v>3</v>
      </c>
      <c r="E84" s="76" t="s">
        <v>324</v>
      </c>
      <c r="F84" s="76">
        <v>3</v>
      </c>
      <c r="G84" s="76" t="s">
        <v>24</v>
      </c>
      <c r="H84" s="83"/>
      <c r="I84" s="101"/>
      <c r="J84" s="76" t="s">
        <v>125</v>
      </c>
      <c r="K84" s="104"/>
      <c r="L84" s="104"/>
      <c r="M84" s="105">
        <f>IF(Tabelle13245689[[#This Row],[Pulled after Start]]="",MIN(Tabelle13245689[[#This Row],[Jira Story Points]],Tabelle13245689[[#This Row],[Carry-over]]),0)</f>
        <v>3</v>
      </c>
      <c r="N84" s="106">
        <f>MIN(Tabelle13245689[[#This Row],[Jira Story Points]],Tabelle13245689[[#This Row],[Carry-over]])-Tabelle13245689[[#This Row],[SP Initially Planned (COS)]]</f>
        <v>0</v>
      </c>
      <c r="O84"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84" s="108">
        <f>IFERROR(IF(Tabelle13245689[[#This Row],[Status]]=$J$5,MIN(Tabelle13245689[[#This Row],[Jira Story Points]],Tabelle13245689[[#This Row],[Carry-over]]),0),0)</f>
        <v>0</v>
      </c>
      <c r="Q84" s="108">
        <f>IFERROR(IF(Tabelle13245689[[#This Row],[Status]]=$J$5,0,MIN(Tabelle13245689[[#This Row],[Jira Story Points]],Tabelle13245689[[#This Row],[Carry-over]])-Tabelle13245689[[#This Row],[SP Completed (COS &amp; SOS)]]),0)</f>
        <v>0</v>
      </c>
    </row>
    <row r="85" spans="1:17" s="46" customFormat="1" ht="13.5" hidden="1" customHeight="1">
      <c r="A85" s="88" t="s">
        <v>2621</v>
      </c>
      <c r="B85" s="47" t="s">
        <v>2622</v>
      </c>
      <c r="C85" s="76" t="s">
        <v>372</v>
      </c>
      <c r="D85" s="76">
        <v>3</v>
      </c>
      <c r="E85" s="76" t="s">
        <v>324</v>
      </c>
      <c r="F85" s="76">
        <v>5</v>
      </c>
      <c r="G85" s="76" t="s">
        <v>24</v>
      </c>
      <c r="H85" s="83"/>
      <c r="I85" s="101"/>
      <c r="J85" s="76" t="s">
        <v>125</v>
      </c>
      <c r="K85" s="76"/>
      <c r="L85" s="76"/>
      <c r="M85" s="105">
        <f>IF(Tabelle13245689[[#This Row],[Pulled after Start]]="",MIN(Tabelle13245689[[#This Row],[Jira Story Points]],Tabelle13245689[[#This Row],[Carry-over]]),0)</f>
        <v>5</v>
      </c>
      <c r="N85" s="106">
        <f>MIN(Tabelle13245689[[#This Row],[Jira Story Points]],Tabelle13245689[[#This Row],[Carry-over]])-Tabelle13245689[[#This Row],[SP Initially Planned (COS)]]</f>
        <v>0</v>
      </c>
      <c r="O85"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5</v>
      </c>
      <c r="P85" s="108">
        <f>IFERROR(IF(Tabelle13245689[[#This Row],[Status]]=$J$5,MIN(Tabelle13245689[[#This Row],[Jira Story Points]],Tabelle13245689[[#This Row],[Carry-over]]),0),0)</f>
        <v>0</v>
      </c>
      <c r="Q85" s="108">
        <f>IFERROR(IF(Tabelle13245689[[#This Row],[Status]]=$J$5,0,MIN(Tabelle13245689[[#This Row],[Jira Story Points]],Tabelle13245689[[#This Row],[Carry-over]])-Tabelle13245689[[#This Row],[SP Completed (COS &amp; SOS)]]),0)</f>
        <v>0</v>
      </c>
    </row>
    <row r="86" spans="1:17" s="46" customFormat="1" ht="13.5" hidden="1" customHeight="1">
      <c r="A86" s="88" t="s">
        <v>2279</v>
      </c>
      <c r="B86" s="47" t="s">
        <v>2280</v>
      </c>
      <c r="C86" s="76" t="s">
        <v>372</v>
      </c>
      <c r="D86" s="76">
        <v>3</v>
      </c>
      <c r="E86" s="76" t="s">
        <v>327</v>
      </c>
      <c r="F86" s="76">
        <v>1</v>
      </c>
      <c r="G86" s="76" t="s">
        <v>24</v>
      </c>
      <c r="H86" s="83"/>
      <c r="I86" s="101"/>
      <c r="J86" s="76" t="s">
        <v>125</v>
      </c>
      <c r="K86" s="76"/>
      <c r="L86" s="76"/>
      <c r="M86" s="105">
        <f>IF(Tabelle13245689[[#This Row],[Pulled after Start]]="",MIN(Tabelle13245689[[#This Row],[Jira Story Points]],Tabelle13245689[[#This Row],[Carry-over]]),0)</f>
        <v>1</v>
      </c>
      <c r="N86" s="106">
        <f>MIN(Tabelle13245689[[#This Row],[Jira Story Points]],Tabelle13245689[[#This Row],[Carry-over]])-Tabelle13245689[[#This Row],[SP Initially Planned (COS)]]</f>
        <v>0</v>
      </c>
      <c r="O86"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1</v>
      </c>
      <c r="P86" s="108">
        <f>IFERROR(IF(Tabelle13245689[[#This Row],[Status]]=$J$5,MIN(Tabelle13245689[[#This Row],[Jira Story Points]],Tabelle13245689[[#This Row],[Carry-over]]),0),0)</f>
        <v>0</v>
      </c>
      <c r="Q86" s="108">
        <f>IFERROR(IF(Tabelle13245689[[#This Row],[Status]]=$J$5,0,MIN(Tabelle13245689[[#This Row],[Jira Story Points]],Tabelle13245689[[#This Row],[Carry-over]])-Tabelle13245689[[#This Row],[SP Completed (COS &amp; SOS)]]),0)</f>
        <v>0</v>
      </c>
    </row>
    <row r="87" spans="1:17" s="46" customFormat="1" ht="13.5" hidden="1" customHeight="1">
      <c r="A87" s="88" t="s">
        <v>2343</v>
      </c>
      <c r="B87" s="47" t="s">
        <v>2344</v>
      </c>
      <c r="C87" s="76" t="s">
        <v>382</v>
      </c>
      <c r="D87" s="76">
        <v>3</v>
      </c>
      <c r="E87" s="76" t="s">
        <v>330</v>
      </c>
      <c r="F87" s="76">
        <v>3</v>
      </c>
      <c r="G87" s="76" t="s">
        <v>24</v>
      </c>
      <c r="H87" s="83"/>
      <c r="I87" s="101"/>
      <c r="J87" s="76" t="s">
        <v>125</v>
      </c>
      <c r="K87" s="104"/>
      <c r="L87" s="104"/>
      <c r="M87" s="105">
        <f>IF(Tabelle13245689[[#This Row],[Pulled after Start]]="",MIN(Tabelle13245689[[#This Row],[Jira Story Points]],Tabelle13245689[[#This Row],[Carry-over]]),0)</f>
        <v>3</v>
      </c>
      <c r="N87" s="106">
        <f>MIN(Tabelle13245689[[#This Row],[Jira Story Points]],Tabelle13245689[[#This Row],[Carry-over]])-Tabelle13245689[[#This Row],[SP Initially Planned (COS)]]</f>
        <v>0</v>
      </c>
      <c r="O87"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87" s="108">
        <f>IFERROR(IF(Tabelle13245689[[#This Row],[Status]]=$J$5,MIN(Tabelle13245689[[#This Row],[Jira Story Points]],Tabelle13245689[[#This Row],[Carry-over]]),0),0)</f>
        <v>0</v>
      </c>
      <c r="Q87" s="108">
        <f>IFERROR(IF(Tabelle13245689[[#This Row],[Status]]=$J$5,0,MIN(Tabelle13245689[[#This Row],[Jira Story Points]],Tabelle13245689[[#This Row],[Carry-over]])-Tabelle13245689[[#This Row],[SP Completed (COS &amp; SOS)]]),0)</f>
        <v>0</v>
      </c>
    </row>
    <row r="88" spans="1:17" s="46" customFormat="1" ht="13.5" hidden="1" customHeight="1">
      <c r="A88" s="88" t="s">
        <v>2623</v>
      </c>
      <c r="B88" s="47" t="s">
        <v>2624</v>
      </c>
      <c r="C88" s="76" t="s">
        <v>375</v>
      </c>
      <c r="D88" s="76">
        <v>3</v>
      </c>
      <c r="E88" s="76" t="s">
        <v>324</v>
      </c>
      <c r="F88" s="76">
        <v>3</v>
      </c>
      <c r="G88" s="76" t="s">
        <v>24</v>
      </c>
      <c r="H88" s="83"/>
      <c r="I88" s="101"/>
      <c r="J88" s="76" t="s">
        <v>125</v>
      </c>
      <c r="K88" s="104"/>
      <c r="L88" s="104"/>
      <c r="M88" s="105">
        <f>IF(Tabelle13245689[[#This Row],[Pulled after Start]]="",MIN(Tabelle13245689[[#This Row],[Jira Story Points]],Tabelle13245689[[#This Row],[Carry-over]]),0)</f>
        <v>3</v>
      </c>
      <c r="N88" s="106">
        <f>MIN(Tabelle13245689[[#This Row],[Jira Story Points]],Tabelle13245689[[#This Row],[Carry-over]])-Tabelle13245689[[#This Row],[SP Initially Planned (COS)]]</f>
        <v>0</v>
      </c>
      <c r="O88"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88" s="108">
        <f>IFERROR(IF(Tabelle13245689[[#This Row],[Status]]=$J$5,MIN(Tabelle13245689[[#This Row],[Jira Story Points]],Tabelle13245689[[#This Row],[Carry-over]]),0),0)</f>
        <v>0</v>
      </c>
      <c r="Q88" s="108">
        <f>IFERROR(IF(Tabelle13245689[[#This Row],[Status]]=$J$5,0,MIN(Tabelle13245689[[#This Row],[Jira Story Points]],Tabelle13245689[[#This Row],[Carry-over]])-Tabelle13245689[[#This Row],[SP Completed (COS &amp; SOS)]]),0)</f>
        <v>0</v>
      </c>
    </row>
    <row r="89" spans="1:17" s="46" customFormat="1" ht="13.5" hidden="1" customHeight="1">
      <c r="A89" s="88" t="s">
        <v>2625</v>
      </c>
      <c r="B89" s="47" t="s">
        <v>2626</v>
      </c>
      <c r="C89" s="76" t="s">
        <v>372</v>
      </c>
      <c r="D89" s="76">
        <v>3</v>
      </c>
      <c r="E89" s="76" t="s">
        <v>324</v>
      </c>
      <c r="F89" s="76">
        <v>2</v>
      </c>
      <c r="G89" s="76" t="s">
        <v>24</v>
      </c>
      <c r="H89" s="83" t="s">
        <v>209</v>
      </c>
      <c r="I89" s="101"/>
      <c r="J89" s="76" t="s">
        <v>125</v>
      </c>
      <c r="K89" s="104"/>
      <c r="L89" s="104"/>
      <c r="M89" s="105">
        <f>IF(Tabelle13245689[[#This Row],[Pulled after Start]]="",MIN(Tabelle13245689[[#This Row],[Jira Story Points]],Tabelle13245689[[#This Row],[Carry-over]]),0)</f>
        <v>0</v>
      </c>
      <c r="N89" s="106">
        <f>MIN(Tabelle13245689[[#This Row],[Jira Story Points]],Tabelle13245689[[#This Row],[Carry-over]])-Tabelle13245689[[#This Row],[SP Initially Planned (COS)]]</f>
        <v>2</v>
      </c>
      <c r="O89"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89" s="108">
        <f>IFERROR(IF(Tabelle13245689[[#This Row],[Status]]=$J$5,MIN(Tabelle13245689[[#This Row],[Jira Story Points]],Tabelle13245689[[#This Row],[Carry-over]]),0),0)</f>
        <v>0</v>
      </c>
      <c r="Q89" s="108">
        <f>IFERROR(IF(Tabelle13245689[[#This Row],[Status]]=$J$5,0,MIN(Tabelle13245689[[#This Row],[Jira Story Points]],Tabelle13245689[[#This Row],[Carry-over]])-Tabelle13245689[[#This Row],[SP Completed (COS &amp; SOS)]]),0)</f>
        <v>0</v>
      </c>
    </row>
    <row r="90" spans="1:17" s="46" customFormat="1" ht="13.5" hidden="1" customHeight="1">
      <c r="A90" s="88" t="s">
        <v>2349</v>
      </c>
      <c r="B90" s="47" t="s">
        <v>2350</v>
      </c>
      <c r="C90" s="76" t="s">
        <v>382</v>
      </c>
      <c r="D90" s="76">
        <v>3</v>
      </c>
      <c r="E90" s="76" t="s">
        <v>330</v>
      </c>
      <c r="F90" s="76">
        <v>3</v>
      </c>
      <c r="G90" s="76" t="s">
        <v>24</v>
      </c>
      <c r="H90" s="83"/>
      <c r="I90" s="101"/>
      <c r="J90" s="76" t="s">
        <v>127</v>
      </c>
      <c r="K90" s="104"/>
      <c r="L90" s="104">
        <v>1</v>
      </c>
      <c r="M90" s="105">
        <f>IF(Tabelle13245689[[#This Row],[Pulled after Start]]="",MIN(Tabelle13245689[[#This Row],[Jira Story Points]],Tabelle13245689[[#This Row],[Carry-over]]),0)</f>
        <v>3</v>
      </c>
      <c r="N90" s="106">
        <f>MIN(Tabelle13245689[[#This Row],[Jira Story Points]],Tabelle13245689[[#This Row],[Carry-over]])-Tabelle13245689[[#This Row],[SP Initially Planned (COS)]]</f>
        <v>0</v>
      </c>
      <c r="O90"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90" s="108">
        <f>IFERROR(IF(Tabelle13245689[[#This Row],[Status]]=$J$5,MIN(Tabelle13245689[[#This Row],[Jira Story Points]],Tabelle13245689[[#This Row],[Carry-over]]),0),0)</f>
        <v>0</v>
      </c>
      <c r="Q90" s="108">
        <f>IFERROR(IF(Tabelle13245689[[#This Row],[Status]]=$J$5,0,MIN(Tabelle13245689[[#This Row],[Jira Story Points]],Tabelle13245689[[#This Row],[Carry-over]])-Tabelle13245689[[#This Row],[SP Completed (COS &amp; SOS)]]),0)</f>
        <v>1</v>
      </c>
    </row>
    <row r="91" spans="1:17" s="46" customFormat="1" ht="13.5" hidden="1" customHeight="1">
      <c r="A91" s="88" t="s">
        <v>2347</v>
      </c>
      <c r="B91" s="47" t="s">
        <v>2348</v>
      </c>
      <c r="C91" s="76" t="s">
        <v>382</v>
      </c>
      <c r="D91" s="76">
        <v>3</v>
      </c>
      <c r="E91" s="76" t="s">
        <v>448</v>
      </c>
      <c r="F91" s="76">
        <v>3</v>
      </c>
      <c r="G91" s="76" t="s">
        <v>24</v>
      </c>
      <c r="H91" s="83"/>
      <c r="I91" s="101"/>
      <c r="J91" s="76" t="s">
        <v>125</v>
      </c>
      <c r="K91" s="104"/>
      <c r="L91" s="104"/>
      <c r="M91" s="105">
        <f>IF(Tabelle13245689[[#This Row],[Pulled after Start]]="",MIN(Tabelle13245689[[#This Row],[Jira Story Points]],Tabelle13245689[[#This Row],[Carry-over]]),0)</f>
        <v>3</v>
      </c>
      <c r="N91" s="106">
        <f>MIN(Tabelle13245689[[#This Row],[Jira Story Points]],Tabelle13245689[[#This Row],[Carry-over]])-Tabelle13245689[[#This Row],[SP Initially Planned (COS)]]</f>
        <v>0</v>
      </c>
      <c r="O91"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91" s="108">
        <f>IFERROR(IF(Tabelle13245689[[#This Row],[Status]]=$J$5,MIN(Tabelle13245689[[#This Row],[Jira Story Points]],Tabelle13245689[[#This Row],[Carry-over]]),0),0)</f>
        <v>0</v>
      </c>
      <c r="Q91" s="108">
        <f>IFERROR(IF(Tabelle13245689[[#This Row],[Status]]=$J$5,0,MIN(Tabelle13245689[[#This Row],[Jira Story Points]],Tabelle13245689[[#This Row],[Carry-over]])-Tabelle13245689[[#This Row],[SP Completed (COS &amp; SOS)]]),0)</f>
        <v>0</v>
      </c>
    </row>
    <row r="92" spans="1:17" s="46" customFormat="1" ht="13.5" hidden="1" customHeight="1">
      <c r="A92" s="88" t="s">
        <v>2627</v>
      </c>
      <c r="B92" s="47" t="s">
        <v>2628</v>
      </c>
      <c r="C92" s="76" t="s">
        <v>382</v>
      </c>
      <c r="D92" s="76">
        <v>3</v>
      </c>
      <c r="E92" s="76" t="s">
        <v>324</v>
      </c>
      <c r="F92" s="76">
        <v>1</v>
      </c>
      <c r="G92" s="76" t="s">
        <v>24</v>
      </c>
      <c r="H92" s="83" t="s">
        <v>209</v>
      </c>
      <c r="J92" s="76" t="s">
        <v>125</v>
      </c>
      <c r="K92" s="104"/>
      <c r="L92" s="104"/>
      <c r="M92" s="105">
        <f>IF(Tabelle13245689[[#This Row],[Pulled after Start]]="",MIN(Tabelle13245689[[#This Row],[Jira Story Points]],Tabelle13245689[[#This Row],[Carry-over]]),0)</f>
        <v>0</v>
      </c>
      <c r="N92" s="106">
        <f>MIN(Tabelle13245689[[#This Row],[Jira Story Points]],Tabelle13245689[[#This Row],[Carry-over]])-Tabelle13245689[[#This Row],[SP Initially Planned (COS)]]</f>
        <v>1</v>
      </c>
      <c r="O92"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1</v>
      </c>
      <c r="P92" s="108">
        <f>IFERROR(IF(Tabelle13245689[[#This Row],[Status]]=$J$5,MIN(Tabelle13245689[[#This Row],[Jira Story Points]],Tabelle13245689[[#This Row],[Carry-over]]),0),0)</f>
        <v>0</v>
      </c>
      <c r="Q92" s="108">
        <f>IFERROR(IF(Tabelle13245689[[#This Row],[Status]]=$J$5,0,MIN(Tabelle13245689[[#This Row],[Jira Story Points]],Tabelle13245689[[#This Row],[Carry-over]])-Tabelle13245689[[#This Row],[SP Completed (COS &amp; SOS)]]),0)</f>
        <v>0</v>
      </c>
    </row>
    <row r="93" spans="1:17" s="46" customFormat="1" ht="13.5" hidden="1" customHeight="1">
      <c r="A93" s="115" t="s">
        <v>2629</v>
      </c>
      <c r="B93" s="47" t="s">
        <v>2630</v>
      </c>
      <c r="C93" s="76" t="s">
        <v>382</v>
      </c>
      <c r="D93" s="76">
        <v>3</v>
      </c>
      <c r="E93" s="76" t="s">
        <v>324</v>
      </c>
      <c r="F93" s="76">
        <v>2</v>
      </c>
      <c r="G93" s="76" t="s">
        <v>24</v>
      </c>
      <c r="H93" s="83" t="s">
        <v>209</v>
      </c>
      <c r="I93" s="103"/>
      <c r="J93" s="76" t="s">
        <v>125</v>
      </c>
      <c r="K93" s="104"/>
      <c r="L93" s="104"/>
      <c r="M93" s="105">
        <f>IF(Tabelle13245689[[#This Row],[Pulled after Start]]="",MIN(Tabelle13245689[[#This Row],[Jira Story Points]],Tabelle13245689[[#This Row],[Carry-over]]),0)</f>
        <v>0</v>
      </c>
      <c r="N93" s="106">
        <f>MIN(Tabelle13245689[[#This Row],[Jira Story Points]],Tabelle13245689[[#This Row],[Carry-over]])-Tabelle13245689[[#This Row],[SP Initially Planned (COS)]]</f>
        <v>2</v>
      </c>
      <c r="O93"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93" s="108">
        <f>IFERROR(IF(Tabelle13245689[[#This Row],[Status]]=$J$5,MIN(Tabelle13245689[[#This Row],[Jira Story Points]],Tabelle13245689[[#This Row],[Carry-over]]),0),0)</f>
        <v>0</v>
      </c>
      <c r="Q93" s="108">
        <f>IFERROR(IF(Tabelle13245689[[#This Row],[Status]]=$J$5,0,MIN(Tabelle13245689[[#This Row],[Jira Story Points]],Tabelle13245689[[#This Row],[Carry-over]])-Tabelle13245689[[#This Row],[SP Completed (COS &amp; SOS)]]),0)</f>
        <v>0</v>
      </c>
    </row>
    <row r="94" spans="1:17" s="46" customFormat="1" ht="13.5" hidden="1" customHeight="1">
      <c r="A94" s="118" t="s">
        <v>2631</v>
      </c>
      <c r="B94" s="47" t="s">
        <v>2632</v>
      </c>
      <c r="C94" s="76" t="s">
        <v>372</v>
      </c>
      <c r="D94" s="76">
        <v>2</v>
      </c>
      <c r="E94" s="76" t="s">
        <v>324</v>
      </c>
      <c r="F94" s="76">
        <v>8</v>
      </c>
      <c r="G94" s="76" t="s">
        <v>21</v>
      </c>
      <c r="H94" s="47"/>
      <c r="I94" s="103"/>
      <c r="J94" s="76" t="s">
        <v>125</v>
      </c>
      <c r="K94" s="104"/>
      <c r="L94" s="104"/>
      <c r="M94" s="105">
        <f>IF(Tabelle13245689[[#This Row],[Pulled after Start]]="",MIN(Tabelle13245689[[#This Row],[Jira Story Points]],Tabelle13245689[[#This Row],[Carry-over]]),0)</f>
        <v>8</v>
      </c>
      <c r="N94" s="106">
        <f>MIN(Tabelle13245689[[#This Row],[Jira Story Points]],Tabelle13245689[[#This Row],[Carry-over]])-Tabelle13245689[[#This Row],[SP Initially Planned (COS)]]</f>
        <v>0</v>
      </c>
      <c r="O94"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8</v>
      </c>
      <c r="P94" s="108">
        <f>IFERROR(IF(Tabelle13245689[[#This Row],[Status]]=$J$5,MIN(Tabelle13245689[[#This Row],[Jira Story Points]],Tabelle13245689[[#This Row],[Carry-over]]),0),0)</f>
        <v>0</v>
      </c>
      <c r="Q94" s="108">
        <f>IFERROR(IF(Tabelle13245689[[#This Row],[Status]]=$J$5,0,MIN(Tabelle13245689[[#This Row],[Jira Story Points]],Tabelle13245689[[#This Row],[Carry-over]])-Tabelle13245689[[#This Row],[SP Completed (COS &amp; SOS)]]),0)</f>
        <v>0</v>
      </c>
    </row>
    <row r="95" spans="1:17" s="46" customFormat="1" ht="13.5" hidden="1" customHeight="1">
      <c r="A95" s="118" t="s">
        <v>2633</v>
      </c>
      <c r="B95" s="47" t="s">
        <v>2634</v>
      </c>
      <c r="C95" s="76" t="s">
        <v>372</v>
      </c>
      <c r="D95" s="76">
        <v>2</v>
      </c>
      <c r="E95" s="76" t="s">
        <v>324</v>
      </c>
      <c r="F95" s="76">
        <v>5</v>
      </c>
      <c r="G95" s="76" t="s">
        <v>21</v>
      </c>
      <c r="H95" s="47"/>
      <c r="I95" s="103"/>
      <c r="J95" s="76" t="s">
        <v>125</v>
      </c>
      <c r="K95" s="104"/>
      <c r="L95" s="104"/>
      <c r="M95" s="105">
        <f>IF(Tabelle13245689[[#This Row],[Pulled after Start]]="",MIN(Tabelle13245689[[#This Row],[Jira Story Points]],Tabelle13245689[[#This Row],[Carry-over]]),0)</f>
        <v>5</v>
      </c>
      <c r="N95" s="106">
        <f>MIN(Tabelle13245689[[#This Row],[Jira Story Points]],Tabelle13245689[[#This Row],[Carry-over]])-Tabelle13245689[[#This Row],[SP Initially Planned (COS)]]</f>
        <v>0</v>
      </c>
      <c r="O95"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5</v>
      </c>
      <c r="P95" s="108">
        <f>IFERROR(IF(Tabelle13245689[[#This Row],[Status]]=$J$5,MIN(Tabelle13245689[[#This Row],[Jira Story Points]],Tabelle13245689[[#This Row],[Carry-over]]),0),0)</f>
        <v>0</v>
      </c>
      <c r="Q95" s="108">
        <f>IFERROR(IF(Tabelle13245689[[#This Row],[Status]]=$J$5,0,MIN(Tabelle13245689[[#This Row],[Jira Story Points]],Tabelle13245689[[#This Row],[Carry-over]])-Tabelle13245689[[#This Row],[SP Completed (COS &amp; SOS)]]),0)</f>
        <v>0</v>
      </c>
    </row>
    <row r="96" spans="1:17" s="46" customFormat="1" ht="13.5" hidden="1" customHeight="1">
      <c r="A96" s="118" t="s">
        <v>2635</v>
      </c>
      <c r="B96" s="47" t="s">
        <v>2636</v>
      </c>
      <c r="C96" s="76" t="s">
        <v>372</v>
      </c>
      <c r="D96" s="76">
        <v>3</v>
      </c>
      <c r="E96" s="76" t="s">
        <v>324</v>
      </c>
      <c r="F96" s="76">
        <v>3</v>
      </c>
      <c r="G96" s="76" t="s">
        <v>21</v>
      </c>
      <c r="H96" s="83" t="s">
        <v>209</v>
      </c>
      <c r="I96" s="103"/>
      <c r="J96" s="76" t="s">
        <v>125</v>
      </c>
      <c r="K96" s="104"/>
      <c r="L96" s="104"/>
      <c r="M96" s="105">
        <f>IF(Tabelle13245689[[#This Row],[Pulled after Start]]="",MIN(Tabelle13245689[[#This Row],[Jira Story Points]],Tabelle13245689[[#This Row],[Carry-over]]),0)</f>
        <v>0</v>
      </c>
      <c r="N96" s="106">
        <f>MIN(Tabelle13245689[[#This Row],[Jira Story Points]],Tabelle13245689[[#This Row],[Carry-over]])-Tabelle13245689[[#This Row],[SP Initially Planned (COS)]]</f>
        <v>3</v>
      </c>
      <c r="O96"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96" s="108">
        <f>IFERROR(IF(Tabelle13245689[[#This Row],[Status]]=$J$5,MIN(Tabelle13245689[[#This Row],[Jira Story Points]],Tabelle13245689[[#This Row],[Carry-over]]),0),0)</f>
        <v>0</v>
      </c>
      <c r="Q96" s="108">
        <f>IFERROR(IF(Tabelle13245689[[#This Row],[Status]]=$J$5,0,MIN(Tabelle13245689[[#This Row],[Jira Story Points]],Tabelle13245689[[#This Row],[Carry-over]])-Tabelle13245689[[#This Row],[SP Completed (COS &amp; SOS)]]),0)</f>
        <v>0</v>
      </c>
    </row>
    <row r="97" spans="1:17" s="46" customFormat="1" ht="13.5" hidden="1" customHeight="1">
      <c r="A97" s="118" t="s">
        <v>2637</v>
      </c>
      <c r="B97" s="47" t="s">
        <v>2638</v>
      </c>
      <c r="C97" s="76" t="s">
        <v>372</v>
      </c>
      <c r="D97" s="76">
        <v>2</v>
      </c>
      <c r="E97" s="76" t="s">
        <v>324</v>
      </c>
      <c r="F97" s="76">
        <v>5</v>
      </c>
      <c r="G97" s="76" t="s">
        <v>21</v>
      </c>
      <c r="H97" s="47"/>
      <c r="I97" s="103"/>
      <c r="J97" s="76" t="s">
        <v>125</v>
      </c>
      <c r="K97" s="104"/>
      <c r="L97" s="104"/>
      <c r="M97" s="105">
        <f>IF(Tabelle13245689[[#This Row],[Pulled after Start]]="",MIN(Tabelle13245689[[#This Row],[Jira Story Points]],Tabelle13245689[[#This Row],[Carry-over]]),0)</f>
        <v>5</v>
      </c>
      <c r="N97" s="106">
        <f>MIN(Tabelle13245689[[#This Row],[Jira Story Points]],Tabelle13245689[[#This Row],[Carry-over]])-Tabelle13245689[[#This Row],[SP Initially Planned (COS)]]</f>
        <v>0</v>
      </c>
      <c r="O97"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5</v>
      </c>
      <c r="P97" s="108">
        <f>IFERROR(IF(Tabelle13245689[[#This Row],[Status]]=$J$5,MIN(Tabelle13245689[[#This Row],[Jira Story Points]],Tabelle13245689[[#This Row],[Carry-over]]),0),0)</f>
        <v>0</v>
      </c>
      <c r="Q97" s="108">
        <f>IFERROR(IF(Tabelle13245689[[#This Row],[Status]]=$J$5,0,MIN(Tabelle13245689[[#This Row],[Jira Story Points]],Tabelle13245689[[#This Row],[Carry-over]])-Tabelle13245689[[#This Row],[SP Completed (COS &amp; SOS)]]),0)</f>
        <v>0</v>
      </c>
    </row>
    <row r="98" spans="1:17" s="46" customFormat="1" ht="13.5" hidden="1" customHeight="1">
      <c r="A98" s="118" t="s">
        <v>2526</v>
      </c>
      <c r="B98" s="47" t="s">
        <v>2527</v>
      </c>
      <c r="C98" s="76" t="s">
        <v>372</v>
      </c>
      <c r="D98" s="76">
        <v>3</v>
      </c>
      <c r="E98" s="76" t="s">
        <v>324</v>
      </c>
      <c r="F98" s="76">
        <v>2</v>
      </c>
      <c r="G98" s="76" t="s">
        <v>21</v>
      </c>
      <c r="H98" s="47"/>
      <c r="I98" s="103"/>
      <c r="J98" s="76" t="s">
        <v>125</v>
      </c>
      <c r="K98" s="104"/>
      <c r="L98" s="104"/>
      <c r="M98" s="105">
        <f>IF(Tabelle13245689[[#This Row],[Pulled after Start]]="",MIN(Tabelle13245689[[#This Row],[Jira Story Points]],Tabelle13245689[[#This Row],[Carry-over]]),0)</f>
        <v>2</v>
      </c>
      <c r="N98" s="106">
        <f>MIN(Tabelle13245689[[#This Row],[Jira Story Points]],Tabelle13245689[[#This Row],[Carry-over]])-Tabelle13245689[[#This Row],[SP Initially Planned (COS)]]</f>
        <v>0</v>
      </c>
      <c r="O98"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98" s="108">
        <f>IFERROR(IF(Tabelle13245689[[#This Row],[Status]]=$J$5,MIN(Tabelle13245689[[#This Row],[Jira Story Points]],Tabelle13245689[[#This Row],[Carry-over]]),0),0)</f>
        <v>0</v>
      </c>
      <c r="Q98" s="108">
        <f>IFERROR(IF(Tabelle13245689[[#This Row],[Status]]=$J$5,0,MIN(Tabelle13245689[[#This Row],[Jira Story Points]],Tabelle13245689[[#This Row],[Carry-over]])-Tabelle13245689[[#This Row],[SP Completed (COS &amp; SOS)]]),0)</f>
        <v>0</v>
      </c>
    </row>
    <row r="99" spans="1:17" s="46" customFormat="1" ht="13.5" hidden="1" customHeight="1">
      <c r="A99" s="118" t="s">
        <v>2528</v>
      </c>
      <c r="B99" s="47" t="s">
        <v>2529</v>
      </c>
      <c r="C99" s="76" t="s">
        <v>372</v>
      </c>
      <c r="D99" s="76">
        <v>2</v>
      </c>
      <c r="E99" s="76" t="s">
        <v>324</v>
      </c>
      <c r="F99" s="76">
        <v>3</v>
      </c>
      <c r="G99" s="76" t="s">
        <v>21</v>
      </c>
      <c r="H99" s="47"/>
      <c r="I99" s="103"/>
      <c r="J99" s="76" t="s">
        <v>125</v>
      </c>
      <c r="K99" s="76"/>
      <c r="L99" s="76"/>
      <c r="M99" s="105">
        <f>IF(Tabelle13245689[[#This Row],[Pulled after Start]]="",MIN(Tabelle13245689[[#This Row],[Jira Story Points]],Tabelle13245689[[#This Row],[Carry-over]]),0)</f>
        <v>3</v>
      </c>
      <c r="N99" s="106">
        <f>MIN(Tabelle13245689[[#This Row],[Jira Story Points]],Tabelle13245689[[#This Row],[Carry-over]])-Tabelle13245689[[#This Row],[SP Initially Planned (COS)]]</f>
        <v>0</v>
      </c>
      <c r="O99"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99" s="108">
        <f>IFERROR(IF(Tabelle13245689[[#This Row],[Status]]=$J$5,MIN(Tabelle13245689[[#This Row],[Jira Story Points]],Tabelle13245689[[#This Row],[Carry-over]]),0),0)</f>
        <v>0</v>
      </c>
      <c r="Q99" s="108">
        <f>IFERROR(IF(Tabelle13245689[[#This Row],[Status]]=$J$5,0,MIN(Tabelle13245689[[#This Row],[Jira Story Points]],Tabelle13245689[[#This Row],[Carry-over]])-Tabelle13245689[[#This Row],[SP Completed (COS &amp; SOS)]]),0)</f>
        <v>0</v>
      </c>
    </row>
    <row r="100" spans="1:17" s="46" customFormat="1" ht="13.5" hidden="1" customHeight="1">
      <c r="A100" s="118" t="s">
        <v>2639</v>
      </c>
      <c r="B100" s="47" t="s">
        <v>2640</v>
      </c>
      <c r="C100" s="76" t="s">
        <v>372</v>
      </c>
      <c r="D100" s="76">
        <v>2</v>
      </c>
      <c r="E100" s="76" t="s">
        <v>327</v>
      </c>
      <c r="F100" s="76">
        <v>5</v>
      </c>
      <c r="G100" s="76" t="s">
        <v>21</v>
      </c>
      <c r="H100" s="47"/>
      <c r="I100" s="103"/>
      <c r="J100" s="76" t="s">
        <v>127</v>
      </c>
      <c r="K100" s="104"/>
      <c r="L100" s="104">
        <v>3</v>
      </c>
      <c r="M100" s="105">
        <f>IF(Tabelle13245689[[#This Row],[Pulled after Start]]="",MIN(Tabelle13245689[[#This Row],[Jira Story Points]],Tabelle13245689[[#This Row],[Carry-over]]),0)</f>
        <v>5</v>
      </c>
      <c r="N100" s="106">
        <f>MIN(Tabelle13245689[[#This Row],[Jira Story Points]],Tabelle13245689[[#This Row],[Carry-over]])-Tabelle13245689[[#This Row],[SP Initially Planned (COS)]]</f>
        <v>0</v>
      </c>
      <c r="O100"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100" s="108">
        <f>IFERROR(IF(Tabelle13245689[[#This Row],[Status]]=$J$5,MIN(Tabelle13245689[[#This Row],[Jira Story Points]],Tabelle13245689[[#This Row],[Carry-over]]),0),0)</f>
        <v>0</v>
      </c>
      <c r="Q100" s="108">
        <f>IFERROR(IF(Tabelle13245689[[#This Row],[Status]]=$J$5,0,MIN(Tabelle13245689[[#This Row],[Jira Story Points]],Tabelle13245689[[#This Row],[Carry-over]])-Tabelle13245689[[#This Row],[SP Completed (COS &amp; SOS)]]),0)</f>
        <v>3</v>
      </c>
    </row>
    <row r="101" spans="1:17" s="46" customFormat="1" ht="13.5" hidden="1" customHeight="1">
      <c r="A101" s="118" t="s">
        <v>2234</v>
      </c>
      <c r="B101" s="47" t="s">
        <v>2235</v>
      </c>
      <c r="C101" s="76" t="s">
        <v>372</v>
      </c>
      <c r="D101" s="76">
        <v>2</v>
      </c>
      <c r="E101" s="76" t="s">
        <v>324</v>
      </c>
      <c r="F101" s="76">
        <v>3</v>
      </c>
      <c r="G101" s="76" t="s">
        <v>21</v>
      </c>
      <c r="H101" s="47"/>
      <c r="I101" s="103"/>
      <c r="J101" s="76" t="s">
        <v>125</v>
      </c>
      <c r="K101" s="76"/>
      <c r="L101" s="76"/>
      <c r="M101" s="105">
        <f>IF(Tabelle13245689[[#This Row],[Pulled after Start]]="",MIN(Tabelle13245689[[#This Row],[Jira Story Points]],Tabelle13245689[[#This Row],[Carry-over]]),0)</f>
        <v>3</v>
      </c>
      <c r="N101" s="106">
        <f>MIN(Tabelle13245689[[#This Row],[Jira Story Points]],Tabelle13245689[[#This Row],[Carry-over]])-Tabelle13245689[[#This Row],[SP Initially Planned (COS)]]</f>
        <v>0</v>
      </c>
      <c r="O101"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101" s="108">
        <f>IFERROR(IF(Tabelle13245689[[#This Row],[Status]]=$J$5,MIN(Tabelle13245689[[#This Row],[Jira Story Points]],Tabelle13245689[[#This Row],[Carry-over]]),0),0)</f>
        <v>0</v>
      </c>
      <c r="Q101" s="108">
        <f>IFERROR(IF(Tabelle13245689[[#This Row],[Status]]=$J$5,0,MIN(Tabelle13245689[[#This Row],[Jira Story Points]],Tabelle13245689[[#This Row],[Carry-over]])-Tabelle13245689[[#This Row],[SP Completed (COS &amp; SOS)]]),0)</f>
        <v>0</v>
      </c>
    </row>
    <row r="102" spans="1:17" s="46" customFormat="1" ht="13.5" hidden="1" customHeight="1">
      <c r="A102" s="118" t="s">
        <v>2641</v>
      </c>
      <c r="B102" s="47" t="s">
        <v>2642</v>
      </c>
      <c r="C102" s="76" t="s">
        <v>375</v>
      </c>
      <c r="D102" s="76">
        <v>2</v>
      </c>
      <c r="E102" s="76" t="s">
        <v>637</v>
      </c>
      <c r="F102" s="76">
        <v>3</v>
      </c>
      <c r="G102" s="76" t="s">
        <v>21</v>
      </c>
      <c r="H102" s="83" t="s">
        <v>209</v>
      </c>
      <c r="I102" s="103"/>
      <c r="J102" s="76" t="s">
        <v>127</v>
      </c>
      <c r="K102" s="104"/>
      <c r="L102" s="104"/>
      <c r="M102" s="105">
        <f>IF(Tabelle13245689[[#This Row],[Pulled after Start]]="",MIN(Tabelle13245689[[#This Row],[Jira Story Points]],Tabelle13245689[[#This Row],[Carry-over]]),0)</f>
        <v>0</v>
      </c>
      <c r="N102" s="106">
        <f>MIN(Tabelle13245689[[#This Row],[Jira Story Points]],Tabelle13245689[[#This Row],[Carry-over]])-Tabelle13245689[[#This Row],[SP Initially Planned (COS)]]</f>
        <v>3</v>
      </c>
      <c r="O102"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02" s="108">
        <f>IFERROR(IF(Tabelle13245689[[#This Row],[Status]]=$J$5,MIN(Tabelle13245689[[#This Row],[Jira Story Points]],Tabelle13245689[[#This Row],[Carry-over]]),0),0)</f>
        <v>0</v>
      </c>
      <c r="Q102" s="108">
        <f>IFERROR(IF(Tabelle13245689[[#This Row],[Status]]=$J$5,0,MIN(Tabelle13245689[[#This Row],[Jira Story Points]],Tabelle13245689[[#This Row],[Carry-over]])-Tabelle13245689[[#This Row],[SP Completed (COS &amp; SOS)]]),0)</f>
        <v>3</v>
      </c>
    </row>
    <row r="103" spans="1:17" s="46" customFormat="1" ht="13.5" hidden="1" customHeight="1">
      <c r="A103" s="118" t="s">
        <v>2643</v>
      </c>
      <c r="B103" s="47" t="s">
        <v>2644</v>
      </c>
      <c r="C103" s="76" t="s">
        <v>375</v>
      </c>
      <c r="D103" s="76">
        <v>2</v>
      </c>
      <c r="E103" s="76" t="s">
        <v>327</v>
      </c>
      <c r="F103" s="76">
        <v>3</v>
      </c>
      <c r="G103" s="76" t="s">
        <v>21</v>
      </c>
      <c r="H103" s="83" t="s">
        <v>209</v>
      </c>
      <c r="I103" s="103"/>
      <c r="J103" s="76" t="s">
        <v>127</v>
      </c>
      <c r="K103" s="104"/>
      <c r="L103" s="104">
        <v>3</v>
      </c>
      <c r="M103" s="105">
        <f>IF(Tabelle13245689[[#This Row],[Pulled after Start]]="",MIN(Tabelle13245689[[#This Row],[Jira Story Points]],Tabelle13245689[[#This Row],[Carry-over]]),0)</f>
        <v>0</v>
      </c>
      <c r="N103" s="106">
        <f>MIN(Tabelle13245689[[#This Row],[Jira Story Points]],Tabelle13245689[[#This Row],[Carry-over]])-Tabelle13245689[[#This Row],[SP Initially Planned (COS)]]</f>
        <v>3</v>
      </c>
      <c r="O103"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03" s="108">
        <f>IFERROR(IF(Tabelle13245689[[#This Row],[Status]]=$J$5,MIN(Tabelle13245689[[#This Row],[Jira Story Points]],Tabelle13245689[[#This Row],[Carry-over]]),0),0)</f>
        <v>0</v>
      </c>
      <c r="Q103" s="108">
        <f>IFERROR(IF(Tabelle13245689[[#This Row],[Status]]=$J$5,0,MIN(Tabelle13245689[[#This Row],[Jira Story Points]],Tabelle13245689[[#This Row],[Carry-over]])-Tabelle13245689[[#This Row],[SP Completed (COS &amp; SOS)]]),0)</f>
        <v>3</v>
      </c>
    </row>
    <row r="104" spans="1:17" s="46" customFormat="1" ht="13.5" hidden="1" customHeight="1">
      <c r="A104" s="128" t="s">
        <v>2645</v>
      </c>
      <c r="B104" s="47" t="s">
        <v>2646</v>
      </c>
      <c r="C104" s="122" t="s">
        <v>372</v>
      </c>
      <c r="D104" s="122">
        <v>2</v>
      </c>
      <c r="E104" s="122" t="s">
        <v>324</v>
      </c>
      <c r="F104" s="122">
        <v>2</v>
      </c>
      <c r="G104" s="76" t="s">
        <v>27</v>
      </c>
      <c r="H104" s="122" t="s">
        <v>209</v>
      </c>
      <c r="I104" s="123"/>
      <c r="J104" s="76" t="s">
        <v>125</v>
      </c>
      <c r="K104" s="76"/>
      <c r="L104" s="76"/>
      <c r="M104" s="105">
        <f>IF(Tabelle13245689[[#This Row],[Pulled after Start]]="",MIN(Tabelle13245689[[#This Row],[Jira Story Points]],Tabelle13245689[[#This Row],[Carry-over]]),0)</f>
        <v>0</v>
      </c>
      <c r="N104" s="106">
        <f>MIN(Tabelle13245689[[#This Row],[Jira Story Points]],Tabelle13245689[[#This Row],[Carry-over]])-Tabelle13245689[[#This Row],[SP Initially Planned (COS)]]</f>
        <v>2</v>
      </c>
      <c r="O104"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104" s="108">
        <f>IFERROR(IF(Tabelle13245689[[#This Row],[Status]]=$J$5,MIN(Tabelle13245689[[#This Row],[Jira Story Points]],Tabelle13245689[[#This Row],[Carry-over]]),0),0)</f>
        <v>0</v>
      </c>
      <c r="Q104" s="108">
        <f>IFERROR(IF(Tabelle13245689[[#This Row],[Status]]=$J$5,0,MIN(Tabelle13245689[[#This Row],[Jira Story Points]],Tabelle13245689[[#This Row],[Carry-over]])-Tabelle13245689[[#This Row],[SP Completed (COS &amp; SOS)]]),0)</f>
        <v>0</v>
      </c>
    </row>
    <row r="105" spans="1:17" s="46" customFormat="1" ht="13.5" hidden="1" customHeight="1">
      <c r="A105" s="129" t="s">
        <v>2647</v>
      </c>
      <c r="B105" s="47" t="s">
        <v>2648</v>
      </c>
      <c r="C105" s="124" t="s">
        <v>375</v>
      </c>
      <c r="D105" s="124">
        <v>1</v>
      </c>
      <c r="E105" s="124" t="s">
        <v>324</v>
      </c>
      <c r="F105" s="124">
        <v>3</v>
      </c>
      <c r="G105" s="76" t="s">
        <v>27</v>
      </c>
      <c r="H105" s="130"/>
      <c r="I105" s="125"/>
      <c r="J105" s="76" t="s">
        <v>125</v>
      </c>
      <c r="K105" s="76"/>
      <c r="L105" s="76"/>
      <c r="M105" s="105">
        <f>IF(Tabelle13245689[[#This Row],[Pulled after Start]]="",MIN(Tabelle13245689[[#This Row],[Jira Story Points]],Tabelle13245689[[#This Row],[Carry-over]]),0)</f>
        <v>3</v>
      </c>
      <c r="N105" s="106">
        <f>MIN(Tabelle13245689[[#This Row],[Jira Story Points]],Tabelle13245689[[#This Row],[Carry-over]])-Tabelle13245689[[#This Row],[SP Initially Planned (COS)]]</f>
        <v>0</v>
      </c>
      <c r="O105"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105" s="108">
        <f>IFERROR(IF(Tabelle13245689[[#This Row],[Status]]=$J$5,MIN(Tabelle13245689[[#This Row],[Jira Story Points]],Tabelle13245689[[#This Row],[Carry-over]]),0),0)</f>
        <v>0</v>
      </c>
      <c r="Q105" s="108">
        <f>IFERROR(IF(Tabelle13245689[[#This Row],[Status]]=$J$5,0,MIN(Tabelle13245689[[#This Row],[Jira Story Points]],Tabelle13245689[[#This Row],[Carry-over]])-Tabelle13245689[[#This Row],[SP Completed (COS &amp; SOS)]]),0)</f>
        <v>0</v>
      </c>
    </row>
    <row r="106" spans="1:17" s="46" customFormat="1" ht="13.5" hidden="1" customHeight="1">
      <c r="A106" s="128" t="s">
        <v>2649</v>
      </c>
      <c r="B106" s="47" t="s">
        <v>2650</v>
      </c>
      <c r="C106" s="122" t="s">
        <v>382</v>
      </c>
      <c r="D106" s="122">
        <v>3</v>
      </c>
      <c r="E106" s="122" t="s">
        <v>324</v>
      </c>
      <c r="F106" s="122">
        <v>2</v>
      </c>
      <c r="G106" s="76" t="s">
        <v>27</v>
      </c>
      <c r="H106" s="122" t="s">
        <v>209</v>
      </c>
      <c r="I106" s="123"/>
      <c r="J106" s="76" t="s">
        <v>125</v>
      </c>
      <c r="K106" s="76"/>
      <c r="L106" s="76"/>
      <c r="M106" s="105">
        <f>IF(Tabelle13245689[[#This Row],[Pulled after Start]]="",MIN(Tabelle13245689[[#This Row],[Jira Story Points]],Tabelle13245689[[#This Row],[Carry-over]]),0)</f>
        <v>0</v>
      </c>
      <c r="N106" s="106">
        <f>MIN(Tabelle13245689[[#This Row],[Jira Story Points]],Tabelle13245689[[#This Row],[Carry-over]])-Tabelle13245689[[#This Row],[SP Initially Planned (COS)]]</f>
        <v>2</v>
      </c>
      <c r="O106"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106" s="108">
        <f>IFERROR(IF(Tabelle13245689[[#This Row],[Status]]=$J$5,MIN(Tabelle13245689[[#This Row],[Jira Story Points]],Tabelle13245689[[#This Row],[Carry-over]]),0),0)</f>
        <v>0</v>
      </c>
      <c r="Q106" s="108">
        <f>IFERROR(IF(Tabelle13245689[[#This Row],[Status]]=$J$5,0,MIN(Tabelle13245689[[#This Row],[Jira Story Points]],Tabelle13245689[[#This Row],[Carry-over]])-Tabelle13245689[[#This Row],[SP Completed (COS &amp; SOS)]]),0)</f>
        <v>0</v>
      </c>
    </row>
    <row r="107" spans="1:17" s="46" customFormat="1" ht="13.5" hidden="1" customHeight="1">
      <c r="A107" s="129" t="s">
        <v>2651</v>
      </c>
      <c r="B107" s="47" t="s">
        <v>2652</v>
      </c>
      <c r="C107" s="124" t="s">
        <v>375</v>
      </c>
      <c r="D107" s="124">
        <v>1</v>
      </c>
      <c r="E107" s="124" t="s">
        <v>324</v>
      </c>
      <c r="F107" s="124">
        <v>3</v>
      </c>
      <c r="G107" s="76" t="s">
        <v>27</v>
      </c>
      <c r="H107" s="130"/>
      <c r="I107" s="125"/>
      <c r="J107" s="76" t="s">
        <v>125</v>
      </c>
      <c r="K107" s="76"/>
      <c r="L107" s="76"/>
      <c r="M107" s="105">
        <f>IF(Tabelle13245689[[#This Row],[Pulled after Start]]="",MIN(Tabelle13245689[[#This Row],[Jira Story Points]],Tabelle13245689[[#This Row],[Carry-over]]),0)</f>
        <v>3</v>
      </c>
      <c r="N107" s="106">
        <f>MIN(Tabelle13245689[[#This Row],[Jira Story Points]],Tabelle13245689[[#This Row],[Carry-over]])-Tabelle13245689[[#This Row],[SP Initially Planned (COS)]]</f>
        <v>0</v>
      </c>
      <c r="O107"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107" s="108">
        <f>IFERROR(IF(Tabelle13245689[[#This Row],[Status]]=$J$5,MIN(Tabelle13245689[[#This Row],[Jira Story Points]],Tabelle13245689[[#This Row],[Carry-over]]),0),0)</f>
        <v>0</v>
      </c>
      <c r="Q107" s="108">
        <f>IFERROR(IF(Tabelle13245689[[#This Row],[Status]]=$J$5,0,MIN(Tabelle13245689[[#This Row],[Jira Story Points]],Tabelle13245689[[#This Row],[Carry-over]])-Tabelle13245689[[#This Row],[SP Completed (COS &amp; SOS)]]),0)</f>
        <v>0</v>
      </c>
    </row>
    <row r="108" spans="1:17" s="46" customFormat="1" ht="13.5" hidden="1" customHeight="1">
      <c r="A108" s="128" t="s">
        <v>2653</v>
      </c>
      <c r="B108" s="47" t="s">
        <v>2654</v>
      </c>
      <c r="C108" s="122" t="s">
        <v>372</v>
      </c>
      <c r="D108" s="122">
        <v>3</v>
      </c>
      <c r="E108" s="122" t="s">
        <v>327</v>
      </c>
      <c r="F108" s="122">
        <v>5</v>
      </c>
      <c r="G108" s="76" t="s">
        <v>27</v>
      </c>
      <c r="H108" s="131"/>
      <c r="I108" s="123"/>
      <c r="J108" s="76" t="s">
        <v>125</v>
      </c>
      <c r="K108" s="76"/>
      <c r="L108" s="76"/>
      <c r="M108" s="105">
        <f>IF(Tabelle13245689[[#This Row],[Pulled after Start]]="",MIN(Tabelle13245689[[#This Row],[Jira Story Points]],Tabelle13245689[[#This Row],[Carry-over]]),0)</f>
        <v>5</v>
      </c>
      <c r="N108" s="106">
        <f>MIN(Tabelle13245689[[#This Row],[Jira Story Points]],Tabelle13245689[[#This Row],[Carry-over]])-Tabelle13245689[[#This Row],[SP Initially Planned (COS)]]</f>
        <v>0</v>
      </c>
      <c r="O108"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5</v>
      </c>
      <c r="P108" s="108">
        <f>IFERROR(IF(Tabelle13245689[[#This Row],[Status]]=$J$5,MIN(Tabelle13245689[[#This Row],[Jira Story Points]],Tabelle13245689[[#This Row],[Carry-over]]),0),0)</f>
        <v>0</v>
      </c>
      <c r="Q108" s="108">
        <f>IFERROR(IF(Tabelle13245689[[#This Row],[Status]]=$J$5,0,MIN(Tabelle13245689[[#This Row],[Jira Story Points]],Tabelle13245689[[#This Row],[Carry-over]])-Tabelle13245689[[#This Row],[SP Completed (COS &amp; SOS)]]),0)</f>
        <v>0</v>
      </c>
    </row>
    <row r="109" spans="1:17" s="46" customFormat="1" ht="13.5" hidden="1" customHeight="1">
      <c r="A109" s="129" t="s">
        <v>2226</v>
      </c>
      <c r="B109" s="47" t="s">
        <v>2227</v>
      </c>
      <c r="C109" s="124" t="s">
        <v>375</v>
      </c>
      <c r="D109" s="124">
        <v>2</v>
      </c>
      <c r="E109" s="124" t="s">
        <v>327</v>
      </c>
      <c r="F109" s="124">
        <v>8</v>
      </c>
      <c r="G109" s="76" t="s">
        <v>27</v>
      </c>
      <c r="H109" s="130"/>
      <c r="I109" s="125"/>
      <c r="J109" s="76" t="s">
        <v>127</v>
      </c>
      <c r="K109" s="76"/>
      <c r="L109" s="76"/>
      <c r="M109" s="105">
        <f>IF(Tabelle13245689[[#This Row],[Pulled after Start]]="",MIN(Tabelle13245689[[#This Row],[Jira Story Points]],Tabelle13245689[[#This Row],[Carry-over]]),0)</f>
        <v>8</v>
      </c>
      <c r="N109" s="106">
        <f>MIN(Tabelle13245689[[#This Row],[Jira Story Points]],Tabelle13245689[[#This Row],[Carry-over]])-Tabelle13245689[[#This Row],[SP Initially Planned (COS)]]</f>
        <v>0</v>
      </c>
      <c r="O109"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09" s="108">
        <f>IFERROR(IF(Tabelle13245689[[#This Row],[Status]]=$J$5,MIN(Tabelle13245689[[#This Row],[Jira Story Points]],Tabelle13245689[[#This Row],[Carry-over]]),0),0)</f>
        <v>0</v>
      </c>
      <c r="Q109" s="108">
        <f>IFERROR(IF(Tabelle13245689[[#This Row],[Status]]=$J$5,0,MIN(Tabelle13245689[[#This Row],[Jira Story Points]],Tabelle13245689[[#This Row],[Carry-over]])-Tabelle13245689[[#This Row],[SP Completed (COS &amp; SOS)]]),0)</f>
        <v>8</v>
      </c>
    </row>
    <row r="110" spans="1:17" s="46" customFormat="1" ht="13.5" hidden="1" customHeight="1">
      <c r="A110" s="128" t="s">
        <v>2655</v>
      </c>
      <c r="B110" s="47" t="s">
        <v>2656</v>
      </c>
      <c r="C110" s="122" t="s">
        <v>372</v>
      </c>
      <c r="D110" s="122">
        <v>3</v>
      </c>
      <c r="E110" s="122" t="s">
        <v>324</v>
      </c>
      <c r="F110" s="122">
        <v>3</v>
      </c>
      <c r="G110" s="76" t="s">
        <v>27</v>
      </c>
      <c r="H110" s="131"/>
      <c r="I110" s="123"/>
      <c r="J110" s="76" t="s">
        <v>125</v>
      </c>
      <c r="K110" s="76"/>
      <c r="L110" s="76"/>
      <c r="M110" s="105">
        <f>IF(Tabelle13245689[[#This Row],[Pulled after Start]]="",MIN(Tabelle13245689[[#This Row],[Jira Story Points]],Tabelle13245689[[#This Row],[Carry-over]]),0)</f>
        <v>3</v>
      </c>
      <c r="N110" s="106">
        <f>MIN(Tabelle13245689[[#This Row],[Jira Story Points]],Tabelle13245689[[#This Row],[Carry-over]])-Tabelle13245689[[#This Row],[SP Initially Planned (COS)]]</f>
        <v>0</v>
      </c>
      <c r="O110"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110" s="108">
        <f>IFERROR(IF(Tabelle13245689[[#This Row],[Status]]=$J$5,MIN(Tabelle13245689[[#This Row],[Jira Story Points]],Tabelle13245689[[#This Row],[Carry-over]]),0),0)</f>
        <v>0</v>
      </c>
      <c r="Q110" s="108">
        <f>IFERROR(IF(Tabelle13245689[[#This Row],[Status]]=$J$5,0,MIN(Tabelle13245689[[#This Row],[Jira Story Points]],Tabelle13245689[[#This Row],[Carry-over]])-Tabelle13245689[[#This Row],[SP Completed (COS &amp; SOS)]]),0)</f>
        <v>0</v>
      </c>
    </row>
    <row r="111" spans="1:17" s="46" customFormat="1" ht="13.5" hidden="1" customHeight="1">
      <c r="A111" s="129" t="s">
        <v>2657</v>
      </c>
      <c r="B111" s="47" t="s">
        <v>2658</v>
      </c>
      <c r="C111" s="124" t="s">
        <v>375</v>
      </c>
      <c r="D111" s="124">
        <v>2</v>
      </c>
      <c r="E111" s="124" t="s">
        <v>327</v>
      </c>
      <c r="F111" s="124">
        <v>3</v>
      </c>
      <c r="G111" s="76" t="s">
        <v>27</v>
      </c>
      <c r="H111" s="130"/>
      <c r="I111" s="125"/>
      <c r="J111" s="76" t="s">
        <v>125</v>
      </c>
      <c r="K111" s="76"/>
      <c r="L111" s="76"/>
      <c r="M111" s="105">
        <f>IF(Tabelle13245689[[#This Row],[Pulled after Start]]="",MIN(Tabelle13245689[[#This Row],[Jira Story Points]],Tabelle13245689[[#This Row],[Carry-over]]),0)</f>
        <v>3</v>
      </c>
      <c r="N111" s="106">
        <f>MIN(Tabelle13245689[[#This Row],[Jira Story Points]],Tabelle13245689[[#This Row],[Carry-over]])-Tabelle13245689[[#This Row],[SP Initially Planned (COS)]]</f>
        <v>0</v>
      </c>
      <c r="O111"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111" s="108">
        <f>IFERROR(IF(Tabelle13245689[[#This Row],[Status]]=$J$5,MIN(Tabelle13245689[[#This Row],[Jira Story Points]],Tabelle13245689[[#This Row],[Carry-over]]),0),0)</f>
        <v>0</v>
      </c>
      <c r="Q111" s="108">
        <f>IFERROR(IF(Tabelle13245689[[#This Row],[Status]]=$J$5,0,MIN(Tabelle13245689[[#This Row],[Jira Story Points]],Tabelle13245689[[#This Row],[Carry-over]])-Tabelle13245689[[#This Row],[SP Completed (COS &amp; SOS)]]),0)</f>
        <v>0</v>
      </c>
    </row>
    <row r="112" spans="1:17" s="46" customFormat="1" ht="13.5" hidden="1" customHeight="1">
      <c r="A112" s="128" t="s">
        <v>2659</v>
      </c>
      <c r="B112" s="47" t="s">
        <v>2660</v>
      </c>
      <c r="C112" s="122" t="s">
        <v>372</v>
      </c>
      <c r="D112" s="122">
        <v>3</v>
      </c>
      <c r="E112" s="122" t="s">
        <v>327</v>
      </c>
      <c r="F112" s="122">
        <v>5</v>
      </c>
      <c r="G112" s="76" t="s">
        <v>27</v>
      </c>
      <c r="H112" s="131"/>
      <c r="I112" s="123"/>
      <c r="J112" s="76" t="s">
        <v>125</v>
      </c>
      <c r="K112" s="76"/>
      <c r="L112" s="76"/>
      <c r="M112" s="105">
        <f>IF(Tabelle13245689[[#This Row],[Pulled after Start]]="",MIN(Tabelle13245689[[#This Row],[Jira Story Points]],Tabelle13245689[[#This Row],[Carry-over]]),0)</f>
        <v>5</v>
      </c>
      <c r="N112" s="106">
        <f>MIN(Tabelle13245689[[#This Row],[Jira Story Points]],Tabelle13245689[[#This Row],[Carry-over]])-Tabelle13245689[[#This Row],[SP Initially Planned (COS)]]</f>
        <v>0</v>
      </c>
      <c r="O112"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5</v>
      </c>
      <c r="P112" s="108">
        <f>IFERROR(IF(Tabelle13245689[[#This Row],[Status]]=$J$5,MIN(Tabelle13245689[[#This Row],[Jira Story Points]],Tabelle13245689[[#This Row],[Carry-over]]),0),0)</f>
        <v>0</v>
      </c>
      <c r="Q112" s="108">
        <f>IFERROR(IF(Tabelle13245689[[#This Row],[Status]]=$J$5,0,MIN(Tabelle13245689[[#This Row],[Jira Story Points]],Tabelle13245689[[#This Row],[Carry-over]])-Tabelle13245689[[#This Row],[SP Completed (COS &amp; SOS)]]),0)</f>
        <v>0</v>
      </c>
    </row>
    <row r="113" spans="1:17" s="46" customFormat="1" ht="13.5" hidden="1" customHeight="1">
      <c r="A113" s="129" t="s">
        <v>2661</v>
      </c>
      <c r="B113" s="47" t="s">
        <v>2662</v>
      </c>
      <c r="C113" s="124" t="s">
        <v>372</v>
      </c>
      <c r="D113" s="124">
        <v>3</v>
      </c>
      <c r="E113" s="124" t="s">
        <v>327</v>
      </c>
      <c r="F113" s="124">
        <v>13</v>
      </c>
      <c r="G113" s="76" t="s">
        <v>27</v>
      </c>
      <c r="H113" s="130"/>
      <c r="I113" s="126" t="s">
        <v>2663</v>
      </c>
      <c r="J113" s="76" t="s">
        <v>125</v>
      </c>
      <c r="K113" s="76"/>
      <c r="L113" s="76"/>
      <c r="M113" s="105">
        <f>IF(Tabelle13245689[[#This Row],[Pulled after Start]]="",MIN(Tabelle13245689[[#This Row],[Jira Story Points]],Tabelle13245689[[#This Row],[Carry-over]]),0)</f>
        <v>13</v>
      </c>
      <c r="N113" s="106">
        <f>MIN(Tabelle13245689[[#This Row],[Jira Story Points]],Tabelle13245689[[#This Row],[Carry-over]])-Tabelle13245689[[#This Row],[SP Initially Planned (COS)]]</f>
        <v>0</v>
      </c>
      <c r="O113"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13</v>
      </c>
      <c r="P113" s="108">
        <f>IFERROR(IF(Tabelle13245689[[#This Row],[Status]]=$J$5,MIN(Tabelle13245689[[#This Row],[Jira Story Points]],Tabelle13245689[[#This Row],[Carry-over]]),0),0)</f>
        <v>0</v>
      </c>
      <c r="Q113" s="108">
        <f>IFERROR(IF(Tabelle13245689[[#This Row],[Status]]=$J$5,0,MIN(Tabelle13245689[[#This Row],[Jira Story Points]],Tabelle13245689[[#This Row],[Carry-over]])-Tabelle13245689[[#This Row],[SP Completed (COS &amp; SOS)]]),0)</f>
        <v>0</v>
      </c>
    </row>
    <row r="114" spans="1:17" s="46" customFormat="1" ht="13.5" hidden="1" customHeight="1">
      <c r="A114" s="128" t="s">
        <v>2664</v>
      </c>
      <c r="B114" s="47" t="s">
        <v>2665</v>
      </c>
      <c r="C114" s="122" t="s">
        <v>375</v>
      </c>
      <c r="D114" s="122">
        <v>3</v>
      </c>
      <c r="E114" s="122" t="s">
        <v>324</v>
      </c>
      <c r="F114" s="122">
        <v>3</v>
      </c>
      <c r="G114" s="76" t="s">
        <v>27</v>
      </c>
      <c r="H114" s="131"/>
      <c r="I114" s="123"/>
      <c r="J114" s="76" t="s">
        <v>125</v>
      </c>
      <c r="K114" s="76"/>
      <c r="L114" s="76"/>
      <c r="M114" s="105">
        <f>IF(Tabelle13245689[[#This Row],[Pulled after Start]]="",MIN(Tabelle13245689[[#This Row],[Jira Story Points]],Tabelle13245689[[#This Row],[Carry-over]]),0)</f>
        <v>3</v>
      </c>
      <c r="N114" s="106">
        <f>MIN(Tabelle13245689[[#This Row],[Jira Story Points]],Tabelle13245689[[#This Row],[Carry-over]])-Tabelle13245689[[#This Row],[SP Initially Planned (COS)]]</f>
        <v>0</v>
      </c>
      <c r="O114"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114" s="108">
        <f>IFERROR(IF(Tabelle13245689[[#This Row],[Status]]=$J$5,MIN(Tabelle13245689[[#This Row],[Jira Story Points]],Tabelle13245689[[#This Row],[Carry-over]]),0),0)</f>
        <v>0</v>
      </c>
      <c r="Q114" s="108">
        <f>IFERROR(IF(Tabelle13245689[[#This Row],[Status]]=$J$5,0,MIN(Tabelle13245689[[#This Row],[Jira Story Points]],Tabelle13245689[[#This Row],[Carry-over]])-Tabelle13245689[[#This Row],[SP Completed (COS &amp; SOS)]]),0)</f>
        <v>0</v>
      </c>
    </row>
    <row r="115" spans="1:17" s="46" customFormat="1" ht="13.5" hidden="1" customHeight="1">
      <c r="A115" s="129" t="s">
        <v>2666</v>
      </c>
      <c r="B115" s="47" t="s">
        <v>2667</v>
      </c>
      <c r="C115" s="124" t="s">
        <v>372</v>
      </c>
      <c r="D115" s="124">
        <v>3</v>
      </c>
      <c r="E115" s="124" t="s">
        <v>324</v>
      </c>
      <c r="F115" s="124">
        <v>3</v>
      </c>
      <c r="G115" s="76" t="s">
        <v>27</v>
      </c>
      <c r="H115" s="130"/>
      <c r="I115" s="125"/>
      <c r="J115" s="76" t="s">
        <v>125</v>
      </c>
      <c r="K115" s="104"/>
      <c r="L115" s="104"/>
      <c r="M115" s="105">
        <f>IF(Tabelle13245689[[#This Row],[Pulled after Start]]="",MIN(Tabelle13245689[[#This Row],[Jira Story Points]],Tabelle13245689[[#This Row],[Carry-over]]),0)</f>
        <v>3</v>
      </c>
      <c r="N115" s="106">
        <f>MIN(Tabelle13245689[[#This Row],[Jira Story Points]],Tabelle13245689[[#This Row],[Carry-over]])-Tabelle13245689[[#This Row],[SP Initially Planned (COS)]]</f>
        <v>0</v>
      </c>
      <c r="O115"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115" s="108">
        <f>IFERROR(IF(Tabelle13245689[[#This Row],[Status]]=$J$5,MIN(Tabelle13245689[[#This Row],[Jira Story Points]],Tabelle13245689[[#This Row],[Carry-over]]),0),0)</f>
        <v>0</v>
      </c>
      <c r="Q115" s="108">
        <f>IFERROR(IF(Tabelle13245689[[#This Row],[Status]]=$J$5,0,MIN(Tabelle13245689[[#This Row],[Jira Story Points]],Tabelle13245689[[#This Row],[Carry-over]])-Tabelle13245689[[#This Row],[SP Completed (COS &amp; SOS)]]),0)</f>
        <v>0</v>
      </c>
    </row>
    <row r="116" spans="1:17" s="46" customFormat="1" ht="13.5" hidden="1" customHeight="1">
      <c r="A116" s="128" t="s">
        <v>2668</v>
      </c>
      <c r="B116" s="47" t="s">
        <v>2669</v>
      </c>
      <c r="C116" s="122" t="s">
        <v>372</v>
      </c>
      <c r="D116" s="122">
        <v>3</v>
      </c>
      <c r="E116" s="122" t="s">
        <v>351</v>
      </c>
      <c r="F116" s="122">
        <v>5</v>
      </c>
      <c r="G116" s="76" t="s">
        <v>27</v>
      </c>
      <c r="H116" s="131"/>
      <c r="I116" s="123"/>
      <c r="J116" s="76" t="s">
        <v>126</v>
      </c>
      <c r="K116" s="104"/>
      <c r="L116" s="104"/>
      <c r="M116" s="105">
        <f>IF(Tabelle13245689[[#This Row],[Pulled after Start]]="",MIN(Tabelle13245689[[#This Row],[Jira Story Points]],Tabelle13245689[[#This Row],[Carry-over]]),0)</f>
        <v>5</v>
      </c>
      <c r="N116" s="106">
        <f>MIN(Tabelle13245689[[#This Row],[Jira Story Points]],Tabelle13245689[[#This Row],[Carry-over]])-Tabelle13245689[[#This Row],[SP Initially Planned (COS)]]</f>
        <v>0</v>
      </c>
      <c r="O116"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16" s="108">
        <f>IFERROR(IF(Tabelle13245689[[#This Row],[Status]]=$J$5,MIN(Tabelle13245689[[#This Row],[Jira Story Points]],Tabelle13245689[[#This Row],[Carry-over]]),0),0)</f>
        <v>5</v>
      </c>
      <c r="Q116" s="108">
        <f>IFERROR(IF(Tabelle13245689[[#This Row],[Status]]=$J$5,0,MIN(Tabelle13245689[[#This Row],[Jira Story Points]],Tabelle13245689[[#This Row],[Carry-over]])-Tabelle13245689[[#This Row],[SP Completed (COS &amp; SOS)]]),0)</f>
        <v>0</v>
      </c>
    </row>
    <row r="117" spans="1:17" s="46" customFormat="1" ht="13.5" hidden="1" customHeight="1">
      <c r="A117" s="88" t="s">
        <v>2670</v>
      </c>
      <c r="B117" s="88" t="s">
        <v>2671</v>
      </c>
      <c r="C117" s="76" t="s">
        <v>372</v>
      </c>
      <c r="D117" s="76">
        <v>3</v>
      </c>
      <c r="E117" s="76" t="s">
        <v>324</v>
      </c>
      <c r="F117" s="104">
        <v>8</v>
      </c>
      <c r="G117" s="76" t="s">
        <v>35</v>
      </c>
      <c r="H117" s="76"/>
      <c r="I117" s="103"/>
      <c r="J117" s="76" t="s">
        <v>125</v>
      </c>
      <c r="K117" s="76"/>
      <c r="L117" s="76"/>
      <c r="M117" s="105">
        <f>IF(Tabelle13245689[[#This Row],[Pulled after Start]]="",MIN(Tabelle13245689[[#This Row],[Jira Story Points]],Tabelle13245689[[#This Row],[Carry-over]]),0)</f>
        <v>8</v>
      </c>
      <c r="N117" s="106">
        <f>MIN(Tabelle13245689[[#This Row],[Jira Story Points]],Tabelle13245689[[#This Row],[Carry-over]])-Tabelle13245689[[#This Row],[SP Initially Planned (COS)]]</f>
        <v>0</v>
      </c>
      <c r="O117"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8</v>
      </c>
      <c r="P117" s="108">
        <f>IFERROR(IF(Tabelle13245689[[#This Row],[Status]]=$J$5,MIN(Tabelle13245689[[#This Row],[Jira Story Points]],Tabelle13245689[[#This Row],[Carry-over]]),0),0)</f>
        <v>0</v>
      </c>
      <c r="Q117" s="108">
        <f>IFERROR(IF(Tabelle13245689[[#This Row],[Status]]=$J$5,0,MIN(Tabelle13245689[[#This Row],[Jira Story Points]],Tabelle13245689[[#This Row],[Carry-over]])-Tabelle13245689[[#This Row],[SP Completed (COS &amp; SOS)]]),0)</f>
        <v>0</v>
      </c>
    </row>
    <row r="118" spans="1:17" s="46" customFormat="1" ht="13.5" hidden="1" customHeight="1">
      <c r="A118" s="88" t="s">
        <v>2672</v>
      </c>
      <c r="B118" s="88" t="s">
        <v>2673</v>
      </c>
      <c r="C118" s="76" t="s">
        <v>372</v>
      </c>
      <c r="D118" s="76">
        <v>3</v>
      </c>
      <c r="E118" s="76" t="s">
        <v>324</v>
      </c>
      <c r="F118" s="104">
        <v>5</v>
      </c>
      <c r="G118" s="76" t="s">
        <v>35</v>
      </c>
      <c r="H118" s="83"/>
      <c r="I118" s="103"/>
      <c r="J118" s="76" t="s">
        <v>125</v>
      </c>
      <c r="K118" s="104"/>
      <c r="L118" s="104"/>
      <c r="M118" s="105">
        <f>IF(Tabelle13245689[[#This Row],[Pulled after Start]]="",MIN(Tabelle13245689[[#This Row],[Jira Story Points]],Tabelle13245689[[#This Row],[Carry-over]]),0)</f>
        <v>5</v>
      </c>
      <c r="N118" s="106">
        <f>MIN(Tabelle13245689[[#This Row],[Jira Story Points]],Tabelle13245689[[#This Row],[Carry-over]])-Tabelle13245689[[#This Row],[SP Initially Planned (COS)]]</f>
        <v>0</v>
      </c>
      <c r="O118"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5</v>
      </c>
      <c r="P118" s="108">
        <f>IFERROR(IF(Tabelle13245689[[#This Row],[Status]]=$J$5,MIN(Tabelle13245689[[#This Row],[Jira Story Points]],Tabelle13245689[[#This Row],[Carry-over]]),0),0)</f>
        <v>0</v>
      </c>
      <c r="Q118" s="108">
        <f>IFERROR(IF(Tabelle13245689[[#This Row],[Status]]=$J$5,0,MIN(Tabelle13245689[[#This Row],[Jira Story Points]],Tabelle13245689[[#This Row],[Carry-over]])-Tabelle13245689[[#This Row],[SP Completed (COS &amp; SOS)]]),0)</f>
        <v>0</v>
      </c>
    </row>
    <row r="119" spans="1:17" s="46" customFormat="1" ht="13.5" hidden="1" customHeight="1">
      <c r="A119" s="88" t="s">
        <v>2674</v>
      </c>
      <c r="B119" s="88" t="s">
        <v>2675</v>
      </c>
      <c r="C119" s="76" t="s">
        <v>372</v>
      </c>
      <c r="D119" s="76">
        <v>3</v>
      </c>
      <c r="E119" s="76" t="s">
        <v>324</v>
      </c>
      <c r="F119" s="104">
        <v>2</v>
      </c>
      <c r="G119" s="76" t="s">
        <v>35</v>
      </c>
      <c r="H119" s="76"/>
      <c r="I119" s="103"/>
      <c r="J119" s="76" t="s">
        <v>125</v>
      </c>
      <c r="K119" s="76"/>
      <c r="L119" s="76"/>
      <c r="M119" s="105">
        <f>IF(Tabelle13245689[[#This Row],[Pulled after Start]]="",MIN(Tabelle13245689[[#This Row],[Jira Story Points]],Tabelle13245689[[#This Row],[Carry-over]]),0)</f>
        <v>2</v>
      </c>
      <c r="N119" s="106">
        <f>MIN(Tabelle13245689[[#This Row],[Jira Story Points]],Tabelle13245689[[#This Row],[Carry-over]])-Tabelle13245689[[#This Row],[SP Initially Planned (COS)]]</f>
        <v>0</v>
      </c>
      <c r="O119"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119" s="108">
        <f>IFERROR(IF(Tabelle13245689[[#This Row],[Status]]=$J$5,MIN(Tabelle13245689[[#This Row],[Jira Story Points]],Tabelle13245689[[#This Row],[Carry-over]]),0),0)</f>
        <v>0</v>
      </c>
      <c r="Q119" s="108">
        <f>IFERROR(IF(Tabelle13245689[[#This Row],[Status]]=$J$5,0,MIN(Tabelle13245689[[#This Row],[Jira Story Points]],Tabelle13245689[[#This Row],[Carry-over]])-Tabelle13245689[[#This Row],[SP Completed (COS &amp; SOS)]]),0)</f>
        <v>0</v>
      </c>
    </row>
    <row r="120" spans="1:17" s="46" customFormat="1" ht="13.5" hidden="1" customHeight="1">
      <c r="A120" s="88" t="s">
        <v>2676</v>
      </c>
      <c r="B120" s="88" t="s">
        <v>2677</v>
      </c>
      <c r="C120" s="76" t="s">
        <v>372</v>
      </c>
      <c r="D120" s="76">
        <v>3</v>
      </c>
      <c r="E120" s="76" t="s">
        <v>324</v>
      </c>
      <c r="F120" s="104">
        <v>3</v>
      </c>
      <c r="G120" s="76" t="s">
        <v>35</v>
      </c>
      <c r="H120" s="83"/>
      <c r="I120" s="103"/>
      <c r="J120" s="76" t="s">
        <v>125</v>
      </c>
      <c r="K120" s="104"/>
      <c r="L120" s="104"/>
      <c r="M120" s="105">
        <f>IF(Tabelle13245689[[#This Row],[Pulled after Start]]="",MIN(Tabelle13245689[[#This Row],[Jira Story Points]],Tabelle13245689[[#This Row],[Carry-over]]),0)</f>
        <v>3</v>
      </c>
      <c r="N120" s="106">
        <f>MIN(Tabelle13245689[[#This Row],[Jira Story Points]],Tabelle13245689[[#This Row],[Carry-over]])-Tabelle13245689[[#This Row],[SP Initially Planned (COS)]]</f>
        <v>0</v>
      </c>
      <c r="O120"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120" s="108">
        <f>IFERROR(IF(Tabelle13245689[[#This Row],[Status]]=$J$5,MIN(Tabelle13245689[[#This Row],[Jira Story Points]],Tabelle13245689[[#This Row],[Carry-over]]),0),0)</f>
        <v>0</v>
      </c>
      <c r="Q120" s="108">
        <f>IFERROR(IF(Tabelle13245689[[#This Row],[Status]]=$J$5,0,MIN(Tabelle13245689[[#This Row],[Jira Story Points]],Tabelle13245689[[#This Row],[Carry-over]])-Tabelle13245689[[#This Row],[SP Completed (COS &amp; SOS)]]),0)</f>
        <v>0</v>
      </c>
    </row>
    <row r="121" spans="1:17" s="46" customFormat="1" ht="13.5" hidden="1" customHeight="1">
      <c r="A121" s="88" t="s">
        <v>2678</v>
      </c>
      <c r="B121" s="88" t="s">
        <v>2679</v>
      </c>
      <c r="C121" s="76" t="s">
        <v>372</v>
      </c>
      <c r="D121" s="76">
        <v>3</v>
      </c>
      <c r="E121" s="76" t="s">
        <v>324</v>
      </c>
      <c r="F121" s="104">
        <v>2</v>
      </c>
      <c r="G121" s="76" t="s">
        <v>35</v>
      </c>
      <c r="H121" s="76"/>
      <c r="I121" s="103"/>
      <c r="J121" s="76" t="s">
        <v>125</v>
      </c>
      <c r="K121" s="104"/>
      <c r="L121" s="104"/>
      <c r="M121" s="105">
        <f>IF(Tabelle13245689[[#This Row],[Pulled after Start]]="",MIN(Tabelle13245689[[#This Row],[Jira Story Points]],Tabelle13245689[[#This Row],[Carry-over]]),0)</f>
        <v>2</v>
      </c>
      <c r="N121" s="106">
        <f>MIN(Tabelle13245689[[#This Row],[Jira Story Points]],Tabelle13245689[[#This Row],[Carry-over]])-Tabelle13245689[[#This Row],[SP Initially Planned (COS)]]</f>
        <v>0</v>
      </c>
      <c r="O121"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121" s="108">
        <f>IFERROR(IF(Tabelle13245689[[#This Row],[Status]]=$J$5,MIN(Tabelle13245689[[#This Row],[Jira Story Points]],Tabelle13245689[[#This Row],[Carry-over]]),0),0)</f>
        <v>0</v>
      </c>
      <c r="Q121" s="108">
        <f>IFERROR(IF(Tabelle13245689[[#This Row],[Status]]=$J$5,0,MIN(Tabelle13245689[[#This Row],[Jira Story Points]],Tabelle13245689[[#This Row],[Carry-over]])-Tabelle13245689[[#This Row],[SP Completed (COS &amp; SOS)]]),0)</f>
        <v>0</v>
      </c>
    </row>
    <row r="122" spans="1:17" s="46" customFormat="1" ht="13.5" hidden="1" customHeight="1">
      <c r="A122" s="88" t="s">
        <v>2680</v>
      </c>
      <c r="B122" s="88" t="s">
        <v>2681</v>
      </c>
      <c r="C122" s="76" t="s">
        <v>372</v>
      </c>
      <c r="D122" s="76">
        <v>3</v>
      </c>
      <c r="E122" s="76" t="s">
        <v>324</v>
      </c>
      <c r="F122" s="104" t="s">
        <v>210</v>
      </c>
      <c r="G122" s="76" t="s">
        <v>35</v>
      </c>
      <c r="H122" s="83"/>
      <c r="I122" s="103"/>
      <c r="J122" s="76" t="s">
        <v>125</v>
      </c>
      <c r="K122" s="104"/>
      <c r="L122" s="104"/>
      <c r="M122" s="105">
        <f>IF(Tabelle13245689[[#This Row],[Pulled after Start]]="",MIN(Tabelle13245689[[#This Row],[Jira Story Points]],Tabelle13245689[[#This Row],[Carry-over]]),0)</f>
        <v>0</v>
      </c>
      <c r="N122" s="106">
        <f>MIN(Tabelle13245689[[#This Row],[Jira Story Points]],Tabelle13245689[[#This Row],[Carry-over]])-Tabelle13245689[[#This Row],[SP Initially Planned (COS)]]</f>
        <v>0</v>
      </c>
      <c r="O122" s="107" t="str">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v>
      </c>
      <c r="P122" s="108">
        <f>IFERROR(IF(Tabelle13245689[[#This Row],[Status]]=$J$5,MIN(Tabelle13245689[[#This Row],[Jira Story Points]],Tabelle13245689[[#This Row],[Carry-over]]),0),0)</f>
        <v>0</v>
      </c>
      <c r="Q122" s="108">
        <f>IFERROR(IF(Tabelle13245689[[#This Row],[Status]]=$J$5,0,MIN(Tabelle13245689[[#This Row],[Jira Story Points]],Tabelle13245689[[#This Row],[Carry-over]])-Tabelle13245689[[#This Row],[SP Completed (COS &amp; SOS)]]),0)</f>
        <v>0</v>
      </c>
    </row>
    <row r="123" spans="1:17" s="46" customFormat="1" ht="13.5" hidden="1" customHeight="1">
      <c r="A123" s="88" t="s">
        <v>2682</v>
      </c>
      <c r="B123" s="88" t="s">
        <v>2683</v>
      </c>
      <c r="C123" s="76" t="s">
        <v>372</v>
      </c>
      <c r="D123" s="76">
        <v>3</v>
      </c>
      <c r="E123" s="76" t="s">
        <v>324</v>
      </c>
      <c r="F123" s="76" t="s">
        <v>210</v>
      </c>
      <c r="G123" s="76" t="s">
        <v>35</v>
      </c>
      <c r="H123" s="76"/>
      <c r="I123" s="103"/>
      <c r="J123" s="76" t="s">
        <v>125</v>
      </c>
      <c r="K123" s="104"/>
      <c r="L123" s="104"/>
      <c r="M123" s="105">
        <f>IF(Tabelle13245689[[#This Row],[Pulled after Start]]="",MIN(Tabelle13245689[[#This Row],[Jira Story Points]],Tabelle13245689[[#This Row],[Carry-over]]),0)</f>
        <v>0</v>
      </c>
      <c r="N123" s="106">
        <f>MIN(Tabelle13245689[[#This Row],[Jira Story Points]],Tabelle13245689[[#This Row],[Carry-over]])-Tabelle13245689[[#This Row],[SP Initially Planned (COS)]]</f>
        <v>0</v>
      </c>
      <c r="O123" s="107" t="str">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v>
      </c>
      <c r="P123" s="108">
        <f>IFERROR(IF(Tabelle13245689[[#This Row],[Status]]=$J$5,MIN(Tabelle13245689[[#This Row],[Jira Story Points]],Tabelle13245689[[#This Row],[Carry-over]]),0),0)</f>
        <v>0</v>
      </c>
      <c r="Q123" s="108">
        <f>IFERROR(IF(Tabelle13245689[[#This Row],[Status]]=$J$5,0,MIN(Tabelle13245689[[#This Row],[Jira Story Points]],Tabelle13245689[[#This Row],[Carry-over]])-Tabelle13245689[[#This Row],[SP Completed (COS &amp; SOS)]]),0)</f>
        <v>0</v>
      </c>
    </row>
    <row r="124" spans="1:17" s="46" customFormat="1" ht="13.5" hidden="1" customHeight="1">
      <c r="A124" s="88" t="s">
        <v>2684</v>
      </c>
      <c r="B124" s="88" t="s">
        <v>2685</v>
      </c>
      <c r="C124" s="76" t="s">
        <v>372</v>
      </c>
      <c r="D124" s="76">
        <v>3</v>
      </c>
      <c r="E124" s="76" t="s">
        <v>324</v>
      </c>
      <c r="F124" s="76" t="s">
        <v>210</v>
      </c>
      <c r="G124" s="76" t="s">
        <v>35</v>
      </c>
      <c r="H124" s="76"/>
      <c r="I124" s="103"/>
      <c r="J124" s="76" t="s">
        <v>125</v>
      </c>
      <c r="K124" s="104"/>
      <c r="L124" s="104"/>
      <c r="M124" s="105">
        <f>IF(Tabelle13245689[[#This Row],[Pulled after Start]]="",MIN(Tabelle13245689[[#This Row],[Jira Story Points]],Tabelle13245689[[#This Row],[Carry-over]]),0)</f>
        <v>0</v>
      </c>
      <c r="N124" s="106">
        <f>MIN(Tabelle13245689[[#This Row],[Jira Story Points]],Tabelle13245689[[#This Row],[Carry-over]])-Tabelle13245689[[#This Row],[SP Initially Planned (COS)]]</f>
        <v>0</v>
      </c>
      <c r="O124" s="107" t="str">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v>
      </c>
      <c r="P124" s="108">
        <f>IFERROR(IF(Tabelle13245689[[#This Row],[Status]]=$J$5,MIN(Tabelle13245689[[#This Row],[Jira Story Points]],Tabelle13245689[[#This Row],[Carry-over]]),0),0)</f>
        <v>0</v>
      </c>
      <c r="Q124" s="108">
        <f>IFERROR(IF(Tabelle13245689[[#This Row],[Status]]=$J$5,0,MIN(Tabelle13245689[[#This Row],[Jira Story Points]],Tabelle13245689[[#This Row],[Carry-over]])-Tabelle13245689[[#This Row],[SP Completed (COS &amp; SOS)]]),0)</f>
        <v>0</v>
      </c>
    </row>
    <row r="125" spans="1:17" s="46" customFormat="1" ht="13.5" hidden="1" customHeight="1">
      <c r="A125" s="115" t="s">
        <v>2686</v>
      </c>
      <c r="B125" s="110" t="s">
        <v>2687</v>
      </c>
      <c r="C125" s="76" t="s">
        <v>372</v>
      </c>
      <c r="D125" s="76">
        <v>3</v>
      </c>
      <c r="E125" s="76" t="s">
        <v>324</v>
      </c>
      <c r="F125" s="104" t="s">
        <v>210</v>
      </c>
      <c r="G125" s="76" t="s">
        <v>35</v>
      </c>
      <c r="H125" s="83"/>
      <c r="I125" s="103"/>
      <c r="J125" s="76" t="s">
        <v>125</v>
      </c>
      <c r="K125" s="104"/>
      <c r="L125" s="104"/>
      <c r="M125" s="105">
        <f>IF(Tabelle13245689[[#This Row],[Pulled after Start]]="",MIN(Tabelle13245689[[#This Row],[Jira Story Points]],Tabelle13245689[[#This Row],[Carry-over]]),0)</f>
        <v>0</v>
      </c>
      <c r="N125" s="106">
        <f>MIN(Tabelle13245689[[#This Row],[Jira Story Points]],Tabelle13245689[[#This Row],[Carry-over]])-Tabelle13245689[[#This Row],[SP Initially Planned (COS)]]</f>
        <v>0</v>
      </c>
      <c r="O125" s="107" t="str">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v>
      </c>
      <c r="P125" s="108">
        <f>IFERROR(IF(Tabelle13245689[[#This Row],[Status]]=$J$5,MIN(Tabelle13245689[[#This Row],[Jira Story Points]],Tabelle13245689[[#This Row],[Carry-over]]),0),0)</f>
        <v>0</v>
      </c>
      <c r="Q125" s="108">
        <f>IFERROR(IF(Tabelle13245689[[#This Row],[Status]]=$J$5,0,MIN(Tabelle13245689[[#This Row],[Jira Story Points]],Tabelle13245689[[#This Row],[Carry-over]])-Tabelle13245689[[#This Row],[SP Completed (COS &amp; SOS)]]),0)</f>
        <v>0</v>
      </c>
    </row>
    <row r="126" spans="1:17" s="46" customFormat="1" ht="13.5" hidden="1" customHeight="1">
      <c r="A126" s="88" t="s">
        <v>2688</v>
      </c>
      <c r="B126" s="46" t="s">
        <v>2689</v>
      </c>
      <c r="C126" s="76" t="s">
        <v>372</v>
      </c>
      <c r="D126" s="76">
        <v>3</v>
      </c>
      <c r="E126" s="76" t="s">
        <v>324</v>
      </c>
      <c r="F126" s="76" t="s">
        <v>210</v>
      </c>
      <c r="G126" s="76" t="s">
        <v>35</v>
      </c>
      <c r="H126" s="76"/>
      <c r="J126" s="76" t="s">
        <v>125</v>
      </c>
      <c r="K126" s="76"/>
      <c r="L126" s="76"/>
      <c r="M126" s="105">
        <f>IF(Tabelle13245689[[#This Row],[Pulled after Start]]="",MIN(Tabelle13245689[[#This Row],[Jira Story Points]],Tabelle13245689[[#This Row],[Carry-over]]),0)</f>
        <v>0</v>
      </c>
      <c r="N126" s="106">
        <f>MIN(Tabelle13245689[[#This Row],[Jira Story Points]],Tabelle13245689[[#This Row],[Carry-over]])-Tabelle13245689[[#This Row],[SP Initially Planned (COS)]]</f>
        <v>0</v>
      </c>
      <c r="O126" s="107" t="str">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v>
      </c>
      <c r="P126" s="108">
        <f>IFERROR(IF(Tabelle13245689[[#This Row],[Status]]=$J$5,MIN(Tabelle13245689[[#This Row],[Jira Story Points]],Tabelle13245689[[#This Row],[Carry-over]]),0),0)</f>
        <v>0</v>
      </c>
      <c r="Q126" s="108">
        <f>IFERROR(IF(Tabelle13245689[[#This Row],[Status]]=$J$5,0,MIN(Tabelle13245689[[#This Row],[Jira Story Points]],Tabelle13245689[[#This Row],[Carry-over]])-Tabelle13245689[[#This Row],[SP Completed (COS &amp; SOS)]]),0)</f>
        <v>0</v>
      </c>
    </row>
    <row r="127" spans="1:17" s="46" customFormat="1" ht="13.5" hidden="1" customHeight="1">
      <c r="A127" s="117" t="s">
        <v>2690</v>
      </c>
      <c r="B127" s="110" t="s">
        <v>2691</v>
      </c>
      <c r="C127" s="76" t="s">
        <v>372</v>
      </c>
      <c r="D127" s="76">
        <v>3</v>
      </c>
      <c r="E127" s="76" t="s">
        <v>324</v>
      </c>
      <c r="F127" s="104" t="s">
        <v>210</v>
      </c>
      <c r="G127" s="76" t="s">
        <v>35</v>
      </c>
      <c r="H127" s="83"/>
      <c r="I127" s="103"/>
      <c r="J127" s="76" t="s">
        <v>125</v>
      </c>
      <c r="K127" s="104"/>
      <c r="L127" s="104"/>
      <c r="M127" s="105">
        <f>IF(Tabelle13245689[[#This Row],[Pulled after Start]]="",MIN(Tabelle13245689[[#This Row],[Jira Story Points]],Tabelle13245689[[#This Row],[Carry-over]]),0)</f>
        <v>0</v>
      </c>
      <c r="N127" s="106">
        <f>MIN(Tabelle13245689[[#This Row],[Jira Story Points]],Tabelle13245689[[#This Row],[Carry-over]])-Tabelle13245689[[#This Row],[SP Initially Planned (COS)]]</f>
        <v>0</v>
      </c>
      <c r="O127" s="107" t="str">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v>
      </c>
      <c r="P127" s="108">
        <f>IFERROR(IF(Tabelle13245689[[#This Row],[Status]]=$J$5,MIN(Tabelle13245689[[#This Row],[Jira Story Points]],Tabelle13245689[[#This Row],[Carry-over]]),0),0)</f>
        <v>0</v>
      </c>
      <c r="Q127" s="108">
        <f>IFERROR(IF(Tabelle13245689[[#This Row],[Status]]=$J$5,0,MIN(Tabelle13245689[[#This Row],[Jira Story Points]],Tabelle13245689[[#This Row],[Carry-over]])-Tabelle13245689[[#This Row],[SP Completed (COS &amp; SOS)]]),0)</f>
        <v>0</v>
      </c>
    </row>
    <row r="128" spans="1:17" s="46" customFormat="1" ht="13.5" hidden="1" customHeight="1">
      <c r="A128" s="88" t="s">
        <v>2692</v>
      </c>
      <c r="B128" s="47" t="s">
        <v>2693</v>
      </c>
      <c r="C128" s="76" t="s">
        <v>382</v>
      </c>
      <c r="D128" s="76">
        <v>3</v>
      </c>
      <c r="E128" s="76" t="s">
        <v>324</v>
      </c>
      <c r="F128" s="104" t="s">
        <v>210</v>
      </c>
      <c r="G128" s="76" t="s">
        <v>35</v>
      </c>
      <c r="H128" s="76" t="s">
        <v>209</v>
      </c>
      <c r="I128" s="103"/>
      <c r="J128" s="76" t="s">
        <v>125</v>
      </c>
      <c r="K128" s="76"/>
      <c r="L128" s="76"/>
      <c r="M128" s="105">
        <f>IF(Tabelle13245689[[#This Row],[Pulled after Start]]="",MIN(Tabelle13245689[[#This Row],[Jira Story Points]],Tabelle13245689[[#This Row],[Carry-over]]),0)</f>
        <v>0</v>
      </c>
      <c r="N128" s="106">
        <f>MIN(Tabelle13245689[[#This Row],[Jira Story Points]],Tabelle13245689[[#This Row],[Carry-over]])-Tabelle13245689[[#This Row],[SP Initially Planned (COS)]]</f>
        <v>0</v>
      </c>
      <c r="O128" s="107" t="str">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v>
      </c>
      <c r="P128" s="108">
        <f>IFERROR(IF(Tabelle13245689[[#This Row],[Status]]=$J$5,MIN(Tabelle13245689[[#This Row],[Jira Story Points]],Tabelle13245689[[#This Row],[Carry-over]]),0),0)</f>
        <v>0</v>
      </c>
      <c r="Q128" s="108">
        <f>IFERROR(IF(Tabelle13245689[[#This Row],[Status]]=$J$5,0,MIN(Tabelle13245689[[#This Row],[Jira Story Points]],Tabelle13245689[[#This Row],[Carry-over]])-Tabelle13245689[[#This Row],[SP Completed (COS &amp; SOS)]]),0)</f>
        <v>0</v>
      </c>
    </row>
    <row r="129" spans="1:17" s="46" customFormat="1" ht="13.5" hidden="1" customHeight="1">
      <c r="A129" s="88" t="s">
        <v>2137</v>
      </c>
      <c r="B129" s="47" t="s">
        <v>2138</v>
      </c>
      <c r="C129" s="76" t="s">
        <v>372</v>
      </c>
      <c r="D129" s="76">
        <v>3</v>
      </c>
      <c r="E129" s="76" t="s">
        <v>327</v>
      </c>
      <c r="F129" s="76">
        <v>5</v>
      </c>
      <c r="G129" s="76" t="s">
        <v>35</v>
      </c>
      <c r="H129" s="76"/>
      <c r="I129" s="103"/>
      <c r="J129" s="76" t="s">
        <v>127</v>
      </c>
      <c r="K129" s="76"/>
      <c r="L129" s="76"/>
      <c r="M129" s="105">
        <f>IF(Tabelle13245689[[#This Row],[Pulled after Start]]="",MIN(Tabelle13245689[[#This Row],[Jira Story Points]],Tabelle13245689[[#This Row],[Carry-over]]),0)</f>
        <v>5</v>
      </c>
      <c r="N129" s="106">
        <f>MIN(Tabelle13245689[[#This Row],[Jira Story Points]],Tabelle13245689[[#This Row],[Carry-over]])-Tabelle13245689[[#This Row],[SP Initially Planned (COS)]]</f>
        <v>0</v>
      </c>
      <c r="O129"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29" s="108">
        <f>IFERROR(IF(Tabelle13245689[[#This Row],[Status]]=$J$5,MIN(Tabelle13245689[[#This Row],[Jira Story Points]],Tabelle13245689[[#This Row],[Carry-over]]),0),0)</f>
        <v>0</v>
      </c>
      <c r="Q129" s="108">
        <f>IFERROR(IF(Tabelle13245689[[#This Row],[Status]]=$J$5,0,MIN(Tabelle13245689[[#This Row],[Jira Story Points]],Tabelle13245689[[#This Row],[Carry-over]])-Tabelle13245689[[#This Row],[SP Completed (COS &amp; SOS)]]),0)</f>
        <v>5</v>
      </c>
    </row>
    <row r="130" spans="1:17" s="46" customFormat="1" ht="13.5" hidden="1" customHeight="1">
      <c r="A130" s="117" t="s">
        <v>2141</v>
      </c>
      <c r="B130" s="47" t="s">
        <v>2142</v>
      </c>
      <c r="C130" s="76" t="s">
        <v>382</v>
      </c>
      <c r="D130" s="76">
        <v>3</v>
      </c>
      <c r="E130" s="76" t="s">
        <v>330</v>
      </c>
      <c r="F130" s="104" t="s">
        <v>210</v>
      </c>
      <c r="G130" s="76" t="s">
        <v>35</v>
      </c>
      <c r="H130" s="76"/>
      <c r="I130" s="103"/>
      <c r="J130" s="76" t="s">
        <v>127</v>
      </c>
      <c r="K130" s="104"/>
      <c r="L130" s="104"/>
      <c r="M130" s="105">
        <f>IF(Tabelle13245689[[#This Row],[Pulled after Start]]="",MIN(Tabelle13245689[[#This Row],[Jira Story Points]],Tabelle13245689[[#This Row],[Carry-over]]),0)</f>
        <v>0</v>
      </c>
      <c r="N130" s="106">
        <f>MIN(Tabelle13245689[[#This Row],[Jira Story Points]],Tabelle13245689[[#This Row],[Carry-over]])-Tabelle13245689[[#This Row],[SP Initially Planned (COS)]]</f>
        <v>0</v>
      </c>
      <c r="O130"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30" s="108">
        <f>IFERROR(IF(Tabelle13245689[[#This Row],[Status]]=$J$5,MIN(Tabelle13245689[[#This Row],[Jira Story Points]],Tabelle13245689[[#This Row],[Carry-over]]),0),0)</f>
        <v>0</v>
      </c>
      <c r="Q130" s="108">
        <f>IFERROR(IF(Tabelle13245689[[#This Row],[Status]]=$J$5,0,MIN(Tabelle13245689[[#This Row],[Jira Story Points]],Tabelle13245689[[#This Row],[Carry-over]])-Tabelle13245689[[#This Row],[SP Completed (COS &amp; SOS)]]),0)</f>
        <v>0</v>
      </c>
    </row>
    <row r="131" spans="1:17" s="46" customFormat="1" ht="13.5" hidden="1" customHeight="1">
      <c r="A131" s="88" t="s">
        <v>2487</v>
      </c>
      <c r="B131" s="47" t="s">
        <v>2488</v>
      </c>
      <c r="C131" s="76" t="s">
        <v>372</v>
      </c>
      <c r="D131" s="76">
        <v>3</v>
      </c>
      <c r="E131" s="76" t="s">
        <v>351</v>
      </c>
      <c r="F131" s="76">
        <v>3</v>
      </c>
      <c r="G131" s="76" t="s">
        <v>35</v>
      </c>
      <c r="H131" s="76"/>
      <c r="I131" s="103"/>
      <c r="J131" s="76" t="s">
        <v>127</v>
      </c>
      <c r="K131" s="76"/>
      <c r="L131" s="76"/>
      <c r="M131" s="105">
        <f>IF(Tabelle13245689[[#This Row],[Pulled after Start]]="",MIN(Tabelle13245689[[#This Row],[Jira Story Points]],Tabelle13245689[[#This Row],[Carry-over]]),0)</f>
        <v>3</v>
      </c>
      <c r="N131" s="106">
        <f>MIN(Tabelle13245689[[#This Row],[Jira Story Points]],Tabelle13245689[[#This Row],[Carry-over]])-Tabelle13245689[[#This Row],[SP Initially Planned (COS)]]</f>
        <v>0</v>
      </c>
      <c r="O131"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31" s="108">
        <f>IFERROR(IF(Tabelle13245689[[#This Row],[Status]]=$J$5,MIN(Tabelle13245689[[#This Row],[Jira Story Points]],Tabelle13245689[[#This Row],[Carry-over]]),0),0)</f>
        <v>0</v>
      </c>
      <c r="Q131" s="108">
        <f>IFERROR(IF(Tabelle13245689[[#This Row],[Status]]=$J$5,0,MIN(Tabelle13245689[[#This Row],[Jira Story Points]],Tabelle13245689[[#This Row],[Carry-over]])-Tabelle13245689[[#This Row],[SP Completed (COS &amp; SOS)]]),0)</f>
        <v>3</v>
      </c>
    </row>
    <row r="132" spans="1:17" s="46" customFormat="1" ht="13.5" hidden="1" customHeight="1">
      <c r="A132" s="117" t="s">
        <v>2694</v>
      </c>
      <c r="B132" s="47" t="s">
        <v>2490</v>
      </c>
      <c r="C132" s="76" t="s">
        <v>375</v>
      </c>
      <c r="D132" s="76">
        <v>3</v>
      </c>
      <c r="E132" s="76" t="s">
        <v>642</v>
      </c>
      <c r="F132" s="104">
        <v>3</v>
      </c>
      <c r="G132" s="76" t="s">
        <v>35</v>
      </c>
      <c r="H132" s="76" t="s">
        <v>209</v>
      </c>
      <c r="I132" s="103"/>
      <c r="J132" s="76" t="s">
        <v>125</v>
      </c>
      <c r="K132" s="104"/>
      <c r="L132" s="104"/>
      <c r="M132" s="105">
        <f>IF(Tabelle13245689[[#This Row],[Pulled after Start]]="",MIN(Tabelle13245689[[#This Row],[Jira Story Points]],Tabelle13245689[[#This Row],[Carry-over]]),0)</f>
        <v>0</v>
      </c>
      <c r="N132" s="106">
        <f>MIN(Tabelle13245689[[#This Row],[Jira Story Points]],Tabelle13245689[[#This Row],[Carry-over]])-Tabelle13245689[[#This Row],[SP Initially Planned (COS)]]</f>
        <v>3</v>
      </c>
      <c r="O132"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132" s="108">
        <f>IFERROR(IF(Tabelle13245689[[#This Row],[Status]]=$J$5,MIN(Tabelle13245689[[#This Row],[Jira Story Points]],Tabelle13245689[[#This Row],[Carry-over]]),0),0)</f>
        <v>0</v>
      </c>
      <c r="Q132" s="108">
        <f>IFERROR(IF(Tabelle13245689[[#This Row],[Status]]=$J$5,0,MIN(Tabelle13245689[[#This Row],[Jira Story Points]],Tabelle13245689[[#This Row],[Carry-over]])-Tabelle13245689[[#This Row],[SP Completed (COS &amp; SOS)]]),0)</f>
        <v>0</v>
      </c>
    </row>
    <row r="133" spans="1:17" s="46" customFormat="1" ht="13.5" hidden="1" customHeight="1">
      <c r="A133" s="88" t="s">
        <v>2695</v>
      </c>
      <c r="B133" s="47" t="s">
        <v>2696</v>
      </c>
      <c r="C133" s="76" t="s">
        <v>372</v>
      </c>
      <c r="D133" s="76">
        <v>3</v>
      </c>
      <c r="E133" s="76" t="s">
        <v>628</v>
      </c>
      <c r="F133" s="76">
        <v>5</v>
      </c>
      <c r="G133" s="76" t="s">
        <v>35</v>
      </c>
      <c r="H133" s="76"/>
      <c r="I133" s="103"/>
      <c r="J133" s="76" t="s">
        <v>125</v>
      </c>
      <c r="K133" s="76"/>
      <c r="L133" s="76"/>
      <c r="M133" s="105">
        <f>IF(Tabelle13245689[[#This Row],[Pulled after Start]]="",MIN(Tabelle13245689[[#This Row],[Jira Story Points]],Tabelle13245689[[#This Row],[Carry-over]]),0)</f>
        <v>5</v>
      </c>
      <c r="N133" s="106">
        <f>MIN(Tabelle13245689[[#This Row],[Jira Story Points]],Tabelle13245689[[#This Row],[Carry-over]])-Tabelle13245689[[#This Row],[SP Initially Planned (COS)]]</f>
        <v>0</v>
      </c>
      <c r="O133"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5</v>
      </c>
      <c r="P133" s="108">
        <f>IFERROR(IF(Tabelle13245689[[#This Row],[Status]]=$J$5,MIN(Tabelle13245689[[#This Row],[Jira Story Points]],Tabelle13245689[[#This Row],[Carry-over]]),0),0)</f>
        <v>0</v>
      </c>
      <c r="Q133" s="108">
        <f>IFERROR(IF(Tabelle13245689[[#This Row],[Status]]=$J$5,0,MIN(Tabelle13245689[[#This Row],[Jira Story Points]],Tabelle13245689[[#This Row],[Carry-over]])-Tabelle13245689[[#This Row],[SP Completed (COS &amp; SOS)]]),0)</f>
        <v>0</v>
      </c>
    </row>
    <row r="134" spans="1:17" s="46" customFormat="1" ht="13.5" hidden="1" customHeight="1">
      <c r="A134" s="88" t="s">
        <v>2143</v>
      </c>
      <c r="B134" s="47" t="s">
        <v>2697</v>
      </c>
      <c r="C134" s="76" t="s">
        <v>372</v>
      </c>
      <c r="D134" s="76">
        <v>3</v>
      </c>
      <c r="E134" s="76" t="s">
        <v>351</v>
      </c>
      <c r="F134" s="76">
        <v>3</v>
      </c>
      <c r="G134" s="76" t="s">
        <v>35</v>
      </c>
      <c r="H134" s="76"/>
      <c r="I134" s="103"/>
      <c r="J134" s="76" t="s">
        <v>127</v>
      </c>
      <c r="K134" s="76"/>
      <c r="L134" s="76"/>
      <c r="M134" s="105">
        <f>IF(Tabelle13245689[[#This Row],[Pulled after Start]]="",MIN(Tabelle13245689[[#This Row],[Jira Story Points]],Tabelle13245689[[#This Row],[Carry-over]]),0)</f>
        <v>3</v>
      </c>
      <c r="N134" s="106">
        <f>MIN(Tabelle13245689[[#This Row],[Jira Story Points]],Tabelle13245689[[#This Row],[Carry-over]])-Tabelle13245689[[#This Row],[SP Initially Planned (COS)]]</f>
        <v>0</v>
      </c>
      <c r="O134"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34" s="108">
        <f>IFERROR(IF(Tabelle13245689[[#This Row],[Status]]=$J$5,MIN(Tabelle13245689[[#This Row],[Jira Story Points]],Tabelle13245689[[#This Row],[Carry-over]]),0),0)</f>
        <v>0</v>
      </c>
      <c r="Q134" s="108">
        <f>IFERROR(IF(Tabelle13245689[[#This Row],[Status]]=$J$5,0,MIN(Tabelle13245689[[#This Row],[Jira Story Points]],Tabelle13245689[[#This Row],[Carry-over]])-Tabelle13245689[[#This Row],[SP Completed (COS &amp; SOS)]]),0)</f>
        <v>3</v>
      </c>
    </row>
    <row r="135" spans="1:17" s="46" customFormat="1" ht="13.5" hidden="1" customHeight="1">
      <c r="A135" s="88" t="s">
        <v>2493</v>
      </c>
      <c r="B135" s="47" t="s">
        <v>2494</v>
      </c>
      <c r="C135" s="76" t="s">
        <v>372</v>
      </c>
      <c r="D135" s="76">
        <v>3</v>
      </c>
      <c r="E135" s="76" t="s">
        <v>642</v>
      </c>
      <c r="F135" s="76">
        <v>5</v>
      </c>
      <c r="G135" s="76" t="s">
        <v>35</v>
      </c>
      <c r="H135" s="76"/>
      <c r="I135" s="103"/>
      <c r="J135" s="76" t="s">
        <v>125</v>
      </c>
      <c r="K135" s="76"/>
      <c r="L135" s="76"/>
      <c r="M135" s="105">
        <f>IF(Tabelle13245689[[#This Row],[Pulled after Start]]="",MIN(Tabelle13245689[[#This Row],[Jira Story Points]],Tabelle13245689[[#This Row],[Carry-over]]),0)</f>
        <v>5</v>
      </c>
      <c r="N135" s="106">
        <f>MIN(Tabelle13245689[[#This Row],[Jira Story Points]],Tabelle13245689[[#This Row],[Carry-over]])-Tabelle13245689[[#This Row],[SP Initially Planned (COS)]]</f>
        <v>0</v>
      </c>
      <c r="O135"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5</v>
      </c>
      <c r="P135" s="108">
        <f>IFERROR(IF(Tabelle13245689[[#This Row],[Status]]=$J$5,MIN(Tabelle13245689[[#This Row],[Jira Story Points]],Tabelle13245689[[#This Row],[Carry-over]]),0),0)</f>
        <v>0</v>
      </c>
      <c r="Q135" s="108">
        <f>IFERROR(IF(Tabelle13245689[[#This Row],[Status]]=$J$5,0,MIN(Tabelle13245689[[#This Row],[Jira Story Points]],Tabelle13245689[[#This Row],[Carry-over]])-Tabelle13245689[[#This Row],[SP Completed (COS &amp; SOS)]]),0)</f>
        <v>0</v>
      </c>
    </row>
    <row r="136" spans="1:17" s="46" customFormat="1" ht="13.5" hidden="1" customHeight="1">
      <c r="A136" s="115" t="s">
        <v>2081</v>
      </c>
      <c r="B136" s="47" t="s">
        <v>2082</v>
      </c>
      <c r="C136" s="76" t="s">
        <v>372</v>
      </c>
      <c r="D136" s="76">
        <v>3</v>
      </c>
      <c r="E136" s="76" t="s">
        <v>642</v>
      </c>
      <c r="F136" s="104">
        <v>5</v>
      </c>
      <c r="G136" s="76" t="s">
        <v>35</v>
      </c>
      <c r="H136" s="83"/>
      <c r="I136" s="120"/>
      <c r="J136" s="76" t="s">
        <v>125</v>
      </c>
      <c r="K136" s="104"/>
      <c r="L136" s="104"/>
      <c r="M136" s="105">
        <f>IF(Tabelle13245689[[#This Row],[Pulled after Start]]="",MIN(Tabelle13245689[[#This Row],[Jira Story Points]],Tabelle13245689[[#This Row],[Carry-over]]),0)</f>
        <v>5</v>
      </c>
      <c r="N136" s="106">
        <f>MIN(Tabelle13245689[[#This Row],[Jira Story Points]],Tabelle13245689[[#This Row],[Carry-over]])-Tabelle13245689[[#This Row],[SP Initially Planned (COS)]]</f>
        <v>0</v>
      </c>
      <c r="O136"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5</v>
      </c>
      <c r="P136" s="108">
        <f>IFERROR(IF(Tabelle13245689[[#This Row],[Status]]=$J$5,MIN(Tabelle13245689[[#This Row],[Jira Story Points]],Tabelle13245689[[#This Row],[Carry-over]]),0),0)</f>
        <v>0</v>
      </c>
      <c r="Q136" s="108">
        <f>IFERROR(IF(Tabelle13245689[[#This Row],[Status]]=$J$5,0,MIN(Tabelle13245689[[#This Row],[Jira Story Points]],Tabelle13245689[[#This Row],[Carry-over]])-Tabelle13245689[[#This Row],[SP Completed (COS &amp; SOS)]]),0)</f>
        <v>0</v>
      </c>
    </row>
    <row r="137" spans="1:17" s="46" customFormat="1" ht="13.5" hidden="1" customHeight="1">
      <c r="A137" s="115" t="s">
        <v>1861</v>
      </c>
      <c r="B137" s="47" t="s">
        <v>1862</v>
      </c>
      <c r="C137" s="76" t="s">
        <v>372</v>
      </c>
      <c r="D137" s="76">
        <v>3</v>
      </c>
      <c r="E137" s="76" t="s">
        <v>637</v>
      </c>
      <c r="F137" s="104" t="s">
        <v>210</v>
      </c>
      <c r="G137" s="76" t="s">
        <v>35</v>
      </c>
      <c r="H137" s="83"/>
      <c r="I137" s="120"/>
      <c r="J137" s="76" t="s">
        <v>127</v>
      </c>
      <c r="K137" s="104"/>
      <c r="L137" s="104"/>
      <c r="M137" s="105">
        <f>IF(Tabelle13245689[[#This Row],[Pulled after Start]]="",MIN(Tabelle13245689[[#This Row],[Jira Story Points]],Tabelle13245689[[#This Row],[Carry-over]]),0)</f>
        <v>0</v>
      </c>
      <c r="N137" s="106">
        <f>MIN(Tabelle13245689[[#This Row],[Jira Story Points]],Tabelle13245689[[#This Row],[Carry-over]])-Tabelle13245689[[#This Row],[SP Initially Planned (COS)]]</f>
        <v>0</v>
      </c>
      <c r="O137"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37" s="108">
        <f>IFERROR(IF(Tabelle13245689[[#This Row],[Status]]=$J$5,MIN(Tabelle13245689[[#This Row],[Jira Story Points]],Tabelle13245689[[#This Row],[Carry-over]]),0),0)</f>
        <v>0</v>
      </c>
      <c r="Q137" s="108">
        <f>IFERROR(IF(Tabelle13245689[[#This Row],[Status]]=$J$5,0,MIN(Tabelle13245689[[#This Row],[Jira Story Points]],Tabelle13245689[[#This Row],[Carry-over]])-Tabelle13245689[[#This Row],[SP Completed (COS &amp; SOS)]]),0)</f>
        <v>0</v>
      </c>
    </row>
    <row r="138" spans="1:17" s="46" customFormat="1" ht="13.5" hidden="1" customHeight="1">
      <c r="A138" s="115" t="s">
        <v>2499</v>
      </c>
      <c r="B138" s="47" t="s">
        <v>2500</v>
      </c>
      <c r="C138" s="76" t="s">
        <v>382</v>
      </c>
      <c r="D138" s="76">
        <v>3</v>
      </c>
      <c r="E138" s="76" t="s">
        <v>448</v>
      </c>
      <c r="F138" s="104" t="s">
        <v>210</v>
      </c>
      <c r="G138" s="76" t="s">
        <v>35</v>
      </c>
      <c r="H138" s="83"/>
      <c r="I138" s="120"/>
      <c r="J138" s="76" t="s">
        <v>127</v>
      </c>
      <c r="K138" s="104"/>
      <c r="L138" s="104"/>
      <c r="M138" s="105">
        <f>IF(Tabelle13245689[[#This Row],[Pulled after Start]]="",MIN(Tabelle13245689[[#This Row],[Jira Story Points]],Tabelle13245689[[#This Row],[Carry-over]]),0)</f>
        <v>0</v>
      </c>
      <c r="N138" s="106">
        <f>MIN(Tabelle13245689[[#This Row],[Jira Story Points]],Tabelle13245689[[#This Row],[Carry-over]])-Tabelle13245689[[#This Row],[SP Initially Planned (COS)]]</f>
        <v>0</v>
      </c>
      <c r="O138"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38" s="108">
        <f>IFERROR(IF(Tabelle13245689[[#This Row],[Status]]=$J$5,MIN(Tabelle13245689[[#This Row],[Jira Story Points]],Tabelle13245689[[#This Row],[Carry-over]]),0),0)</f>
        <v>0</v>
      </c>
      <c r="Q138" s="108">
        <f>IFERROR(IF(Tabelle13245689[[#This Row],[Status]]=$J$5,0,MIN(Tabelle13245689[[#This Row],[Jira Story Points]],Tabelle13245689[[#This Row],[Carry-over]])-Tabelle13245689[[#This Row],[SP Completed (COS &amp; SOS)]]),0)</f>
        <v>0</v>
      </c>
    </row>
    <row r="139" spans="1:17" s="46" customFormat="1" ht="13.5" hidden="1" customHeight="1">
      <c r="A139" s="115" t="s">
        <v>2698</v>
      </c>
      <c r="B139" s="47" t="s">
        <v>2699</v>
      </c>
      <c r="C139" s="76" t="s">
        <v>372</v>
      </c>
      <c r="D139" s="76">
        <v>3</v>
      </c>
      <c r="E139" s="76" t="s">
        <v>637</v>
      </c>
      <c r="F139" s="104">
        <v>2</v>
      </c>
      <c r="G139" s="76" t="s">
        <v>35</v>
      </c>
      <c r="H139" s="83"/>
      <c r="I139" s="120"/>
      <c r="J139" s="76" t="s">
        <v>127</v>
      </c>
      <c r="K139" s="104"/>
      <c r="L139" s="104"/>
      <c r="M139" s="105">
        <f>IF(Tabelle13245689[[#This Row],[Pulled after Start]]="",MIN(Tabelle13245689[[#This Row],[Jira Story Points]],Tabelle13245689[[#This Row],[Carry-over]]),0)</f>
        <v>2</v>
      </c>
      <c r="N139" s="106">
        <f>MIN(Tabelle13245689[[#This Row],[Jira Story Points]],Tabelle13245689[[#This Row],[Carry-over]])-Tabelle13245689[[#This Row],[SP Initially Planned (COS)]]</f>
        <v>0</v>
      </c>
      <c r="O139"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39" s="108">
        <f>IFERROR(IF(Tabelle13245689[[#This Row],[Status]]=$J$5,MIN(Tabelle13245689[[#This Row],[Jira Story Points]],Tabelle13245689[[#This Row],[Carry-over]]),0),0)</f>
        <v>0</v>
      </c>
      <c r="Q139" s="108">
        <f>IFERROR(IF(Tabelle13245689[[#This Row],[Status]]=$J$5,0,MIN(Tabelle13245689[[#This Row],[Jira Story Points]],Tabelle13245689[[#This Row],[Carry-over]])-Tabelle13245689[[#This Row],[SP Completed (COS &amp; SOS)]]),0)</f>
        <v>2</v>
      </c>
    </row>
    <row r="140" spans="1:17" s="46" customFormat="1" ht="13.5" hidden="1" customHeight="1">
      <c r="A140" s="115" t="s">
        <v>2700</v>
      </c>
      <c r="B140" s="47" t="s">
        <v>2152</v>
      </c>
      <c r="C140" s="76" t="s">
        <v>382</v>
      </c>
      <c r="D140" s="76">
        <v>3</v>
      </c>
      <c r="E140" s="76" t="s">
        <v>330</v>
      </c>
      <c r="F140" s="104" t="s">
        <v>210</v>
      </c>
      <c r="G140" s="76" t="s">
        <v>35</v>
      </c>
      <c r="H140" s="83"/>
      <c r="I140" s="120"/>
      <c r="J140" s="76" t="s">
        <v>125</v>
      </c>
      <c r="K140" s="104"/>
      <c r="L140" s="104"/>
      <c r="M140" s="105">
        <f>IF(Tabelle13245689[[#This Row],[Pulled after Start]]="",MIN(Tabelle13245689[[#This Row],[Jira Story Points]],Tabelle13245689[[#This Row],[Carry-over]]),0)</f>
        <v>0</v>
      </c>
      <c r="N140" s="106">
        <f>MIN(Tabelle13245689[[#This Row],[Jira Story Points]],Tabelle13245689[[#This Row],[Carry-over]])-Tabelle13245689[[#This Row],[SP Initially Planned (COS)]]</f>
        <v>0</v>
      </c>
      <c r="O140" s="107" t="str">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v>
      </c>
      <c r="P140" s="108">
        <f>IFERROR(IF(Tabelle13245689[[#This Row],[Status]]=$J$5,MIN(Tabelle13245689[[#This Row],[Jira Story Points]],Tabelle13245689[[#This Row],[Carry-over]]),0),0)</f>
        <v>0</v>
      </c>
      <c r="Q140" s="108">
        <f>IFERROR(IF(Tabelle13245689[[#This Row],[Status]]=$J$5,0,MIN(Tabelle13245689[[#This Row],[Jira Story Points]],Tabelle13245689[[#This Row],[Carry-over]])-Tabelle13245689[[#This Row],[SP Completed (COS &amp; SOS)]]),0)</f>
        <v>0</v>
      </c>
    </row>
    <row r="141" spans="1:17" s="46" customFormat="1" ht="13.5" hidden="1" customHeight="1">
      <c r="A141" s="115" t="s">
        <v>2701</v>
      </c>
      <c r="B141" s="47" t="s">
        <v>2504</v>
      </c>
      <c r="C141" s="76" t="s">
        <v>375</v>
      </c>
      <c r="D141" s="76">
        <v>1</v>
      </c>
      <c r="E141" s="76" t="s">
        <v>637</v>
      </c>
      <c r="F141" s="104">
        <v>2</v>
      </c>
      <c r="G141" s="76" t="s">
        <v>35</v>
      </c>
      <c r="H141" s="83" t="s">
        <v>209</v>
      </c>
      <c r="I141" s="120"/>
      <c r="J141" s="76" t="s">
        <v>127</v>
      </c>
      <c r="K141" s="104"/>
      <c r="L141" s="104"/>
      <c r="M141" s="105">
        <f>IF(Tabelle13245689[[#This Row],[Pulled after Start]]="",MIN(Tabelle13245689[[#This Row],[Jira Story Points]],Tabelle13245689[[#This Row],[Carry-over]]),0)</f>
        <v>0</v>
      </c>
      <c r="N141" s="106">
        <f>MIN(Tabelle13245689[[#This Row],[Jira Story Points]],Tabelle13245689[[#This Row],[Carry-over]])-Tabelle13245689[[#This Row],[SP Initially Planned (COS)]]</f>
        <v>2</v>
      </c>
      <c r="O141"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41" s="108">
        <f>IFERROR(IF(Tabelle13245689[[#This Row],[Status]]=$J$5,MIN(Tabelle13245689[[#This Row],[Jira Story Points]],Tabelle13245689[[#This Row],[Carry-over]]),0),0)</f>
        <v>0</v>
      </c>
      <c r="Q141" s="108">
        <f>IFERROR(IF(Tabelle13245689[[#This Row],[Status]]=$J$5,0,MIN(Tabelle13245689[[#This Row],[Jira Story Points]],Tabelle13245689[[#This Row],[Carry-over]])-Tabelle13245689[[#This Row],[SP Completed (COS &amp; SOS)]]),0)</f>
        <v>2</v>
      </c>
    </row>
    <row r="142" spans="1:17" s="46" customFormat="1" ht="13.5" hidden="1" customHeight="1">
      <c r="A142" s="88" t="s">
        <v>2702</v>
      </c>
      <c r="B142" s="47" t="s">
        <v>2703</v>
      </c>
      <c r="C142" s="76" t="s">
        <v>372</v>
      </c>
      <c r="D142" s="76">
        <v>3</v>
      </c>
      <c r="E142" s="76" t="s">
        <v>324</v>
      </c>
      <c r="F142" s="76">
        <v>3</v>
      </c>
      <c r="G142" s="114" t="s">
        <v>9</v>
      </c>
      <c r="H142" s="83"/>
      <c r="I142" s="103"/>
      <c r="J142" s="76" t="s">
        <v>125</v>
      </c>
      <c r="K142" s="104"/>
      <c r="L142" s="104"/>
      <c r="M142" s="105">
        <f>IF(Tabelle13245689[[#This Row],[Pulled after Start]]="",MIN(Tabelle13245689[[#This Row],[Jira Story Points]],Tabelle13245689[[#This Row],[Carry-over]]),0)</f>
        <v>3</v>
      </c>
      <c r="N142" s="106">
        <f>MIN(Tabelle13245689[[#This Row],[Jira Story Points]],Tabelle13245689[[#This Row],[Carry-over]])-Tabelle13245689[[#This Row],[SP Initially Planned (COS)]]</f>
        <v>0</v>
      </c>
      <c r="O142"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142" s="108">
        <f>IFERROR(IF(Tabelle13245689[[#This Row],[Status]]=$J$5,MIN(Tabelle13245689[[#This Row],[Jira Story Points]],Tabelle13245689[[#This Row],[Carry-over]]),0),0)</f>
        <v>0</v>
      </c>
      <c r="Q142" s="108">
        <f>IFERROR(IF(Tabelle13245689[[#This Row],[Status]]=$J$5,0,MIN(Tabelle13245689[[#This Row],[Jira Story Points]],Tabelle13245689[[#This Row],[Carry-over]])-Tabelle13245689[[#This Row],[SP Completed (COS &amp; SOS)]]),0)</f>
        <v>0</v>
      </c>
    </row>
    <row r="143" spans="1:17" s="46" customFormat="1" ht="13.5" hidden="1" customHeight="1">
      <c r="A143" s="117" t="s">
        <v>2704</v>
      </c>
      <c r="B143" s="47" t="s">
        <v>2705</v>
      </c>
      <c r="C143" s="76" t="s">
        <v>372</v>
      </c>
      <c r="D143" s="76">
        <v>3</v>
      </c>
      <c r="E143" s="76" t="s">
        <v>324</v>
      </c>
      <c r="F143" s="104">
        <v>3</v>
      </c>
      <c r="G143" s="114" t="s">
        <v>9</v>
      </c>
      <c r="H143" s="83"/>
      <c r="I143" s="103"/>
      <c r="J143" s="76" t="s">
        <v>125</v>
      </c>
      <c r="K143" s="104"/>
      <c r="L143" s="104"/>
      <c r="M143" s="105">
        <f>IF(Tabelle13245689[[#This Row],[Pulled after Start]]="",MIN(Tabelle13245689[[#This Row],[Jira Story Points]],Tabelle13245689[[#This Row],[Carry-over]]),0)</f>
        <v>3</v>
      </c>
      <c r="N143" s="106">
        <f>MIN(Tabelle13245689[[#This Row],[Jira Story Points]],Tabelle13245689[[#This Row],[Carry-over]])-Tabelle13245689[[#This Row],[SP Initially Planned (COS)]]</f>
        <v>0</v>
      </c>
      <c r="O143"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143" s="108">
        <f>IFERROR(IF(Tabelle13245689[[#This Row],[Status]]=$J$5,MIN(Tabelle13245689[[#This Row],[Jira Story Points]],Tabelle13245689[[#This Row],[Carry-over]]),0),0)</f>
        <v>0</v>
      </c>
      <c r="Q143" s="108">
        <f>IFERROR(IF(Tabelle13245689[[#This Row],[Status]]=$J$5,0,MIN(Tabelle13245689[[#This Row],[Jira Story Points]],Tabelle13245689[[#This Row],[Carry-over]])-Tabelle13245689[[#This Row],[SP Completed (COS &amp; SOS)]]),0)</f>
        <v>0</v>
      </c>
    </row>
    <row r="144" spans="1:17" s="46" customFormat="1" ht="13.5" hidden="1" customHeight="1">
      <c r="A144" s="88" t="s">
        <v>2706</v>
      </c>
      <c r="B144" s="47" t="s">
        <v>2707</v>
      </c>
      <c r="C144" s="76" t="s">
        <v>372</v>
      </c>
      <c r="D144" s="76">
        <v>3</v>
      </c>
      <c r="E144" s="76" t="s">
        <v>324</v>
      </c>
      <c r="F144" s="76">
        <v>5</v>
      </c>
      <c r="G144" s="114" t="s">
        <v>9</v>
      </c>
      <c r="H144" s="83"/>
      <c r="I144" s="103"/>
      <c r="J144" s="76" t="s">
        <v>125</v>
      </c>
      <c r="K144" s="104"/>
      <c r="L144" s="104"/>
      <c r="M144" s="105">
        <f>IF(Tabelle13245689[[#This Row],[Pulled after Start]]="",MIN(Tabelle13245689[[#This Row],[Jira Story Points]],Tabelle13245689[[#This Row],[Carry-over]]),0)</f>
        <v>5</v>
      </c>
      <c r="N144" s="106">
        <f>MIN(Tabelle13245689[[#This Row],[Jira Story Points]],Tabelle13245689[[#This Row],[Carry-over]])-Tabelle13245689[[#This Row],[SP Initially Planned (COS)]]</f>
        <v>0</v>
      </c>
      <c r="O144"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5</v>
      </c>
      <c r="P144" s="108">
        <f>IFERROR(IF(Tabelle13245689[[#This Row],[Status]]=$J$5,MIN(Tabelle13245689[[#This Row],[Jira Story Points]],Tabelle13245689[[#This Row],[Carry-over]]),0),0)</f>
        <v>0</v>
      </c>
      <c r="Q144" s="108">
        <f>IFERROR(IF(Tabelle13245689[[#This Row],[Status]]=$J$5,0,MIN(Tabelle13245689[[#This Row],[Jira Story Points]],Tabelle13245689[[#This Row],[Carry-over]])-Tabelle13245689[[#This Row],[SP Completed (COS &amp; SOS)]]),0)</f>
        <v>0</v>
      </c>
    </row>
    <row r="145" spans="1:17" s="46" customFormat="1" ht="13.5" hidden="1" customHeight="1">
      <c r="A145" s="117" t="s">
        <v>2708</v>
      </c>
      <c r="B145" s="47" t="s">
        <v>2709</v>
      </c>
      <c r="C145" s="76" t="s">
        <v>372</v>
      </c>
      <c r="D145" s="76">
        <v>3</v>
      </c>
      <c r="E145" s="76" t="s">
        <v>324</v>
      </c>
      <c r="F145" s="104">
        <v>2</v>
      </c>
      <c r="G145" s="114" t="s">
        <v>9</v>
      </c>
      <c r="H145" s="83"/>
      <c r="I145" s="103"/>
      <c r="J145" s="76" t="s">
        <v>125</v>
      </c>
      <c r="K145" s="104"/>
      <c r="L145" s="104"/>
      <c r="M145" s="105">
        <f>IF(Tabelle13245689[[#This Row],[Pulled after Start]]="",MIN(Tabelle13245689[[#This Row],[Jira Story Points]],Tabelle13245689[[#This Row],[Carry-over]]),0)</f>
        <v>2</v>
      </c>
      <c r="N145" s="106">
        <f>MIN(Tabelle13245689[[#This Row],[Jira Story Points]],Tabelle13245689[[#This Row],[Carry-over]])-Tabelle13245689[[#This Row],[SP Initially Planned (COS)]]</f>
        <v>0</v>
      </c>
      <c r="O145"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145" s="108">
        <f>IFERROR(IF(Tabelle13245689[[#This Row],[Status]]=$J$5,MIN(Tabelle13245689[[#This Row],[Jira Story Points]],Tabelle13245689[[#This Row],[Carry-over]]),0),0)</f>
        <v>0</v>
      </c>
      <c r="Q145" s="108">
        <f>IFERROR(IF(Tabelle13245689[[#This Row],[Status]]=$J$5,0,MIN(Tabelle13245689[[#This Row],[Jira Story Points]],Tabelle13245689[[#This Row],[Carry-over]])-Tabelle13245689[[#This Row],[SP Completed (COS &amp; SOS)]]),0)</f>
        <v>0</v>
      </c>
    </row>
    <row r="146" spans="1:17" s="46" customFormat="1" ht="13.5" hidden="1" customHeight="1">
      <c r="A146" s="88" t="s">
        <v>2710</v>
      </c>
      <c r="B146" s="47" t="s">
        <v>2711</v>
      </c>
      <c r="C146" s="76" t="s">
        <v>372</v>
      </c>
      <c r="D146" s="76">
        <v>3</v>
      </c>
      <c r="E146" s="76" t="s">
        <v>324</v>
      </c>
      <c r="F146" s="76">
        <v>5</v>
      </c>
      <c r="G146" s="114" t="s">
        <v>9</v>
      </c>
      <c r="H146" s="83"/>
      <c r="I146" s="103"/>
      <c r="J146" s="76" t="s">
        <v>125</v>
      </c>
      <c r="K146" s="104"/>
      <c r="L146" s="104"/>
      <c r="M146" s="105">
        <f>IF(Tabelle13245689[[#This Row],[Pulled after Start]]="",MIN(Tabelle13245689[[#This Row],[Jira Story Points]],Tabelle13245689[[#This Row],[Carry-over]]),0)</f>
        <v>5</v>
      </c>
      <c r="N146" s="106">
        <f>MIN(Tabelle13245689[[#This Row],[Jira Story Points]],Tabelle13245689[[#This Row],[Carry-over]])-Tabelle13245689[[#This Row],[SP Initially Planned (COS)]]</f>
        <v>0</v>
      </c>
      <c r="O146"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5</v>
      </c>
      <c r="P146" s="108">
        <f>IFERROR(IF(Tabelle13245689[[#This Row],[Status]]=$J$5,MIN(Tabelle13245689[[#This Row],[Jira Story Points]],Tabelle13245689[[#This Row],[Carry-over]]),0),0)</f>
        <v>0</v>
      </c>
      <c r="Q146" s="108">
        <f>IFERROR(IF(Tabelle13245689[[#This Row],[Status]]=$J$5,0,MIN(Tabelle13245689[[#This Row],[Jira Story Points]],Tabelle13245689[[#This Row],[Carry-over]])-Tabelle13245689[[#This Row],[SP Completed (COS &amp; SOS)]]),0)</f>
        <v>0</v>
      </c>
    </row>
    <row r="147" spans="1:17" s="46" customFormat="1" ht="13.5" hidden="1" customHeight="1">
      <c r="A147" s="88" t="s">
        <v>2712</v>
      </c>
      <c r="B147" s="47" t="s">
        <v>2713</v>
      </c>
      <c r="C147" s="76" t="s">
        <v>372</v>
      </c>
      <c r="D147" s="76">
        <v>3</v>
      </c>
      <c r="E147" s="76" t="s">
        <v>324</v>
      </c>
      <c r="F147" s="76">
        <v>5</v>
      </c>
      <c r="G147" s="114" t="s">
        <v>9</v>
      </c>
      <c r="H147" s="83"/>
      <c r="I147" s="103"/>
      <c r="J147" s="76" t="s">
        <v>125</v>
      </c>
      <c r="K147" s="104"/>
      <c r="L147" s="104"/>
      <c r="M147" s="105">
        <f>IF(Tabelle13245689[[#This Row],[Pulled after Start]]="",MIN(Tabelle13245689[[#This Row],[Jira Story Points]],Tabelle13245689[[#This Row],[Carry-over]]),0)</f>
        <v>5</v>
      </c>
      <c r="N147" s="106">
        <f>MIN(Tabelle13245689[[#This Row],[Jira Story Points]],Tabelle13245689[[#This Row],[Carry-over]])-Tabelle13245689[[#This Row],[SP Initially Planned (COS)]]</f>
        <v>0</v>
      </c>
      <c r="O147"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5</v>
      </c>
      <c r="P147" s="108">
        <f>IFERROR(IF(Tabelle13245689[[#This Row],[Status]]=$J$5,MIN(Tabelle13245689[[#This Row],[Jira Story Points]],Tabelle13245689[[#This Row],[Carry-over]]),0),0)</f>
        <v>0</v>
      </c>
      <c r="Q147" s="108">
        <f>IFERROR(IF(Tabelle13245689[[#This Row],[Status]]=$J$5,0,MIN(Tabelle13245689[[#This Row],[Jira Story Points]],Tabelle13245689[[#This Row],[Carry-over]])-Tabelle13245689[[#This Row],[SP Completed (COS &amp; SOS)]]),0)</f>
        <v>0</v>
      </c>
    </row>
    <row r="148" spans="1:17" s="46" customFormat="1" ht="13.5" hidden="1" customHeight="1">
      <c r="A148" s="88" t="s">
        <v>2714</v>
      </c>
      <c r="B148" s="47" t="s">
        <v>2715</v>
      </c>
      <c r="C148" s="76" t="s">
        <v>372</v>
      </c>
      <c r="D148" s="76">
        <v>3</v>
      </c>
      <c r="E148" s="76" t="s">
        <v>324</v>
      </c>
      <c r="F148" s="76">
        <v>3</v>
      </c>
      <c r="G148" s="114" t="s">
        <v>9</v>
      </c>
      <c r="H148" s="83"/>
      <c r="I148" s="103"/>
      <c r="J148" s="76" t="s">
        <v>125</v>
      </c>
      <c r="K148" s="104"/>
      <c r="L148" s="104"/>
      <c r="M148" s="105">
        <f>IF(Tabelle13245689[[#This Row],[Pulled after Start]]="",MIN(Tabelle13245689[[#This Row],[Jira Story Points]],Tabelle13245689[[#This Row],[Carry-over]]),0)</f>
        <v>3</v>
      </c>
      <c r="N148" s="106">
        <f>MIN(Tabelle13245689[[#This Row],[Jira Story Points]],Tabelle13245689[[#This Row],[Carry-over]])-Tabelle13245689[[#This Row],[SP Initially Planned (COS)]]</f>
        <v>0</v>
      </c>
      <c r="O148"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148" s="108">
        <f>IFERROR(IF(Tabelle13245689[[#This Row],[Status]]=$J$5,MIN(Tabelle13245689[[#This Row],[Jira Story Points]],Tabelle13245689[[#This Row],[Carry-over]]),0),0)</f>
        <v>0</v>
      </c>
      <c r="Q148" s="108">
        <f>IFERROR(IF(Tabelle13245689[[#This Row],[Status]]=$J$5,0,MIN(Tabelle13245689[[#This Row],[Jira Story Points]],Tabelle13245689[[#This Row],[Carry-over]])-Tabelle13245689[[#This Row],[SP Completed (COS &amp; SOS)]]),0)</f>
        <v>0</v>
      </c>
    </row>
    <row r="149" spans="1:17" s="46" customFormat="1" ht="13.5" hidden="1" customHeight="1">
      <c r="A149" s="115" t="s">
        <v>2716</v>
      </c>
      <c r="B149" s="47" t="s">
        <v>2717</v>
      </c>
      <c r="C149" s="76" t="s">
        <v>372</v>
      </c>
      <c r="D149" s="76">
        <v>3</v>
      </c>
      <c r="E149" s="76" t="s">
        <v>324</v>
      </c>
      <c r="F149" s="104">
        <v>2</v>
      </c>
      <c r="G149" s="114" t="s">
        <v>9</v>
      </c>
      <c r="H149" s="83" t="s">
        <v>209</v>
      </c>
      <c r="I149" s="103"/>
      <c r="J149" s="76" t="s">
        <v>125</v>
      </c>
      <c r="K149" s="104"/>
      <c r="L149" s="104"/>
      <c r="M149" s="105">
        <f>IF(Tabelle13245689[[#This Row],[Pulled after Start]]="",MIN(Tabelle13245689[[#This Row],[Jira Story Points]],Tabelle13245689[[#This Row],[Carry-over]]),0)</f>
        <v>0</v>
      </c>
      <c r="N149" s="106">
        <f>MIN(Tabelle13245689[[#This Row],[Jira Story Points]],Tabelle13245689[[#This Row],[Carry-over]])-Tabelle13245689[[#This Row],[SP Initially Planned (COS)]]</f>
        <v>2</v>
      </c>
      <c r="O149"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149" s="108">
        <f>IFERROR(IF(Tabelle13245689[[#This Row],[Status]]=$J$5,MIN(Tabelle13245689[[#This Row],[Jira Story Points]],Tabelle13245689[[#This Row],[Carry-over]]),0),0)</f>
        <v>0</v>
      </c>
      <c r="Q149" s="108">
        <f>IFERROR(IF(Tabelle13245689[[#This Row],[Status]]=$J$5,0,MIN(Tabelle13245689[[#This Row],[Jira Story Points]],Tabelle13245689[[#This Row],[Carry-over]])-Tabelle13245689[[#This Row],[SP Completed (COS &amp; SOS)]]),0)</f>
        <v>0</v>
      </c>
    </row>
    <row r="150" spans="1:17" s="46" customFormat="1" ht="13.5" hidden="1" customHeight="1">
      <c r="A150" s="115" t="s">
        <v>2718</v>
      </c>
      <c r="B150" s="47" t="s">
        <v>2719</v>
      </c>
      <c r="C150" s="76" t="s">
        <v>375</v>
      </c>
      <c r="D150" s="76">
        <v>3</v>
      </c>
      <c r="E150" s="76" t="s">
        <v>324</v>
      </c>
      <c r="F150" s="104">
        <v>2</v>
      </c>
      <c r="G150" s="114" t="s">
        <v>9</v>
      </c>
      <c r="H150" s="83"/>
      <c r="I150" s="103"/>
      <c r="J150" s="76" t="s">
        <v>125</v>
      </c>
      <c r="K150" s="104"/>
      <c r="L150" s="104"/>
      <c r="M150" s="105">
        <f>IF(Tabelle13245689[[#This Row],[Pulled after Start]]="",MIN(Tabelle13245689[[#This Row],[Jira Story Points]],Tabelle13245689[[#This Row],[Carry-over]]),0)</f>
        <v>2</v>
      </c>
      <c r="N150" s="106">
        <f>MIN(Tabelle13245689[[#This Row],[Jira Story Points]],Tabelle13245689[[#This Row],[Carry-over]])-Tabelle13245689[[#This Row],[SP Initially Planned (COS)]]</f>
        <v>0</v>
      </c>
      <c r="O150"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150" s="108">
        <f>IFERROR(IF(Tabelle13245689[[#This Row],[Status]]=$J$5,MIN(Tabelle13245689[[#This Row],[Jira Story Points]],Tabelle13245689[[#This Row],[Carry-over]]),0),0)</f>
        <v>0</v>
      </c>
      <c r="Q150" s="108">
        <f>IFERROR(IF(Tabelle13245689[[#This Row],[Status]]=$J$5,0,MIN(Tabelle13245689[[#This Row],[Jira Story Points]],Tabelle13245689[[#This Row],[Carry-over]])-Tabelle13245689[[#This Row],[SP Completed (COS &amp; SOS)]]),0)</f>
        <v>0</v>
      </c>
    </row>
    <row r="151" spans="1:17" s="46" customFormat="1" ht="13.5" hidden="1" customHeight="1">
      <c r="A151" s="115" t="s">
        <v>2720</v>
      </c>
      <c r="B151" s="47" t="s">
        <v>2721</v>
      </c>
      <c r="C151" s="76" t="s">
        <v>372</v>
      </c>
      <c r="D151" s="76">
        <v>3</v>
      </c>
      <c r="E151" s="76" t="s">
        <v>324</v>
      </c>
      <c r="F151" s="104">
        <v>3</v>
      </c>
      <c r="G151" s="114" t="s">
        <v>9</v>
      </c>
      <c r="H151" s="83"/>
      <c r="I151" s="103"/>
      <c r="J151" s="76" t="s">
        <v>125</v>
      </c>
      <c r="K151" s="104"/>
      <c r="L151" s="104"/>
      <c r="M151" s="105">
        <f>IF(Tabelle13245689[[#This Row],[Pulled after Start]]="",MIN(Tabelle13245689[[#This Row],[Jira Story Points]],Tabelle13245689[[#This Row],[Carry-over]]),0)</f>
        <v>3</v>
      </c>
      <c r="N151" s="106">
        <f>MIN(Tabelle13245689[[#This Row],[Jira Story Points]],Tabelle13245689[[#This Row],[Carry-over]])-Tabelle13245689[[#This Row],[SP Initially Planned (COS)]]</f>
        <v>0</v>
      </c>
      <c r="O151"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151" s="108">
        <f>IFERROR(IF(Tabelle13245689[[#This Row],[Status]]=$J$5,MIN(Tabelle13245689[[#This Row],[Jira Story Points]],Tabelle13245689[[#This Row],[Carry-over]]),0),0)</f>
        <v>0</v>
      </c>
      <c r="Q151" s="108">
        <f>IFERROR(IF(Tabelle13245689[[#This Row],[Status]]=$J$5,0,MIN(Tabelle13245689[[#This Row],[Jira Story Points]],Tabelle13245689[[#This Row],[Carry-over]])-Tabelle13245689[[#This Row],[SP Completed (COS &amp; SOS)]]),0)</f>
        <v>0</v>
      </c>
    </row>
    <row r="152" spans="1:17" s="46" customFormat="1" ht="13.5" hidden="1" customHeight="1">
      <c r="A152" s="88" t="s">
        <v>2722</v>
      </c>
      <c r="B152" s="47" t="s">
        <v>2723</v>
      </c>
      <c r="C152" s="76" t="s">
        <v>372</v>
      </c>
      <c r="D152" s="76">
        <v>3</v>
      </c>
      <c r="E152" s="76" t="s">
        <v>324</v>
      </c>
      <c r="F152" s="76">
        <v>3</v>
      </c>
      <c r="G152" s="114" t="s">
        <v>9</v>
      </c>
      <c r="H152" s="83" t="s">
        <v>209</v>
      </c>
      <c r="I152" s="103"/>
      <c r="J152" s="76" t="s">
        <v>125</v>
      </c>
      <c r="K152" s="104"/>
      <c r="L152" s="104"/>
      <c r="M152" s="105">
        <f>IF(Tabelle13245689[[#This Row],[Pulled after Start]]="",MIN(Tabelle13245689[[#This Row],[Jira Story Points]],Tabelle13245689[[#This Row],[Carry-over]]),0)</f>
        <v>0</v>
      </c>
      <c r="N152" s="106">
        <f>MIN(Tabelle13245689[[#This Row],[Jira Story Points]],Tabelle13245689[[#This Row],[Carry-over]])-Tabelle13245689[[#This Row],[SP Initially Planned (COS)]]</f>
        <v>3</v>
      </c>
      <c r="O152"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3</v>
      </c>
      <c r="P152" s="108">
        <f>IFERROR(IF(Tabelle13245689[[#This Row],[Status]]=$J$5,MIN(Tabelle13245689[[#This Row],[Jira Story Points]],Tabelle13245689[[#This Row],[Carry-over]]),0),0)</f>
        <v>0</v>
      </c>
      <c r="Q152" s="108">
        <f>IFERROR(IF(Tabelle13245689[[#This Row],[Status]]=$J$5,0,MIN(Tabelle13245689[[#This Row],[Jira Story Points]],Tabelle13245689[[#This Row],[Carry-over]])-Tabelle13245689[[#This Row],[SP Completed (COS &amp; SOS)]]),0)</f>
        <v>0</v>
      </c>
    </row>
    <row r="153" spans="1:17" s="46" customFormat="1" ht="13.5" hidden="1" customHeight="1">
      <c r="A153" s="117" t="s">
        <v>2724</v>
      </c>
      <c r="B153" s="47" t="s">
        <v>2725</v>
      </c>
      <c r="C153" s="76" t="s">
        <v>375</v>
      </c>
      <c r="D153" s="76">
        <v>3</v>
      </c>
      <c r="E153" s="76" t="s">
        <v>324</v>
      </c>
      <c r="F153" s="127">
        <v>0.5</v>
      </c>
      <c r="G153" s="114" t="s">
        <v>9</v>
      </c>
      <c r="H153" s="83" t="s">
        <v>209</v>
      </c>
      <c r="I153" s="103"/>
      <c r="J153" s="76" t="s">
        <v>125</v>
      </c>
      <c r="K153" s="104"/>
      <c r="L153" s="104"/>
      <c r="M153" s="105">
        <f>IF(Tabelle13245689[[#This Row],[Pulled after Start]]="",MIN(Tabelle13245689[[#This Row],[Jira Story Points]],Tabelle13245689[[#This Row],[Carry-over]]),0)</f>
        <v>0</v>
      </c>
      <c r="N153" s="106">
        <f>MIN(Tabelle13245689[[#This Row],[Jira Story Points]],Tabelle13245689[[#This Row],[Carry-over]])-Tabelle13245689[[#This Row],[SP Initially Planned (COS)]]</f>
        <v>0.5</v>
      </c>
      <c r="O153"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0.5</v>
      </c>
      <c r="P153" s="108">
        <f>IFERROR(IF(Tabelle13245689[[#This Row],[Status]]=$J$5,MIN(Tabelle13245689[[#This Row],[Jira Story Points]],Tabelle13245689[[#This Row],[Carry-over]]),0),0)</f>
        <v>0</v>
      </c>
      <c r="Q153" s="108">
        <f>IFERROR(IF(Tabelle13245689[[#This Row],[Status]]=$J$5,0,MIN(Tabelle13245689[[#This Row],[Jira Story Points]],Tabelle13245689[[#This Row],[Carry-over]])-Tabelle13245689[[#This Row],[SP Completed (COS &amp; SOS)]]),0)</f>
        <v>0</v>
      </c>
    </row>
    <row r="154" spans="1:17" s="46" customFormat="1" ht="13.5" hidden="1" customHeight="1">
      <c r="A154" s="88" t="s">
        <v>2726</v>
      </c>
      <c r="B154" s="47" t="s">
        <v>2727</v>
      </c>
      <c r="C154" s="76" t="s">
        <v>372</v>
      </c>
      <c r="D154" s="76">
        <v>3</v>
      </c>
      <c r="E154" s="76" t="s">
        <v>324</v>
      </c>
      <c r="F154" s="76">
        <v>2</v>
      </c>
      <c r="G154" s="114" t="s">
        <v>9</v>
      </c>
      <c r="H154" s="83" t="s">
        <v>209</v>
      </c>
      <c r="I154" s="103"/>
      <c r="J154" s="76" t="s">
        <v>125</v>
      </c>
      <c r="K154" s="104"/>
      <c r="L154" s="104"/>
      <c r="M154" s="105">
        <f>IF(Tabelle13245689[[#This Row],[Pulled after Start]]="",MIN(Tabelle13245689[[#This Row],[Jira Story Points]],Tabelle13245689[[#This Row],[Carry-over]]),0)</f>
        <v>0</v>
      </c>
      <c r="N154" s="106">
        <f>MIN(Tabelle13245689[[#This Row],[Jira Story Points]],Tabelle13245689[[#This Row],[Carry-over]])-Tabelle13245689[[#This Row],[SP Initially Planned (COS)]]</f>
        <v>2</v>
      </c>
      <c r="O154"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154" s="108">
        <f>IFERROR(IF(Tabelle13245689[[#This Row],[Status]]=$J$5,MIN(Tabelle13245689[[#This Row],[Jira Story Points]],Tabelle13245689[[#This Row],[Carry-over]]),0),0)</f>
        <v>0</v>
      </c>
      <c r="Q154" s="108">
        <f>IFERROR(IF(Tabelle13245689[[#This Row],[Status]]=$J$5,0,MIN(Tabelle13245689[[#This Row],[Jira Story Points]],Tabelle13245689[[#This Row],[Carry-over]])-Tabelle13245689[[#This Row],[SP Completed (COS &amp; SOS)]]),0)</f>
        <v>0</v>
      </c>
    </row>
    <row r="155" spans="1:17" s="46" customFormat="1" ht="13.5" hidden="1" customHeight="1">
      <c r="A155" s="117" t="s">
        <v>2728</v>
      </c>
      <c r="B155" s="47" t="s">
        <v>2729</v>
      </c>
      <c r="C155" s="76" t="s">
        <v>375</v>
      </c>
      <c r="D155" s="76">
        <v>3</v>
      </c>
      <c r="E155" s="76" t="s">
        <v>324</v>
      </c>
      <c r="F155" s="104">
        <v>2</v>
      </c>
      <c r="G155" s="114" t="s">
        <v>9</v>
      </c>
      <c r="H155" s="83" t="s">
        <v>209</v>
      </c>
      <c r="I155" s="103"/>
      <c r="J155" s="76" t="s">
        <v>125</v>
      </c>
      <c r="K155" s="104"/>
      <c r="L155" s="104"/>
      <c r="M155" s="105">
        <f>IF(Tabelle13245689[[#This Row],[Pulled after Start]]="",MIN(Tabelle13245689[[#This Row],[Jira Story Points]],Tabelle13245689[[#This Row],[Carry-over]]),0)</f>
        <v>0</v>
      </c>
      <c r="N155" s="106">
        <f>MIN(Tabelle13245689[[#This Row],[Jira Story Points]],Tabelle13245689[[#This Row],[Carry-over]])-Tabelle13245689[[#This Row],[SP Initially Planned (COS)]]</f>
        <v>2</v>
      </c>
      <c r="O155"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155" s="108">
        <f>IFERROR(IF(Tabelle13245689[[#This Row],[Status]]=$J$5,MIN(Tabelle13245689[[#This Row],[Jira Story Points]],Tabelle13245689[[#This Row],[Carry-over]]),0),0)</f>
        <v>0</v>
      </c>
      <c r="Q155" s="108">
        <f>IFERROR(IF(Tabelle13245689[[#This Row],[Status]]=$J$5,0,MIN(Tabelle13245689[[#This Row],[Jira Story Points]],Tabelle13245689[[#This Row],[Carry-over]])-Tabelle13245689[[#This Row],[SP Completed (COS &amp; SOS)]]),0)</f>
        <v>0</v>
      </c>
    </row>
    <row r="156" spans="1:17" s="46" customFormat="1" ht="13.5" hidden="1" customHeight="1">
      <c r="A156" s="88" t="s">
        <v>2730</v>
      </c>
      <c r="B156" s="47" t="s">
        <v>2731</v>
      </c>
      <c r="C156" s="76" t="s">
        <v>375</v>
      </c>
      <c r="D156" s="76">
        <v>3</v>
      </c>
      <c r="E156" s="76" t="s">
        <v>324</v>
      </c>
      <c r="F156" s="76">
        <v>1</v>
      </c>
      <c r="G156" s="114" t="s">
        <v>9</v>
      </c>
      <c r="H156" s="83" t="s">
        <v>209</v>
      </c>
      <c r="I156" s="103"/>
      <c r="J156" s="76" t="s">
        <v>125</v>
      </c>
      <c r="K156" s="104"/>
      <c r="L156" s="104"/>
      <c r="M156" s="105">
        <f>IF(Tabelle13245689[[#This Row],[Pulled after Start]]="",MIN(Tabelle13245689[[#This Row],[Jira Story Points]],Tabelle13245689[[#This Row],[Carry-over]]),0)</f>
        <v>0</v>
      </c>
      <c r="N156" s="106">
        <f>MIN(Tabelle13245689[[#This Row],[Jira Story Points]],Tabelle13245689[[#This Row],[Carry-over]])-Tabelle13245689[[#This Row],[SP Initially Planned (COS)]]</f>
        <v>1</v>
      </c>
      <c r="O156"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1</v>
      </c>
      <c r="P156" s="108">
        <f>IFERROR(IF(Tabelle13245689[[#This Row],[Status]]=$J$5,MIN(Tabelle13245689[[#This Row],[Jira Story Points]],Tabelle13245689[[#This Row],[Carry-over]]),0),0)</f>
        <v>0</v>
      </c>
      <c r="Q156" s="108">
        <f>IFERROR(IF(Tabelle13245689[[#This Row],[Status]]=$J$5,0,MIN(Tabelle13245689[[#This Row],[Jira Story Points]],Tabelle13245689[[#This Row],[Carry-over]])-Tabelle13245689[[#This Row],[SP Completed (COS &amp; SOS)]]),0)</f>
        <v>0</v>
      </c>
    </row>
    <row r="157" spans="1:17" s="46" customFormat="1" ht="13.5" hidden="1" customHeight="1">
      <c r="A157" s="88" t="s">
        <v>2411</v>
      </c>
      <c r="B157" s="47" t="s">
        <v>2412</v>
      </c>
      <c r="C157" s="76" t="s">
        <v>372</v>
      </c>
      <c r="D157" s="76">
        <v>3</v>
      </c>
      <c r="E157" s="76" t="s">
        <v>327</v>
      </c>
      <c r="F157" s="76">
        <v>3</v>
      </c>
      <c r="G157" s="114" t="s">
        <v>9</v>
      </c>
      <c r="H157" s="83"/>
      <c r="I157" s="103"/>
      <c r="J157" s="76" t="s">
        <v>127</v>
      </c>
      <c r="K157" s="104"/>
      <c r="L157" s="104"/>
      <c r="M157" s="105">
        <f>IF(Tabelle13245689[[#This Row],[Pulled after Start]]="",MIN(Tabelle13245689[[#This Row],[Jira Story Points]],Tabelle13245689[[#This Row],[Carry-over]]),0)</f>
        <v>3</v>
      </c>
      <c r="N157" s="106">
        <f>MIN(Tabelle13245689[[#This Row],[Jira Story Points]],Tabelle13245689[[#This Row],[Carry-over]])-Tabelle13245689[[#This Row],[SP Initially Planned (COS)]]</f>
        <v>0</v>
      </c>
      <c r="O157"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57" s="108">
        <f>IFERROR(IF(Tabelle13245689[[#This Row],[Status]]=$J$5,MIN(Tabelle13245689[[#This Row],[Jira Story Points]],Tabelle13245689[[#This Row],[Carry-over]]),0),0)</f>
        <v>0</v>
      </c>
      <c r="Q157" s="108">
        <f>IFERROR(IF(Tabelle13245689[[#This Row],[Status]]=$J$5,0,MIN(Tabelle13245689[[#This Row],[Jira Story Points]],Tabelle13245689[[#This Row],[Carry-over]])-Tabelle13245689[[#This Row],[SP Completed (COS &amp; SOS)]]),0)</f>
        <v>3</v>
      </c>
    </row>
    <row r="158" spans="1:17" s="46" customFormat="1" ht="13.5" hidden="1" customHeight="1">
      <c r="A158" s="115" t="s">
        <v>2413</v>
      </c>
      <c r="B158" s="47" t="s">
        <v>2414</v>
      </c>
      <c r="C158" s="76" t="s">
        <v>372</v>
      </c>
      <c r="D158" s="76">
        <v>3</v>
      </c>
      <c r="E158" s="76" t="s">
        <v>327</v>
      </c>
      <c r="F158" s="104">
        <v>3</v>
      </c>
      <c r="G158" s="114" t="s">
        <v>9</v>
      </c>
      <c r="H158" s="83"/>
      <c r="I158" s="103"/>
      <c r="J158" s="76" t="s">
        <v>127</v>
      </c>
      <c r="K158" s="104"/>
      <c r="L158" s="104"/>
      <c r="M158" s="105">
        <f>IF(Tabelle13245689[[#This Row],[Pulled after Start]]="",MIN(Tabelle13245689[[#This Row],[Jira Story Points]],Tabelle13245689[[#This Row],[Carry-over]]),0)</f>
        <v>3</v>
      </c>
      <c r="N158" s="106">
        <f>MIN(Tabelle13245689[[#This Row],[Jira Story Points]],Tabelle13245689[[#This Row],[Carry-over]])-Tabelle13245689[[#This Row],[SP Initially Planned (COS)]]</f>
        <v>0</v>
      </c>
      <c r="O158"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58" s="108">
        <f>IFERROR(IF(Tabelle13245689[[#This Row],[Status]]=$J$5,MIN(Tabelle13245689[[#This Row],[Jira Story Points]],Tabelle13245689[[#This Row],[Carry-over]]),0),0)</f>
        <v>0</v>
      </c>
      <c r="Q158" s="108">
        <f>IFERROR(IF(Tabelle13245689[[#This Row],[Status]]=$J$5,0,MIN(Tabelle13245689[[#This Row],[Jira Story Points]],Tabelle13245689[[#This Row],[Carry-over]])-Tabelle13245689[[#This Row],[SP Completed (COS &amp; SOS)]]),0)</f>
        <v>3</v>
      </c>
    </row>
    <row r="159" spans="1:17" s="46" customFormat="1" ht="13.5" hidden="1" customHeight="1">
      <c r="A159" s="115" t="s">
        <v>2732</v>
      </c>
      <c r="B159" s="47" t="s">
        <v>2416</v>
      </c>
      <c r="C159" s="76" t="s">
        <v>372</v>
      </c>
      <c r="D159" s="76">
        <v>3</v>
      </c>
      <c r="E159" s="76" t="s">
        <v>1247</v>
      </c>
      <c r="F159" s="104">
        <v>3</v>
      </c>
      <c r="G159" s="114" t="s">
        <v>9</v>
      </c>
      <c r="H159" s="83" t="s">
        <v>209</v>
      </c>
      <c r="I159" s="103"/>
      <c r="J159" s="76" t="s">
        <v>127</v>
      </c>
      <c r="K159" s="104"/>
      <c r="L159" s="104"/>
      <c r="M159" s="105">
        <f>IF(Tabelle13245689[[#This Row],[Pulled after Start]]="",MIN(Tabelle13245689[[#This Row],[Jira Story Points]],Tabelle13245689[[#This Row],[Carry-over]]),0)</f>
        <v>0</v>
      </c>
      <c r="N159" s="106">
        <f>MIN(Tabelle13245689[[#This Row],[Jira Story Points]],Tabelle13245689[[#This Row],[Carry-over]])-Tabelle13245689[[#This Row],[SP Initially Planned (COS)]]</f>
        <v>3</v>
      </c>
      <c r="O159"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59" s="108">
        <f>IFERROR(IF(Tabelle13245689[[#This Row],[Status]]=$J$5,MIN(Tabelle13245689[[#This Row],[Jira Story Points]],Tabelle13245689[[#This Row],[Carry-over]]),0),0)</f>
        <v>0</v>
      </c>
      <c r="Q159" s="108">
        <f>IFERROR(IF(Tabelle13245689[[#This Row],[Status]]=$J$5,0,MIN(Tabelle13245689[[#This Row],[Jira Story Points]],Tabelle13245689[[#This Row],[Carry-over]])-Tabelle13245689[[#This Row],[SP Completed (COS &amp; SOS)]]),0)</f>
        <v>3</v>
      </c>
    </row>
    <row r="160" spans="1:17" s="46" customFormat="1" ht="13.5" hidden="1" customHeight="1">
      <c r="A160" s="115" t="s">
        <v>2417</v>
      </c>
      <c r="B160" s="47" t="s">
        <v>2418</v>
      </c>
      <c r="C160" s="76" t="s">
        <v>372</v>
      </c>
      <c r="D160" s="76">
        <v>3</v>
      </c>
      <c r="E160" s="76" t="s">
        <v>351</v>
      </c>
      <c r="F160" s="104" t="s">
        <v>210</v>
      </c>
      <c r="G160" s="114" t="s">
        <v>9</v>
      </c>
      <c r="H160" s="83"/>
      <c r="I160" s="103"/>
      <c r="J160" s="76" t="s">
        <v>127</v>
      </c>
      <c r="K160" s="104"/>
      <c r="L160" s="104"/>
      <c r="M160" s="105">
        <f>IF(Tabelle13245689[[#This Row],[Pulled after Start]]="",MIN(Tabelle13245689[[#This Row],[Jira Story Points]],Tabelle13245689[[#This Row],[Carry-over]]),0)</f>
        <v>0</v>
      </c>
      <c r="N160" s="106">
        <f>MIN(Tabelle13245689[[#This Row],[Jira Story Points]],Tabelle13245689[[#This Row],[Carry-over]])-Tabelle13245689[[#This Row],[SP Initially Planned (COS)]]</f>
        <v>0</v>
      </c>
      <c r="O160"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60" s="108">
        <f>IFERROR(IF(Tabelle13245689[[#This Row],[Status]]=$J$5,MIN(Tabelle13245689[[#This Row],[Jira Story Points]],Tabelle13245689[[#This Row],[Carry-over]]),0),0)</f>
        <v>0</v>
      </c>
      <c r="Q160" s="108">
        <f>IFERROR(IF(Tabelle13245689[[#This Row],[Status]]=$J$5,0,MIN(Tabelle13245689[[#This Row],[Jira Story Points]],Tabelle13245689[[#This Row],[Carry-over]])-Tabelle13245689[[#This Row],[SP Completed (COS &amp; SOS)]]),0)</f>
        <v>0</v>
      </c>
    </row>
    <row r="161" spans="1:17" s="46" customFormat="1" ht="13.5" hidden="1" customHeight="1">
      <c r="A161" s="88" t="s">
        <v>2733</v>
      </c>
      <c r="B161" s="47" t="s">
        <v>2424</v>
      </c>
      <c r="C161" s="76" t="s">
        <v>372</v>
      </c>
      <c r="D161" s="76">
        <v>3</v>
      </c>
      <c r="E161" s="76" t="s">
        <v>327</v>
      </c>
      <c r="F161" s="76">
        <v>3</v>
      </c>
      <c r="G161" s="114" t="s">
        <v>9</v>
      </c>
      <c r="H161" s="83" t="s">
        <v>209</v>
      </c>
      <c r="I161" s="103"/>
      <c r="J161" s="76" t="s">
        <v>127</v>
      </c>
      <c r="K161" s="104"/>
      <c r="L161" s="104"/>
      <c r="M161" s="105">
        <f>IF(Tabelle13245689[[#This Row],[Pulled after Start]]="",MIN(Tabelle13245689[[#This Row],[Jira Story Points]],Tabelle13245689[[#This Row],[Carry-over]]),0)</f>
        <v>0</v>
      </c>
      <c r="N161" s="106">
        <f>MIN(Tabelle13245689[[#This Row],[Jira Story Points]],Tabelle13245689[[#This Row],[Carry-over]])-Tabelle13245689[[#This Row],[SP Initially Planned (COS)]]</f>
        <v>3</v>
      </c>
      <c r="O161"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61" s="108">
        <f>IFERROR(IF(Tabelle13245689[[#This Row],[Status]]=$J$5,MIN(Tabelle13245689[[#This Row],[Jira Story Points]],Tabelle13245689[[#This Row],[Carry-over]]),0),0)</f>
        <v>0</v>
      </c>
      <c r="Q161" s="108">
        <f>IFERROR(IF(Tabelle13245689[[#This Row],[Status]]=$J$5,0,MIN(Tabelle13245689[[#This Row],[Jira Story Points]],Tabelle13245689[[#This Row],[Carry-over]])-Tabelle13245689[[#This Row],[SP Completed (COS &amp; SOS)]]),0)</f>
        <v>3</v>
      </c>
    </row>
    <row r="162" spans="1:17" s="46" customFormat="1" ht="13.5" hidden="1" customHeight="1">
      <c r="A162" s="117" t="s">
        <v>2734</v>
      </c>
      <c r="B162" s="47" t="s">
        <v>2430</v>
      </c>
      <c r="C162" s="76" t="s">
        <v>372</v>
      </c>
      <c r="D162" s="76">
        <v>3</v>
      </c>
      <c r="E162" s="76" t="s">
        <v>327</v>
      </c>
      <c r="F162" s="104">
        <v>3</v>
      </c>
      <c r="G162" s="114" t="s">
        <v>9</v>
      </c>
      <c r="H162" s="83" t="s">
        <v>209</v>
      </c>
      <c r="I162" s="103"/>
      <c r="J162" s="76" t="s">
        <v>127</v>
      </c>
      <c r="K162" s="104"/>
      <c r="L162" s="104"/>
      <c r="M162" s="105">
        <f>IF(Tabelle13245689[[#This Row],[Pulled after Start]]="",MIN(Tabelle13245689[[#This Row],[Jira Story Points]],Tabelle13245689[[#This Row],[Carry-over]]),0)</f>
        <v>0</v>
      </c>
      <c r="N162" s="106">
        <f>MIN(Tabelle13245689[[#This Row],[Jira Story Points]],Tabelle13245689[[#This Row],[Carry-over]])-Tabelle13245689[[#This Row],[SP Initially Planned (COS)]]</f>
        <v>3</v>
      </c>
      <c r="O162"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62" s="108">
        <f>IFERROR(IF(Tabelle13245689[[#This Row],[Status]]=$J$5,MIN(Tabelle13245689[[#This Row],[Jira Story Points]],Tabelle13245689[[#This Row],[Carry-over]]),0),0)</f>
        <v>0</v>
      </c>
      <c r="Q162" s="108">
        <f>IFERROR(IF(Tabelle13245689[[#This Row],[Status]]=$J$5,0,MIN(Tabelle13245689[[#This Row],[Jira Story Points]],Tabelle13245689[[#This Row],[Carry-over]])-Tabelle13245689[[#This Row],[SP Completed (COS &amp; SOS)]]),0)</f>
        <v>3</v>
      </c>
    </row>
    <row r="163" spans="1:17" s="46" customFormat="1" ht="13.5" hidden="1" customHeight="1">
      <c r="A163" s="88" t="s">
        <v>2735</v>
      </c>
      <c r="B163" s="47" t="s">
        <v>2736</v>
      </c>
      <c r="C163" s="47" t="s">
        <v>372</v>
      </c>
      <c r="D163" s="78">
        <v>3</v>
      </c>
      <c r="E163" s="78" t="s">
        <v>324</v>
      </c>
      <c r="F163" s="78">
        <v>5</v>
      </c>
      <c r="G163" s="76" t="s">
        <v>5</v>
      </c>
      <c r="H163" s="83" t="s">
        <v>209</v>
      </c>
      <c r="I163" s="103"/>
      <c r="J163" s="76" t="s">
        <v>125</v>
      </c>
      <c r="K163" s="104"/>
      <c r="L163" s="104"/>
      <c r="M163" s="105">
        <f>IF(Tabelle13245689[[#This Row],[Pulled after Start]]="",MIN(Tabelle13245689[[#This Row],[Jira Story Points]],Tabelle13245689[[#This Row],[Carry-over]]),0)</f>
        <v>0</v>
      </c>
      <c r="N163" s="106">
        <f>MIN(Tabelle13245689[[#This Row],[Jira Story Points]],Tabelle13245689[[#This Row],[Carry-over]])-Tabelle13245689[[#This Row],[SP Initially Planned (COS)]]</f>
        <v>5</v>
      </c>
      <c r="O163"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5</v>
      </c>
      <c r="P163" s="108">
        <f>IFERROR(IF(Tabelle13245689[[#This Row],[Status]]=$J$5,MIN(Tabelle13245689[[#This Row],[Jira Story Points]],Tabelle13245689[[#This Row],[Carry-over]]),0),0)</f>
        <v>0</v>
      </c>
      <c r="Q163" s="108">
        <f>IFERROR(IF(Tabelle13245689[[#This Row],[Status]]=$J$5,0,MIN(Tabelle13245689[[#This Row],[Jira Story Points]],Tabelle13245689[[#This Row],[Carry-over]])-Tabelle13245689[[#This Row],[SP Completed (COS &amp; SOS)]]),0)</f>
        <v>0</v>
      </c>
    </row>
    <row r="164" spans="1:17" s="46" customFormat="1" ht="13.5" hidden="1" customHeight="1">
      <c r="A164" s="88" t="s">
        <v>2737</v>
      </c>
      <c r="B164" s="47" t="s">
        <v>2738</v>
      </c>
      <c r="C164" s="47" t="s">
        <v>372</v>
      </c>
      <c r="D164" s="78">
        <v>3</v>
      </c>
      <c r="E164" s="78" t="s">
        <v>324</v>
      </c>
      <c r="F164" s="78">
        <v>5</v>
      </c>
      <c r="G164" s="76" t="s">
        <v>5</v>
      </c>
      <c r="H164" s="83"/>
      <c r="I164" s="103"/>
      <c r="J164" s="76" t="s">
        <v>125</v>
      </c>
      <c r="K164" s="104">
        <v>2</v>
      </c>
      <c r="L164" s="104"/>
      <c r="M164" s="105">
        <f>IF(Tabelle13245689[[#This Row],[Pulled after Start]]="",MIN(Tabelle13245689[[#This Row],[Jira Story Points]],Tabelle13245689[[#This Row],[Carry-over]]),0)</f>
        <v>2</v>
      </c>
      <c r="N164" s="106">
        <f>MIN(Tabelle13245689[[#This Row],[Jira Story Points]],Tabelle13245689[[#This Row],[Carry-over]])-Tabelle13245689[[#This Row],[SP Initially Planned (COS)]]</f>
        <v>0</v>
      </c>
      <c r="O164"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164" s="108">
        <f>IFERROR(IF(Tabelle13245689[[#This Row],[Status]]=$J$5,MIN(Tabelle13245689[[#This Row],[Jira Story Points]],Tabelle13245689[[#This Row],[Carry-over]]),0),0)</f>
        <v>0</v>
      </c>
      <c r="Q164" s="108">
        <f>IFERROR(IF(Tabelle13245689[[#This Row],[Status]]=$J$5,0,MIN(Tabelle13245689[[#This Row],[Jira Story Points]],Tabelle13245689[[#This Row],[Carry-over]])-Tabelle13245689[[#This Row],[SP Completed (COS &amp; SOS)]]),0)</f>
        <v>0</v>
      </c>
    </row>
    <row r="165" spans="1:17" s="46" customFormat="1" ht="13.5" hidden="1" customHeight="1">
      <c r="A165" s="88" t="s">
        <v>2739</v>
      </c>
      <c r="B165" s="47" t="s">
        <v>2740</v>
      </c>
      <c r="C165" s="47" t="s">
        <v>372</v>
      </c>
      <c r="D165" s="78">
        <v>3</v>
      </c>
      <c r="E165" s="78" t="s">
        <v>324</v>
      </c>
      <c r="F165" s="78">
        <v>5</v>
      </c>
      <c r="G165" s="76" t="s">
        <v>5</v>
      </c>
      <c r="H165" s="83"/>
      <c r="I165" s="103"/>
      <c r="J165" s="76" t="s">
        <v>125</v>
      </c>
      <c r="K165" s="104">
        <v>2</v>
      </c>
      <c r="L165" s="104"/>
      <c r="M165" s="105">
        <f>IF(Tabelle13245689[[#This Row],[Pulled after Start]]="",MIN(Tabelle13245689[[#This Row],[Jira Story Points]],Tabelle13245689[[#This Row],[Carry-over]]),0)</f>
        <v>2</v>
      </c>
      <c r="N165" s="106">
        <f>MIN(Tabelle13245689[[#This Row],[Jira Story Points]],Tabelle13245689[[#This Row],[Carry-over]])-Tabelle13245689[[#This Row],[SP Initially Planned (COS)]]</f>
        <v>0</v>
      </c>
      <c r="O165"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165" s="108">
        <f>IFERROR(IF(Tabelle13245689[[#This Row],[Status]]=$J$5,MIN(Tabelle13245689[[#This Row],[Jira Story Points]],Tabelle13245689[[#This Row],[Carry-over]]),0),0)</f>
        <v>0</v>
      </c>
      <c r="Q165" s="108">
        <f>IFERROR(IF(Tabelle13245689[[#This Row],[Status]]=$J$5,0,MIN(Tabelle13245689[[#This Row],[Jira Story Points]],Tabelle13245689[[#This Row],[Carry-over]])-Tabelle13245689[[#This Row],[SP Completed (COS &amp; SOS)]]),0)</f>
        <v>0</v>
      </c>
    </row>
    <row r="166" spans="1:17" s="46" customFormat="1" ht="13.5" hidden="1" customHeight="1">
      <c r="A166" s="88" t="s">
        <v>2741</v>
      </c>
      <c r="B166" s="47" t="s">
        <v>2742</v>
      </c>
      <c r="C166" s="47" t="s">
        <v>382</v>
      </c>
      <c r="D166" s="78">
        <v>3</v>
      </c>
      <c r="E166" s="78" t="s">
        <v>324</v>
      </c>
      <c r="F166" s="78" t="s">
        <v>210</v>
      </c>
      <c r="G166" s="76" t="s">
        <v>5</v>
      </c>
      <c r="H166" s="83"/>
      <c r="I166" s="103"/>
      <c r="J166" s="76" t="s">
        <v>125</v>
      </c>
      <c r="K166" s="104"/>
      <c r="L166" s="104"/>
      <c r="M166" s="105">
        <f>IF(Tabelle13245689[[#This Row],[Pulled after Start]]="",MIN(Tabelle13245689[[#This Row],[Jira Story Points]],Tabelle13245689[[#This Row],[Carry-over]]),0)</f>
        <v>0</v>
      </c>
      <c r="N166" s="106">
        <f>MIN(Tabelle13245689[[#This Row],[Jira Story Points]],Tabelle13245689[[#This Row],[Carry-over]])-Tabelle13245689[[#This Row],[SP Initially Planned (COS)]]</f>
        <v>0</v>
      </c>
      <c r="O166" s="107" t="str">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v>
      </c>
      <c r="P166" s="108">
        <f>IFERROR(IF(Tabelle13245689[[#This Row],[Status]]=$J$5,MIN(Tabelle13245689[[#This Row],[Jira Story Points]],Tabelle13245689[[#This Row],[Carry-over]]),0),0)</f>
        <v>0</v>
      </c>
      <c r="Q166" s="108">
        <f>IFERROR(IF(Tabelle13245689[[#This Row],[Status]]=$J$5,0,MIN(Tabelle13245689[[#This Row],[Jira Story Points]],Tabelle13245689[[#This Row],[Carry-over]])-Tabelle13245689[[#This Row],[SP Completed (COS &amp; SOS)]]),0)</f>
        <v>0</v>
      </c>
    </row>
    <row r="167" spans="1:17" s="46" customFormat="1" ht="13.5" hidden="1" customHeight="1">
      <c r="A167" s="88" t="s">
        <v>2743</v>
      </c>
      <c r="B167" s="47" t="s">
        <v>2744</v>
      </c>
      <c r="C167" s="47" t="s">
        <v>372</v>
      </c>
      <c r="D167" s="78">
        <v>3</v>
      </c>
      <c r="E167" s="78" t="s">
        <v>324</v>
      </c>
      <c r="F167" s="78">
        <v>5</v>
      </c>
      <c r="G167" s="76" t="s">
        <v>5</v>
      </c>
      <c r="H167" s="83"/>
      <c r="I167" s="103"/>
      <c r="J167" s="76" t="s">
        <v>125</v>
      </c>
      <c r="K167" s="104"/>
      <c r="L167" s="104"/>
      <c r="M167" s="105">
        <f>IF(Tabelle13245689[[#This Row],[Pulled after Start]]="",MIN(Tabelle13245689[[#This Row],[Jira Story Points]],Tabelle13245689[[#This Row],[Carry-over]]),0)</f>
        <v>5</v>
      </c>
      <c r="N167" s="106">
        <f>MIN(Tabelle13245689[[#This Row],[Jira Story Points]],Tabelle13245689[[#This Row],[Carry-over]])-Tabelle13245689[[#This Row],[SP Initially Planned (COS)]]</f>
        <v>0</v>
      </c>
      <c r="O167"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5</v>
      </c>
      <c r="P167" s="108">
        <f>IFERROR(IF(Tabelle13245689[[#This Row],[Status]]=$J$5,MIN(Tabelle13245689[[#This Row],[Jira Story Points]],Tabelle13245689[[#This Row],[Carry-over]]),0),0)</f>
        <v>0</v>
      </c>
      <c r="Q167" s="108">
        <f>IFERROR(IF(Tabelle13245689[[#This Row],[Status]]=$J$5,0,MIN(Tabelle13245689[[#This Row],[Jira Story Points]],Tabelle13245689[[#This Row],[Carry-over]])-Tabelle13245689[[#This Row],[SP Completed (COS &amp; SOS)]]),0)</f>
        <v>0</v>
      </c>
    </row>
    <row r="168" spans="1:17" s="46" customFormat="1" ht="13.5" hidden="1" customHeight="1">
      <c r="A168" s="88" t="s">
        <v>2745</v>
      </c>
      <c r="B168" s="47" t="s">
        <v>2746</v>
      </c>
      <c r="C168" s="47" t="s">
        <v>372</v>
      </c>
      <c r="D168" s="78">
        <v>3</v>
      </c>
      <c r="E168" s="78" t="s">
        <v>324</v>
      </c>
      <c r="F168" s="78">
        <v>5</v>
      </c>
      <c r="G168" s="76" t="s">
        <v>5</v>
      </c>
      <c r="H168" s="83"/>
      <c r="I168" s="103"/>
      <c r="J168" s="76" t="s">
        <v>125</v>
      </c>
      <c r="K168" s="104">
        <v>2</v>
      </c>
      <c r="L168" s="104"/>
      <c r="M168" s="105">
        <f>IF(Tabelle13245689[[#This Row],[Pulled after Start]]="",MIN(Tabelle13245689[[#This Row],[Jira Story Points]],Tabelle13245689[[#This Row],[Carry-over]]),0)</f>
        <v>2</v>
      </c>
      <c r="N168" s="106">
        <f>MIN(Tabelle13245689[[#This Row],[Jira Story Points]],Tabelle13245689[[#This Row],[Carry-over]])-Tabelle13245689[[#This Row],[SP Initially Planned (COS)]]</f>
        <v>0</v>
      </c>
      <c r="O168"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2</v>
      </c>
      <c r="P168" s="108">
        <f>IFERROR(IF(Tabelle13245689[[#This Row],[Status]]=$J$5,MIN(Tabelle13245689[[#This Row],[Jira Story Points]],Tabelle13245689[[#This Row],[Carry-over]]),0),0)</f>
        <v>0</v>
      </c>
      <c r="Q168" s="108">
        <f>IFERROR(IF(Tabelle13245689[[#This Row],[Status]]=$J$5,0,MIN(Tabelle13245689[[#This Row],[Jira Story Points]],Tabelle13245689[[#This Row],[Carry-over]])-Tabelle13245689[[#This Row],[SP Completed (COS &amp; SOS)]]),0)</f>
        <v>0</v>
      </c>
    </row>
    <row r="169" spans="1:17" s="46" customFormat="1" ht="13.5" hidden="1" customHeight="1">
      <c r="A169" s="88" t="s">
        <v>2747</v>
      </c>
      <c r="B169" s="47" t="s">
        <v>2748</v>
      </c>
      <c r="C169" s="47" t="s">
        <v>372</v>
      </c>
      <c r="D169" s="78">
        <v>3</v>
      </c>
      <c r="E169" s="78" t="s">
        <v>324</v>
      </c>
      <c r="F169" s="78">
        <v>1</v>
      </c>
      <c r="G169" s="76" t="s">
        <v>5</v>
      </c>
      <c r="H169" s="83"/>
      <c r="I169" s="103"/>
      <c r="J169" s="76" t="s">
        <v>125</v>
      </c>
      <c r="K169" s="104"/>
      <c r="L169" s="104"/>
      <c r="M169" s="105">
        <f>IF(Tabelle13245689[[#This Row],[Pulled after Start]]="",MIN(Tabelle13245689[[#This Row],[Jira Story Points]],Tabelle13245689[[#This Row],[Carry-over]]),0)</f>
        <v>1</v>
      </c>
      <c r="N169" s="106">
        <f>MIN(Tabelle13245689[[#This Row],[Jira Story Points]],Tabelle13245689[[#This Row],[Carry-over]])-Tabelle13245689[[#This Row],[SP Initially Planned (COS)]]</f>
        <v>0</v>
      </c>
      <c r="O169"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1</v>
      </c>
      <c r="P169" s="108">
        <f>IFERROR(IF(Tabelle13245689[[#This Row],[Status]]=$J$5,MIN(Tabelle13245689[[#This Row],[Jira Story Points]],Tabelle13245689[[#This Row],[Carry-over]]),0),0)</f>
        <v>0</v>
      </c>
      <c r="Q169" s="108">
        <f>IFERROR(IF(Tabelle13245689[[#This Row],[Status]]=$J$5,0,MIN(Tabelle13245689[[#This Row],[Jira Story Points]],Tabelle13245689[[#This Row],[Carry-over]])-Tabelle13245689[[#This Row],[SP Completed (COS &amp; SOS)]]),0)</f>
        <v>0</v>
      </c>
    </row>
    <row r="170" spans="1:17" s="46" customFormat="1" ht="13.5" hidden="1" customHeight="1">
      <c r="A170" s="88" t="s">
        <v>2749</v>
      </c>
      <c r="B170" s="47" t="s">
        <v>2750</v>
      </c>
      <c r="C170" s="47" t="s">
        <v>372</v>
      </c>
      <c r="D170" s="78">
        <v>3</v>
      </c>
      <c r="E170" s="78" t="s">
        <v>324</v>
      </c>
      <c r="F170" s="78">
        <v>1</v>
      </c>
      <c r="G170" s="76" t="s">
        <v>5</v>
      </c>
      <c r="H170" s="83"/>
      <c r="I170" s="103"/>
      <c r="J170" s="76" t="s">
        <v>125</v>
      </c>
      <c r="K170" s="104"/>
      <c r="L170" s="104"/>
      <c r="M170" s="105">
        <f>IF(Tabelle13245689[[#This Row],[Pulled after Start]]="",MIN(Tabelle13245689[[#This Row],[Jira Story Points]],Tabelle13245689[[#This Row],[Carry-over]]),0)</f>
        <v>1</v>
      </c>
      <c r="N170" s="106">
        <f>MIN(Tabelle13245689[[#This Row],[Jira Story Points]],Tabelle13245689[[#This Row],[Carry-over]])-Tabelle13245689[[#This Row],[SP Initially Planned (COS)]]</f>
        <v>0</v>
      </c>
      <c r="O170"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1</v>
      </c>
      <c r="P170" s="108">
        <f>IFERROR(IF(Tabelle13245689[[#This Row],[Status]]=$J$5,MIN(Tabelle13245689[[#This Row],[Jira Story Points]],Tabelle13245689[[#This Row],[Carry-over]]),0),0)</f>
        <v>0</v>
      </c>
      <c r="Q170" s="108">
        <f>IFERROR(IF(Tabelle13245689[[#This Row],[Status]]=$J$5,0,MIN(Tabelle13245689[[#This Row],[Jira Story Points]],Tabelle13245689[[#This Row],[Carry-over]])-Tabelle13245689[[#This Row],[SP Completed (COS &amp; SOS)]]),0)</f>
        <v>0</v>
      </c>
    </row>
    <row r="171" spans="1:17" s="46" customFormat="1" ht="13.5" hidden="1" customHeight="1">
      <c r="A171" s="88" t="s">
        <v>2751</v>
      </c>
      <c r="B171" s="47" t="s">
        <v>2752</v>
      </c>
      <c r="C171" s="47" t="s">
        <v>382</v>
      </c>
      <c r="D171" s="78">
        <v>3</v>
      </c>
      <c r="E171" s="78" t="s">
        <v>324</v>
      </c>
      <c r="F171" s="78" t="s">
        <v>210</v>
      </c>
      <c r="G171" s="76" t="s">
        <v>5</v>
      </c>
      <c r="H171" s="83"/>
      <c r="I171" s="103"/>
      <c r="J171" s="76" t="s">
        <v>125</v>
      </c>
      <c r="K171" s="104"/>
      <c r="L171" s="104"/>
      <c r="M171" s="105">
        <f>IF(Tabelle13245689[[#This Row],[Pulled after Start]]="",MIN(Tabelle13245689[[#This Row],[Jira Story Points]],Tabelle13245689[[#This Row],[Carry-over]]),0)</f>
        <v>0</v>
      </c>
      <c r="N171" s="106">
        <f>MIN(Tabelle13245689[[#This Row],[Jira Story Points]],Tabelle13245689[[#This Row],[Carry-over]])-Tabelle13245689[[#This Row],[SP Initially Planned (COS)]]</f>
        <v>0</v>
      </c>
      <c r="O171" s="107" t="str">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v>
      </c>
      <c r="P171" s="108">
        <f>IFERROR(IF(Tabelle13245689[[#This Row],[Status]]=$J$5,MIN(Tabelle13245689[[#This Row],[Jira Story Points]],Tabelle13245689[[#This Row],[Carry-over]]),0),0)</f>
        <v>0</v>
      </c>
      <c r="Q171" s="108">
        <f>IFERROR(IF(Tabelle13245689[[#This Row],[Status]]=$J$5,0,MIN(Tabelle13245689[[#This Row],[Jira Story Points]],Tabelle13245689[[#This Row],[Carry-over]])-Tabelle13245689[[#This Row],[SP Completed (COS &amp; SOS)]]),0)</f>
        <v>0</v>
      </c>
    </row>
    <row r="172" spans="1:17" s="46" customFormat="1" ht="13.5" hidden="1" customHeight="1">
      <c r="A172" s="88" t="s">
        <v>2753</v>
      </c>
      <c r="B172" s="47" t="s">
        <v>2754</v>
      </c>
      <c r="C172" s="47" t="s">
        <v>382</v>
      </c>
      <c r="D172" s="78">
        <v>3</v>
      </c>
      <c r="E172" s="78" t="s">
        <v>324</v>
      </c>
      <c r="F172" s="78" t="s">
        <v>210</v>
      </c>
      <c r="G172" s="76" t="s">
        <v>5</v>
      </c>
      <c r="H172" s="83"/>
      <c r="I172" s="120"/>
      <c r="J172" s="76" t="s">
        <v>125</v>
      </c>
      <c r="K172" s="104"/>
      <c r="L172" s="104"/>
      <c r="M172" s="105">
        <f>IF(Tabelle13245689[[#This Row],[Pulled after Start]]="",MIN(Tabelle13245689[[#This Row],[Jira Story Points]],Tabelle13245689[[#This Row],[Carry-over]]),0)</f>
        <v>0</v>
      </c>
      <c r="N172" s="106">
        <f>MIN(Tabelle13245689[[#This Row],[Jira Story Points]],Tabelle13245689[[#This Row],[Carry-over]])-Tabelle13245689[[#This Row],[SP Initially Planned (COS)]]</f>
        <v>0</v>
      </c>
      <c r="O172" s="107" t="str">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v>
      </c>
      <c r="P172" s="108">
        <f>IFERROR(IF(Tabelle13245689[[#This Row],[Status]]=$J$5,MIN(Tabelle13245689[[#This Row],[Jira Story Points]],Tabelle13245689[[#This Row],[Carry-over]]),0),0)</f>
        <v>0</v>
      </c>
      <c r="Q172" s="108">
        <f>IFERROR(IF(Tabelle13245689[[#This Row],[Status]]=$J$5,0,MIN(Tabelle13245689[[#This Row],[Jira Story Points]],Tabelle13245689[[#This Row],[Carry-over]])-Tabelle13245689[[#This Row],[SP Completed (COS &amp; SOS)]]),0)</f>
        <v>0</v>
      </c>
    </row>
    <row r="173" spans="1:17" s="46" customFormat="1" ht="13.5" hidden="1" customHeight="1">
      <c r="A173" s="88" t="s">
        <v>2755</v>
      </c>
      <c r="B173" s="47" t="s">
        <v>2756</v>
      </c>
      <c r="C173" s="47" t="s">
        <v>372</v>
      </c>
      <c r="D173" s="78">
        <v>3</v>
      </c>
      <c r="E173" s="78" t="s">
        <v>324</v>
      </c>
      <c r="F173" s="78">
        <v>8</v>
      </c>
      <c r="G173" s="76" t="s">
        <v>5</v>
      </c>
      <c r="H173" s="83"/>
      <c r="I173" s="103"/>
      <c r="J173" s="76" t="s">
        <v>125</v>
      </c>
      <c r="K173" s="104"/>
      <c r="L173" s="104"/>
      <c r="M173" s="105">
        <f>IF(Tabelle13245689[[#This Row],[Pulled after Start]]="",MIN(Tabelle13245689[[#This Row],[Jira Story Points]],Tabelle13245689[[#This Row],[Carry-over]]),0)</f>
        <v>8</v>
      </c>
      <c r="N173" s="106">
        <f>MIN(Tabelle13245689[[#This Row],[Jira Story Points]],Tabelle13245689[[#This Row],[Carry-over]])-Tabelle13245689[[#This Row],[SP Initially Planned (COS)]]</f>
        <v>0</v>
      </c>
      <c r="O173"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8</v>
      </c>
      <c r="P173" s="108">
        <f>IFERROR(IF(Tabelle13245689[[#This Row],[Status]]=$J$5,MIN(Tabelle13245689[[#This Row],[Jira Story Points]],Tabelle13245689[[#This Row],[Carry-over]]),0),0)</f>
        <v>0</v>
      </c>
      <c r="Q173" s="108">
        <f>IFERROR(IF(Tabelle13245689[[#This Row],[Status]]=$J$5,0,MIN(Tabelle13245689[[#This Row],[Jira Story Points]],Tabelle13245689[[#This Row],[Carry-over]])-Tabelle13245689[[#This Row],[SP Completed (COS &amp; SOS)]]),0)</f>
        <v>0</v>
      </c>
    </row>
    <row r="174" spans="1:17" s="46" customFormat="1" ht="13.5" hidden="1" customHeight="1">
      <c r="A174" s="88" t="s">
        <v>2398</v>
      </c>
      <c r="B174" s="47" t="s">
        <v>2399</v>
      </c>
      <c r="C174" s="47" t="s">
        <v>372</v>
      </c>
      <c r="D174" s="76">
        <v>3</v>
      </c>
      <c r="E174" s="76" t="s">
        <v>327</v>
      </c>
      <c r="F174" s="76">
        <v>5</v>
      </c>
      <c r="G174" s="76" t="s">
        <v>5</v>
      </c>
      <c r="H174" s="83"/>
      <c r="I174" s="103"/>
      <c r="J174" s="76" t="s">
        <v>127</v>
      </c>
      <c r="K174" s="104">
        <v>2</v>
      </c>
      <c r="L174" s="104">
        <v>2</v>
      </c>
      <c r="M174" s="105">
        <f>IF(Tabelle13245689[[#This Row],[Pulled after Start]]="",MIN(Tabelle13245689[[#This Row],[Jira Story Points]],Tabelle13245689[[#This Row],[Carry-over]]),0)</f>
        <v>2</v>
      </c>
      <c r="N174" s="106">
        <f>MIN(Tabelle13245689[[#This Row],[Jira Story Points]],Tabelle13245689[[#This Row],[Carry-over]])-Tabelle13245689[[#This Row],[SP Initially Planned (COS)]]</f>
        <v>0</v>
      </c>
      <c r="O174"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74" s="108">
        <f>IFERROR(IF(Tabelle13245689[[#This Row],[Status]]=$J$5,MIN(Tabelle13245689[[#This Row],[Jira Story Points]],Tabelle13245689[[#This Row],[Carry-over]]),0),0)</f>
        <v>0</v>
      </c>
      <c r="Q174" s="108">
        <f>IFERROR(IF(Tabelle13245689[[#This Row],[Status]]=$J$5,0,MIN(Tabelle13245689[[#This Row],[Jira Story Points]],Tabelle13245689[[#This Row],[Carry-over]])-Tabelle13245689[[#This Row],[SP Completed (COS &amp; SOS)]]),0)</f>
        <v>2</v>
      </c>
    </row>
    <row r="175" spans="1:17" s="46" customFormat="1" ht="13.5" hidden="1" customHeight="1">
      <c r="A175" s="88" t="s">
        <v>2757</v>
      </c>
      <c r="B175" s="47" t="s">
        <v>2758</v>
      </c>
      <c r="C175" s="47" t="s">
        <v>382</v>
      </c>
      <c r="D175" s="76">
        <v>3</v>
      </c>
      <c r="E175" s="76" t="s">
        <v>448</v>
      </c>
      <c r="F175" s="76" t="s">
        <v>210</v>
      </c>
      <c r="G175" s="76" t="s">
        <v>5</v>
      </c>
      <c r="H175" s="83"/>
      <c r="I175" s="103"/>
      <c r="J175" s="76" t="s">
        <v>127</v>
      </c>
      <c r="K175" s="104"/>
      <c r="L175" s="104"/>
      <c r="M175" s="105">
        <f>IF(Tabelle13245689[[#This Row],[Pulled after Start]]="",MIN(Tabelle13245689[[#This Row],[Jira Story Points]],Tabelle13245689[[#This Row],[Carry-over]]),0)</f>
        <v>0</v>
      </c>
      <c r="N175" s="106">
        <f>MIN(Tabelle13245689[[#This Row],[Jira Story Points]],Tabelle13245689[[#This Row],[Carry-over]])-Tabelle13245689[[#This Row],[SP Initially Planned (COS)]]</f>
        <v>0</v>
      </c>
      <c r="O175"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75" s="108">
        <f>IFERROR(IF(Tabelle13245689[[#This Row],[Status]]=$J$5,MIN(Tabelle13245689[[#This Row],[Jira Story Points]],Tabelle13245689[[#This Row],[Carry-over]]),0),0)</f>
        <v>0</v>
      </c>
      <c r="Q175" s="108">
        <f>IFERROR(IF(Tabelle13245689[[#This Row],[Status]]=$J$5,0,MIN(Tabelle13245689[[#This Row],[Jira Story Points]],Tabelle13245689[[#This Row],[Carry-over]])-Tabelle13245689[[#This Row],[SP Completed (COS &amp; SOS)]]),0)</f>
        <v>0</v>
      </c>
    </row>
    <row r="176" spans="1:17" s="46" customFormat="1" ht="13.5" hidden="1" customHeight="1">
      <c r="A176" s="88" t="s">
        <v>2404</v>
      </c>
      <c r="B176" s="47" t="s">
        <v>2405</v>
      </c>
      <c r="C176" s="47" t="s">
        <v>375</v>
      </c>
      <c r="D176" s="76">
        <v>3</v>
      </c>
      <c r="E176" s="76" t="s">
        <v>327</v>
      </c>
      <c r="F176" s="76">
        <v>3</v>
      </c>
      <c r="G176" s="76" t="s">
        <v>5</v>
      </c>
      <c r="H176" s="83"/>
      <c r="I176" s="103"/>
      <c r="J176" s="76" t="s">
        <v>127</v>
      </c>
      <c r="K176" s="104"/>
      <c r="L176" s="104">
        <v>3</v>
      </c>
      <c r="M176" s="105">
        <f>IF(Tabelle13245689[[#This Row],[Pulled after Start]]="",MIN(Tabelle13245689[[#This Row],[Jira Story Points]],Tabelle13245689[[#This Row],[Carry-over]]),0)</f>
        <v>3</v>
      </c>
      <c r="N176" s="106">
        <f>MIN(Tabelle13245689[[#This Row],[Jira Story Points]],Tabelle13245689[[#This Row],[Carry-over]])-Tabelle13245689[[#This Row],[SP Initially Planned (COS)]]</f>
        <v>0</v>
      </c>
      <c r="O176"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76" s="108">
        <f>IFERROR(IF(Tabelle13245689[[#This Row],[Status]]=$J$5,MIN(Tabelle13245689[[#This Row],[Jira Story Points]],Tabelle13245689[[#This Row],[Carry-over]]),0),0)</f>
        <v>0</v>
      </c>
      <c r="Q176" s="108">
        <f>IFERROR(IF(Tabelle13245689[[#This Row],[Status]]=$J$5,0,MIN(Tabelle13245689[[#This Row],[Jira Story Points]],Tabelle13245689[[#This Row],[Carry-over]])-Tabelle13245689[[#This Row],[SP Completed (COS &amp; SOS)]]),0)</f>
        <v>3</v>
      </c>
    </row>
    <row r="177" spans="1:17" s="46" customFormat="1" ht="13.5" hidden="1" customHeight="1">
      <c r="A177" s="117"/>
      <c r="B177" s="47"/>
      <c r="C177" s="76"/>
      <c r="D177" s="76"/>
      <c r="E177" s="76"/>
      <c r="F177" s="104"/>
      <c r="G177" s="76"/>
      <c r="H177" s="83"/>
      <c r="I177" s="103"/>
      <c r="J177" s="76"/>
      <c r="K177" s="104"/>
      <c r="L177" s="104"/>
      <c r="M177" s="105">
        <f>IF(Tabelle13245689[[#This Row],[Pulled after Start]]="",MIN(Tabelle13245689[[#This Row],[Jira Story Points]],Tabelle13245689[[#This Row],[Carry-over]]),0)</f>
        <v>0</v>
      </c>
      <c r="N177" s="106">
        <f>MIN(Tabelle13245689[[#This Row],[Jira Story Points]],Tabelle13245689[[#This Row],[Carry-over]])-Tabelle13245689[[#This Row],[SP Initially Planned (COS)]]</f>
        <v>0</v>
      </c>
      <c r="O177"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77" s="108">
        <f>IFERROR(IF(Tabelle13245689[[#This Row],[Status]]=$J$5,MIN(Tabelle13245689[[#This Row],[Jira Story Points]],Tabelle13245689[[#This Row],[Carry-over]]),0),0)</f>
        <v>0</v>
      </c>
      <c r="Q177" s="108">
        <f>IFERROR(IF(Tabelle13245689[[#This Row],[Status]]=$J$5,0,MIN(Tabelle13245689[[#This Row],[Jira Story Points]],Tabelle13245689[[#This Row],[Carry-over]])-Tabelle13245689[[#This Row],[SP Completed (COS &amp; SOS)]]),0)</f>
        <v>0</v>
      </c>
    </row>
    <row r="178" spans="1:17" s="46" customFormat="1" ht="13.5" hidden="1" customHeight="1">
      <c r="A178" s="117"/>
      <c r="B178" s="47"/>
      <c r="C178" s="76"/>
      <c r="D178" s="76"/>
      <c r="E178" s="76"/>
      <c r="F178" s="104"/>
      <c r="G178" s="76"/>
      <c r="H178" s="83"/>
      <c r="I178" s="103"/>
      <c r="J178" s="76"/>
      <c r="K178" s="104"/>
      <c r="L178" s="104"/>
      <c r="M178" s="105">
        <f>IF(Tabelle13245689[[#This Row],[Pulled after Start]]="",MIN(Tabelle13245689[[#This Row],[Jira Story Points]],Tabelle13245689[[#This Row],[Carry-over]]),0)</f>
        <v>0</v>
      </c>
      <c r="N178" s="106">
        <f>MIN(Tabelle13245689[[#This Row],[Jira Story Points]],Tabelle13245689[[#This Row],[Carry-over]])-Tabelle13245689[[#This Row],[SP Initially Planned (COS)]]</f>
        <v>0</v>
      </c>
      <c r="O178"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78" s="108">
        <f>IFERROR(IF(Tabelle13245689[[#This Row],[Status]]=$J$5,MIN(Tabelle13245689[[#This Row],[Jira Story Points]],Tabelle13245689[[#This Row],[Carry-over]]),0),0)</f>
        <v>0</v>
      </c>
      <c r="Q178" s="108">
        <f>IFERROR(IF(Tabelle13245689[[#This Row],[Status]]=$J$5,0,MIN(Tabelle13245689[[#This Row],[Jira Story Points]],Tabelle13245689[[#This Row],[Carry-over]])-Tabelle13245689[[#This Row],[SP Completed (COS &amp; SOS)]]),0)</f>
        <v>0</v>
      </c>
    </row>
    <row r="179" spans="1:17" s="46" customFormat="1" ht="13.5" hidden="1" customHeight="1">
      <c r="A179" s="115"/>
      <c r="B179" s="47"/>
      <c r="C179" s="76"/>
      <c r="D179" s="76"/>
      <c r="E179" s="76"/>
      <c r="F179" s="104"/>
      <c r="G179" s="76"/>
      <c r="H179" s="83"/>
      <c r="I179" s="120"/>
      <c r="J179" s="76"/>
      <c r="K179" s="104"/>
      <c r="L179" s="104"/>
      <c r="M179" s="105">
        <f>IF(Tabelle13245689[[#This Row],[Pulled after Start]]="",MIN(Tabelle13245689[[#This Row],[Jira Story Points]],Tabelle13245689[[#This Row],[Carry-over]]),0)</f>
        <v>0</v>
      </c>
      <c r="N179" s="106">
        <f>MIN(Tabelle13245689[[#This Row],[Jira Story Points]],Tabelle13245689[[#This Row],[Carry-over]])-Tabelle13245689[[#This Row],[SP Initially Planned (COS)]]</f>
        <v>0</v>
      </c>
      <c r="O179"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79" s="108">
        <f>IFERROR(IF(Tabelle13245689[[#This Row],[Status]]=$J$5,MIN(Tabelle13245689[[#This Row],[Jira Story Points]],Tabelle13245689[[#This Row],[Carry-over]]),0),0)</f>
        <v>0</v>
      </c>
      <c r="Q179" s="108">
        <f>IFERROR(IF(Tabelle13245689[[#This Row],[Status]]=$J$5,0,MIN(Tabelle13245689[[#This Row],[Jira Story Points]],Tabelle13245689[[#This Row],[Carry-over]])-Tabelle13245689[[#This Row],[SP Completed (COS &amp; SOS)]]),0)</f>
        <v>0</v>
      </c>
    </row>
    <row r="180" spans="1:17" s="46" customFormat="1" ht="13.5" hidden="1" customHeight="1">
      <c r="A180" s="115"/>
      <c r="B180" s="47"/>
      <c r="C180" s="76"/>
      <c r="D180" s="76"/>
      <c r="E180" s="76"/>
      <c r="F180" s="104"/>
      <c r="G180" s="76"/>
      <c r="H180" s="112"/>
      <c r="I180" s="120"/>
      <c r="J180" s="76"/>
      <c r="K180" s="104"/>
      <c r="L180" s="104"/>
      <c r="M180" s="105">
        <f>IF(Tabelle13245689[[#This Row],[Pulled after Start]]="",MIN(Tabelle13245689[[#This Row],[Jira Story Points]],Tabelle13245689[[#This Row],[Carry-over]]),0)</f>
        <v>0</v>
      </c>
      <c r="N180" s="106">
        <f>MIN(Tabelle13245689[[#This Row],[Jira Story Points]],Tabelle13245689[[#This Row],[Carry-over]])-Tabelle13245689[[#This Row],[SP Initially Planned (COS)]]</f>
        <v>0</v>
      </c>
      <c r="O180"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80" s="108">
        <f>IFERROR(IF(Tabelle13245689[[#This Row],[Status]]=$J$5,MIN(Tabelle13245689[[#This Row],[Jira Story Points]],Tabelle13245689[[#This Row],[Carry-over]]),0),0)</f>
        <v>0</v>
      </c>
      <c r="Q180" s="108">
        <f>IFERROR(IF(Tabelle13245689[[#This Row],[Status]]=$J$5,0,MIN(Tabelle13245689[[#This Row],[Jira Story Points]],Tabelle13245689[[#This Row],[Carry-over]])-Tabelle13245689[[#This Row],[SP Completed (COS &amp; SOS)]]),0)</f>
        <v>0</v>
      </c>
    </row>
    <row r="181" spans="1:17" s="46" customFormat="1" ht="13.5" hidden="1" customHeight="1">
      <c r="A181" s="115"/>
      <c r="B181" s="47"/>
      <c r="C181" s="76"/>
      <c r="D181" s="76"/>
      <c r="E181" s="76"/>
      <c r="F181" s="104"/>
      <c r="G181" s="76"/>
      <c r="H181" s="83"/>
      <c r="I181" s="120"/>
      <c r="J181" s="76"/>
      <c r="K181" s="104"/>
      <c r="L181" s="104"/>
      <c r="M181" s="105">
        <f>IF(Tabelle13245689[[#This Row],[Pulled after Start]]="",MIN(Tabelle13245689[[#This Row],[Jira Story Points]],Tabelle13245689[[#This Row],[Carry-over]]),0)</f>
        <v>0</v>
      </c>
      <c r="N181" s="106">
        <f>MIN(Tabelle13245689[[#This Row],[Jira Story Points]],Tabelle13245689[[#This Row],[Carry-over]])-Tabelle13245689[[#This Row],[SP Initially Planned (COS)]]</f>
        <v>0</v>
      </c>
      <c r="O181"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81" s="108">
        <f>IFERROR(IF(Tabelle13245689[[#This Row],[Status]]=$J$5,MIN(Tabelle13245689[[#This Row],[Jira Story Points]],Tabelle13245689[[#This Row],[Carry-over]]),0),0)</f>
        <v>0</v>
      </c>
      <c r="Q181" s="108">
        <f>IFERROR(IF(Tabelle13245689[[#This Row],[Status]]=$J$5,0,MIN(Tabelle13245689[[#This Row],[Jira Story Points]],Tabelle13245689[[#This Row],[Carry-over]])-Tabelle13245689[[#This Row],[SP Completed (COS &amp; SOS)]]),0)</f>
        <v>0</v>
      </c>
    </row>
    <row r="182" spans="1:17" s="46" customFormat="1" ht="13.5" hidden="1" customHeight="1">
      <c r="A182" s="115"/>
      <c r="B182" s="47"/>
      <c r="C182" s="76"/>
      <c r="D182" s="76"/>
      <c r="E182" s="76"/>
      <c r="F182" s="104"/>
      <c r="G182" s="76"/>
      <c r="H182" s="83"/>
      <c r="I182" s="120"/>
      <c r="J182" s="76"/>
      <c r="K182" s="104"/>
      <c r="L182" s="104"/>
      <c r="M182" s="105">
        <f>IF(Tabelle13245689[[#This Row],[Pulled after Start]]="",MIN(Tabelle13245689[[#This Row],[Jira Story Points]],Tabelle13245689[[#This Row],[Carry-over]]),0)</f>
        <v>0</v>
      </c>
      <c r="N182" s="106">
        <f>MIN(Tabelle13245689[[#This Row],[Jira Story Points]],Tabelle13245689[[#This Row],[Carry-over]])-Tabelle13245689[[#This Row],[SP Initially Planned (COS)]]</f>
        <v>0</v>
      </c>
      <c r="O182"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82" s="108">
        <f>IFERROR(IF(Tabelle13245689[[#This Row],[Status]]=$J$5,MIN(Tabelle13245689[[#This Row],[Jira Story Points]],Tabelle13245689[[#This Row],[Carry-over]]),0),0)</f>
        <v>0</v>
      </c>
      <c r="Q182" s="108">
        <f>IFERROR(IF(Tabelle13245689[[#This Row],[Status]]=$J$5,0,MIN(Tabelle13245689[[#This Row],[Jira Story Points]],Tabelle13245689[[#This Row],[Carry-over]])-Tabelle13245689[[#This Row],[SP Completed (COS &amp; SOS)]]),0)</f>
        <v>0</v>
      </c>
    </row>
    <row r="183" spans="1:17" s="46" customFormat="1" ht="13.5" hidden="1" customHeight="1">
      <c r="A183" s="115"/>
      <c r="B183" s="47"/>
      <c r="C183" s="76"/>
      <c r="D183" s="76"/>
      <c r="E183" s="76"/>
      <c r="F183" s="104"/>
      <c r="G183" s="76"/>
      <c r="H183" s="83"/>
      <c r="I183" s="120"/>
      <c r="J183" s="76"/>
      <c r="K183" s="104"/>
      <c r="L183" s="104"/>
      <c r="M183" s="105">
        <f>IF(Tabelle13245689[[#This Row],[Pulled after Start]]="",MIN(Tabelle13245689[[#This Row],[Jira Story Points]],Tabelle13245689[[#This Row],[Carry-over]]),0)</f>
        <v>0</v>
      </c>
      <c r="N183" s="106">
        <f>MIN(Tabelle13245689[[#This Row],[Jira Story Points]],Tabelle13245689[[#This Row],[Carry-over]])-Tabelle13245689[[#This Row],[SP Initially Planned (COS)]]</f>
        <v>0</v>
      </c>
      <c r="O183"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83" s="108">
        <f>IFERROR(IF(Tabelle13245689[[#This Row],[Status]]=$J$5,MIN(Tabelle13245689[[#This Row],[Jira Story Points]],Tabelle13245689[[#This Row],[Carry-over]]),0),0)</f>
        <v>0</v>
      </c>
      <c r="Q183" s="108">
        <f>IFERROR(IF(Tabelle13245689[[#This Row],[Status]]=$J$5,0,MIN(Tabelle13245689[[#This Row],[Jira Story Points]],Tabelle13245689[[#This Row],[Carry-over]])-Tabelle13245689[[#This Row],[SP Completed (COS &amp; SOS)]]),0)</f>
        <v>0</v>
      </c>
    </row>
    <row r="184" spans="1:17" s="46" customFormat="1" ht="13.5" hidden="1" customHeight="1">
      <c r="A184" s="115"/>
      <c r="B184" s="47"/>
      <c r="C184" s="76"/>
      <c r="D184" s="76"/>
      <c r="E184" s="76"/>
      <c r="F184" s="104"/>
      <c r="G184" s="76"/>
      <c r="H184" s="83"/>
      <c r="I184" s="120"/>
      <c r="J184" s="76"/>
      <c r="K184" s="104"/>
      <c r="L184" s="104"/>
      <c r="M184" s="105">
        <f>IF(Tabelle13245689[[#This Row],[Pulled after Start]]="",MIN(Tabelle13245689[[#This Row],[Jira Story Points]],Tabelle13245689[[#This Row],[Carry-over]]),0)</f>
        <v>0</v>
      </c>
      <c r="N184" s="106">
        <f>MIN(Tabelle13245689[[#This Row],[Jira Story Points]],Tabelle13245689[[#This Row],[Carry-over]])-Tabelle13245689[[#This Row],[SP Initially Planned (COS)]]</f>
        <v>0</v>
      </c>
      <c r="O184"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84" s="108">
        <f>IFERROR(IF(Tabelle13245689[[#This Row],[Status]]=$J$5,MIN(Tabelle13245689[[#This Row],[Jira Story Points]],Tabelle13245689[[#This Row],[Carry-over]]),0),0)</f>
        <v>0</v>
      </c>
      <c r="Q184" s="108">
        <f>IFERROR(IF(Tabelle13245689[[#This Row],[Status]]=$J$5,0,MIN(Tabelle13245689[[#This Row],[Jira Story Points]],Tabelle13245689[[#This Row],[Carry-over]])-Tabelle13245689[[#This Row],[SP Completed (COS &amp; SOS)]]),0)</f>
        <v>0</v>
      </c>
    </row>
    <row r="185" spans="1:17" s="46" customFormat="1" ht="13.5" hidden="1" customHeight="1">
      <c r="A185" s="88"/>
      <c r="B185" s="47"/>
      <c r="C185" s="76"/>
      <c r="D185" s="76"/>
      <c r="E185" s="76"/>
      <c r="F185" s="104"/>
      <c r="G185" s="76"/>
      <c r="H185" s="76"/>
      <c r="I185" s="103"/>
      <c r="J185" s="76"/>
      <c r="K185" s="104"/>
      <c r="L185" s="104"/>
      <c r="M185" s="105">
        <f>IF(Tabelle13245689[[#This Row],[Pulled after Start]]="",MIN(Tabelle13245689[[#This Row],[Jira Story Points]],Tabelle13245689[[#This Row],[Carry-over]]),0)</f>
        <v>0</v>
      </c>
      <c r="N185" s="106">
        <f>MIN(Tabelle13245689[[#This Row],[Jira Story Points]],Tabelle13245689[[#This Row],[Carry-over]])-Tabelle13245689[[#This Row],[SP Initially Planned (COS)]]</f>
        <v>0</v>
      </c>
      <c r="O185"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85" s="108">
        <f>IFERROR(IF(Tabelle13245689[[#This Row],[Status]]=$J$5,MIN(Tabelle13245689[[#This Row],[Jira Story Points]],Tabelle13245689[[#This Row],[Carry-over]]),0),0)</f>
        <v>0</v>
      </c>
      <c r="Q185" s="108">
        <f>IFERROR(IF(Tabelle13245689[[#This Row],[Status]]=$J$5,0,MIN(Tabelle13245689[[#This Row],[Jira Story Points]],Tabelle13245689[[#This Row],[Carry-over]])-Tabelle13245689[[#This Row],[SP Completed (COS &amp; SOS)]]),0)</f>
        <v>0</v>
      </c>
    </row>
    <row r="186" spans="1:17" s="46" customFormat="1" ht="13.5" hidden="1" customHeight="1">
      <c r="A186" s="117"/>
      <c r="B186" s="47"/>
      <c r="C186" s="76"/>
      <c r="D186" s="76"/>
      <c r="E186" s="76"/>
      <c r="F186" s="104"/>
      <c r="G186" s="76"/>
      <c r="H186" s="83"/>
      <c r="I186" s="103"/>
      <c r="J186" s="76"/>
      <c r="K186" s="104"/>
      <c r="L186" s="104"/>
      <c r="M186" s="105">
        <f>IF(Tabelle13245689[[#This Row],[Pulled after Start]]="",MIN(Tabelle13245689[[#This Row],[Jira Story Points]],Tabelle13245689[[#This Row],[Carry-over]]),0)</f>
        <v>0</v>
      </c>
      <c r="N186" s="106">
        <f>MIN(Tabelle13245689[[#This Row],[Jira Story Points]],Tabelle13245689[[#This Row],[Carry-over]])-Tabelle13245689[[#This Row],[SP Initially Planned (COS)]]</f>
        <v>0</v>
      </c>
      <c r="O186" s="107">
        <f>IFERROR(IF(Tabelle13245689[[#This Row],[Status]]=$J$5,0,IF(AND(Tabelle13245689[[#This Row],[Status]]=$I$5,ISBLANK(Tabelle13245689[[#This Row],[Spill-over]])),0,IF(NOT(ISBLANK(Tabelle13245689[[#This Row],[Carry-over]])),Tabelle13245689[[#This Row],[Carry-over]]-Tabelle13245689[[#This Row],[Spill-over]],Tabelle13245689[[#This Row],[Jira Story Points]]-Tabelle13245689[[#This Row],[Spill-over]]))),"-")</f>
        <v>0</v>
      </c>
      <c r="P186" s="108">
        <f>IFERROR(IF(Tabelle13245689[[#This Row],[Status]]=$J$5,MIN(Tabelle13245689[[#This Row],[Jira Story Points]],Tabelle13245689[[#This Row],[Carry-over]]),0),0)</f>
        <v>0</v>
      </c>
      <c r="Q186" s="108">
        <f>IFERROR(IF(Tabelle13245689[[#This Row],[Status]]=$J$5,0,MIN(Tabelle13245689[[#This Row],[Jira Story Points]],Tabelle13245689[[#This Row],[Carry-over]])-Tabelle13245689[[#This Row],[SP Completed (COS &amp; SOS)]]),0)</f>
        <v>0</v>
      </c>
    </row>
    <row r="190" spans="1:17" ht="13.5" customHeight="1">
      <c r="B190" s="58"/>
    </row>
    <row r="195" spans="3:14" ht="13.5" customHeight="1">
      <c r="C195" s="37"/>
      <c r="D195" s="37"/>
      <c r="E195" s="27"/>
      <c r="F195" s="27"/>
      <c r="G195" s="27"/>
      <c r="H195" s="27"/>
      <c r="I195" s="27"/>
      <c r="J195" s="27"/>
      <c r="K195" s="27"/>
      <c r="L195" s="27"/>
      <c r="M195" s="27"/>
      <c r="N195" s="27"/>
    </row>
    <row r="196" spans="3:14" ht="13.5" customHeight="1">
      <c r="C196" s="27"/>
      <c r="D196" s="27"/>
      <c r="E196" s="27"/>
      <c r="F196" s="27"/>
      <c r="G196" s="27"/>
      <c r="H196" s="27"/>
      <c r="I196" s="27"/>
      <c r="J196" s="27"/>
      <c r="K196" s="27"/>
      <c r="L196" s="27"/>
      <c r="M196" s="27"/>
      <c r="N196" s="27"/>
    </row>
    <row r="197" spans="3:14" ht="13.5" customHeight="1">
      <c r="C197" s="27"/>
      <c r="D197" s="27"/>
      <c r="E197" s="27"/>
      <c r="F197" s="27"/>
      <c r="G197" s="27"/>
      <c r="H197" s="27"/>
      <c r="I197" s="27"/>
      <c r="J197" s="27"/>
      <c r="K197" s="27"/>
      <c r="L197" s="27"/>
      <c r="M197" s="27"/>
      <c r="N197" s="27"/>
    </row>
    <row r="198" spans="3:14" ht="13.5" customHeight="1">
      <c r="C198" s="27"/>
      <c r="D198" s="27"/>
      <c r="E198" s="27"/>
      <c r="F198" s="27"/>
      <c r="G198" s="27"/>
      <c r="H198" s="27"/>
      <c r="I198" s="27"/>
      <c r="J198" s="27"/>
      <c r="K198" s="27"/>
      <c r="L198" s="27"/>
      <c r="M198" s="27"/>
      <c r="N198" s="27"/>
    </row>
    <row r="199" spans="3:14" ht="13.5" customHeight="1">
      <c r="C199" s="27"/>
      <c r="D199" s="27"/>
      <c r="E199" s="27"/>
      <c r="F199" s="27"/>
      <c r="G199" s="27"/>
      <c r="H199" s="27"/>
      <c r="I199" s="27"/>
      <c r="J199" s="27"/>
      <c r="K199" s="27"/>
      <c r="L199" s="27"/>
      <c r="M199" s="27"/>
      <c r="N199" s="27"/>
    </row>
    <row r="200" spans="3:14" ht="13.5" customHeight="1">
      <c r="C200" s="27"/>
      <c r="D200" s="27"/>
      <c r="E200" s="27"/>
      <c r="F200" s="27"/>
      <c r="G200" s="27"/>
      <c r="H200" s="27"/>
      <c r="I200" s="27"/>
      <c r="J200" s="27"/>
      <c r="K200" s="27"/>
      <c r="L200" s="27"/>
      <c r="M200" s="27"/>
      <c r="N200" s="27"/>
    </row>
    <row r="201" spans="3:14" ht="13.5" customHeight="1">
      <c r="C201" s="27"/>
      <c r="D201" s="37"/>
      <c r="E201" s="27"/>
      <c r="F201" s="27"/>
      <c r="G201" s="27"/>
      <c r="H201" s="27"/>
      <c r="I201" s="27"/>
      <c r="J201" s="27"/>
      <c r="K201" s="27"/>
      <c r="L201" s="27"/>
      <c r="M201" s="27"/>
      <c r="N201" s="27"/>
    </row>
    <row r="202" spans="3:14" ht="13.5" customHeight="1">
      <c r="C202" s="27"/>
      <c r="D202" s="27"/>
      <c r="E202" s="27"/>
      <c r="F202" s="27"/>
      <c r="G202" s="27"/>
      <c r="H202" s="27"/>
      <c r="I202" s="27"/>
      <c r="J202" s="27"/>
      <c r="K202" s="27"/>
      <c r="L202" s="27"/>
      <c r="M202" s="27"/>
      <c r="N202" s="27"/>
    </row>
    <row r="203" spans="3:14" ht="13.5" customHeight="1">
      <c r="C203" s="27"/>
      <c r="D203" s="27"/>
      <c r="E203" s="27"/>
      <c r="F203" s="27"/>
      <c r="G203" s="27"/>
      <c r="H203" s="27"/>
      <c r="I203" s="27"/>
      <c r="J203" s="27"/>
      <c r="K203" s="27"/>
      <c r="L203" s="27"/>
      <c r="M203" s="27"/>
      <c r="N203" s="27"/>
    </row>
    <row r="204" spans="3:14" ht="13.5" customHeight="1">
      <c r="C204" s="27"/>
      <c r="D204" s="27"/>
      <c r="E204" s="27"/>
      <c r="F204" s="27"/>
      <c r="G204" s="27"/>
      <c r="H204" s="27"/>
      <c r="I204" s="27"/>
      <c r="J204" s="27"/>
      <c r="K204" s="27"/>
      <c r="L204" s="27"/>
      <c r="M204" s="27"/>
      <c r="N204" s="27"/>
    </row>
    <row r="205" spans="3:14" ht="13.5" customHeight="1">
      <c r="C205" s="27"/>
      <c r="D205" s="27"/>
      <c r="E205" s="27"/>
      <c r="F205" s="27"/>
      <c r="G205" s="27"/>
      <c r="H205" s="27"/>
      <c r="I205" s="27"/>
      <c r="J205" s="27"/>
      <c r="K205" s="27"/>
      <c r="L205" s="27"/>
      <c r="M205" s="27"/>
      <c r="N205" s="27"/>
    </row>
    <row r="206" spans="3:14" ht="13.5" customHeight="1">
      <c r="C206" s="27"/>
      <c r="D206" s="27"/>
      <c r="E206" s="27"/>
      <c r="F206" s="27"/>
      <c r="G206" s="27"/>
      <c r="H206" s="27"/>
      <c r="I206" s="27"/>
      <c r="J206" s="27"/>
      <c r="K206" s="27"/>
      <c r="L206" s="27"/>
      <c r="M206" s="27"/>
      <c r="N206" s="27"/>
    </row>
    <row r="207" spans="3:14" ht="13.5" customHeight="1">
      <c r="C207" s="27"/>
      <c r="D207" s="27"/>
      <c r="E207" s="27"/>
      <c r="F207" s="27"/>
      <c r="G207" s="27"/>
      <c r="H207" s="27"/>
      <c r="I207" s="27"/>
      <c r="J207" s="27"/>
      <c r="K207" s="27"/>
      <c r="L207" s="27"/>
      <c r="M207" s="27"/>
      <c r="N207" s="27"/>
    </row>
    <row r="208" spans="3:14" ht="13.5" customHeight="1">
      <c r="C208" s="27"/>
      <c r="D208" s="27"/>
      <c r="E208" s="27"/>
      <c r="F208" s="27"/>
      <c r="G208" s="27"/>
      <c r="H208" s="27"/>
      <c r="I208" s="27"/>
      <c r="J208" s="27"/>
      <c r="K208" s="27"/>
      <c r="L208" s="27"/>
      <c r="M208" s="27"/>
      <c r="N208" s="27"/>
    </row>
    <row r="209" spans="3:14" ht="13.5" customHeight="1">
      <c r="C209" s="27"/>
      <c r="D209" s="27"/>
      <c r="E209" s="27"/>
      <c r="F209" s="27"/>
      <c r="G209" s="27"/>
      <c r="H209" s="27"/>
      <c r="I209" s="27"/>
      <c r="J209" s="27"/>
      <c r="K209" s="27"/>
      <c r="L209" s="27"/>
      <c r="M209" s="27"/>
      <c r="N209" s="27"/>
    </row>
    <row r="210" spans="3:14" ht="13.5" customHeight="1">
      <c r="C210" s="27"/>
      <c r="D210" s="27"/>
      <c r="E210" s="27"/>
      <c r="F210" s="27"/>
      <c r="G210" s="27"/>
      <c r="H210" s="27"/>
      <c r="I210" s="27"/>
      <c r="J210" s="27"/>
      <c r="K210" s="27"/>
      <c r="L210" s="27"/>
      <c r="M210" s="27"/>
      <c r="N210" s="27"/>
    </row>
    <row r="211" spans="3:14" ht="13.5" customHeight="1">
      <c r="C211" s="27"/>
      <c r="D211" s="27"/>
      <c r="E211" s="27"/>
      <c r="F211" s="27"/>
      <c r="G211" s="27"/>
      <c r="H211" s="27"/>
      <c r="I211" s="27"/>
      <c r="J211" s="27"/>
      <c r="K211" s="27"/>
      <c r="L211" s="27"/>
      <c r="M211" s="27"/>
      <c r="N211" s="27"/>
    </row>
    <row r="212" spans="3:14" ht="13.5" customHeight="1">
      <c r="C212" s="27"/>
      <c r="D212" s="27"/>
      <c r="E212" s="27"/>
      <c r="F212" s="27"/>
      <c r="G212" s="27"/>
      <c r="H212" s="27"/>
      <c r="I212" s="27"/>
      <c r="J212" s="27"/>
      <c r="K212" s="27"/>
      <c r="L212" s="27"/>
      <c r="M212" s="27"/>
      <c r="N212" s="27"/>
    </row>
    <row r="213" spans="3:14" ht="13.5" customHeight="1">
      <c r="C213" s="27"/>
      <c r="D213" s="27"/>
      <c r="E213" s="27"/>
      <c r="F213" s="27"/>
      <c r="G213" s="27"/>
      <c r="H213" s="27"/>
      <c r="I213" s="27"/>
      <c r="J213" s="27"/>
      <c r="K213" s="27"/>
      <c r="L213" s="27"/>
      <c r="M213" s="27"/>
      <c r="N213" s="27"/>
    </row>
    <row r="214" spans="3:14" ht="13.5" customHeight="1">
      <c r="C214" s="27"/>
      <c r="D214" s="27"/>
      <c r="E214" s="27"/>
      <c r="F214" s="27"/>
      <c r="G214" s="27"/>
      <c r="H214" s="27"/>
      <c r="I214" s="27"/>
      <c r="J214" s="27"/>
      <c r="K214" s="27"/>
      <c r="L214" s="27"/>
      <c r="M214" s="27"/>
      <c r="N214" s="27"/>
    </row>
    <row r="215" spans="3:14" ht="13.5" customHeight="1">
      <c r="C215" s="27"/>
      <c r="D215" s="27"/>
      <c r="E215" s="27"/>
      <c r="F215" s="27"/>
      <c r="G215" s="27"/>
      <c r="H215" s="27"/>
      <c r="I215" s="27"/>
      <c r="J215" s="27"/>
      <c r="K215" s="27"/>
      <c r="L215" s="27"/>
      <c r="M215" s="27"/>
      <c r="N215" s="27"/>
    </row>
    <row r="216" spans="3:14" ht="13.5" customHeight="1">
      <c r="C216" s="27"/>
      <c r="D216" s="27"/>
      <c r="E216" s="27"/>
      <c r="F216" s="27"/>
      <c r="G216" s="27"/>
      <c r="H216" s="27"/>
      <c r="I216" s="27"/>
      <c r="J216" s="27"/>
      <c r="K216" s="27"/>
      <c r="L216" s="27"/>
      <c r="M216" s="27"/>
      <c r="N216" s="27"/>
    </row>
    <row r="217" spans="3:14" ht="13.5" customHeight="1">
      <c r="C217" s="27"/>
      <c r="D217" s="27"/>
      <c r="E217" s="27"/>
      <c r="F217" s="27"/>
      <c r="G217" s="27"/>
      <c r="H217" s="27"/>
      <c r="I217" s="27"/>
      <c r="J217" s="27"/>
      <c r="K217" s="27"/>
      <c r="L217" s="27"/>
      <c r="M217" s="27"/>
      <c r="N217" s="27"/>
    </row>
    <row r="218" spans="3:14" ht="13.5" customHeight="1">
      <c r="C218" s="27"/>
      <c r="D218" s="27"/>
      <c r="E218" s="27"/>
      <c r="F218" s="27"/>
      <c r="G218" s="27"/>
      <c r="H218" s="27"/>
      <c r="I218" s="27"/>
      <c r="J218" s="27"/>
      <c r="K218" s="27"/>
      <c r="L218" s="27"/>
      <c r="M218" s="27"/>
      <c r="N218" s="27"/>
    </row>
    <row r="219" spans="3:14" ht="13.5" customHeight="1">
      <c r="C219" s="27"/>
      <c r="D219" s="27"/>
      <c r="E219" s="27"/>
      <c r="F219" s="27"/>
      <c r="G219" s="27"/>
      <c r="H219" s="27"/>
      <c r="I219" s="27"/>
      <c r="J219" s="27"/>
      <c r="K219" s="27"/>
      <c r="L219" s="27"/>
      <c r="M219" s="27"/>
      <c r="N219" s="27"/>
    </row>
  </sheetData>
  <mergeCells count="12">
    <mergeCell ref="N22:O22"/>
    <mergeCell ref="C1:J1"/>
    <mergeCell ref="G3:I3"/>
    <mergeCell ref="L22:M22"/>
    <mergeCell ref="M4:R4"/>
    <mergeCell ref="F4:K4"/>
    <mergeCell ref="D4:E4"/>
    <mergeCell ref="B6:B15"/>
    <mergeCell ref="D22:E22"/>
    <mergeCell ref="F22:G22"/>
    <mergeCell ref="H22:I22"/>
    <mergeCell ref="J22:K22"/>
  </mergeCells>
  <dataValidations count="4">
    <dataValidation allowBlank="1" showInputMessage="1" showErrorMessage="1" sqref="M32:N186 K37:L102 K32:K34 L35:L36" xr:uid="{711A89D1-0A5C-43BC-A2DA-092D2C46A919}"/>
    <dataValidation type="list" allowBlank="1" showErrorMessage="1" sqref="G32:G52 G77:G116" xr:uid="{6BF040B3-AAAD-4287-91E9-92B4AB1FA225}">
      <formula1>$C$6:$C$15</formula1>
    </dataValidation>
    <dataValidation type="list" allowBlank="1" showErrorMessage="1" sqref="H32:H186" xr:uid="{328D8C72-E60D-4B6D-B03A-77331043E1C4}">
      <formula1>"yes"</formula1>
    </dataValidation>
    <dataValidation type="list" allowBlank="1" showErrorMessage="1" sqref="J32:J186" xr:uid="{45ACDA42-40F5-4FF0-BA52-67D8FDE58F5C}">
      <formula1>$H$5:$J$5</formula1>
    </dataValidation>
  </dataValidations>
  <hyperlinks>
    <hyperlink ref="A34" r:id="rId1" xr:uid="{BE7049AF-20CE-42FD-B9D7-756F814B945B}"/>
    <hyperlink ref="A35" r:id="rId2" xr:uid="{9F9AACB4-5B2E-4AE8-9967-BA9C7D26005B}"/>
    <hyperlink ref="A37" r:id="rId3" xr:uid="{0CC4EB88-7063-4B7A-9E4E-D31278EF4F80}"/>
    <hyperlink ref="A42" r:id="rId4" xr:uid="{27E61312-CB7D-44B8-8530-2891CDDFEA91}"/>
    <hyperlink ref="A43" r:id="rId5" xr:uid="{FB87807C-C3B5-46A9-BE5E-F09E167922E0}"/>
    <hyperlink ref="A44" r:id="rId6" xr:uid="{3D8153BA-5CB0-4DF9-A4A8-CFF6D3D56643}"/>
    <hyperlink ref="A45" r:id="rId7" xr:uid="{39FA4ADF-59AD-4FDC-87FA-736081F2801A}"/>
    <hyperlink ref="A46" r:id="rId8" xr:uid="{B8728E3C-B46C-4BD5-97E1-2179C1F51422}"/>
    <hyperlink ref="A47" r:id="rId9" xr:uid="{769DE1A3-8C4F-453F-8A56-975259AA26FC}"/>
    <hyperlink ref="A51" r:id="rId10" xr:uid="{5AD1D440-CDC1-439C-AFA1-B976CF7FB860}"/>
    <hyperlink ref="A38" r:id="rId11" display="[ANP-24977] Pick ANP-24848 to Release 4.7.2 - Jira" xr:uid="{D35070C5-E0D4-4E1F-A604-DF31C208CB99}"/>
    <hyperlink ref="A36" r:id="rId12" display="[ANP-25003] record video - Jira" xr:uid="{BE9BE2A4-731C-4B13-945D-DEC6C754BF5D}"/>
    <hyperlink ref="A39" r:id="rId13" display="[ANP-25067] Pick ANP-23037 to Release 4.7.2 - Jira" xr:uid="{C46662A1-0FCA-4C99-86A2-8258F9FF2825}"/>
    <hyperlink ref="A48" r:id="rId14" display="[ANP-25043] IP assignment with no address for lane 1 leads to exception error on CHOP till - Jira" xr:uid="{FBA4131B-0AED-425B-8BEF-28E7DC15DB32}"/>
    <hyperlink ref="A32" r:id="rId15" display="[ANP-25060] [CHOP] Receipts are being printed at wrong pinter during card payment - Jira" xr:uid="{67681C19-B950-476F-B7C9-DD389A307927}"/>
    <hyperlink ref="A40" r:id="rId16" display="[ANP-25075] Pick ANP-25060 to Release 4.7.2 - Jira" xr:uid="{332997CA-316C-436F-A7D8-E5419B920993}"/>
    <hyperlink ref="A33" r:id="rId17" display="[ANP-25035] [CHOP] Printers do no reconnect to the till after being removed - Jira" xr:uid="{E677409B-AA24-47ED-957E-10836B4CA404}"/>
    <hyperlink ref="A41" r:id="rId18" display="[ANP-25091] Pick ANP-25035 to Release 4.7.2 - Jira" xr:uid="{8DCBF959-0EA1-4B11-8C31-F04A87BC5615}"/>
    <hyperlink ref="A50" r:id="rId19" display="[ANP-24330] POS3 - CHOP - NCR 7199 PinPrinting not correct - Jira" xr:uid="{B7586B78-6838-42D8-91B7-AFD8FC7A401E}"/>
    <hyperlink ref="A49" r:id="rId20" display="[ANP-25036] All POS - Wrong Currency: Euro instead of Franken - Jira" xr:uid="{1E67613A-F1D8-4AFE-A92C-8DAD82539BBE}"/>
    <hyperlink ref="A53" r:id="rId21" display="[ANP-25108] support for conceptual clarifications - Jira" xr:uid="{AE88EA16-B266-4FE8-B5C3-01C3190DBF54}"/>
    <hyperlink ref="A52" r:id="rId22" display="[ANP-25105] Pick NO-ISSUE: Fix time setup in JUnit test PluReportServiceImplTest - Jira" xr:uid="{6B18911C-0644-4C4D-9101-685BD5C635BB}"/>
    <hyperlink ref="A54" r:id="rId23" display="https://aldi-sued.atlassian.net/browse/NPSCO-15442" xr:uid="{9F5E33DE-AF1E-48FC-8343-3BD8D417C35D}"/>
    <hyperlink ref="G54" r:id="rId24" display="https://aldi-sued.atlassian.net/issues/?jql=%22cf%5B12600%5D%22%20%3D%20Checkout_Base" xr:uid="{36877D60-751E-4599-A08F-F9782364F3D9}"/>
    <hyperlink ref="A55" r:id="rId25" display="https://aldi-sued.atlassian.net/browse/NPSCO-18699" xr:uid="{56926EF4-2F92-475B-A031-2DD2C9330DA1}"/>
    <hyperlink ref="A56" r:id="rId26" display="https://aldi-sued.atlassian.net/browse/NPSCO-18690" xr:uid="{76FADCB6-1BE2-49AD-9E1A-879CB07969F9}"/>
    <hyperlink ref="A57" r:id="rId27" display="https://aldi-sued.atlassian.net/browse/NPSCO-18640" xr:uid="{80E0CD31-D18E-41DA-A6B0-77D458E95FA0}"/>
    <hyperlink ref="A58" r:id="rId28" display="https://aldi-sued.atlassian.net/browse/NPSCO-18641" xr:uid="{0896D1EB-59B9-4039-A4E0-83A973A6195B}"/>
    <hyperlink ref="A59" r:id="rId29" display="https://aldi-sued.atlassian.net/browse/NPSCO-16515" xr:uid="{9EBA7B1A-7E41-4A69-897D-9070EEBDA274}"/>
    <hyperlink ref="A60" r:id="rId30" display="https://aldi-sued.atlassian.net/browse/NPSCO-18642" xr:uid="{B5510C62-945A-465B-B464-E95E46F8AB46}"/>
    <hyperlink ref="A61" r:id="rId31" display="https://aldi-sued.atlassian.net/browse/NPSCO-18692" xr:uid="{8A4E5E98-5B91-464D-A2E0-93A82CD6DE85}"/>
    <hyperlink ref="A62" r:id="rId32" display="https://aldi-sued.atlassian.net/browse/NPSCO-18712" xr:uid="{067162D6-8A02-4C73-B36B-B9D028144C03}"/>
    <hyperlink ref="A63" r:id="rId33" display="https://aldi-sued.atlassian.net/browse/NPSCO-18698" xr:uid="{B3AB4B40-DD82-47FD-875F-471DFE50BBED}"/>
    <hyperlink ref="A64" r:id="rId34" display="https://aldi-sued.atlassian.net/browse/NPSCO-18703" xr:uid="{DDAEB88B-5755-47CD-8D24-F2C977FB600C}"/>
    <hyperlink ref="A65" r:id="rId35" display="https://aldi-sued.atlassian.net/browse/NPSCO-18454" xr:uid="{58739097-6D81-46F7-AFF4-9E813F5E193C}"/>
    <hyperlink ref="A66" r:id="rId36" display="https://aldi-sued.atlassian.net/browse/NPSCO-18704" xr:uid="{8B6F5A43-F2FA-421E-9264-04FB1D12B5B8}"/>
    <hyperlink ref="A67" r:id="rId37" display="https://aldi-sued.atlassian.net/browse/NPSCO-18706" xr:uid="{266FFF1C-3F5B-4309-865A-6C4B9D9F5C00}"/>
    <hyperlink ref="G55:G67" r:id="rId38" display="https://aldi-sued.atlassian.net/issues/?jql=%22cf%5B12600%5D%22%20%3D%20Checkout_Base" xr:uid="{D97A668F-F515-47B3-88B3-E89C0116E226}"/>
    <hyperlink ref="A68" r:id="rId39" display="https://aldi-sued.atlassian.net/browse/NPSCO-18705" xr:uid="{BF9717B7-2494-449E-98EC-0A3FDFC20287}"/>
    <hyperlink ref="B68" r:id="rId40" display="https://aldi-sued.atlassian.net/browse/NPSCO-18705" xr:uid="{E338F955-73B1-4DCA-83C9-3E4E9F5523A3}"/>
    <hyperlink ref="G68" r:id="rId41" display="https://aldi-sued.atlassian.net/issues/?jql=%22cf%5B12600%5D%22%20%3D%20Checkout_Base" xr:uid="{D062BAB7-20BF-48DC-BF6B-86D4D818A66B}"/>
    <hyperlink ref="A69" r:id="rId42" display="https://aldi-sued.atlassian.net/browse/NPSCO-18627" xr:uid="{232E9D2D-A686-49B2-A003-394BF43F0E36}"/>
    <hyperlink ref="B69" r:id="rId43" display="https://aldi-sued.atlassian.net/browse/NPSCO-18627" xr:uid="{049746B1-F182-43AE-A2C0-F10E1CC94DAF}"/>
    <hyperlink ref="G69" r:id="rId44" display="https://aldi-sued.atlassian.net/issues/?jql=%22cf%5B12600%5D%22%20%3D%20Product_Payment" xr:uid="{C7BE18C0-E208-4ADE-B55A-24B4D93D5C9D}"/>
    <hyperlink ref="A70" r:id="rId45" display="https://aldi-sued.atlassian.net/browse/NPSCO-18707" xr:uid="{4B6F4193-34A6-4760-9AE2-470E2ADE7AE6}"/>
    <hyperlink ref="B70" r:id="rId46" display="https://aldi-sued.atlassian.net/browse/NPSCO-18707" xr:uid="{C1CAD05F-543F-421D-B7DE-B6822FF927D6}"/>
    <hyperlink ref="G70" r:id="rId47" display="https://aldi-sued.atlassian.net/issues/?jql=%22cf%5B12600%5D%22%20%3D%20SCO_Two_Fingered_Sloth" xr:uid="{DF98BDD4-1880-4900-A75F-BDE084ADDE46}"/>
    <hyperlink ref="A71" r:id="rId48" display="https://aldi-sued.atlassian.net/browse/NPSCO-16393" xr:uid="{3220F6C3-3472-4007-9087-AF839DC001BC}"/>
    <hyperlink ref="B71" r:id="rId49" display="https://aldi-sued.atlassian.net/browse/NPSCO-16393" xr:uid="{90048EFF-A445-407A-9A6F-E2E34B8D9870}"/>
    <hyperlink ref="G71" r:id="rId50" display="https://aldi-sued.atlassian.net/issues/?jql=%22cf%5B12600%5D%22%20%3D%20Checkout_Base" xr:uid="{2FB10F35-BBC9-447B-B065-F341003139B3}"/>
    <hyperlink ref="A72" r:id="rId51" display="https://aldi-sued.atlassian.net/browse/NPSCO-18702" xr:uid="{66A9F64E-1E2D-4F42-BD4A-FE93E40AF022}"/>
    <hyperlink ref="B72" r:id="rId52" display="https://aldi-sued.atlassian.net/browse/NPSCO-18702" xr:uid="{42DC4DE3-4C78-47C9-B28F-F58718B026E3}"/>
    <hyperlink ref="G72" r:id="rId53" display="https://aldi-sued.atlassian.net/issues/?jql=%22cf%5B12600%5D%22%20%3D%20Checkout_Base" xr:uid="{3AC16994-00D0-47E5-823E-62A2D6CF3842}"/>
    <hyperlink ref="A73" r:id="rId54" display="https://aldi-sued.atlassian.net/browse/NPSCO-18039" xr:uid="{42C7EB97-BD75-4631-BF07-D4B49E249043}"/>
    <hyperlink ref="B73" r:id="rId55" display="https://aldi-sued.atlassian.net/browse/NPSCO-18039" xr:uid="{BF7EFAD1-C116-4B8D-92B4-C1C953ECB6B3}"/>
    <hyperlink ref="G73" r:id="rId56" display="https://aldi-sued.atlassian.net/issues/?jql=%22cf%5B12600%5D%22%20%3D%20Checkout_Base" xr:uid="{3B719E32-961E-423B-9EA9-569A6D02A6CD}"/>
    <hyperlink ref="A74" r:id="rId57" display="https://aldi-sued.atlassian.net/browse/NPSCO-15737" xr:uid="{51BF8B96-67C3-40F0-8E68-7AAC98CE6237}"/>
    <hyperlink ref="B74" r:id="rId58" display="https://aldi-sued.atlassian.net/browse/NPSCO-15737" xr:uid="{2E90792C-C088-456D-97C7-06E43CEB3D56}"/>
    <hyperlink ref="G74" r:id="rId59" display="https://aldi-sued.atlassian.net/issues/?jql=%22cf%5B12600%5D%22%20%3D%20Checkout_Base" xr:uid="{42729A2B-C21F-44F3-A900-F697D97CAF1B}"/>
    <hyperlink ref="A75" r:id="rId60" display="https://aldi-sued.atlassian.net/browse/NPSCO-16584" xr:uid="{48EA97BB-C29C-4CB7-BB6E-0CDA7A3E3E16}"/>
    <hyperlink ref="B75" r:id="rId61" display="https://aldi-sued.atlassian.net/browse/NPSCO-16584" xr:uid="{2EE34BAF-CE1B-4A48-B201-61405CF58C12}"/>
    <hyperlink ref="G75" r:id="rId62" display="https://aldi-sued.atlassian.net/issues/?jql=%22cf%5B12600%5D%22%20%3D%20Checkout_Base" xr:uid="{25D8A554-960E-4158-A334-0395BFFC24D6}"/>
    <hyperlink ref="A94" r:id="rId63" xr:uid="{81F795A3-4D4F-4B54-BB5B-E9807E3CD049}"/>
    <hyperlink ref="A95" r:id="rId64" xr:uid="{295CBA2A-067F-45D4-950C-FD67F9A62C36}"/>
    <hyperlink ref="A96" r:id="rId65" display="ANP-24769 *" xr:uid="{F9A2D809-F7D7-4A78-82BF-95379962E78A}"/>
    <hyperlink ref="A97" r:id="rId66" xr:uid="{74ACECBA-E1A3-4160-8808-163DD0C9B6F3}"/>
    <hyperlink ref="A98" r:id="rId67" xr:uid="{51A369AE-992F-4074-B87B-1A5F31E67CCB}"/>
    <hyperlink ref="A99" r:id="rId68" xr:uid="{773251C6-EC08-441A-8835-EBDCEB79B598}"/>
    <hyperlink ref="A100" r:id="rId69" xr:uid="{D7D85404-9CD4-445A-90B9-5198C5D5EA40}"/>
    <hyperlink ref="A101" r:id="rId70" xr:uid="{2B9B9887-8025-461D-9206-909F17DC00FC}"/>
    <hyperlink ref="A102" r:id="rId71" display="ANP-25047 *" xr:uid="{841026CD-B6A9-4B46-BA03-5A0E975BC42E}"/>
    <hyperlink ref="A103" r:id="rId72" display="ANP-25127 *" xr:uid="{D319DCB0-E1C4-4492-9760-508ADBCE1DAC}"/>
    <hyperlink ref="A104" r:id="rId73" xr:uid="{15BBD850-38BE-48ED-9AF9-57EE2AEBA84F}"/>
    <hyperlink ref="B104" r:id="rId74" xr:uid="{13DE9DB7-2633-4BDE-A925-D623E93AAFF7}"/>
    <hyperlink ref="A105" r:id="rId75" xr:uid="{DDF395A0-8F52-44AE-B4E9-046E7507C51E}"/>
    <hyperlink ref="B105" r:id="rId76" xr:uid="{BDB209D0-A1EF-4BBF-B21F-19943F40E8B6}"/>
    <hyperlink ref="A106" r:id="rId77" xr:uid="{70D57E23-8F80-4146-BDA2-4EF5CD03FFC6}"/>
    <hyperlink ref="B106" r:id="rId78" xr:uid="{C01B8946-B054-4D3C-8BE6-C7C5C5094E74}"/>
    <hyperlink ref="A107" r:id="rId79" xr:uid="{F416A0C9-8C44-40D1-986A-F8AD63E7B5FB}"/>
    <hyperlink ref="B107" r:id="rId80" xr:uid="{DA16713E-B794-40B4-BA8C-C03F74CCD2A6}"/>
    <hyperlink ref="A108" r:id="rId81" xr:uid="{89A56750-BCC8-46C5-A15E-195BC7231AD3}"/>
    <hyperlink ref="B108" r:id="rId82" xr:uid="{1FD4F1C6-23A0-4482-8841-AD4FE962F520}"/>
    <hyperlink ref="A109" r:id="rId83" xr:uid="{C16BAF8E-EFD5-4086-A6CC-2DC97E45CFCE}"/>
    <hyperlink ref="B109" r:id="rId84" xr:uid="{38FBC1D0-11BE-48FD-B075-9115CC15CBA5}"/>
    <hyperlink ref="A110" r:id="rId85" xr:uid="{3598E69B-E226-4FAC-B23E-E81F83653F8C}"/>
    <hyperlink ref="B110" r:id="rId86" xr:uid="{CB4D3872-1C7A-4096-859F-ECE6AB344B2D}"/>
    <hyperlink ref="A111" r:id="rId87" xr:uid="{A74AB848-2256-43C7-A896-498C011DBC15}"/>
    <hyperlink ref="B111" r:id="rId88" xr:uid="{672291F3-A186-4210-A793-B3E5FDF8D069}"/>
    <hyperlink ref="A112" r:id="rId89" xr:uid="{C2334AA4-EF95-46EE-B700-ED0A83C5E6DE}"/>
    <hyperlink ref="B112" r:id="rId90" xr:uid="{F361716D-E929-4A0C-AC82-906B2EAF29F3}"/>
    <hyperlink ref="A113" r:id="rId91" xr:uid="{2517D19A-0C13-402F-9FF9-7D9EE43A6073}"/>
    <hyperlink ref="B113" r:id="rId92" xr:uid="{4767B63C-D784-45F4-A5D2-40029D3DA930}"/>
    <hyperlink ref="A114" r:id="rId93" xr:uid="{EB013770-2099-47C7-987A-873D0EA23D06}"/>
    <hyperlink ref="B114" r:id="rId94" xr:uid="{DF996979-0F91-4992-BBFE-C28C09E1F106}"/>
    <hyperlink ref="A115" r:id="rId95" xr:uid="{F64A5FD4-051A-496F-99D9-ACCB8E27F17A}"/>
    <hyperlink ref="B115" r:id="rId96" xr:uid="{86420BD7-4EBA-4023-9792-9007F9B9DCF7}"/>
    <hyperlink ref="A116" r:id="rId97" xr:uid="{BB6F0FD5-175B-4067-B22C-FAECB00A2E0A}"/>
    <hyperlink ref="A142" r:id="rId98" display="https://aldi-sued.atlassian.net/browse/BF-699" xr:uid="{0D9CE5F1-FE6F-49D5-9E14-F6E78B3FCB89}"/>
    <hyperlink ref="A143" r:id="rId99" display="https://aldi-sued.atlassian.net/browse/BF-718" xr:uid="{CA8A9291-6476-4CF5-B644-3D7AE748EEB8}"/>
    <hyperlink ref="A144" r:id="rId100" display="https://aldi-sued.atlassian.net/browse/BF-719" xr:uid="{763B9B82-E7A2-4C21-9F3E-BCFEC9F0BC9C}"/>
    <hyperlink ref="A145" r:id="rId101" display="https://aldi-sued.atlassian.net/browse/BF-734" xr:uid="{89E912A4-1E1C-4FE0-A510-F160D7CAEA86}"/>
    <hyperlink ref="A146" r:id="rId102" display="https://aldi-sued.atlassian.net/browse/BF-740" xr:uid="{60B4A8D0-4416-4454-AF6E-9C76690CFFCB}"/>
    <hyperlink ref="A147" r:id="rId103" display="https://aldi-sued.atlassian.net/browse/BF-741" xr:uid="{9C2C4681-2242-4BA2-9F8C-E606C871AD76}"/>
    <hyperlink ref="A148" r:id="rId104" display="https://aldi-sued.atlassian.net/browse/BF-772" xr:uid="{87256CDF-064E-4011-A2F2-C8BE54A1A81C}"/>
    <hyperlink ref="A149" r:id="rId105" display="https://aldi-sued.atlassian.net/browse/BF-780" xr:uid="{4E2215EC-DA18-45F5-B18C-6518A1ACBD24}"/>
    <hyperlink ref="A150" r:id="rId106" display="https://aldi-sued.atlassian.net/browse/BF-788" xr:uid="{1547666B-B136-400A-89BF-09AF694CA1FA}"/>
    <hyperlink ref="A151" r:id="rId107" display="https://aldi-sued.atlassian.net/browse/BF-789" xr:uid="{774215D7-9BE1-408F-B9D8-725F1BDFB92E}"/>
    <hyperlink ref="A152" r:id="rId108" display="https://aldi-sued.atlassian.net/browse/BF-798" xr:uid="{A47CFC40-A1A0-4EB0-BC0B-0DB2573746A6}"/>
    <hyperlink ref="A153" r:id="rId109" display="https://aldi-sued.atlassian.net/browse/BF-839" xr:uid="{B1A3E238-DEB6-4B1D-A026-27939A33AD04}"/>
    <hyperlink ref="A154" r:id="rId110" display="https://aldi-sued.atlassian.net/browse/BF-841" xr:uid="{41DF22EF-2EBB-49FD-9E40-8CB4ADE7C888}"/>
    <hyperlink ref="A155" r:id="rId111" display="https://aldi-sued.atlassian.net/browse/BF-842" xr:uid="{75C0EDF4-EA30-4DE2-A7BE-2C9074A2B650}"/>
    <hyperlink ref="A156" r:id="rId112" display="https://aldi-sued.atlassian.net/browse/BF-870" xr:uid="{8B47474C-7B1A-4AD8-954A-60D3C7378F21}"/>
    <hyperlink ref="A157" r:id="rId113" display="https://aldi-sued.atlassian.net/browse/BF-549" xr:uid="{42489E6D-9ABB-4EF1-943B-02D9245F556F}"/>
    <hyperlink ref="A158" r:id="rId114" display="https://aldi-sued.atlassian.net/browse/BF-770" xr:uid="{569E4036-A0E0-4A4A-9D08-9E2320A15901}"/>
    <hyperlink ref="A159" r:id="rId115" display="https://aldi-sued.atlassian.net/browse/BF-773" xr:uid="{B0941FE5-CF36-4708-A443-2233D9BC3ACD}"/>
    <hyperlink ref="A160" r:id="rId116" display="https://aldi-sued.atlassian.net/browse/BF-809" xr:uid="{69884C46-2E87-4029-9712-824A398B6326}"/>
    <hyperlink ref="A161" r:id="rId117" display="https://aldi-sued.atlassian.net/browse/BF-866" xr:uid="{4D2BCCF9-BBC0-481B-9983-BD4C0A78D6EE}"/>
    <hyperlink ref="A162" r:id="rId118" display="https://aldi-sued.atlassian.net/browse/BF-881" xr:uid="{5D2E2BE4-7763-4737-8FB4-2E103CB01451}"/>
    <hyperlink ref="A163" r:id="rId119" xr:uid="{F909F911-4A50-4BB1-83D1-A9639CD9A7B4}"/>
    <hyperlink ref="A164" r:id="rId120" xr:uid="{0DB48572-CC7E-43E3-B069-BE56E916A541}"/>
    <hyperlink ref="A165" r:id="rId121" xr:uid="{C4B02CC5-E2E8-4FBA-AC48-63E5170CF04C}"/>
    <hyperlink ref="A166" r:id="rId122" xr:uid="{3DB0D517-5D25-4DE0-9D97-4A4CB5F95874}"/>
    <hyperlink ref="A167" r:id="rId123" xr:uid="{B4D93D7E-7221-486F-9152-CE67CCB4502C}"/>
    <hyperlink ref="A168" r:id="rId124" xr:uid="{A43BB822-D9CF-4E97-BA68-8C0D9BF3A4ED}"/>
    <hyperlink ref="A169" r:id="rId125" xr:uid="{D63FCF75-934C-4FFC-9A0B-0BAB8B771DFF}"/>
    <hyperlink ref="A170" r:id="rId126" xr:uid="{58188500-BDD3-46F7-AD9E-D6C94FEEBA24}"/>
    <hyperlink ref="A171" r:id="rId127" xr:uid="{5C265EA1-B6B0-436E-96BA-538ECA444F94}"/>
    <hyperlink ref="A172" r:id="rId128" xr:uid="{EE181680-A6D8-418E-A411-67EF77EC8A2E}"/>
    <hyperlink ref="A173" r:id="rId129" xr:uid="{3548CBD4-44D5-4F00-89CF-5FE4861BBB5C}"/>
    <hyperlink ref="A174" r:id="rId130" xr:uid="{846D4F2B-90AB-4D6D-AEA7-5F553E78A2EF}"/>
    <hyperlink ref="A175" r:id="rId131" xr:uid="{D7E8AED5-CA6A-4393-BECB-898F89C88FC7}"/>
    <hyperlink ref="A176" r:id="rId132" xr:uid="{A575A604-1DDA-45E0-A3EC-C48C1171FAAB}"/>
  </hyperlinks>
  <pageMargins left="0.23622047244094491" right="0.23622047244094491" top="0.35433070866141736" bottom="0.35433070866141736" header="0" footer="0"/>
  <pageSetup paperSize="9" scale="88" fitToHeight="0" orientation="landscape" r:id="rId133"/>
  <headerFooter>
    <oddFooter>&amp;CS. &amp;P / &amp;N</oddFooter>
  </headerFooter>
  <tableParts count="1">
    <tablePart r:id="rId13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1C4FD-4150-44FB-93DF-FA09F67AC3F0}">
  <sheetPr>
    <outlinePr summaryBelow="0" summaryRight="0"/>
    <pageSetUpPr fitToPage="1"/>
  </sheetPr>
  <dimension ref="A1:AL198"/>
  <sheetViews>
    <sheetView topLeftCell="E1" zoomScale="90" zoomScaleNormal="90" workbookViewId="0">
      <selection activeCell="Z7" sqref="Z7"/>
    </sheetView>
  </sheetViews>
  <sheetFormatPr baseColWidth="10" defaultColWidth="8.85546875" defaultRowHeight="13.5" customHeight="1"/>
  <cols>
    <col min="1" max="1" width="18.7109375" style="27" customWidth="1"/>
    <col min="2" max="2" width="66.42578125" style="27" customWidth="1"/>
    <col min="3" max="8" width="15.42578125" style="28" customWidth="1"/>
    <col min="9" max="11" width="15.42578125" style="29" customWidth="1"/>
    <col min="12" max="12" width="15.42578125" style="30" customWidth="1"/>
    <col min="13" max="13" width="15.42578125" style="28" customWidth="1"/>
    <col min="14" max="17" width="15.42578125" style="1" customWidth="1"/>
    <col min="18" max="25" width="10.42578125" style="1" customWidth="1"/>
    <col min="26" max="26" width="11.42578125" style="1" bestFit="1" customWidth="1"/>
    <col min="27" max="27" width="10.42578125" style="1" customWidth="1"/>
    <col min="28" max="33" width="8.42578125" style="1" customWidth="1"/>
    <col min="34" max="34" width="3.42578125" style="1" customWidth="1"/>
    <col min="35" max="35" width="8.42578125" style="1" customWidth="1"/>
    <col min="36" max="16384" width="8.85546875" style="1"/>
  </cols>
  <sheetData>
    <row r="1" spans="2:26" ht="13.5" customHeight="1">
      <c r="C1" s="417" t="s">
        <v>2759</v>
      </c>
      <c r="D1" s="417"/>
      <c r="E1" s="417"/>
      <c r="F1" s="417"/>
      <c r="G1" s="417"/>
      <c r="H1" s="417"/>
      <c r="I1" s="417"/>
      <c r="J1" s="417"/>
      <c r="K1" s="2"/>
      <c r="L1" s="2"/>
      <c r="M1" s="2"/>
    </row>
    <row r="2" spans="2:26" ht="13.5" customHeight="1">
      <c r="C2" s="1"/>
      <c r="D2" s="1"/>
      <c r="E2" s="2"/>
      <c r="F2" s="2"/>
      <c r="G2" s="2"/>
      <c r="H2" s="2"/>
      <c r="I2" s="2"/>
      <c r="J2" s="1"/>
      <c r="K2" s="2"/>
      <c r="L2" s="2"/>
      <c r="M2" s="1"/>
    </row>
    <row r="3" spans="2:26" ht="13.5" customHeight="1" thickBot="1">
      <c r="C3" s="3" t="s">
        <v>162</v>
      </c>
      <c r="D3" s="18"/>
      <c r="E3" s="19"/>
      <c r="F3" s="19"/>
      <c r="G3" s="441" t="s">
        <v>2132</v>
      </c>
      <c r="H3" s="441"/>
      <c r="I3" s="441"/>
      <c r="J3" s="19"/>
      <c r="K3" s="4"/>
      <c r="L3" s="4"/>
      <c r="M3" s="2"/>
    </row>
    <row r="4" spans="2:26" ht="13.5" customHeight="1">
      <c r="C4" s="10"/>
      <c r="D4" s="10"/>
      <c r="E4" s="442" t="s">
        <v>165</v>
      </c>
      <c r="F4" s="442"/>
      <c r="G4" s="442"/>
      <c r="H4" s="442"/>
      <c r="I4" s="442"/>
      <c r="J4" s="442"/>
      <c r="K4" s="2"/>
      <c r="L4" s="424" t="s">
        <v>1303</v>
      </c>
      <c r="M4" s="424"/>
      <c r="N4" s="424"/>
      <c r="O4" s="424"/>
      <c r="P4" s="424"/>
      <c r="Q4" s="424"/>
      <c r="Z4" s="292" t="s">
        <v>164</v>
      </c>
    </row>
    <row r="5" spans="2:26" ht="27">
      <c r="C5" s="20" t="s">
        <v>167</v>
      </c>
      <c r="D5" s="20" t="s">
        <v>164</v>
      </c>
      <c r="E5" s="21" t="s">
        <v>105</v>
      </c>
      <c r="F5" s="21" t="s">
        <v>106</v>
      </c>
      <c r="G5" s="20" t="s">
        <v>125</v>
      </c>
      <c r="H5" s="20" t="s">
        <v>127</v>
      </c>
      <c r="I5" s="20" t="s">
        <v>126</v>
      </c>
      <c r="J5" s="21" t="s">
        <v>172</v>
      </c>
      <c r="K5" s="2"/>
      <c r="L5" s="21" t="s">
        <v>105</v>
      </c>
      <c r="M5" s="21" t="s">
        <v>106</v>
      </c>
      <c r="N5" s="31" t="s">
        <v>125</v>
      </c>
      <c r="O5" s="31" t="str">
        <f t="shared" ref="O5" si="0">I5</f>
        <v>Removed</v>
      </c>
      <c r="P5" s="31" t="s">
        <v>127</v>
      </c>
      <c r="Q5" s="39" t="s">
        <v>173</v>
      </c>
      <c r="Z5" s="293" t="str">
        <f>G5</f>
        <v>Completed</v>
      </c>
    </row>
    <row r="6" spans="2:26" ht="13.5" customHeight="1">
      <c r="B6" s="415" t="s">
        <v>2133</v>
      </c>
      <c r="C6" s="6" t="s">
        <v>35</v>
      </c>
      <c r="D6" s="6">
        <f>COUNTIFS(Tabelle1324568[Team],$C6)</f>
        <v>33</v>
      </c>
      <c r="E6" s="6">
        <f>SUMIFS(Tabelle1324568[Jira Story Points],Tabelle1324568[Pulled after Start],"",Tabelle1324568[Team],$C6)</f>
        <v>53</v>
      </c>
      <c r="F6" s="6">
        <f>SUMIFS(Tabelle1324568[Jira Story Points],Tabelle1324568[Pulled after Start],"yes",Tabelle1324568[Team],$C6)</f>
        <v>38</v>
      </c>
      <c r="G6" s="7">
        <f>SUMIFS(Tabelle1324568[Jira Story Points],Tabelle1324568[Status],$G$5,Tabelle1324568[Team],$C6)</f>
        <v>75</v>
      </c>
      <c r="H6" s="6">
        <f>SUMIFS(Tabelle1324568[Jira Story Points],Tabelle1324568[Status],$H$5,Tabelle1324568[Team],$C6)</f>
        <v>16</v>
      </c>
      <c r="I6" s="6">
        <f>SUMIFS(Tabelle1324568[Jira Story Points],Tabelle1324568[Status],$I$5,Tabelle1324568[Team],$C6)</f>
        <v>0</v>
      </c>
      <c r="J6" s="6">
        <f>SUMIFS(Tabelle1324568[Jira Story Points],Tabelle1324568[Team],$C6)</f>
        <v>91</v>
      </c>
      <c r="K6" s="85">
        <f>G6/E6</f>
        <v>1.4150943396226414</v>
      </c>
      <c r="L6" s="6">
        <f>SUMIFS(Tabelle1324568[SP Initially Planned (COS)],Tabelle1324568[Pulled after Start],"",Tabelle1324568[Team],$C6)</f>
        <v>53</v>
      </c>
      <c r="M6" s="6">
        <f>SUMIFS(Tabelle1324568[SP Pulled after Start (COS)],Tabelle1324568[Team],$C6)</f>
        <v>38</v>
      </c>
      <c r="N6" s="25">
        <f>SUMIFS(Tabelle1324568[SP Completed (COS &amp; SOS)],Tabelle1324568[Team],$C6)</f>
        <v>75</v>
      </c>
      <c r="O6" s="25">
        <f>SUMIFS(Tabelle1324568[SP Removed (COS &amp; SOS)],Tabelle1324568[Team],$C6)</f>
        <v>0</v>
      </c>
      <c r="P6" s="41">
        <f>SUMIFS(Tabelle1324568[SP Not Completed (COS &amp; SOS)],Tabelle1324568[Team],$C6)</f>
        <v>16</v>
      </c>
      <c r="Q6" s="40">
        <f t="shared" ref="Q6:Q15" si="1">IFERROR(N6/$L6," ")</f>
        <v>1.4150943396226414</v>
      </c>
      <c r="T6" s="43"/>
      <c r="Z6" s="294">
        <f>COUNTIFS(Tabelle1324568[Team],$C6,Tabelle1324568[Status],$Z$5)</f>
        <v>28</v>
      </c>
    </row>
    <row r="7" spans="2:26" ht="13.5" customHeight="1">
      <c r="B7" s="415"/>
      <c r="C7" s="6" t="s">
        <v>12</v>
      </c>
      <c r="D7" s="6">
        <f>COUNTIFS(Tabelle1324568[Team],$C7)</f>
        <v>13</v>
      </c>
      <c r="E7" s="6">
        <f>SUMIFS(Tabelle1324568[Jira Story Points],Tabelle1324568[Pulled after Start],"",Tabelle1324568[Team],$C7)</f>
        <v>27</v>
      </c>
      <c r="F7" s="6">
        <f>SUMIFS(Tabelle1324568[Jira Story Points],Tabelle1324568[Pulled after Start],"yes",Tabelle1324568[Team],$C7)</f>
        <v>9</v>
      </c>
      <c r="G7" s="7">
        <f>SUMIFS(Tabelle1324568[Jira Story Points],Tabelle1324568[Status],$G$5,Tabelle1324568[Team],$C7)</f>
        <v>10</v>
      </c>
      <c r="H7" s="6">
        <f>SUMIFS(Tabelle1324568[Jira Story Points],Tabelle1324568[Status],$H$5,Tabelle1324568[Team],$C7)</f>
        <v>26</v>
      </c>
      <c r="I7" s="6">
        <f>SUMIFS(Tabelle1324568[Jira Story Points],Tabelle1324568[Status],$I$5,Tabelle1324568[Team],$C7)</f>
        <v>0</v>
      </c>
      <c r="J7" s="6">
        <f>SUMIFS(Tabelle1324568[Jira Story Points],Tabelle1324568[Team],$C7)</f>
        <v>36</v>
      </c>
      <c r="K7" s="85">
        <f t="shared" ref="K7:K16" si="2">G7/E7</f>
        <v>0.37037037037037035</v>
      </c>
      <c r="L7" s="6">
        <f>SUMIFS(Tabelle1324568[SP Initially Planned (COS)],Tabelle1324568[Pulled after Start],"",Tabelle1324568[Team],$C7)</f>
        <v>11</v>
      </c>
      <c r="M7" s="6">
        <f>SUMIFS(Tabelle1324568[SP Pulled after Start (COS)],Tabelle1324568[Team],$C7)</f>
        <v>9</v>
      </c>
      <c r="N7" s="25">
        <f>SUMIFS(Tabelle1324568[SP Completed (COS &amp; SOS)],Tabelle1324568[Team],$C7)</f>
        <v>9</v>
      </c>
      <c r="O7" s="25">
        <f>SUMIFS(Tabelle1324568[SP Removed (COS &amp; SOS)],Tabelle1324568[Team],$C7)</f>
        <v>0</v>
      </c>
      <c r="P7" s="41">
        <f>SUMIFS(Tabelle1324568[SP Not Completed (COS &amp; SOS)],Tabelle1324568[Team],$C7)</f>
        <v>11</v>
      </c>
      <c r="Q7" s="40">
        <f>IFERROR(N7/$L7," ")</f>
        <v>0.81818181818181823</v>
      </c>
      <c r="T7" s="43"/>
      <c r="Z7" s="294">
        <f>COUNTIFS(Tabelle1324568[Team],$C7,Tabelle1324568[Status],$Z$5)</f>
        <v>6</v>
      </c>
    </row>
    <row r="8" spans="2:26" ht="13.5" customHeight="1">
      <c r="B8" s="415"/>
      <c r="C8" s="6" t="s">
        <v>27</v>
      </c>
      <c r="D8" s="6">
        <f>COUNTIFS(Tabelle1324568[Team],$C8)</f>
        <v>15</v>
      </c>
      <c r="E8" s="6">
        <f>SUMIFS(Tabelle1324568[Jira Story Points],Tabelle1324568[Pulled after Start],"",Tabelle1324568[Team],$C8)</f>
        <v>34</v>
      </c>
      <c r="F8" s="6">
        <f>SUMIFS(Tabelle1324568[Jira Story Points],Tabelle1324568[Pulled after Start],"yes",Tabelle1324568[Team],$C8)</f>
        <v>20</v>
      </c>
      <c r="G8" s="7">
        <f>SUMIFS(Tabelle1324568[Jira Story Points],Tabelle1324568[Status],$G$5,Tabelle1324568[Team],$C8)</f>
        <v>37</v>
      </c>
      <c r="H8" s="6">
        <f>SUMIFS(Tabelle1324568[Jira Story Points],Tabelle1324568[Status],$H$5,Tabelle1324568[Team],$C8)</f>
        <v>17</v>
      </c>
      <c r="I8" s="6">
        <f>SUMIFS(Tabelle1324568[Jira Story Points],Tabelle1324568[Status],$I$5,Tabelle1324568[Team],$C8)</f>
        <v>0</v>
      </c>
      <c r="J8" s="6">
        <f>SUMIFS(Tabelle1324568[Jira Story Points],Tabelle1324568[Team],$C8)</f>
        <v>54</v>
      </c>
      <c r="K8" s="85">
        <f t="shared" si="2"/>
        <v>1.088235294117647</v>
      </c>
      <c r="L8" s="6">
        <f>SUMIFS(Tabelle1324568[SP Initially Planned (COS)],Tabelle1324568[Pulled after Start],"",Tabelle1324568[Team],$C8)</f>
        <v>34</v>
      </c>
      <c r="M8" s="6">
        <f>SUMIFS(Tabelle1324568[SP Pulled after Start (COS)],Tabelle1324568[Team],$C8)</f>
        <v>20</v>
      </c>
      <c r="N8" s="25">
        <f>SUMIFS(Tabelle1324568[SP Completed (COS &amp; SOS)],Tabelle1324568[Team],$C8)</f>
        <v>37</v>
      </c>
      <c r="O8" s="25">
        <f>SUMIFS(Tabelle1324568[SP Removed (COS &amp; SOS)],Tabelle1324568[Team],$C8)</f>
        <v>0</v>
      </c>
      <c r="P8" s="41">
        <f>SUMIFS(Tabelle1324568[SP Not Completed (COS &amp; SOS)],Tabelle1324568[Team],$C8)</f>
        <v>17</v>
      </c>
      <c r="Q8" s="40">
        <f t="shared" si="1"/>
        <v>1.088235294117647</v>
      </c>
      <c r="T8" s="43"/>
      <c r="Z8" s="294">
        <f>COUNTIFS(Tabelle1324568[Team],$C8,Tabelle1324568[Status],$Z$5)</f>
        <v>9</v>
      </c>
    </row>
    <row r="9" spans="2:26" ht="13.5" customHeight="1">
      <c r="B9" s="415"/>
      <c r="C9" s="6" t="s">
        <v>5</v>
      </c>
      <c r="D9" s="6">
        <f>COUNTIFS(Tabelle1324568[Team],$C9)</f>
        <v>15</v>
      </c>
      <c r="E9" s="6">
        <f>SUMIFS(Tabelle1324568[Jira Story Points],Tabelle1324568[Pulled after Start],"",Tabelle1324568[Team],$C9)</f>
        <v>49</v>
      </c>
      <c r="F9" s="6">
        <f>SUMIFS(Tabelle1324568[Jira Story Points],Tabelle1324568[Pulled after Start],"yes",Tabelle1324568[Team],$C9)</f>
        <v>0</v>
      </c>
      <c r="G9" s="7">
        <f>SUMIFS(Tabelle1324568[Jira Story Points],Tabelle1324568[Status],$G$5,Tabelle1324568[Team],$C9)</f>
        <v>27</v>
      </c>
      <c r="H9" s="6">
        <f>SUMIFS(Tabelle1324568[Jira Story Points],Tabelle1324568[Status],$H$5,Tabelle1324568[Team],$C9)</f>
        <v>22</v>
      </c>
      <c r="I9" s="6">
        <f>SUMIFS(Tabelle1324568[Jira Story Points],Tabelle1324568[Status],$I$5,Tabelle1324568[Team],$C9)</f>
        <v>0</v>
      </c>
      <c r="J9" s="6">
        <f>SUMIFS(Tabelle1324568[Jira Story Points],Tabelle1324568[Team],$C9)</f>
        <v>49</v>
      </c>
      <c r="K9" s="85">
        <f t="shared" si="2"/>
        <v>0.55102040816326525</v>
      </c>
      <c r="L9" s="6">
        <f>SUMIFS(Tabelle1324568[SP Initially Planned (COS)],Tabelle1324568[Pulled after Start],"",Tabelle1324568[Team],$C9)</f>
        <v>38</v>
      </c>
      <c r="M9" s="6">
        <f>SUMIFS(Tabelle1324568[SP Pulled after Start (COS)],Tabelle1324568[Team],$C9)</f>
        <v>0</v>
      </c>
      <c r="N9" s="25">
        <f>SUMIFS(Tabelle1324568[SP Completed (COS &amp; SOS)],Tabelle1324568[Team],$C9)</f>
        <v>28</v>
      </c>
      <c r="O9" s="25">
        <f>SUMIFS(Tabelle1324568[SP Removed (COS &amp; SOS)],Tabelle1324568[Team],$C9)</f>
        <v>0</v>
      </c>
      <c r="P9" s="41">
        <f>SUMIFS(Tabelle1324568[SP Not Completed (COS &amp; SOS)],Tabelle1324568[Team],$C9)</f>
        <v>10</v>
      </c>
      <c r="Q9" s="40">
        <f t="shared" si="1"/>
        <v>0.73684210526315785</v>
      </c>
      <c r="T9" s="43"/>
      <c r="Z9" s="294">
        <f>COUNTIFS(Tabelle1324568[Team],$C9,Tabelle1324568[Status],$Z$5)</f>
        <v>5</v>
      </c>
    </row>
    <row r="10" spans="2:26" ht="13.5" customHeight="1">
      <c r="B10" s="415"/>
      <c r="C10" s="6" t="s">
        <v>32</v>
      </c>
      <c r="D10" s="6">
        <f>COUNTIFS(Tabelle1324568[Team],$C10)</f>
        <v>13</v>
      </c>
      <c r="E10" s="6">
        <f>SUMIFS(Tabelle1324568[Jira Story Points],Tabelle1324568[Pulled after Start],"",Tabelle1324568[Team],$C10)</f>
        <v>32</v>
      </c>
      <c r="F10" s="6">
        <f>SUMIFS(Tabelle1324568[Jira Story Points],Tabelle1324568[Pulled after Start],"yes",Tabelle1324568[Team],$C10)</f>
        <v>5</v>
      </c>
      <c r="G10" s="7">
        <f>SUMIFS(Tabelle1324568[Jira Story Points],Tabelle1324568[Status],$G$5,Tabelle1324568[Team],$C10)</f>
        <v>29</v>
      </c>
      <c r="H10" s="6">
        <f>SUMIFS(Tabelle1324568[Jira Story Points],Tabelle1324568[Status],$H$5,Tabelle1324568[Team],$C10)</f>
        <v>3</v>
      </c>
      <c r="I10" s="6">
        <f>SUMIFS(Tabelle1324568[Jira Story Points],Tabelle1324568[Status],$I$5,Tabelle1324568[Team],$C10)</f>
        <v>5</v>
      </c>
      <c r="J10" s="6">
        <f>SUMIFS(Tabelle1324568[Jira Story Points],Tabelle1324568[Team],$C10)</f>
        <v>37</v>
      </c>
      <c r="K10" s="85">
        <f t="shared" si="2"/>
        <v>0.90625</v>
      </c>
      <c r="L10" s="6">
        <f>SUMIFS(Tabelle1324568[SP Initially Planned (COS)],Tabelle1324568[Pulled after Start],"",Tabelle1324568[Team],$C10)</f>
        <v>32</v>
      </c>
      <c r="M10" s="6">
        <f>SUMIFS(Tabelle1324568[SP Pulled after Start (COS)],Tabelle1324568[Team],$C10)</f>
        <v>5</v>
      </c>
      <c r="N10" s="25">
        <f>SUMIFS(Tabelle1324568[SP Completed (COS &amp; SOS)],Tabelle1324568[Team],$C10)</f>
        <v>29</v>
      </c>
      <c r="O10" s="25">
        <f>SUMIFS(Tabelle1324568[SP Removed (COS &amp; SOS)],Tabelle1324568[Team],$C10)</f>
        <v>5</v>
      </c>
      <c r="P10" s="41">
        <f>SUMIFS(Tabelle1324568[SP Not Completed (COS &amp; SOS)],Tabelle1324568[Team],$C10)</f>
        <v>3</v>
      </c>
      <c r="Q10" s="40">
        <f>IFERROR(N10/$L10," ")</f>
        <v>0.90625</v>
      </c>
      <c r="T10" s="43"/>
      <c r="Z10" s="294">
        <f>COUNTIFS(Tabelle1324568[Team],$C10,Tabelle1324568[Status],$Z$5)</f>
        <v>11</v>
      </c>
    </row>
    <row r="11" spans="2:26" ht="13.5" customHeight="1">
      <c r="B11" s="415"/>
      <c r="C11" s="6" t="s">
        <v>24</v>
      </c>
      <c r="D11" s="6">
        <f>COUNTIFS(Tabelle1324568[Team],$C11)</f>
        <v>21</v>
      </c>
      <c r="E11" s="6">
        <f>SUMIFS(Tabelle1324568[Jira Story Points],Tabelle1324568[Pulled after Start],"",Tabelle1324568[Team],$C11)</f>
        <v>48</v>
      </c>
      <c r="F11" s="6">
        <f>SUMIFS(Tabelle1324568[Jira Story Points],Tabelle1324568[Pulled after Start],"yes",Tabelle1324568[Team],$C11)</f>
        <v>8</v>
      </c>
      <c r="G11" s="7">
        <f>SUMIFS(Tabelle1324568[Jira Story Points],Tabelle1324568[Status],$G$5,Tabelle1324568[Team],$C11)</f>
        <v>37</v>
      </c>
      <c r="H11" s="6">
        <f>SUMIFS(Tabelle1324568[Jira Story Points],Tabelle1324568[Status],$H$5,Tabelle1324568[Team],$C11)</f>
        <v>19</v>
      </c>
      <c r="I11" s="6">
        <f>SUMIFS(Tabelle1324568[Jira Story Points],Tabelle1324568[Status],$I$5,Tabelle1324568[Team],$C11)</f>
        <v>0</v>
      </c>
      <c r="J11" s="6">
        <f>SUMIFS(Tabelle1324568[Jira Story Points],Tabelle1324568[Team],$C11)</f>
        <v>56</v>
      </c>
      <c r="K11" s="85">
        <f t="shared" si="2"/>
        <v>0.77083333333333337</v>
      </c>
      <c r="L11" s="6">
        <f>SUMIFS(Tabelle1324568[SP Initially Planned (COS)],Tabelle1324568[Pulled after Start],"",Tabelle1324568[Team],$C11)</f>
        <v>48</v>
      </c>
      <c r="M11" s="6">
        <f>SUMIFS(Tabelle1324568[SP Pulled after Start (COS)],Tabelle1324568[Team],$C11)</f>
        <v>8</v>
      </c>
      <c r="N11" s="25">
        <f>SUMIFS(Tabelle1324568[SP Completed (COS &amp; SOS)],Tabelle1324568[Team],$C11)</f>
        <v>39</v>
      </c>
      <c r="O11" s="25">
        <f>SUMIFS(Tabelle1324568[SP Removed (COS &amp; SOS)],Tabelle1324568[Team],$C11)</f>
        <v>0</v>
      </c>
      <c r="P11" s="41">
        <f>SUMIFS(Tabelle1324568[SP Not Completed (COS &amp; SOS)],Tabelle1324568[Team],$C11)</f>
        <v>17</v>
      </c>
      <c r="Q11" s="40">
        <f t="shared" si="1"/>
        <v>0.8125</v>
      </c>
      <c r="T11" s="43"/>
      <c r="Z11" s="294">
        <f>COUNTIFS(Tabelle1324568[Team],$C11,Tabelle1324568[Status],$Z$5)</f>
        <v>15</v>
      </c>
    </row>
    <row r="12" spans="2:26" ht="13.5" customHeight="1">
      <c r="B12" s="415"/>
      <c r="C12" s="6" t="s">
        <v>17</v>
      </c>
      <c r="D12" s="6">
        <f>COUNTIFS(Tabelle1324568[Team],$C12)</f>
        <v>12</v>
      </c>
      <c r="E12" s="6">
        <f>SUMIFS(Tabelle1324568[Jira Story Points],Tabelle1324568[Pulled after Start],"",Tabelle1324568[Team],$C12)</f>
        <v>23</v>
      </c>
      <c r="F12" s="6">
        <f>SUMIFS(Tabelle1324568[Jira Story Points],Tabelle1324568[Pulled after Start],"yes",Tabelle1324568[Team],$C12)</f>
        <v>10</v>
      </c>
      <c r="G12" s="7">
        <f>SUMIFS(Tabelle1324568[Jira Story Points],Tabelle1324568[Status],$G$5,Tabelle1324568[Team],$C12)</f>
        <v>22</v>
      </c>
      <c r="H12" s="6">
        <f>SUMIFS(Tabelle1324568[Jira Story Points],Tabelle1324568[Status],$H$5,Tabelle1324568[Team],$C12)</f>
        <v>11</v>
      </c>
      <c r="I12" s="6">
        <f>SUMIFS(Tabelle1324568[Jira Story Points],Tabelle1324568[Status],$I$5,Tabelle1324568[Team],$C12)</f>
        <v>0</v>
      </c>
      <c r="J12" s="6">
        <f>SUMIFS(Tabelle1324568[Jira Story Points],Tabelle1324568[Team],$C12)</f>
        <v>33</v>
      </c>
      <c r="K12" s="85">
        <f t="shared" si="2"/>
        <v>0.95652173913043481</v>
      </c>
      <c r="L12" s="6">
        <f>SUMIFS(Tabelle1324568[SP Initially Planned (COS)],Tabelle1324568[Pulled after Start],"",Tabelle1324568[Team],$C12)</f>
        <v>18</v>
      </c>
      <c r="M12" s="6">
        <f>SUMIFS(Tabelle1324568[SP Pulled after Start (COS)],Tabelle1324568[Team],$C12)</f>
        <v>10</v>
      </c>
      <c r="N12" s="25">
        <f>SUMIFS(Tabelle1324568[SP Completed (COS &amp; SOS)],Tabelle1324568[Team],$C12)</f>
        <v>25</v>
      </c>
      <c r="O12" s="25">
        <f>SUMIFS(Tabelle1324568[SP Removed (COS &amp; SOS)],Tabelle1324568[Team],$C12)</f>
        <v>0</v>
      </c>
      <c r="P12" s="41">
        <f>SUMIFS(Tabelle1324568[SP Not Completed (COS &amp; SOS)],Tabelle1324568[Team],$C12)</f>
        <v>3</v>
      </c>
      <c r="Q12" s="40">
        <f t="shared" si="1"/>
        <v>1.3888888888888888</v>
      </c>
      <c r="T12" s="43"/>
      <c r="Z12" s="294">
        <f>COUNTIFS(Tabelle1324568[Team],$C12,Tabelle1324568[Status],$Z$5)</f>
        <v>10</v>
      </c>
    </row>
    <row r="13" spans="2:26" ht="13.5" customHeight="1">
      <c r="B13" s="415"/>
      <c r="C13" s="32" t="s">
        <v>107</v>
      </c>
      <c r="D13" s="6">
        <f>COUNTIFS(Tabelle1324568[Team],$C13)</f>
        <v>0</v>
      </c>
      <c r="E13" s="6">
        <f>SUMIFS(Tabelle1324568[Jira Story Points],Tabelle1324568[Pulled after Start],"",Tabelle1324568[Team],$C13)</f>
        <v>0</v>
      </c>
      <c r="F13" s="6">
        <f>SUMIFS(Tabelle1324568[Jira Story Points],Tabelle1324568[Pulled after Start],"yes",Tabelle1324568[Team],$C13)</f>
        <v>0</v>
      </c>
      <c r="G13" s="7">
        <f>SUMIFS(Tabelle1324568[Jira Story Points],Tabelle1324568[Status],$G$5,Tabelle1324568[Team],$C13)</f>
        <v>0</v>
      </c>
      <c r="H13" s="6">
        <f>SUMIFS(Tabelle1324568[Jira Story Points],Tabelle1324568[Status],$H$5,Tabelle1324568[Team],$C13)</f>
        <v>0</v>
      </c>
      <c r="I13" s="6">
        <f>SUMIFS(Tabelle1324568[Jira Story Points],Tabelle1324568[Status],$I$5,Tabelle1324568[Team],$C13)</f>
        <v>0</v>
      </c>
      <c r="J13" s="6">
        <f>SUMIFS(Tabelle1324568[Jira Story Points],Tabelle1324568[Team],$C13)</f>
        <v>0</v>
      </c>
      <c r="K13" s="85"/>
      <c r="L13" s="6">
        <f>SUMIFS(Tabelle1324568[SP Initially Planned (COS)],Tabelle1324568[Pulled after Start],"",Tabelle1324568[Team],$C13)</f>
        <v>0</v>
      </c>
      <c r="M13" s="6">
        <f>SUMIFS(Tabelle1324568[SP Pulled after Start (COS)],Tabelle1324568[Team],$C13)</f>
        <v>0</v>
      </c>
      <c r="N13" s="25">
        <f>SUMIFS(Tabelle1324568[SP Completed (COS &amp; SOS)],Tabelle1324568[Team],$C13)</f>
        <v>0</v>
      </c>
      <c r="O13" s="25">
        <f>SUMIFS(Tabelle1324568[SP Removed (COS &amp; SOS)],Tabelle1324568[Team],$C13)</f>
        <v>0</v>
      </c>
      <c r="P13" s="41">
        <f>SUMIFS(Tabelle1324568[SP Not Completed (COS &amp; SOS)],Tabelle1324568[Team],$C13)</f>
        <v>0</v>
      </c>
      <c r="Q13" s="40" t="str">
        <f t="shared" si="1"/>
        <v xml:space="preserve"> </v>
      </c>
      <c r="T13" s="43"/>
      <c r="Z13" s="294">
        <f>COUNTIFS(Tabelle1324568[Team],$C13,Tabelle1324568[Status],$Z$5)</f>
        <v>0</v>
      </c>
    </row>
    <row r="14" spans="2:26" ht="13.5" customHeight="1">
      <c r="B14" s="415"/>
      <c r="C14" s="8" t="s">
        <v>21</v>
      </c>
      <c r="D14" s="6">
        <f>COUNTIFS(Tabelle1324568[Team],$C14)</f>
        <v>9</v>
      </c>
      <c r="E14" s="6">
        <f>SUMIFS(Tabelle1324568[Jira Story Points],Tabelle1324568[Pulled after Start],"",Tabelle1324568[Team],$C14)</f>
        <v>37</v>
      </c>
      <c r="F14" s="6">
        <f>SUMIFS(Tabelle1324568[Jira Story Points],Tabelle1324568[Pulled after Start],"yes",Tabelle1324568[Team],$C14)</f>
        <v>4</v>
      </c>
      <c r="G14" s="7">
        <f>SUMIFS(Tabelle1324568[Jira Story Points],Tabelle1324568[Status],$G$5,Tabelle1324568[Team],$C14)</f>
        <v>17</v>
      </c>
      <c r="H14" s="6">
        <f>SUMIFS(Tabelle1324568[Jira Story Points],Tabelle1324568[Status],$H$5,Tabelle1324568[Team],$C14)</f>
        <v>13</v>
      </c>
      <c r="I14" s="6">
        <f>SUMIFS(Tabelle1324568[Jira Story Points],Tabelle1324568[Status],$I$5,Tabelle1324568[Team],$C14)</f>
        <v>11</v>
      </c>
      <c r="J14" s="6">
        <f>SUMIFS(Tabelle1324568[Jira Story Points],Tabelle1324568[Team],$C14)</f>
        <v>41</v>
      </c>
      <c r="K14" s="85">
        <f t="shared" si="2"/>
        <v>0.45945945945945948</v>
      </c>
      <c r="L14" s="6">
        <f>SUMIFS(Tabelle1324568[SP Initially Planned (COS)],Tabelle1324568[Pulled after Start],"",Tabelle1324568[Team],$C14)</f>
        <v>32</v>
      </c>
      <c r="M14" s="6">
        <f>SUMIFS(Tabelle1324568[SP Pulled after Start (COS)],Tabelle1324568[Team],$C14)</f>
        <v>4</v>
      </c>
      <c r="N14" s="25">
        <f>SUMIFS(Tabelle1324568[SP Completed (COS &amp; SOS)],Tabelle1324568[Team],$C14)</f>
        <v>24</v>
      </c>
      <c r="O14" s="25">
        <f>SUMIFS(Tabelle1324568[SP Removed (COS &amp; SOS)],Tabelle1324568[Team],$C14)</f>
        <v>6</v>
      </c>
      <c r="P14" s="41">
        <f>SUMIFS(Tabelle1324568[SP Not Completed (COS &amp; SOS)],Tabelle1324568[Team],$C14)</f>
        <v>6</v>
      </c>
      <c r="Q14" s="40">
        <f t="shared" si="1"/>
        <v>0.75</v>
      </c>
      <c r="T14" s="43"/>
      <c r="Z14" s="294">
        <f>COUNTIFS(Tabelle1324568[Team],$C14,Tabelle1324568[Status],$Z$5)</f>
        <v>5</v>
      </c>
    </row>
    <row r="15" spans="2:26" ht="13.5" customHeight="1" thickBot="1">
      <c r="B15" s="415"/>
      <c r="C15" s="8" t="s">
        <v>9</v>
      </c>
      <c r="D15" s="6">
        <f>COUNTIFS(Tabelle1324568[Team],$C15)</f>
        <v>15</v>
      </c>
      <c r="E15" s="6">
        <f>SUMIFS(Tabelle1324568[Jira Story Points],Tabelle1324568[Pulled after Start],"",Tabelle1324568[Team],$C15)</f>
        <v>36</v>
      </c>
      <c r="F15" s="6">
        <f>SUMIFS(Tabelle1324568[Jira Story Points],Tabelle1324568[Pulled after Start],"yes",Tabelle1324568[Team],$C15)</f>
        <v>12</v>
      </c>
      <c r="G15" s="7">
        <f>SUMIFS(Tabelle1324568[Jira Story Points],Tabelle1324568[Status],$G$5,Tabelle1324568[Team],$C15)</f>
        <v>23</v>
      </c>
      <c r="H15" s="6">
        <f>SUMIFS(Tabelle1324568[Jira Story Points],Tabelle1324568[Status],$H$5,Tabelle1324568[Team],$C15)</f>
        <v>22</v>
      </c>
      <c r="I15" s="6">
        <f>SUMIFS(Tabelle1324568[Jira Story Points],Tabelle1324568[Status],$I$5,Tabelle1324568[Team],$C15)</f>
        <v>3</v>
      </c>
      <c r="J15" s="6">
        <f>SUMIFS(Tabelle1324568[Jira Story Points],Tabelle1324568[Team],$C15)</f>
        <v>48</v>
      </c>
      <c r="K15" s="85">
        <f t="shared" si="2"/>
        <v>0.63888888888888884</v>
      </c>
      <c r="L15" s="6">
        <f>SUMIFS(Tabelle1324568[SP Initially Planned (COS)],Tabelle1324568[Pulled after Start],"",Tabelle1324568[Team],$C15)</f>
        <v>36</v>
      </c>
      <c r="M15" s="6">
        <f>SUMIFS(Tabelle1324568[SP Pulled after Start (COS)],Tabelle1324568[Team],$C15)</f>
        <v>12</v>
      </c>
      <c r="N15" s="25">
        <f>SUMIFS(Tabelle1324568[SP Completed (COS &amp; SOS)],Tabelle1324568[Team],$C15)</f>
        <v>23</v>
      </c>
      <c r="O15" s="25">
        <f>SUMIFS(Tabelle1324568[SP Removed (COS &amp; SOS)],Tabelle1324568[Team],$C15)</f>
        <v>3</v>
      </c>
      <c r="P15" s="41">
        <f>SUMIFS(Tabelle1324568[SP Not Completed (COS &amp; SOS)],Tabelle1324568[Team],$C15)</f>
        <v>22</v>
      </c>
      <c r="Q15" s="40">
        <f t="shared" si="1"/>
        <v>0.63888888888888884</v>
      </c>
      <c r="T15" s="43"/>
      <c r="Z15" s="295">
        <f>COUNTIFS(Tabelle1324568[Team],$C15,Tabelle1324568[Status],$Z$5)</f>
        <v>7</v>
      </c>
    </row>
    <row r="16" spans="2:26" ht="13.5" customHeight="1">
      <c r="C16" s="22" t="s">
        <v>172</v>
      </c>
      <c r="D16" s="22">
        <f t="shared" ref="D16:J16" si="3">SUM(D6:D13)</f>
        <v>122</v>
      </c>
      <c r="E16" s="23">
        <f t="shared" si="3"/>
        <v>266</v>
      </c>
      <c r="F16" s="23">
        <f t="shared" si="3"/>
        <v>90</v>
      </c>
      <c r="G16" s="22">
        <f t="shared" si="3"/>
        <v>237</v>
      </c>
      <c r="H16" s="22">
        <f t="shared" si="3"/>
        <v>114</v>
      </c>
      <c r="I16" s="22">
        <f t="shared" si="3"/>
        <v>5</v>
      </c>
      <c r="J16" s="23">
        <f t="shared" si="3"/>
        <v>356</v>
      </c>
      <c r="K16" s="85">
        <f t="shared" si="2"/>
        <v>0.89097744360902253</v>
      </c>
      <c r="L16" s="23">
        <f t="shared" ref="L16:M16" si="4">SUM(L6:L13)</f>
        <v>234</v>
      </c>
      <c r="M16" s="21">
        <f t="shared" si="4"/>
        <v>90</v>
      </c>
      <c r="N16" s="31">
        <f>SUM(N6:N13)</f>
        <v>242</v>
      </c>
      <c r="O16" s="31">
        <f>SUM(O6:O13)</f>
        <v>5</v>
      </c>
      <c r="P16" s="22">
        <f>SUM(P6:P13)</f>
        <v>77</v>
      </c>
      <c r="Q16" s="38" t="s">
        <v>185</v>
      </c>
      <c r="T16" s="42"/>
      <c r="U16" s="42"/>
      <c r="V16" s="42"/>
    </row>
    <row r="17" spans="1:38" ht="13.5" customHeight="1">
      <c r="T17" s="5"/>
      <c r="U17" s="5"/>
      <c r="V17" s="5"/>
    </row>
    <row r="18" spans="1:38" ht="13.5" customHeight="1">
      <c r="T18" s="5"/>
      <c r="U18" s="5"/>
      <c r="V18" s="5"/>
    </row>
    <row r="19" spans="1:38" ht="13.5" customHeight="1">
      <c r="T19" s="5"/>
      <c r="U19" s="5"/>
      <c r="V19" s="5"/>
    </row>
    <row r="20" spans="1:38" ht="13.5" customHeight="1">
      <c r="T20" s="5"/>
      <c r="U20" s="5"/>
      <c r="V20" s="5"/>
    </row>
    <row r="21" spans="1:38" ht="13.5" customHeight="1">
      <c r="C21" s="33" t="s">
        <v>186</v>
      </c>
      <c r="D21" s="9"/>
      <c r="E21" s="9"/>
      <c r="F21" s="9"/>
      <c r="G21" s="9"/>
      <c r="H21" s="9"/>
      <c r="I21" s="9"/>
      <c r="J21" s="9"/>
      <c r="K21" s="9"/>
      <c r="L21" s="9"/>
      <c r="M21" s="9"/>
      <c r="N21" s="9"/>
      <c r="O21" s="9"/>
      <c r="T21" s="5"/>
      <c r="U21" s="5"/>
      <c r="V21" s="5"/>
    </row>
    <row r="22" spans="1:38" ht="13.5" customHeight="1">
      <c r="C22" s="10"/>
      <c r="D22" s="425" t="s">
        <v>187</v>
      </c>
      <c r="E22" s="425"/>
      <c r="F22" s="425" t="s">
        <v>106</v>
      </c>
      <c r="G22" s="425"/>
      <c r="H22" s="425" t="s">
        <v>172</v>
      </c>
      <c r="I22" s="425"/>
      <c r="J22" s="426" t="s">
        <v>2134</v>
      </c>
      <c r="K22" s="426"/>
      <c r="L22" s="426" t="s">
        <v>189</v>
      </c>
      <c r="M22" s="426"/>
      <c r="N22" s="416" t="s">
        <v>172</v>
      </c>
      <c r="O22" s="416"/>
    </row>
    <row r="23" spans="1:38" ht="13.5" customHeight="1">
      <c r="C23" s="10"/>
      <c r="D23" s="11" t="s">
        <v>190</v>
      </c>
      <c r="E23" s="12" t="s">
        <v>191</v>
      </c>
      <c r="F23" s="11" t="s">
        <v>190</v>
      </c>
      <c r="G23" s="12" t="s">
        <v>191</v>
      </c>
      <c r="H23" s="12" t="s">
        <v>190</v>
      </c>
      <c r="I23" s="12" t="s">
        <v>191</v>
      </c>
      <c r="J23" s="34" t="s">
        <v>190</v>
      </c>
      <c r="K23" s="13" t="s">
        <v>191</v>
      </c>
      <c r="L23" s="14" t="s">
        <v>190</v>
      </c>
      <c r="M23" s="14" t="s">
        <v>191</v>
      </c>
      <c r="N23" s="14" t="s">
        <v>190</v>
      </c>
      <c r="O23" s="14" t="s">
        <v>191</v>
      </c>
    </row>
    <row r="24" spans="1:38" ht="13.5" customHeight="1">
      <c r="C24" s="15" t="s">
        <v>192</v>
      </c>
      <c r="D24" s="7">
        <f>COUNTIFS(Tabelle1324568[Team],"*",Tabelle1324568[Pulled after Start],"&lt;&gt;yes")</f>
        <v>103</v>
      </c>
      <c r="E24" s="7">
        <f>SUMIFS(Tabelle1324568[Jira Story Points],Tabelle1324568[Team],"*",Tabelle1324568[Pulled after Start],"&lt;&gt;yes")+COUNTIFS(Tabelle1324568[Team],"*",Tabelle1324568[Jira Story Points],"-",Tabelle1324568[Pulled after Start],"&lt;&gt;yes")*$M$28</f>
        <v>357</v>
      </c>
      <c r="F24" s="7">
        <f>COUNTIF(Tabelle1324568[Pulled after Start],"yes")</f>
        <v>43</v>
      </c>
      <c r="G24" s="7">
        <f>SUMIFS(Tabelle1324568[Jira Story Points],Tabelle1324568[Team],"*",Tabelle1324568[Pulled after Start],"yes")+COUNTIFS(Tabelle1324568[Team],"*",Tabelle1324568[Jira Story Points],"-",Tabelle1324568[Pulled after Start],"yes")*$M$28</f>
        <v>118</v>
      </c>
      <c r="H24" s="7">
        <f t="shared" ref="H24:I27" si="5">D24+F24</f>
        <v>146</v>
      </c>
      <c r="I24" s="7">
        <f t="shared" si="5"/>
        <v>475</v>
      </c>
      <c r="J24" s="7">
        <f>COUNTIFS(Tabelle1324568[Team],"*",Tabelle1324568[Jira Story Points],"&lt;&gt;-")</f>
        <v>131</v>
      </c>
      <c r="K24" s="16">
        <f>SUMIFS(Tabelle1324568[Jira Story Points],Tabelle1324568[Team],"*",Tabelle1324568[Jira Story Points],"&lt;&gt;-")</f>
        <v>445</v>
      </c>
      <c r="L24" s="8">
        <f>COUNTIFS(Tabelle1324568[Team],"*",Tabelle1324568[Jira Story Points],"-")</f>
        <v>15</v>
      </c>
      <c r="M24" s="8">
        <f>L24*$M$28</f>
        <v>30</v>
      </c>
      <c r="N24" s="35">
        <f t="shared" ref="N24:O27" si="6">J24+L24</f>
        <v>146</v>
      </c>
      <c r="O24" s="7">
        <f t="shared" si="6"/>
        <v>475</v>
      </c>
    </row>
    <row r="25" spans="1:38" ht="13.5" customHeight="1">
      <c r="C25" s="15" t="s">
        <v>125</v>
      </c>
      <c r="D25" s="7">
        <f>COUNTIFS(Tabelle1324568[Team],"*",Tabelle1324568[Pulled after Start],"&lt;&gt;yes",Tabelle1324568[Status],G5)</f>
        <v>68</v>
      </c>
      <c r="E25" s="7">
        <f>SUMIFS(Tabelle1324568[Jira Story Points],Tabelle1324568[Team],"*",Tabelle1324568[Pulled after Start],"&lt;&gt;yes",Tabelle1324568[Status],G5)+COUNTIFS(Tabelle1324568[Team],"*",Tabelle1324568[Jira Story Points],"-",Tabelle1324568[Pulled after Start],"&lt;&gt;yes",Tabelle1324568[Status],G5)*$M$28</f>
        <v>224</v>
      </c>
      <c r="F25" s="7">
        <f>COUNTIFS(Tabelle1324568[Pulled after Start],"yes",Tabelle1324568[Status],G5)</f>
        <v>28</v>
      </c>
      <c r="G25" s="7">
        <f>SUMIFS(Tabelle1324568[Jira Story Points],Tabelle1324568[Team],"*",Tabelle1324568[Pulled after Start],"yes",Tabelle1324568[Status],G5)+COUNTIFS(Tabelle1324568[Team],"*",Tabelle1324568[Jira Story Points],"-",Tabelle1324568[Pulled after Start],"yes",Tabelle1324568[Status],G5)*$M$28</f>
        <v>69</v>
      </c>
      <c r="H25" s="7">
        <f t="shared" si="5"/>
        <v>96</v>
      </c>
      <c r="I25" s="7">
        <f t="shared" si="5"/>
        <v>293</v>
      </c>
      <c r="J25" s="7">
        <f>COUNTIFS(Tabelle1324568[Team],"*",Tabelle1324568[Jira Story Points],"&lt;&gt;-",Tabelle1324568[Status],G5)</f>
        <v>88</v>
      </c>
      <c r="K25" s="7">
        <f>SUMIFS(Tabelle1324568[Jira Story Points],Tabelle1324568[Team],"*",Tabelle1324568[Jira Story Points],"&lt;&gt;-",Tabelle1324568[Status],G5)</f>
        <v>277</v>
      </c>
      <c r="L25" s="17">
        <f>COUNTIFS(Tabelle1324568[Team],"*",Tabelle1324568[Jira Story Points],"-",Tabelle1324568[Status],G5)</f>
        <v>8</v>
      </c>
      <c r="M25" s="8">
        <f>L25*$M$28</f>
        <v>16</v>
      </c>
      <c r="N25" s="7">
        <f t="shared" si="6"/>
        <v>96</v>
      </c>
      <c r="O25" s="7">
        <f t="shared" si="6"/>
        <v>293</v>
      </c>
    </row>
    <row r="26" spans="1:38" ht="13.5" customHeight="1">
      <c r="C26" s="15" t="s">
        <v>127</v>
      </c>
      <c r="D26" s="7">
        <f>COUNTIFS(Tabelle1324568[Team],"*",Tabelle1324568[Pulled after Start],"&lt;&gt;yes",Tabelle1324568[Status],H5)</f>
        <v>32</v>
      </c>
      <c r="E26" s="7">
        <f>SUMIFS(Tabelle1324568[Jira Story Points],Tabelle1324568[Team],"*",Tabelle1324568[Pulled after Start],"&lt;&gt;yes",Tabelle1324568[Status],H5)+COUNTIFS(Tabelle1324568[Team],"*",Tabelle1324568[Jira Story Points],"-",Tabelle1324568[Pulled after Start],"&lt;&gt;yes",Tabelle1324568[Status],H5)*$M$28</f>
        <v>117</v>
      </c>
      <c r="F26" s="7">
        <f>COUNTIFS(Tabelle1324568[Pulled after Start],"yes",Tabelle1324568[Status],H5)</f>
        <v>14</v>
      </c>
      <c r="G26" s="7">
        <f>SUMIFS(Tabelle1324568[Jira Story Points],Tabelle1324568[Team],"*",Tabelle1324568[Pulled after Start],"yes",Tabelle1324568[Status],H5)+COUNTIFS(Tabelle1324568[Team],"*",Tabelle1324568[Jira Story Points],"-",Tabelle1324568[Pulled after Start],"yes",Tabelle1324568[Status],H5)*$M$28</f>
        <v>46</v>
      </c>
      <c r="H26" s="7">
        <f t="shared" si="5"/>
        <v>46</v>
      </c>
      <c r="I26" s="7">
        <f t="shared" si="5"/>
        <v>163</v>
      </c>
      <c r="J26" s="7">
        <f>COUNTIFS(Tabelle1324568[Team],"*",Tabelle1324568[Jira Story Points],"&lt;&gt;-",Tabelle1324568[Status],H5)</f>
        <v>39</v>
      </c>
      <c r="K26" s="7">
        <f>SUMIFS(Tabelle1324568[Jira Story Points],Tabelle1324568[Team],"*",Tabelle1324568[Jira Story Points],"&lt;&gt;-",Tabelle1324568[Status],H5)</f>
        <v>149</v>
      </c>
      <c r="L26" s="17">
        <f>COUNTIFS(Tabelle1324568[Team],"*",Tabelle1324568[Jira Story Points],"-",Tabelle1324568[Status],H5)</f>
        <v>7</v>
      </c>
      <c r="M26" s="8">
        <f>L26*$M$28</f>
        <v>14</v>
      </c>
      <c r="N26" s="7">
        <f t="shared" si="6"/>
        <v>46</v>
      </c>
      <c r="O26" s="7">
        <f t="shared" si="6"/>
        <v>163</v>
      </c>
    </row>
    <row r="27" spans="1:38" ht="13.5" customHeight="1">
      <c r="C27" s="15" t="s">
        <v>126</v>
      </c>
      <c r="D27" s="7">
        <f>COUNTIFS(Tabelle1324568[Team],"*",Tabelle1324568[Pulled after Start],"&lt;&gt;yes",Tabelle1324568[Status],I5)</f>
        <v>3</v>
      </c>
      <c r="E27" s="7">
        <f>SUMIFS(Tabelle1324568[Jira Story Points],Tabelle1324568[Team],"*",Tabelle1324568[Pulled after Start],"&lt;&gt;yes",Tabelle1324568[Status],I5)+COUNTIFS(Tabelle1324568[Team],"*",Tabelle1324568[Jira Story Points],"-",Tabelle1324568[Pulled after Start],"&lt;&gt;yes",Tabelle1324568[Status],I5)*$M$28</f>
        <v>16</v>
      </c>
      <c r="F27" s="7">
        <f>COUNTIFS(Tabelle1324568[Pulled after Start],"yes",Tabelle1324568[Status],I5)</f>
        <v>1</v>
      </c>
      <c r="G27" s="7">
        <f>SUMIFS(Tabelle1324568[Jira Story Points],Tabelle1324568[Team],"*",Tabelle1324568[Pulled after Start],"yes",Tabelle1324568[Status],I5)+COUNTIFS(Tabelle1324568[Team],"*",Tabelle1324568[Jira Story Points],"-",Tabelle1324568[Pulled after Start],"yes",Tabelle1324568[Status],I5)*$M$28</f>
        <v>3</v>
      </c>
      <c r="H27" s="7">
        <f t="shared" si="5"/>
        <v>4</v>
      </c>
      <c r="I27" s="7">
        <f t="shared" si="5"/>
        <v>19</v>
      </c>
      <c r="J27" s="7">
        <f>COUNTIFS(Tabelle1324568[Team],"*",Tabelle1324568[Jira Story Points],"&lt;&gt;-",Tabelle1324568[Status],I5)</f>
        <v>4</v>
      </c>
      <c r="K27" s="7">
        <f>SUMIFS(Tabelle1324568[Jira Story Points],Tabelle1324568[Team],"*",Tabelle1324568[Jira Story Points],"&lt;&gt;-",Tabelle1324568[Status],I5)</f>
        <v>19</v>
      </c>
      <c r="L27" s="17">
        <f>COUNTIFS(Tabelle1324568[Team],"*",Tabelle1324568[Jira Story Points],"-",Tabelle1324568[Status],I5)</f>
        <v>0</v>
      </c>
      <c r="M27" s="8">
        <f>L27*$M$28</f>
        <v>0</v>
      </c>
      <c r="N27" s="7">
        <f t="shared" si="6"/>
        <v>4</v>
      </c>
      <c r="O27" s="7">
        <f t="shared" si="6"/>
        <v>19</v>
      </c>
    </row>
    <row r="28" spans="1:38" ht="13.5" customHeight="1" thickBot="1">
      <c r="C28" s="1"/>
      <c r="D28" s="1"/>
      <c r="E28" s="1"/>
      <c r="F28" s="1"/>
      <c r="G28" s="1"/>
      <c r="H28" s="1"/>
      <c r="I28" s="1"/>
      <c r="J28" s="1"/>
      <c r="K28" s="1"/>
      <c r="L28" s="24" t="s">
        <v>193</v>
      </c>
      <c r="M28" s="45">
        <v>2</v>
      </c>
    </row>
    <row r="31" spans="1:38" s="116" customFormat="1" ht="27">
      <c r="A31" s="146" t="s">
        <v>194</v>
      </c>
      <c r="B31" s="146" t="s">
        <v>195</v>
      </c>
      <c r="C31" s="146" t="s">
        <v>196</v>
      </c>
      <c r="D31" s="146" t="s">
        <v>197</v>
      </c>
      <c r="E31" s="146" t="s">
        <v>198</v>
      </c>
      <c r="F31" s="146" t="s">
        <v>199</v>
      </c>
      <c r="G31" s="146" t="s">
        <v>167</v>
      </c>
      <c r="H31" s="146" t="s">
        <v>106</v>
      </c>
      <c r="I31" s="146" t="s">
        <v>200</v>
      </c>
      <c r="J31" s="146" t="s">
        <v>201</v>
      </c>
      <c r="K31" s="146" t="s">
        <v>202</v>
      </c>
      <c r="L31" s="146" t="s">
        <v>203</v>
      </c>
      <c r="M31" s="147" t="s">
        <v>1304</v>
      </c>
      <c r="N31" s="148" t="s">
        <v>1305</v>
      </c>
      <c r="O31" s="148" t="s">
        <v>1306</v>
      </c>
      <c r="P31" s="149" t="s">
        <v>1307</v>
      </c>
      <c r="Q31" s="148" t="s">
        <v>1308</v>
      </c>
    </row>
    <row r="32" spans="1:38" s="109" customFormat="1">
      <c r="A32" s="88" t="s">
        <v>2760</v>
      </c>
      <c r="B32" s="46" t="s">
        <v>2761</v>
      </c>
      <c r="C32" s="76" t="s">
        <v>372</v>
      </c>
      <c r="D32" s="76">
        <v>3</v>
      </c>
      <c r="E32" s="76" t="s">
        <v>324</v>
      </c>
      <c r="F32" s="76">
        <v>1</v>
      </c>
      <c r="G32" s="76" t="s">
        <v>35</v>
      </c>
      <c r="H32" s="76" t="s">
        <v>209</v>
      </c>
      <c r="I32" s="103"/>
      <c r="J32" s="76" t="s">
        <v>125</v>
      </c>
      <c r="K32" s="76"/>
      <c r="L32" s="76"/>
      <c r="M32" s="105">
        <f>IF(Tabelle1324568[[#This Row],[Pulled after Start]]="",MIN(Tabelle1324568[[#This Row],[Jira Story Points]],Tabelle1324568[[#This Row],[Carry-over]]),0)</f>
        <v>0</v>
      </c>
      <c r="N32" s="108">
        <f>MIN(Tabelle1324568[[#This Row],[Jira Story Points]],Tabelle1324568[[#This Row],[Carry-over]])-Tabelle1324568[[#This Row],[SP Initially Planned (COS)]]</f>
        <v>1</v>
      </c>
      <c r="O32"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1</v>
      </c>
      <c r="P32" s="108">
        <f>IFERROR(IF(Tabelle1324568[[#This Row],[Status]]=$I$5,MIN(Tabelle1324568[[#This Row],[Jira Story Points]],Tabelle1324568[[#This Row],[Carry-over]]),0),0)</f>
        <v>0</v>
      </c>
      <c r="Q32" s="108">
        <f>IFERROR(IF(Tabelle1324568[[#This Row],[Status]]=$I$5,0,MIN(Tabelle1324568[[#This Row],[Jira Story Points]],Tabelle1324568[[#This Row],[Carry-over]])-Tabelle1324568[[#This Row],[SP Completed (COS &amp; SOS)]]),0)</f>
        <v>0</v>
      </c>
      <c r="Z32" s="46"/>
      <c r="AA32" s="46"/>
      <c r="AB32" s="46"/>
      <c r="AC32" s="46"/>
      <c r="AD32" s="46"/>
      <c r="AE32" s="46"/>
      <c r="AF32" s="46"/>
      <c r="AG32" s="46"/>
      <c r="AH32" s="46"/>
      <c r="AI32" s="46"/>
      <c r="AJ32" s="46"/>
      <c r="AK32" s="46"/>
      <c r="AL32" s="46"/>
    </row>
    <row r="33" spans="1:38" s="109" customFormat="1">
      <c r="A33" s="88" t="s">
        <v>2762</v>
      </c>
      <c r="B33" s="46" t="s">
        <v>2763</v>
      </c>
      <c r="C33" s="76" t="s">
        <v>372</v>
      </c>
      <c r="D33" s="76">
        <v>3</v>
      </c>
      <c r="E33" s="76" t="s">
        <v>324</v>
      </c>
      <c r="F33" s="76">
        <v>3</v>
      </c>
      <c r="G33" s="76" t="s">
        <v>35</v>
      </c>
      <c r="H33" s="76"/>
      <c r="I33" s="120"/>
      <c r="J33" s="76" t="s">
        <v>125</v>
      </c>
      <c r="K33" s="104"/>
      <c r="L33" s="104"/>
      <c r="M33" s="105">
        <f>IF(Tabelle1324568[[#This Row],[Pulled after Start]]="",MIN(Tabelle1324568[[#This Row],[Jira Story Points]],Tabelle1324568[[#This Row],[Carry-over]]),0)</f>
        <v>3</v>
      </c>
      <c r="N33" s="108">
        <f>MIN(Tabelle1324568[[#This Row],[Jira Story Points]],Tabelle1324568[[#This Row],[Carry-over]])-Tabelle1324568[[#This Row],[SP Initially Planned (COS)]]</f>
        <v>0</v>
      </c>
      <c r="O33"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33" s="108">
        <f>IFERROR(IF(Tabelle1324568[[#This Row],[Status]]=$I$5,MIN(Tabelle1324568[[#This Row],[Jira Story Points]],Tabelle1324568[[#This Row],[Carry-over]]),0),0)</f>
        <v>0</v>
      </c>
      <c r="Q33" s="108">
        <f>IFERROR(IF(Tabelle1324568[[#This Row],[Status]]=$I$5,0,MIN(Tabelle1324568[[#This Row],[Jira Story Points]],Tabelle1324568[[#This Row],[Carry-over]])-Tabelle1324568[[#This Row],[SP Completed (COS &amp; SOS)]]),0)</f>
        <v>0</v>
      </c>
      <c r="Z33" s="112"/>
      <c r="AA33" s="112"/>
      <c r="AB33" s="112"/>
      <c r="AC33" s="112"/>
      <c r="AD33" s="112"/>
      <c r="AE33" s="112"/>
      <c r="AF33" s="112"/>
      <c r="AG33" s="112"/>
      <c r="AH33" s="112"/>
      <c r="AI33" s="112"/>
      <c r="AJ33" s="112"/>
      <c r="AK33" s="112"/>
      <c r="AL33" s="112"/>
    </row>
    <row r="34" spans="1:38" s="113" customFormat="1">
      <c r="A34" s="88" t="s">
        <v>2764</v>
      </c>
      <c r="B34" s="46" t="s">
        <v>2765</v>
      </c>
      <c r="C34" s="76" t="s">
        <v>372</v>
      </c>
      <c r="D34" s="76">
        <v>3</v>
      </c>
      <c r="E34" s="76" t="s">
        <v>324</v>
      </c>
      <c r="F34" s="76">
        <v>3</v>
      </c>
      <c r="G34" s="76" t="s">
        <v>35</v>
      </c>
      <c r="H34" s="76"/>
      <c r="I34" s="103"/>
      <c r="J34" s="76" t="s">
        <v>125</v>
      </c>
      <c r="K34" s="76"/>
      <c r="L34" s="76"/>
      <c r="M34" s="105">
        <f>IF(Tabelle1324568[[#This Row],[Pulled after Start]]="",MIN(Tabelle1324568[[#This Row],[Jira Story Points]],Tabelle1324568[[#This Row],[Carry-over]]),0)</f>
        <v>3</v>
      </c>
      <c r="N34" s="108">
        <f>MIN(Tabelle1324568[[#This Row],[Jira Story Points]],Tabelle1324568[[#This Row],[Carry-over]])-Tabelle1324568[[#This Row],[SP Initially Planned (COS)]]</f>
        <v>0</v>
      </c>
      <c r="O34"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34" s="108">
        <f>IFERROR(IF(Tabelle1324568[[#This Row],[Status]]=$I$5,MIN(Tabelle1324568[[#This Row],[Jira Story Points]],Tabelle1324568[[#This Row],[Carry-over]]),0),0)</f>
        <v>0</v>
      </c>
      <c r="Q34" s="108">
        <f>IFERROR(IF(Tabelle1324568[[#This Row],[Status]]=$I$5,0,MIN(Tabelle1324568[[#This Row],[Jira Story Points]],Tabelle1324568[[#This Row],[Carry-over]])-Tabelle1324568[[#This Row],[SP Completed (COS &amp; SOS)]]),0)</f>
        <v>0</v>
      </c>
      <c r="Z34" s="46"/>
      <c r="AA34" s="46"/>
      <c r="AB34" s="46"/>
      <c r="AC34" s="46"/>
      <c r="AD34" s="46"/>
      <c r="AE34" s="46"/>
      <c r="AF34" s="46"/>
      <c r="AG34" s="46"/>
      <c r="AH34" s="46"/>
      <c r="AJ34" s="112"/>
      <c r="AK34" s="112"/>
      <c r="AL34" s="112"/>
    </row>
    <row r="35" spans="1:38" s="46" customFormat="1">
      <c r="A35" s="88" t="s">
        <v>2766</v>
      </c>
      <c r="B35" s="46" t="s">
        <v>2767</v>
      </c>
      <c r="C35" s="76" t="s">
        <v>375</v>
      </c>
      <c r="D35" s="76">
        <v>3</v>
      </c>
      <c r="E35" s="76" t="s">
        <v>324</v>
      </c>
      <c r="F35" s="76">
        <v>3</v>
      </c>
      <c r="G35" s="76" t="s">
        <v>35</v>
      </c>
      <c r="H35" s="76" t="s">
        <v>209</v>
      </c>
      <c r="I35" s="103"/>
      <c r="J35" s="76" t="s">
        <v>125</v>
      </c>
      <c r="K35" s="104"/>
      <c r="L35" s="104"/>
      <c r="M35" s="105">
        <f>IF(Tabelle1324568[[#This Row],[Pulled after Start]]="",MIN(Tabelle1324568[[#This Row],[Jira Story Points]],Tabelle1324568[[#This Row],[Carry-over]]),0)</f>
        <v>0</v>
      </c>
      <c r="N35" s="108">
        <f>MIN(Tabelle1324568[[#This Row],[Jira Story Points]],Tabelle1324568[[#This Row],[Carry-over]])-Tabelle1324568[[#This Row],[SP Initially Planned (COS)]]</f>
        <v>3</v>
      </c>
      <c r="O35"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35" s="108">
        <f>IFERROR(IF(Tabelle1324568[[#This Row],[Status]]=$I$5,MIN(Tabelle1324568[[#This Row],[Jira Story Points]],Tabelle1324568[[#This Row],[Carry-over]]),0),0)</f>
        <v>0</v>
      </c>
      <c r="Q35" s="108">
        <f>IFERROR(IF(Tabelle1324568[[#This Row],[Status]]=$I$5,0,MIN(Tabelle1324568[[#This Row],[Jira Story Points]],Tabelle1324568[[#This Row],[Carry-over]])-Tabelle1324568[[#This Row],[SP Completed (COS &amp; SOS)]]),0)</f>
        <v>0</v>
      </c>
      <c r="AK35" s="112"/>
      <c r="AL35" s="112"/>
    </row>
    <row r="36" spans="1:38" s="46" customFormat="1">
      <c r="A36" s="88" t="s">
        <v>2768</v>
      </c>
      <c r="B36" s="46" t="s">
        <v>2769</v>
      </c>
      <c r="C36" s="76" t="s">
        <v>382</v>
      </c>
      <c r="D36" s="76">
        <v>3</v>
      </c>
      <c r="E36" s="76" t="s">
        <v>324</v>
      </c>
      <c r="F36" s="76" t="s">
        <v>210</v>
      </c>
      <c r="G36" s="76" t="s">
        <v>35</v>
      </c>
      <c r="H36" s="76" t="s">
        <v>209</v>
      </c>
      <c r="I36" s="103"/>
      <c r="J36" s="76" t="s">
        <v>125</v>
      </c>
      <c r="K36" s="104"/>
      <c r="L36" s="104"/>
      <c r="M36" s="105">
        <f>IF(Tabelle1324568[[#This Row],[Pulled after Start]]="",MIN(Tabelle1324568[[#This Row],[Jira Story Points]],Tabelle1324568[[#This Row],[Carry-over]]),0)</f>
        <v>0</v>
      </c>
      <c r="N36" s="108">
        <f>MIN(Tabelle1324568[[#This Row],[Jira Story Points]],Tabelle1324568[[#This Row],[Carry-over]])-Tabelle1324568[[#This Row],[SP Initially Planned (COS)]]</f>
        <v>0</v>
      </c>
      <c r="O36" s="107" t="str">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v>
      </c>
      <c r="P36" s="108">
        <f>IFERROR(IF(Tabelle1324568[[#This Row],[Status]]=$I$5,MIN(Tabelle1324568[[#This Row],[Jira Story Points]],Tabelle1324568[[#This Row],[Carry-over]]),0),0)</f>
        <v>0</v>
      </c>
      <c r="Q36" s="108">
        <f>IFERROR(IF(Tabelle1324568[[#This Row],[Status]]=$I$5,0,MIN(Tabelle1324568[[#This Row],[Jira Story Points]],Tabelle1324568[[#This Row],[Carry-over]])-Tabelle1324568[[#This Row],[SP Completed (COS &amp; SOS)]]),0)</f>
        <v>0</v>
      </c>
      <c r="AK36" s="112"/>
      <c r="AL36" s="112"/>
    </row>
    <row r="37" spans="1:38" s="46" customFormat="1">
      <c r="A37" s="88" t="s">
        <v>2770</v>
      </c>
      <c r="B37" s="46" t="s">
        <v>2771</v>
      </c>
      <c r="C37" s="76" t="s">
        <v>372</v>
      </c>
      <c r="D37" s="76">
        <v>3</v>
      </c>
      <c r="E37" s="76" t="s">
        <v>324</v>
      </c>
      <c r="F37" s="76">
        <v>20</v>
      </c>
      <c r="G37" s="76" t="s">
        <v>35</v>
      </c>
      <c r="H37" s="76"/>
      <c r="I37" s="103"/>
      <c r="J37" s="76" t="s">
        <v>125</v>
      </c>
      <c r="K37" s="104"/>
      <c r="L37" s="104"/>
      <c r="M37" s="105">
        <f>IF(Tabelle1324568[[#This Row],[Pulled after Start]]="",MIN(Tabelle1324568[[#This Row],[Jira Story Points]],Tabelle1324568[[#This Row],[Carry-over]]),0)</f>
        <v>20</v>
      </c>
      <c r="N37" s="108">
        <f>MIN(Tabelle1324568[[#This Row],[Jira Story Points]],Tabelle1324568[[#This Row],[Carry-over]])-Tabelle1324568[[#This Row],[SP Initially Planned (COS)]]</f>
        <v>0</v>
      </c>
      <c r="O37"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20</v>
      </c>
      <c r="P37" s="108">
        <f>IFERROR(IF(Tabelle1324568[[#This Row],[Status]]=$I$5,MIN(Tabelle1324568[[#This Row],[Jira Story Points]],Tabelle1324568[[#This Row],[Carry-over]]),0),0)</f>
        <v>0</v>
      </c>
      <c r="Q37" s="108">
        <f>IFERROR(IF(Tabelle1324568[[#This Row],[Status]]=$I$5,0,MIN(Tabelle1324568[[#This Row],[Jira Story Points]],Tabelle1324568[[#This Row],[Carry-over]])-Tabelle1324568[[#This Row],[SP Completed (COS &amp; SOS)]]),0)</f>
        <v>0</v>
      </c>
      <c r="AI37" s="112"/>
      <c r="AJ37" s="112"/>
      <c r="AK37" s="112"/>
      <c r="AL37" s="112"/>
    </row>
    <row r="38" spans="1:38" s="46" customFormat="1">
      <c r="A38" s="88" t="s">
        <v>2772</v>
      </c>
      <c r="B38" s="46" t="s">
        <v>2773</v>
      </c>
      <c r="C38" s="76" t="s">
        <v>372</v>
      </c>
      <c r="D38" s="76">
        <v>3</v>
      </c>
      <c r="E38" s="76" t="s">
        <v>324</v>
      </c>
      <c r="F38" s="76">
        <v>5</v>
      </c>
      <c r="G38" s="76" t="s">
        <v>35</v>
      </c>
      <c r="H38" s="76"/>
      <c r="I38" s="103"/>
      <c r="J38" s="76" t="s">
        <v>125</v>
      </c>
      <c r="K38" s="104"/>
      <c r="L38" s="104"/>
      <c r="M38" s="105">
        <f>IF(Tabelle1324568[[#This Row],[Pulled after Start]]="",MIN(Tabelle1324568[[#This Row],[Jira Story Points]],Tabelle1324568[[#This Row],[Carry-over]]),0)</f>
        <v>5</v>
      </c>
      <c r="N38" s="108">
        <f>MIN(Tabelle1324568[[#This Row],[Jira Story Points]],Tabelle1324568[[#This Row],[Carry-over]])-Tabelle1324568[[#This Row],[SP Initially Planned (COS)]]</f>
        <v>0</v>
      </c>
      <c r="O38"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5</v>
      </c>
      <c r="P38" s="108">
        <f>IFERROR(IF(Tabelle1324568[[#This Row],[Status]]=$I$5,MIN(Tabelle1324568[[#This Row],[Jira Story Points]],Tabelle1324568[[#This Row],[Carry-over]]),0),0)</f>
        <v>0</v>
      </c>
      <c r="Q38" s="108">
        <f>IFERROR(IF(Tabelle1324568[[#This Row],[Status]]=$I$5,0,MIN(Tabelle1324568[[#This Row],[Jira Story Points]],Tabelle1324568[[#This Row],[Carry-over]])-Tabelle1324568[[#This Row],[SP Completed (COS &amp; SOS)]]),0)</f>
        <v>0</v>
      </c>
      <c r="AI38" s="112"/>
      <c r="AJ38" s="112"/>
      <c r="AK38" s="112"/>
      <c r="AL38" s="112"/>
    </row>
    <row r="39" spans="1:38" s="46" customFormat="1">
      <c r="A39" s="88" t="s">
        <v>2774</v>
      </c>
      <c r="B39" s="46" t="s">
        <v>2775</v>
      </c>
      <c r="C39" s="76" t="s">
        <v>372</v>
      </c>
      <c r="D39" s="76">
        <v>3</v>
      </c>
      <c r="E39" s="76" t="s">
        <v>324</v>
      </c>
      <c r="F39" s="76" t="s">
        <v>210</v>
      </c>
      <c r="G39" s="76" t="s">
        <v>35</v>
      </c>
      <c r="H39" s="76" t="s">
        <v>209</v>
      </c>
      <c r="I39" s="103"/>
      <c r="J39" s="76" t="s">
        <v>125</v>
      </c>
      <c r="K39" s="104"/>
      <c r="L39" s="104"/>
      <c r="M39" s="105">
        <f>IF(Tabelle1324568[[#This Row],[Pulled after Start]]="",MIN(Tabelle1324568[[#This Row],[Jira Story Points]],Tabelle1324568[[#This Row],[Carry-over]]),0)</f>
        <v>0</v>
      </c>
      <c r="N39" s="108">
        <f>MIN(Tabelle1324568[[#This Row],[Jira Story Points]],Tabelle1324568[[#This Row],[Carry-over]])-Tabelle1324568[[#This Row],[SP Initially Planned (COS)]]</f>
        <v>0</v>
      </c>
      <c r="O39" s="107" t="str">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v>
      </c>
      <c r="P39" s="108">
        <f>IFERROR(IF(Tabelle1324568[[#This Row],[Status]]=$I$5,MIN(Tabelle1324568[[#This Row],[Jira Story Points]],Tabelle1324568[[#This Row],[Carry-over]]),0),0)</f>
        <v>0</v>
      </c>
      <c r="Q39" s="108">
        <f>IFERROR(IF(Tabelle1324568[[#This Row],[Status]]=$I$5,0,MIN(Tabelle1324568[[#This Row],[Jira Story Points]],Tabelle1324568[[#This Row],[Carry-over]])-Tabelle1324568[[#This Row],[SP Completed (COS &amp; SOS)]]),0)</f>
        <v>0</v>
      </c>
      <c r="AI39" s="112"/>
      <c r="AJ39" s="112"/>
      <c r="AK39" s="112"/>
      <c r="AL39" s="112"/>
    </row>
    <row r="40" spans="1:38" s="46" customFormat="1">
      <c r="A40" s="117" t="s">
        <v>2776</v>
      </c>
      <c r="B40" s="47" t="s">
        <v>2777</v>
      </c>
      <c r="C40" s="76" t="s">
        <v>372</v>
      </c>
      <c r="D40" s="76">
        <v>3</v>
      </c>
      <c r="E40" s="76" t="s">
        <v>324</v>
      </c>
      <c r="F40" s="104" t="s">
        <v>210</v>
      </c>
      <c r="G40" s="76" t="s">
        <v>35</v>
      </c>
      <c r="H40" s="83"/>
      <c r="I40" s="103"/>
      <c r="J40" s="76" t="s">
        <v>125</v>
      </c>
      <c r="K40" s="104"/>
      <c r="L40" s="104"/>
      <c r="M40" s="105">
        <f>IF(Tabelle1324568[[#This Row],[Pulled after Start]]="",MIN(Tabelle1324568[[#This Row],[Jira Story Points]],Tabelle1324568[[#This Row],[Carry-over]]),0)</f>
        <v>0</v>
      </c>
      <c r="N40" s="108">
        <f>MIN(Tabelle1324568[[#This Row],[Jira Story Points]],Tabelle1324568[[#This Row],[Carry-over]])-Tabelle1324568[[#This Row],[SP Initially Planned (COS)]]</f>
        <v>0</v>
      </c>
      <c r="O40" s="107" t="str">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v>
      </c>
      <c r="P40" s="108">
        <f>IFERROR(IF(Tabelle1324568[[#This Row],[Status]]=$I$5,MIN(Tabelle1324568[[#This Row],[Jira Story Points]],Tabelle1324568[[#This Row],[Carry-over]]),0),0)</f>
        <v>0</v>
      </c>
      <c r="Q40" s="108">
        <f>IFERROR(IF(Tabelle1324568[[#This Row],[Status]]=$I$5,0,MIN(Tabelle1324568[[#This Row],[Jira Story Points]],Tabelle1324568[[#This Row],[Carry-over]])-Tabelle1324568[[#This Row],[SP Completed (COS &amp; SOS)]]),0)</f>
        <v>0</v>
      </c>
      <c r="AI40" s="112"/>
      <c r="AJ40" s="112"/>
      <c r="AK40" s="112"/>
      <c r="AL40" s="112"/>
    </row>
    <row r="41" spans="1:38" s="46" customFormat="1" ht="14.45" customHeight="1">
      <c r="A41" s="117" t="s">
        <v>2778</v>
      </c>
      <c r="B41" s="47" t="s">
        <v>2779</v>
      </c>
      <c r="C41" s="76" t="s">
        <v>372</v>
      </c>
      <c r="D41" s="76">
        <v>3</v>
      </c>
      <c r="E41" s="76" t="s">
        <v>324</v>
      </c>
      <c r="F41" s="104" t="s">
        <v>210</v>
      </c>
      <c r="G41" s="76" t="s">
        <v>35</v>
      </c>
      <c r="H41" s="83"/>
      <c r="I41" s="103"/>
      <c r="J41" s="76" t="s">
        <v>125</v>
      </c>
      <c r="K41" s="104"/>
      <c r="L41" s="104"/>
      <c r="M41" s="105">
        <f>IF(Tabelle1324568[[#This Row],[Pulled after Start]]="",MIN(Tabelle1324568[[#This Row],[Jira Story Points]],Tabelle1324568[[#This Row],[Carry-over]]),0)</f>
        <v>0</v>
      </c>
      <c r="N41" s="108">
        <f>MIN(Tabelle1324568[[#This Row],[Jira Story Points]],Tabelle1324568[[#This Row],[Carry-over]])-Tabelle1324568[[#This Row],[SP Initially Planned (COS)]]</f>
        <v>0</v>
      </c>
      <c r="O41" s="107" t="str">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v>
      </c>
      <c r="P41" s="108">
        <f>IFERROR(IF(Tabelle1324568[[#This Row],[Status]]=$I$5,MIN(Tabelle1324568[[#This Row],[Jira Story Points]],Tabelle1324568[[#This Row],[Carry-over]]),0),0)</f>
        <v>0</v>
      </c>
      <c r="Q41" s="108">
        <f>IFERROR(IF(Tabelle1324568[[#This Row],[Status]]=$I$5,0,MIN(Tabelle1324568[[#This Row],[Jira Story Points]],Tabelle1324568[[#This Row],[Carry-over]])-Tabelle1324568[[#This Row],[SP Completed (COS &amp; SOS)]]),0)</f>
        <v>0</v>
      </c>
      <c r="AI41" s="112"/>
      <c r="AJ41" s="112"/>
      <c r="AK41" s="112"/>
      <c r="AL41" s="112"/>
    </row>
    <row r="42" spans="1:38" s="46" customFormat="1" ht="14.45" customHeight="1">
      <c r="A42" s="117" t="s">
        <v>2780</v>
      </c>
      <c r="B42" s="47" t="s">
        <v>2781</v>
      </c>
      <c r="C42" s="76" t="s">
        <v>372</v>
      </c>
      <c r="D42" s="76">
        <v>3</v>
      </c>
      <c r="E42" s="76" t="s">
        <v>324</v>
      </c>
      <c r="F42" s="104">
        <v>2</v>
      </c>
      <c r="G42" s="76" t="s">
        <v>35</v>
      </c>
      <c r="H42" s="83"/>
      <c r="I42" s="103"/>
      <c r="J42" s="76" t="s">
        <v>125</v>
      </c>
      <c r="K42" s="104"/>
      <c r="L42" s="104"/>
      <c r="M42" s="105">
        <f>IF(Tabelle1324568[[#This Row],[Pulled after Start]]="",MIN(Tabelle1324568[[#This Row],[Jira Story Points]],Tabelle1324568[[#This Row],[Carry-over]]),0)</f>
        <v>2</v>
      </c>
      <c r="N42" s="108">
        <f>MIN(Tabelle1324568[[#This Row],[Jira Story Points]],Tabelle1324568[[#This Row],[Carry-over]])-Tabelle1324568[[#This Row],[SP Initially Planned (COS)]]</f>
        <v>0</v>
      </c>
      <c r="O42"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2</v>
      </c>
      <c r="P42" s="108">
        <f>IFERROR(IF(Tabelle1324568[[#This Row],[Status]]=$I$5,MIN(Tabelle1324568[[#This Row],[Jira Story Points]],Tabelle1324568[[#This Row],[Carry-over]]),0),0)</f>
        <v>0</v>
      </c>
      <c r="Q42" s="108">
        <f>IFERROR(IF(Tabelle1324568[[#This Row],[Status]]=$I$5,0,MIN(Tabelle1324568[[#This Row],[Jira Story Points]],Tabelle1324568[[#This Row],[Carry-over]])-Tabelle1324568[[#This Row],[SP Completed (COS &amp; SOS)]]),0)</f>
        <v>0</v>
      </c>
      <c r="AI42" s="112"/>
      <c r="AJ42" s="112"/>
      <c r="AK42" s="112"/>
      <c r="AL42" s="112"/>
    </row>
    <row r="43" spans="1:38" s="46" customFormat="1" ht="14.45" customHeight="1">
      <c r="A43" s="117" t="s">
        <v>2782</v>
      </c>
      <c r="B43" s="47" t="s">
        <v>2783</v>
      </c>
      <c r="C43" s="76" t="s">
        <v>372</v>
      </c>
      <c r="D43" s="76">
        <v>3</v>
      </c>
      <c r="E43" s="76" t="s">
        <v>324</v>
      </c>
      <c r="F43" s="104">
        <v>2</v>
      </c>
      <c r="G43" s="76" t="s">
        <v>35</v>
      </c>
      <c r="H43" s="83" t="s">
        <v>209</v>
      </c>
      <c r="I43" s="103"/>
      <c r="J43" s="76" t="s">
        <v>125</v>
      </c>
      <c r="K43" s="104"/>
      <c r="L43" s="104"/>
      <c r="M43" s="105">
        <f>IF(Tabelle1324568[[#This Row],[Pulled after Start]]="",MIN(Tabelle1324568[[#This Row],[Jira Story Points]],Tabelle1324568[[#This Row],[Carry-over]]),0)</f>
        <v>0</v>
      </c>
      <c r="N43" s="108">
        <f>MIN(Tabelle1324568[[#This Row],[Jira Story Points]],Tabelle1324568[[#This Row],[Carry-over]])-Tabelle1324568[[#This Row],[SP Initially Planned (COS)]]</f>
        <v>2</v>
      </c>
      <c r="O43"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2</v>
      </c>
      <c r="P43" s="108">
        <f>IFERROR(IF(Tabelle1324568[[#This Row],[Status]]=$I$5,MIN(Tabelle1324568[[#This Row],[Jira Story Points]],Tabelle1324568[[#This Row],[Carry-over]]),0),0)</f>
        <v>0</v>
      </c>
      <c r="Q43" s="108">
        <f>IFERROR(IF(Tabelle1324568[[#This Row],[Status]]=$I$5,0,MIN(Tabelle1324568[[#This Row],[Jira Story Points]],Tabelle1324568[[#This Row],[Carry-over]])-Tabelle1324568[[#This Row],[SP Completed (COS &amp; SOS)]]),0)</f>
        <v>0</v>
      </c>
      <c r="AI43" s="112"/>
      <c r="AJ43" s="112"/>
      <c r="AK43" s="112"/>
      <c r="AL43" s="112"/>
    </row>
    <row r="44" spans="1:38" s="46" customFormat="1" ht="14.45" customHeight="1">
      <c r="A44" s="117" t="s">
        <v>2784</v>
      </c>
      <c r="B44" s="47" t="s">
        <v>2785</v>
      </c>
      <c r="C44" s="76" t="s">
        <v>372</v>
      </c>
      <c r="D44" s="76">
        <v>3</v>
      </c>
      <c r="E44" s="76" t="s">
        <v>324</v>
      </c>
      <c r="F44" s="104">
        <v>3</v>
      </c>
      <c r="G44" s="76" t="s">
        <v>35</v>
      </c>
      <c r="H44" s="83"/>
      <c r="I44" s="103"/>
      <c r="J44" s="76" t="s">
        <v>125</v>
      </c>
      <c r="K44" s="104"/>
      <c r="L44" s="104"/>
      <c r="M44" s="105">
        <f>IF(Tabelle1324568[[#This Row],[Pulled after Start]]="",MIN(Tabelle1324568[[#This Row],[Jira Story Points]],Tabelle1324568[[#This Row],[Carry-over]]),0)</f>
        <v>3</v>
      </c>
      <c r="N44" s="108">
        <f>MIN(Tabelle1324568[[#This Row],[Jira Story Points]],Tabelle1324568[[#This Row],[Carry-over]])-Tabelle1324568[[#This Row],[SP Initially Planned (COS)]]</f>
        <v>0</v>
      </c>
      <c r="O44"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44" s="108">
        <f>IFERROR(IF(Tabelle1324568[[#This Row],[Status]]=$I$5,MIN(Tabelle1324568[[#This Row],[Jira Story Points]],Tabelle1324568[[#This Row],[Carry-over]]),0),0)</f>
        <v>0</v>
      </c>
      <c r="Q44" s="108">
        <f>IFERROR(IF(Tabelle1324568[[#This Row],[Status]]=$I$5,0,MIN(Tabelle1324568[[#This Row],[Jira Story Points]],Tabelle1324568[[#This Row],[Carry-over]])-Tabelle1324568[[#This Row],[SP Completed (COS &amp; SOS)]]),0)</f>
        <v>0</v>
      </c>
      <c r="AI44" s="112"/>
      <c r="AJ44" s="112"/>
      <c r="AK44" s="112"/>
      <c r="AL44" s="112"/>
    </row>
    <row r="45" spans="1:38" s="46" customFormat="1" ht="14.45" customHeight="1">
      <c r="A45" s="117" t="s">
        <v>2786</v>
      </c>
      <c r="B45" s="47" t="s">
        <v>2787</v>
      </c>
      <c r="C45" s="76" t="s">
        <v>375</v>
      </c>
      <c r="D45" s="76">
        <v>3</v>
      </c>
      <c r="E45" s="76" t="s">
        <v>324</v>
      </c>
      <c r="F45" s="104">
        <v>3</v>
      </c>
      <c r="G45" s="76" t="s">
        <v>35</v>
      </c>
      <c r="H45" s="83" t="s">
        <v>209</v>
      </c>
      <c r="I45" s="103"/>
      <c r="J45" s="76" t="s">
        <v>125</v>
      </c>
      <c r="K45" s="104"/>
      <c r="L45" s="104"/>
      <c r="M45" s="105">
        <f>IF(Tabelle1324568[[#This Row],[Pulled after Start]]="",MIN(Tabelle1324568[[#This Row],[Jira Story Points]],Tabelle1324568[[#This Row],[Carry-over]]),0)</f>
        <v>0</v>
      </c>
      <c r="N45" s="108">
        <f>MIN(Tabelle1324568[[#This Row],[Jira Story Points]],Tabelle1324568[[#This Row],[Carry-over]])-Tabelle1324568[[#This Row],[SP Initially Planned (COS)]]</f>
        <v>3</v>
      </c>
      <c r="O45"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45" s="108">
        <f>IFERROR(IF(Tabelle1324568[[#This Row],[Status]]=$I$5,MIN(Tabelle1324568[[#This Row],[Jira Story Points]],Tabelle1324568[[#This Row],[Carry-over]]),0),0)</f>
        <v>0</v>
      </c>
      <c r="Q45" s="108">
        <f>IFERROR(IF(Tabelle1324568[[#This Row],[Status]]=$I$5,0,MIN(Tabelle1324568[[#This Row],[Jira Story Points]],Tabelle1324568[[#This Row],[Carry-over]])-Tabelle1324568[[#This Row],[SP Completed (COS &amp; SOS)]]),0)</f>
        <v>0</v>
      </c>
      <c r="AI45" s="112"/>
      <c r="AJ45" s="112"/>
      <c r="AK45" s="112"/>
      <c r="AL45" s="112"/>
    </row>
    <row r="46" spans="1:38" s="46" customFormat="1" ht="14.45" customHeight="1">
      <c r="A46" s="117" t="s">
        <v>2788</v>
      </c>
      <c r="B46" s="47" t="s">
        <v>2789</v>
      </c>
      <c r="C46" s="76" t="s">
        <v>372</v>
      </c>
      <c r="D46" s="76">
        <v>3</v>
      </c>
      <c r="E46" s="76" t="s">
        <v>324</v>
      </c>
      <c r="F46" s="104">
        <v>2</v>
      </c>
      <c r="G46" s="76" t="s">
        <v>35</v>
      </c>
      <c r="H46" s="83" t="s">
        <v>209</v>
      </c>
      <c r="I46" s="103"/>
      <c r="J46" s="76" t="s">
        <v>125</v>
      </c>
      <c r="K46" s="104"/>
      <c r="L46" s="104"/>
      <c r="M46" s="105">
        <f>IF(Tabelle1324568[[#This Row],[Pulled after Start]]="",MIN(Tabelle1324568[[#This Row],[Jira Story Points]],Tabelle1324568[[#This Row],[Carry-over]]),0)</f>
        <v>0</v>
      </c>
      <c r="N46" s="108">
        <f>MIN(Tabelle1324568[[#This Row],[Jira Story Points]],Tabelle1324568[[#This Row],[Carry-over]])-Tabelle1324568[[#This Row],[SP Initially Planned (COS)]]</f>
        <v>2</v>
      </c>
      <c r="O46"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2</v>
      </c>
      <c r="P46" s="108">
        <f>IFERROR(IF(Tabelle1324568[[#This Row],[Status]]=$I$5,MIN(Tabelle1324568[[#This Row],[Jira Story Points]],Tabelle1324568[[#This Row],[Carry-over]]),0),0)</f>
        <v>0</v>
      </c>
      <c r="Q46" s="108">
        <f>IFERROR(IF(Tabelle1324568[[#This Row],[Status]]=$I$5,0,MIN(Tabelle1324568[[#This Row],[Jira Story Points]],Tabelle1324568[[#This Row],[Carry-over]])-Tabelle1324568[[#This Row],[SP Completed (COS &amp; SOS)]]),0)</f>
        <v>0</v>
      </c>
      <c r="AI46" s="112"/>
      <c r="AJ46" s="112"/>
      <c r="AK46" s="112"/>
      <c r="AL46" s="112"/>
    </row>
    <row r="47" spans="1:38" s="46" customFormat="1" ht="14.45" customHeight="1">
      <c r="A47" s="117" t="s">
        <v>2790</v>
      </c>
      <c r="B47" s="47" t="s">
        <v>2791</v>
      </c>
      <c r="C47" s="76" t="s">
        <v>375</v>
      </c>
      <c r="D47" s="76">
        <v>2</v>
      </c>
      <c r="E47" s="76" t="s">
        <v>324</v>
      </c>
      <c r="F47" s="104">
        <v>3</v>
      </c>
      <c r="G47" s="76" t="s">
        <v>35</v>
      </c>
      <c r="H47" s="83"/>
      <c r="I47" s="103"/>
      <c r="J47" s="76" t="s">
        <v>125</v>
      </c>
      <c r="K47" s="104"/>
      <c r="L47" s="104"/>
      <c r="M47" s="105">
        <f>IF(Tabelle1324568[[#This Row],[Pulled after Start]]="",MIN(Tabelle1324568[[#This Row],[Jira Story Points]],Tabelle1324568[[#This Row],[Carry-over]]),0)</f>
        <v>3</v>
      </c>
      <c r="N47" s="108">
        <f>MIN(Tabelle1324568[[#This Row],[Jira Story Points]],Tabelle1324568[[#This Row],[Carry-over]])-Tabelle1324568[[#This Row],[SP Initially Planned (COS)]]</f>
        <v>0</v>
      </c>
      <c r="O47"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47" s="108">
        <f>IFERROR(IF(Tabelle1324568[[#This Row],[Status]]=$I$5,MIN(Tabelle1324568[[#This Row],[Jira Story Points]],Tabelle1324568[[#This Row],[Carry-over]]),0),0)</f>
        <v>0</v>
      </c>
      <c r="Q47" s="108">
        <f>IFERROR(IF(Tabelle1324568[[#This Row],[Status]]=$I$5,0,MIN(Tabelle1324568[[#This Row],[Jira Story Points]],Tabelle1324568[[#This Row],[Carry-over]])-Tabelle1324568[[#This Row],[SP Completed (COS &amp; SOS)]]),0)</f>
        <v>0</v>
      </c>
      <c r="AI47" s="112"/>
      <c r="AJ47" s="112"/>
      <c r="AK47" s="112"/>
      <c r="AL47" s="112"/>
    </row>
    <row r="48" spans="1:38" s="46" customFormat="1" ht="14.45" customHeight="1">
      <c r="A48" s="117" t="s">
        <v>2792</v>
      </c>
      <c r="B48" s="47" t="s">
        <v>2793</v>
      </c>
      <c r="C48" s="76" t="s">
        <v>382</v>
      </c>
      <c r="D48" s="76">
        <v>3</v>
      </c>
      <c r="E48" s="76" t="s">
        <v>324</v>
      </c>
      <c r="F48" s="104" t="s">
        <v>210</v>
      </c>
      <c r="G48" s="76" t="s">
        <v>35</v>
      </c>
      <c r="H48" s="83" t="s">
        <v>209</v>
      </c>
      <c r="I48" s="103"/>
      <c r="J48" s="76" t="s">
        <v>125</v>
      </c>
      <c r="K48" s="104"/>
      <c r="L48" s="104"/>
      <c r="M48" s="105">
        <f>IF(Tabelle1324568[[#This Row],[Pulled after Start]]="",MIN(Tabelle1324568[[#This Row],[Jira Story Points]],Tabelle1324568[[#This Row],[Carry-over]]),0)</f>
        <v>0</v>
      </c>
      <c r="N48" s="108">
        <f>MIN(Tabelle1324568[[#This Row],[Jira Story Points]],Tabelle1324568[[#This Row],[Carry-over]])-Tabelle1324568[[#This Row],[SP Initially Planned (COS)]]</f>
        <v>0</v>
      </c>
      <c r="O48" s="107" t="str">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v>
      </c>
      <c r="P48" s="108">
        <f>IFERROR(IF(Tabelle1324568[[#This Row],[Status]]=$I$5,MIN(Tabelle1324568[[#This Row],[Jira Story Points]],Tabelle1324568[[#This Row],[Carry-over]]),0),0)</f>
        <v>0</v>
      </c>
      <c r="Q48" s="108">
        <f>IFERROR(IF(Tabelle1324568[[#This Row],[Status]]=$I$5,0,MIN(Tabelle1324568[[#This Row],[Jira Story Points]],Tabelle1324568[[#This Row],[Carry-over]])-Tabelle1324568[[#This Row],[SP Completed (COS &amp; SOS)]]),0)</f>
        <v>0</v>
      </c>
      <c r="AI48" s="112"/>
      <c r="AJ48" s="112"/>
      <c r="AK48" s="112"/>
      <c r="AL48" s="112"/>
    </row>
    <row r="49" spans="1:38" s="46" customFormat="1" ht="14.45" customHeight="1">
      <c r="A49" s="117" t="s">
        <v>2794</v>
      </c>
      <c r="B49" s="47" t="s">
        <v>2795</v>
      </c>
      <c r="C49" s="76" t="s">
        <v>372</v>
      </c>
      <c r="D49" s="76">
        <v>3</v>
      </c>
      <c r="E49" s="76" t="s">
        <v>324</v>
      </c>
      <c r="F49" s="104">
        <v>1</v>
      </c>
      <c r="G49" s="76" t="s">
        <v>35</v>
      </c>
      <c r="H49" s="83" t="s">
        <v>209</v>
      </c>
      <c r="I49" s="103"/>
      <c r="J49" s="76" t="s">
        <v>125</v>
      </c>
      <c r="K49" s="104"/>
      <c r="L49" s="104"/>
      <c r="M49" s="105">
        <f>IF(Tabelle1324568[[#This Row],[Pulled after Start]]="",MIN(Tabelle1324568[[#This Row],[Jira Story Points]],Tabelle1324568[[#This Row],[Carry-over]]),0)</f>
        <v>0</v>
      </c>
      <c r="N49" s="108">
        <f>MIN(Tabelle1324568[[#This Row],[Jira Story Points]],Tabelle1324568[[#This Row],[Carry-over]])-Tabelle1324568[[#This Row],[SP Initially Planned (COS)]]</f>
        <v>1</v>
      </c>
      <c r="O49"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1</v>
      </c>
      <c r="P49" s="108">
        <f>IFERROR(IF(Tabelle1324568[[#This Row],[Status]]=$I$5,MIN(Tabelle1324568[[#This Row],[Jira Story Points]],Tabelle1324568[[#This Row],[Carry-over]]),0),0)</f>
        <v>0</v>
      </c>
      <c r="Q49" s="108">
        <f>IFERROR(IF(Tabelle1324568[[#This Row],[Status]]=$I$5,0,MIN(Tabelle1324568[[#This Row],[Jira Story Points]],Tabelle1324568[[#This Row],[Carry-over]])-Tabelle1324568[[#This Row],[SP Completed (COS &amp; SOS)]]),0)</f>
        <v>0</v>
      </c>
      <c r="AI49" s="112"/>
      <c r="AJ49" s="112"/>
      <c r="AK49" s="112"/>
      <c r="AL49" s="112"/>
    </row>
    <row r="50" spans="1:38" s="46" customFormat="1" ht="14.45" customHeight="1">
      <c r="A50" s="117" t="s">
        <v>2796</v>
      </c>
      <c r="B50" s="47" t="s">
        <v>2797</v>
      </c>
      <c r="C50" s="76" t="s">
        <v>372</v>
      </c>
      <c r="D50" s="76">
        <v>3</v>
      </c>
      <c r="E50" s="76" t="s">
        <v>324</v>
      </c>
      <c r="F50" s="104">
        <v>3</v>
      </c>
      <c r="G50" s="76" t="s">
        <v>35</v>
      </c>
      <c r="H50" s="83"/>
      <c r="I50" s="103"/>
      <c r="J50" s="76" t="s">
        <v>125</v>
      </c>
      <c r="K50" s="104"/>
      <c r="L50" s="104"/>
      <c r="M50" s="105">
        <f>IF(Tabelle1324568[[#This Row],[Pulled after Start]]="",MIN(Tabelle1324568[[#This Row],[Jira Story Points]],Tabelle1324568[[#This Row],[Carry-over]]),0)</f>
        <v>3</v>
      </c>
      <c r="N50" s="108">
        <f>MIN(Tabelle1324568[[#This Row],[Jira Story Points]],Tabelle1324568[[#This Row],[Carry-over]])-Tabelle1324568[[#This Row],[SP Initially Planned (COS)]]</f>
        <v>0</v>
      </c>
      <c r="O50"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50" s="108">
        <f>IFERROR(IF(Tabelle1324568[[#This Row],[Status]]=$I$5,MIN(Tabelle1324568[[#This Row],[Jira Story Points]],Tabelle1324568[[#This Row],[Carry-over]]),0),0)</f>
        <v>0</v>
      </c>
      <c r="Q50" s="108">
        <f>IFERROR(IF(Tabelle1324568[[#This Row],[Status]]=$I$5,0,MIN(Tabelle1324568[[#This Row],[Jira Story Points]],Tabelle1324568[[#This Row],[Carry-over]])-Tabelle1324568[[#This Row],[SP Completed (COS &amp; SOS)]]),0)</f>
        <v>0</v>
      </c>
      <c r="AI50" s="112"/>
      <c r="AJ50" s="112"/>
      <c r="AK50" s="112"/>
      <c r="AL50" s="112"/>
    </row>
    <row r="51" spans="1:38" s="46" customFormat="1" ht="14.45" customHeight="1">
      <c r="A51" s="117" t="s">
        <v>2798</v>
      </c>
      <c r="B51" s="47" t="s">
        <v>2799</v>
      </c>
      <c r="C51" s="76" t="s">
        <v>372</v>
      </c>
      <c r="D51" s="76">
        <v>3</v>
      </c>
      <c r="E51" s="76" t="s">
        <v>324</v>
      </c>
      <c r="F51" s="104">
        <v>2</v>
      </c>
      <c r="G51" s="76" t="s">
        <v>35</v>
      </c>
      <c r="H51" s="83"/>
      <c r="I51" s="103"/>
      <c r="J51" s="76" t="s">
        <v>125</v>
      </c>
      <c r="K51" s="104"/>
      <c r="L51" s="104"/>
      <c r="M51" s="105">
        <f>IF(Tabelle1324568[[#This Row],[Pulled after Start]]="",MIN(Tabelle1324568[[#This Row],[Jira Story Points]],Tabelle1324568[[#This Row],[Carry-over]]),0)</f>
        <v>2</v>
      </c>
      <c r="N51" s="108">
        <f>MIN(Tabelle1324568[[#This Row],[Jira Story Points]],Tabelle1324568[[#This Row],[Carry-over]])-Tabelle1324568[[#This Row],[SP Initially Planned (COS)]]</f>
        <v>0</v>
      </c>
      <c r="O51"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2</v>
      </c>
      <c r="P51" s="108">
        <f>IFERROR(IF(Tabelle1324568[[#This Row],[Status]]=$I$5,MIN(Tabelle1324568[[#This Row],[Jira Story Points]],Tabelle1324568[[#This Row],[Carry-over]]),0),0)</f>
        <v>0</v>
      </c>
      <c r="Q51" s="108">
        <f>IFERROR(IF(Tabelle1324568[[#This Row],[Status]]=$I$5,0,MIN(Tabelle1324568[[#This Row],[Jira Story Points]],Tabelle1324568[[#This Row],[Carry-over]])-Tabelle1324568[[#This Row],[SP Completed (COS &amp; SOS)]]),0)</f>
        <v>0</v>
      </c>
      <c r="AI51" s="112"/>
      <c r="AJ51" s="112"/>
      <c r="AK51" s="112"/>
      <c r="AL51" s="112"/>
    </row>
    <row r="52" spans="1:38" s="46" customFormat="1" ht="14.45" customHeight="1">
      <c r="A52" s="117" t="s">
        <v>2800</v>
      </c>
      <c r="B52" s="47" t="s">
        <v>2801</v>
      </c>
      <c r="C52" s="76" t="s">
        <v>372</v>
      </c>
      <c r="D52" s="76">
        <v>3</v>
      </c>
      <c r="E52" s="76" t="s">
        <v>324</v>
      </c>
      <c r="F52" s="104">
        <v>5</v>
      </c>
      <c r="G52" s="76" t="s">
        <v>35</v>
      </c>
      <c r="H52" s="83" t="s">
        <v>209</v>
      </c>
      <c r="I52" s="103"/>
      <c r="J52" s="76" t="s">
        <v>125</v>
      </c>
      <c r="K52" s="104"/>
      <c r="L52" s="104"/>
      <c r="M52" s="105">
        <f>IF(Tabelle1324568[[#This Row],[Pulled after Start]]="",MIN(Tabelle1324568[[#This Row],[Jira Story Points]],Tabelle1324568[[#This Row],[Carry-over]]),0)</f>
        <v>0</v>
      </c>
      <c r="N52" s="108">
        <f>MIN(Tabelle1324568[[#This Row],[Jira Story Points]],Tabelle1324568[[#This Row],[Carry-over]])-Tabelle1324568[[#This Row],[SP Initially Planned (COS)]]</f>
        <v>5</v>
      </c>
      <c r="O52"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5</v>
      </c>
      <c r="P52" s="108">
        <f>IFERROR(IF(Tabelle1324568[[#This Row],[Status]]=$I$5,MIN(Tabelle1324568[[#This Row],[Jira Story Points]],Tabelle1324568[[#This Row],[Carry-over]]),0),0)</f>
        <v>0</v>
      </c>
      <c r="Q52" s="108">
        <f>IFERROR(IF(Tabelle1324568[[#This Row],[Status]]=$I$5,0,MIN(Tabelle1324568[[#This Row],[Jira Story Points]],Tabelle1324568[[#This Row],[Carry-over]])-Tabelle1324568[[#This Row],[SP Completed (COS &amp; SOS)]]),0)</f>
        <v>0</v>
      </c>
      <c r="AI52" s="112"/>
      <c r="AJ52" s="112"/>
      <c r="AK52" s="112"/>
      <c r="AL52" s="112"/>
    </row>
    <row r="53" spans="1:38" s="46" customFormat="1" ht="14.45" customHeight="1">
      <c r="A53" s="117" t="s">
        <v>2802</v>
      </c>
      <c r="B53" s="47" t="s">
        <v>2803</v>
      </c>
      <c r="C53" s="76" t="s">
        <v>372</v>
      </c>
      <c r="D53" s="76">
        <v>3</v>
      </c>
      <c r="E53" s="76" t="s">
        <v>324</v>
      </c>
      <c r="F53" s="104">
        <v>2</v>
      </c>
      <c r="G53" s="76" t="s">
        <v>35</v>
      </c>
      <c r="H53" s="83"/>
      <c r="I53" s="103"/>
      <c r="J53" s="76" t="s">
        <v>125</v>
      </c>
      <c r="K53" s="104"/>
      <c r="L53" s="104"/>
      <c r="M53" s="105">
        <f>IF(Tabelle1324568[[#This Row],[Pulled after Start]]="",MIN(Tabelle1324568[[#This Row],[Jira Story Points]],Tabelle1324568[[#This Row],[Carry-over]]),0)</f>
        <v>2</v>
      </c>
      <c r="N53" s="108">
        <f>MIN(Tabelle1324568[[#This Row],[Jira Story Points]],Tabelle1324568[[#This Row],[Carry-over]])-Tabelle1324568[[#This Row],[SP Initially Planned (COS)]]</f>
        <v>0</v>
      </c>
      <c r="O53"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2</v>
      </c>
      <c r="P53" s="108">
        <f>IFERROR(IF(Tabelle1324568[[#This Row],[Status]]=$I$5,MIN(Tabelle1324568[[#This Row],[Jira Story Points]],Tabelle1324568[[#This Row],[Carry-over]]),0),0)</f>
        <v>0</v>
      </c>
      <c r="Q53" s="108">
        <f>IFERROR(IF(Tabelle1324568[[#This Row],[Status]]=$I$5,0,MIN(Tabelle1324568[[#This Row],[Jira Story Points]],Tabelle1324568[[#This Row],[Carry-over]])-Tabelle1324568[[#This Row],[SP Completed (COS &amp; SOS)]]),0)</f>
        <v>0</v>
      </c>
      <c r="AI53" s="112"/>
      <c r="AJ53" s="112"/>
      <c r="AK53" s="112"/>
      <c r="AL53" s="112"/>
    </row>
    <row r="54" spans="1:38" s="46" customFormat="1" ht="14.45" customHeight="1">
      <c r="A54" s="117" t="s">
        <v>2804</v>
      </c>
      <c r="B54" s="47" t="s">
        <v>2805</v>
      </c>
      <c r="C54" s="76" t="s">
        <v>372</v>
      </c>
      <c r="D54" s="76">
        <v>3</v>
      </c>
      <c r="E54" s="76" t="s">
        <v>324</v>
      </c>
      <c r="F54" s="104">
        <v>3</v>
      </c>
      <c r="G54" s="76" t="s">
        <v>35</v>
      </c>
      <c r="H54" s="83"/>
      <c r="I54" s="103"/>
      <c r="J54" s="76" t="s">
        <v>125</v>
      </c>
      <c r="K54" s="104"/>
      <c r="L54" s="104"/>
      <c r="M54" s="105">
        <f>IF(Tabelle1324568[[#This Row],[Pulled after Start]]="",MIN(Tabelle1324568[[#This Row],[Jira Story Points]],Tabelle1324568[[#This Row],[Carry-over]]),0)</f>
        <v>3</v>
      </c>
      <c r="N54" s="108">
        <f>MIN(Tabelle1324568[[#This Row],[Jira Story Points]],Tabelle1324568[[#This Row],[Carry-over]])-Tabelle1324568[[#This Row],[SP Initially Planned (COS)]]</f>
        <v>0</v>
      </c>
      <c r="O54"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54" s="108">
        <f>IFERROR(IF(Tabelle1324568[[#This Row],[Status]]=$I$5,MIN(Tabelle1324568[[#This Row],[Jira Story Points]],Tabelle1324568[[#This Row],[Carry-over]]),0),0)</f>
        <v>0</v>
      </c>
      <c r="Q54" s="108">
        <f>IFERROR(IF(Tabelle1324568[[#This Row],[Status]]=$I$5,0,MIN(Tabelle1324568[[#This Row],[Jira Story Points]],Tabelle1324568[[#This Row],[Carry-over]])-Tabelle1324568[[#This Row],[SP Completed (COS &amp; SOS)]]),0)</f>
        <v>0</v>
      </c>
      <c r="AI54" s="112"/>
      <c r="AJ54" s="112"/>
      <c r="AK54" s="112"/>
      <c r="AL54" s="112"/>
    </row>
    <row r="55" spans="1:38" s="46" customFormat="1">
      <c r="A55" s="117" t="s">
        <v>2806</v>
      </c>
      <c r="B55" s="47" t="s">
        <v>2807</v>
      </c>
      <c r="C55" s="76" t="s">
        <v>375</v>
      </c>
      <c r="D55" s="76">
        <v>3</v>
      </c>
      <c r="E55" s="76" t="s">
        <v>324</v>
      </c>
      <c r="F55" s="104">
        <v>1</v>
      </c>
      <c r="G55" s="76" t="s">
        <v>35</v>
      </c>
      <c r="H55" s="83" t="s">
        <v>209</v>
      </c>
      <c r="I55" s="103"/>
      <c r="J55" s="76" t="s">
        <v>125</v>
      </c>
      <c r="K55" s="104"/>
      <c r="L55" s="104"/>
      <c r="M55" s="105">
        <f>IF(Tabelle1324568[[#This Row],[Pulled after Start]]="",MIN(Tabelle1324568[[#This Row],[Jira Story Points]],Tabelle1324568[[#This Row],[Carry-over]]),0)</f>
        <v>0</v>
      </c>
      <c r="N55" s="108">
        <f>MIN(Tabelle1324568[[#This Row],[Jira Story Points]],Tabelle1324568[[#This Row],[Carry-over]])-Tabelle1324568[[#This Row],[SP Initially Planned (COS)]]</f>
        <v>1</v>
      </c>
      <c r="O55"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1</v>
      </c>
      <c r="P55" s="108">
        <f>IFERROR(IF(Tabelle1324568[[#This Row],[Status]]=$I$5,MIN(Tabelle1324568[[#This Row],[Jira Story Points]],Tabelle1324568[[#This Row],[Carry-over]]),0),0)</f>
        <v>0</v>
      </c>
      <c r="Q55" s="108">
        <f>IFERROR(IF(Tabelle1324568[[#This Row],[Status]]=$I$5,0,MIN(Tabelle1324568[[#This Row],[Jira Story Points]],Tabelle1324568[[#This Row],[Carry-over]])-Tabelle1324568[[#This Row],[SP Completed (COS &amp; SOS)]]),0)</f>
        <v>0</v>
      </c>
      <c r="AI55" s="112"/>
      <c r="AJ55" s="112"/>
      <c r="AK55" s="112"/>
      <c r="AL55" s="112"/>
    </row>
    <row r="56" spans="1:38" s="46" customFormat="1">
      <c r="A56" s="117" t="s">
        <v>2808</v>
      </c>
      <c r="B56" s="47" t="s">
        <v>2809</v>
      </c>
      <c r="C56" s="76" t="s">
        <v>372</v>
      </c>
      <c r="D56" s="76">
        <v>3</v>
      </c>
      <c r="E56" s="76" t="s">
        <v>324</v>
      </c>
      <c r="F56" s="104">
        <v>3</v>
      </c>
      <c r="G56" s="76" t="s">
        <v>35</v>
      </c>
      <c r="H56" s="83" t="s">
        <v>209</v>
      </c>
      <c r="I56" s="103"/>
      <c r="J56" s="76" t="s">
        <v>125</v>
      </c>
      <c r="K56" s="104"/>
      <c r="L56" s="104"/>
      <c r="M56" s="105">
        <f>IF(Tabelle1324568[[#This Row],[Pulled after Start]]="",MIN(Tabelle1324568[[#This Row],[Jira Story Points]],Tabelle1324568[[#This Row],[Carry-over]]),0)</f>
        <v>0</v>
      </c>
      <c r="N56" s="108">
        <f>MIN(Tabelle1324568[[#This Row],[Jira Story Points]],Tabelle1324568[[#This Row],[Carry-over]])-Tabelle1324568[[#This Row],[SP Initially Planned (COS)]]</f>
        <v>3</v>
      </c>
      <c r="O56"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56" s="108">
        <f>IFERROR(IF(Tabelle1324568[[#This Row],[Status]]=$I$5,MIN(Tabelle1324568[[#This Row],[Jira Story Points]],Tabelle1324568[[#This Row],[Carry-over]]),0),0)</f>
        <v>0</v>
      </c>
      <c r="Q56" s="108">
        <f>IFERROR(IF(Tabelle1324568[[#This Row],[Status]]=$I$5,0,MIN(Tabelle1324568[[#This Row],[Jira Story Points]],Tabelle1324568[[#This Row],[Carry-over]])-Tabelle1324568[[#This Row],[SP Completed (COS &amp; SOS)]]),0)</f>
        <v>0</v>
      </c>
      <c r="AI56" s="112"/>
      <c r="AJ56" s="112"/>
      <c r="AK56" s="112"/>
      <c r="AL56" s="112"/>
    </row>
    <row r="57" spans="1:38" s="46" customFormat="1">
      <c r="A57" s="117" t="s">
        <v>2810</v>
      </c>
      <c r="B57" s="47" t="s">
        <v>2811</v>
      </c>
      <c r="C57" s="76" t="s">
        <v>375</v>
      </c>
      <c r="D57" s="76">
        <v>3</v>
      </c>
      <c r="E57" s="76" t="s">
        <v>324</v>
      </c>
      <c r="F57" s="104">
        <v>3</v>
      </c>
      <c r="G57" s="76" t="s">
        <v>35</v>
      </c>
      <c r="H57" s="83" t="s">
        <v>209</v>
      </c>
      <c r="I57" s="103"/>
      <c r="J57" s="76" t="s">
        <v>125</v>
      </c>
      <c r="K57" s="104"/>
      <c r="L57" s="104"/>
      <c r="M57" s="105">
        <f>IF(Tabelle1324568[[#This Row],[Pulled after Start]]="",MIN(Tabelle1324568[[#This Row],[Jira Story Points]],Tabelle1324568[[#This Row],[Carry-over]]),0)</f>
        <v>0</v>
      </c>
      <c r="N57" s="108">
        <f>MIN(Tabelle1324568[[#This Row],[Jira Story Points]],Tabelle1324568[[#This Row],[Carry-over]])-Tabelle1324568[[#This Row],[SP Initially Planned (COS)]]</f>
        <v>3</v>
      </c>
      <c r="O57"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57" s="108">
        <f>IFERROR(IF(Tabelle1324568[[#This Row],[Status]]=$I$5,MIN(Tabelle1324568[[#This Row],[Jira Story Points]],Tabelle1324568[[#This Row],[Carry-over]]),0),0)</f>
        <v>0</v>
      </c>
      <c r="Q57" s="108">
        <f>IFERROR(IF(Tabelle1324568[[#This Row],[Status]]=$I$5,0,MIN(Tabelle1324568[[#This Row],[Jira Story Points]],Tabelle1324568[[#This Row],[Carry-over]])-Tabelle1324568[[#This Row],[SP Completed (COS &amp; SOS)]]),0)</f>
        <v>0</v>
      </c>
      <c r="AI57" s="112"/>
      <c r="AJ57" s="112"/>
      <c r="AK57" s="112"/>
      <c r="AL57" s="112"/>
    </row>
    <row r="58" spans="1:38" s="46" customFormat="1">
      <c r="A58" s="117" t="s">
        <v>2670</v>
      </c>
      <c r="B58" s="47" t="s">
        <v>2812</v>
      </c>
      <c r="C58" s="76" t="s">
        <v>372</v>
      </c>
      <c r="D58" s="76">
        <v>3</v>
      </c>
      <c r="E58" s="76" t="s">
        <v>327</v>
      </c>
      <c r="F58" s="104">
        <v>8</v>
      </c>
      <c r="G58" s="76" t="s">
        <v>35</v>
      </c>
      <c r="H58" s="83" t="s">
        <v>209</v>
      </c>
      <c r="I58" s="103"/>
      <c r="J58" s="76" t="s">
        <v>127</v>
      </c>
      <c r="K58" s="104"/>
      <c r="L58" s="104"/>
      <c r="M58" s="105">
        <f>IF(Tabelle1324568[[#This Row],[Pulled after Start]]="",MIN(Tabelle1324568[[#This Row],[Jira Story Points]],Tabelle1324568[[#This Row],[Carry-over]]),0)</f>
        <v>0</v>
      </c>
      <c r="N58" s="108">
        <f>MIN(Tabelle1324568[[#This Row],[Jira Story Points]],Tabelle1324568[[#This Row],[Carry-over]])-Tabelle1324568[[#This Row],[SP Initially Planned (COS)]]</f>
        <v>8</v>
      </c>
      <c r="O58"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58" s="108">
        <f>IFERROR(IF(Tabelle1324568[[#This Row],[Status]]=$I$5,MIN(Tabelle1324568[[#This Row],[Jira Story Points]],Tabelle1324568[[#This Row],[Carry-over]]),0),0)</f>
        <v>0</v>
      </c>
      <c r="Q58" s="108">
        <f>IFERROR(IF(Tabelle1324568[[#This Row],[Status]]=$I$5,0,MIN(Tabelle1324568[[#This Row],[Jira Story Points]],Tabelle1324568[[#This Row],[Carry-over]])-Tabelle1324568[[#This Row],[SP Completed (COS &amp; SOS)]]),0)</f>
        <v>8</v>
      </c>
      <c r="AI58" s="112"/>
      <c r="AJ58" s="112"/>
      <c r="AK58" s="112"/>
      <c r="AL58" s="112"/>
    </row>
    <row r="59" spans="1:38" s="46" customFormat="1">
      <c r="A59" s="117" t="s">
        <v>2813</v>
      </c>
      <c r="B59" s="47" t="s">
        <v>2814</v>
      </c>
      <c r="C59" s="76" t="s">
        <v>375</v>
      </c>
      <c r="D59" s="76">
        <v>3</v>
      </c>
      <c r="E59" s="76" t="s">
        <v>327</v>
      </c>
      <c r="F59" s="104">
        <v>3</v>
      </c>
      <c r="G59" s="76" t="s">
        <v>35</v>
      </c>
      <c r="H59" s="83" t="s">
        <v>209</v>
      </c>
      <c r="I59" s="103"/>
      <c r="J59" s="76" t="s">
        <v>127</v>
      </c>
      <c r="K59" s="104"/>
      <c r="L59" s="104"/>
      <c r="M59" s="105">
        <f>IF(Tabelle1324568[[#This Row],[Pulled after Start]]="",MIN(Tabelle1324568[[#This Row],[Jira Story Points]],Tabelle1324568[[#This Row],[Carry-over]]),0)</f>
        <v>0</v>
      </c>
      <c r="N59" s="108">
        <f>MIN(Tabelle1324568[[#This Row],[Jira Story Points]],Tabelle1324568[[#This Row],[Carry-over]])-Tabelle1324568[[#This Row],[SP Initially Planned (COS)]]</f>
        <v>3</v>
      </c>
      <c r="O59"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59" s="108">
        <f>IFERROR(IF(Tabelle1324568[[#This Row],[Status]]=$I$5,MIN(Tabelle1324568[[#This Row],[Jira Story Points]],Tabelle1324568[[#This Row],[Carry-over]]),0),0)</f>
        <v>0</v>
      </c>
      <c r="Q59" s="108">
        <f>IFERROR(IF(Tabelle1324568[[#This Row],[Status]]=$I$5,0,MIN(Tabelle1324568[[#This Row],[Jira Story Points]],Tabelle1324568[[#This Row],[Carry-over]])-Tabelle1324568[[#This Row],[SP Completed (COS &amp; SOS)]]),0)</f>
        <v>3</v>
      </c>
      <c r="AI59" s="112"/>
      <c r="AJ59" s="112"/>
      <c r="AK59" s="112"/>
      <c r="AL59" s="112"/>
    </row>
    <row r="60" spans="1:38" s="46" customFormat="1" ht="14.45" customHeight="1">
      <c r="A60" s="117" t="s">
        <v>2676</v>
      </c>
      <c r="B60" s="47" t="s">
        <v>2815</v>
      </c>
      <c r="C60" s="76" t="s">
        <v>372</v>
      </c>
      <c r="D60" s="76">
        <v>3</v>
      </c>
      <c r="E60" s="76" t="s">
        <v>327</v>
      </c>
      <c r="F60" s="104">
        <v>3</v>
      </c>
      <c r="G60" s="76" t="s">
        <v>35</v>
      </c>
      <c r="H60" s="83" t="s">
        <v>209</v>
      </c>
      <c r="I60" s="103"/>
      <c r="J60" s="76" t="s">
        <v>127</v>
      </c>
      <c r="K60" s="104"/>
      <c r="L60" s="104"/>
      <c r="M60" s="105">
        <f>IF(Tabelle1324568[[#This Row],[Pulled after Start]]="",MIN(Tabelle1324568[[#This Row],[Jira Story Points]],Tabelle1324568[[#This Row],[Carry-over]]),0)</f>
        <v>0</v>
      </c>
      <c r="N60" s="108">
        <f>MIN(Tabelle1324568[[#This Row],[Jira Story Points]],Tabelle1324568[[#This Row],[Carry-over]])-Tabelle1324568[[#This Row],[SP Initially Planned (COS)]]</f>
        <v>3</v>
      </c>
      <c r="O60"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60" s="108">
        <f>IFERROR(IF(Tabelle1324568[[#This Row],[Status]]=$I$5,MIN(Tabelle1324568[[#This Row],[Jira Story Points]],Tabelle1324568[[#This Row],[Carry-over]]),0),0)</f>
        <v>0</v>
      </c>
      <c r="Q60" s="108">
        <f>IFERROR(IF(Tabelle1324568[[#This Row],[Status]]=$I$5,0,MIN(Tabelle1324568[[#This Row],[Jira Story Points]],Tabelle1324568[[#This Row],[Carry-over]])-Tabelle1324568[[#This Row],[SP Completed (COS &amp; SOS)]]),0)</f>
        <v>3</v>
      </c>
      <c r="AI60" s="112"/>
      <c r="AJ60" s="112"/>
      <c r="AK60" s="112"/>
      <c r="AL60" s="112"/>
    </row>
    <row r="61" spans="1:38" s="46" customFormat="1" ht="14.45" customHeight="1">
      <c r="A61" s="117" t="s">
        <v>2816</v>
      </c>
      <c r="B61" s="47" t="s">
        <v>2817</v>
      </c>
      <c r="C61" s="76" t="s">
        <v>372</v>
      </c>
      <c r="D61" s="76">
        <v>3</v>
      </c>
      <c r="E61" s="76" t="s">
        <v>637</v>
      </c>
      <c r="F61" s="104">
        <v>2</v>
      </c>
      <c r="G61" s="76" t="s">
        <v>35</v>
      </c>
      <c r="H61" s="83"/>
      <c r="I61" s="103"/>
      <c r="J61" s="76" t="s">
        <v>125</v>
      </c>
      <c r="K61" s="104"/>
      <c r="L61" s="104"/>
      <c r="M61" s="105">
        <f>IF(Tabelle1324568[[#This Row],[Pulled after Start]]="",MIN(Tabelle1324568[[#This Row],[Jira Story Points]],Tabelle1324568[[#This Row],[Carry-over]]),0)</f>
        <v>2</v>
      </c>
      <c r="N61" s="108">
        <f>MIN(Tabelle1324568[[#This Row],[Jira Story Points]],Tabelle1324568[[#This Row],[Carry-over]])-Tabelle1324568[[#This Row],[SP Initially Planned (COS)]]</f>
        <v>0</v>
      </c>
      <c r="O61"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2</v>
      </c>
      <c r="P61" s="108">
        <f>IFERROR(IF(Tabelle1324568[[#This Row],[Status]]=$I$5,MIN(Tabelle1324568[[#This Row],[Jira Story Points]],Tabelle1324568[[#This Row],[Carry-over]]),0),0)</f>
        <v>0</v>
      </c>
      <c r="Q61" s="108">
        <f>IFERROR(IF(Tabelle1324568[[#This Row],[Status]]=$I$5,0,MIN(Tabelle1324568[[#This Row],[Jira Story Points]],Tabelle1324568[[#This Row],[Carry-over]])-Tabelle1324568[[#This Row],[SP Completed (COS &amp; SOS)]]),0)</f>
        <v>0</v>
      </c>
      <c r="AI61" s="112"/>
      <c r="AJ61" s="112"/>
      <c r="AK61" s="112"/>
      <c r="AL61" s="112"/>
    </row>
    <row r="62" spans="1:38" s="46" customFormat="1" ht="14.45" customHeight="1">
      <c r="A62" s="117" t="s">
        <v>2818</v>
      </c>
      <c r="B62" s="47" t="s">
        <v>2152</v>
      </c>
      <c r="C62" s="76" t="s">
        <v>382</v>
      </c>
      <c r="D62" s="76">
        <v>3</v>
      </c>
      <c r="E62" s="76" t="s">
        <v>330</v>
      </c>
      <c r="F62" s="104" t="s">
        <v>210</v>
      </c>
      <c r="G62" s="76" t="s">
        <v>35</v>
      </c>
      <c r="H62" s="83"/>
      <c r="I62" s="103"/>
      <c r="J62" s="76" t="s">
        <v>125</v>
      </c>
      <c r="K62" s="104"/>
      <c r="L62" s="104"/>
      <c r="M62" s="105">
        <f>IF(Tabelle1324568[[#This Row],[Pulled after Start]]="",MIN(Tabelle1324568[[#This Row],[Jira Story Points]],Tabelle1324568[[#This Row],[Carry-over]]),0)</f>
        <v>0</v>
      </c>
      <c r="N62" s="108">
        <f>MIN(Tabelle1324568[[#This Row],[Jira Story Points]],Tabelle1324568[[#This Row],[Carry-over]])-Tabelle1324568[[#This Row],[SP Initially Planned (COS)]]</f>
        <v>0</v>
      </c>
      <c r="O62" s="107" t="str">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v>
      </c>
      <c r="P62" s="108">
        <f>IFERROR(IF(Tabelle1324568[[#This Row],[Status]]=$I$5,MIN(Tabelle1324568[[#This Row],[Jira Story Points]],Tabelle1324568[[#This Row],[Carry-over]]),0),0)</f>
        <v>0</v>
      </c>
      <c r="Q62" s="108">
        <f>IFERROR(IF(Tabelle1324568[[#This Row],[Status]]=$I$5,0,MIN(Tabelle1324568[[#This Row],[Jira Story Points]],Tabelle1324568[[#This Row],[Carry-over]])-Tabelle1324568[[#This Row],[SP Completed (COS &amp; SOS)]]),0)</f>
        <v>0</v>
      </c>
      <c r="AI62" s="112"/>
      <c r="AJ62" s="112"/>
      <c r="AK62" s="112"/>
      <c r="AL62" s="112"/>
    </row>
    <row r="63" spans="1:38" s="46" customFormat="1" ht="14.45" customHeight="1">
      <c r="A63" s="117" t="s">
        <v>2153</v>
      </c>
      <c r="B63" s="47" t="s">
        <v>2154</v>
      </c>
      <c r="C63" s="76" t="s">
        <v>372</v>
      </c>
      <c r="D63" s="76">
        <v>3</v>
      </c>
      <c r="E63" s="76" t="s">
        <v>1247</v>
      </c>
      <c r="F63" s="104">
        <v>2</v>
      </c>
      <c r="G63" s="76" t="s">
        <v>35</v>
      </c>
      <c r="H63" s="83"/>
      <c r="I63" s="103"/>
      <c r="J63" s="76" t="s">
        <v>127</v>
      </c>
      <c r="K63" s="104"/>
      <c r="L63" s="104"/>
      <c r="M63" s="105">
        <f>IF(Tabelle1324568[[#This Row],[Pulled after Start]]="",MIN(Tabelle1324568[[#This Row],[Jira Story Points]],Tabelle1324568[[#This Row],[Carry-over]]),0)</f>
        <v>2</v>
      </c>
      <c r="N63" s="108">
        <f>MIN(Tabelle1324568[[#This Row],[Jira Story Points]],Tabelle1324568[[#This Row],[Carry-over]])-Tabelle1324568[[#This Row],[SP Initially Planned (COS)]]</f>
        <v>0</v>
      </c>
      <c r="O63"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63" s="108">
        <f>IFERROR(IF(Tabelle1324568[[#This Row],[Status]]=$I$5,MIN(Tabelle1324568[[#This Row],[Jira Story Points]],Tabelle1324568[[#This Row],[Carry-over]]),0),0)</f>
        <v>0</v>
      </c>
      <c r="Q63" s="108">
        <f>IFERROR(IF(Tabelle1324568[[#This Row],[Status]]=$I$5,0,MIN(Tabelle1324568[[#This Row],[Jira Story Points]],Tabelle1324568[[#This Row],[Carry-over]])-Tabelle1324568[[#This Row],[SP Completed (COS &amp; SOS)]]),0)</f>
        <v>2</v>
      </c>
      <c r="AI63" s="112"/>
      <c r="AJ63" s="112"/>
      <c r="AK63" s="112"/>
      <c r="AL63" s="112"/>
    </row>
    <row r="64" spans="1:38" s="46" customFormat="1" ht="14.45" customHeight="1">
      <c r="A64" s="117" t="s">
        <v>1843</v>
      </c>
      <c r="B64" s="47" t="s">
        <v>2819</v>
      </c>
      <c r="C64" s="76" t="s">
        <v>372</v>
      </c>
      <c r="D64" s="76">
        <v>3</v>
      </c>
      <c r="E64" s="76" t="s">
        <v>637</v>
      </c>
      <c r="F64" s="104" t="s">
        <v>210</v>
      </c>
      <c r="G64" s="76" t="s">
        <v>35</v>
      </c>
      <c r="H64" s="83" t="s">
        <v>209</v>
      </c>
      <c r="I64" s="120" t="s">
        <v>2820</v>
      </c>
      <c r="J64" s="76" t="s">
        <v>127</v>
      </c>
      <c r="K64" s="104"/>
      <c r="L64" s="104"/>
      <c r="M64" s="105">
        <f>IF(Tabelle1324568[[#This Row],[Pulled after Start]]="",MIN(Tabelle1324568[[#This Row],[Jira Story Points]],Tabelle1324568[[#This Row],[Carry-over]]),0)</f>
        <v>0</v>
      </c>
      <c r="N64" s="108">
        <f>MIN(Tabelle1324568[[#This Row],[Jira Story Points]],Tabelle1324568[[#This Row],[Carry-over]])-Tabelle1324568[[#This Row],[SP Initially Planned (COS)]]</f>
        <v>0</v>
      </c>
      <c r="O64"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64" s="108">
        <f>IFERROR(IF(Tabelle1324568[[#This Row],[Status]]=$I$5,MIN(Tabelle1324568[[#This Row],[Jira Story Points]],Tabelle1324568[[#This Row],[Carry-over]]),0),0)</f>
        <v>0</v>
      </c>
      <c r="Q64" s="108">
        <f>IFERROR(IF(Tabelle1324568[[#This Row],[Status]]=$I$5,0,MIN(Tabelle1324568[[#This Row],[Jira Story Points]],Tabelle1324568[[#This Row],[Carry-over]])-Tabelle1324568[[#This Row],[SP Completed (COS &amp; SOS)]]),0)</f>
        <v>0</v>
      </c>
    </row>
    <row r="65" spans="1:17" s="46" customFormat="1" ht="14.45" customHeight="1">
      <c r="A65" s="117" t="s">
        <v>2821</v>
      </c>
      <c r="B65" s="47" t="s">
        <v>2822</v>
      </c>
      <c r="C65" s="76" t="s">
        <v>372</v>
      </c>
      <c r="D65" s="76">
        <v>3</v>
      </c>
      <c r="E65" s="76" t="s">
        <v>324</v>
      </c>
      <c r="F65" s="104">
        <v>2</v>
      </c>
      <c r="G65" s="76" t="s">
        <v>9</v>
      </c>
      <c r="H65" s="83"/>
      <c r="I65" s="103"/>
      <c r="J65" s="76" t="s">
        <v>125</v>
      </c>
      <c r="K65" s="104"/>
      <c r="L65" s="104"/>
      <c r="M65" s="105">
        <f>IF(Tabelle1324568[[#This Row],[Pulled after Start]]="",MIN(Tabelle1324568[[#This Row],[Jira Story Points]],Tabelle1324568[[#This Row],[Carry-over]]),0)</f>
        <v>2</v>
      </c>
      <c r="N65" s="108">
        <f>MIN(Tabelle1324568[[#This Row],[Jira Story Points]],Tabelle1324568[[#This Row],[Carry-over]])-Tabelle1324568[[#This Row],[SP Initially Planned (COS)]]</f>
        <v>0</v>
      </c>
      <c r="O65"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2</v>
      </c>
      <c r="P65" s="108">
        <f>IFERROR(IF(Tabelle1324568[[#This Row],[Status]]=$I$5,MIN(Tabelle1324568[[#This Row],[Jira Story Points]],Tabelle1324568[[#This Row],[Carry-over]]),0),0)</f>
        <v>0</v>
      </c>
      <c r="Q65" s="108">
        <f>IFERROR(IF(Tabelle1324568[[#This Row],[Status]]=$I$5,0,MIN(Tabelle1324568[[#This Row],[Jira Story Points]],Tabelle1324568[[#This Row],[Carry-over]])-Tabelle1324568[[#This Row],[SP Completed (COS &amp; SOS)]]),0)</f>
        <v>0</v>
      </c>
    </row>
    <row r="66" spans="1:17" s="46" customFormat="1" ht="14.45" customHeight="1">
      <c r="A66" s="117" t="s">
        <v>2823</v>
      </c>
      <c r="B66" s="47" t="s">
        <v>2824</v>
      </c>
      <c r="C66" s="76" t="s">
        <v>372</v>
      </c>
      <c r="D66" s="76">
        <v>3</v>
      </c>
      <c r="E66" s="76" t="s">
        <v>324</v>
      </c>
      <c r="F66" s="104">
        <v>8</v>
      </c>
      <c r="G66" s="76" t="s">
        <v>9</v>
      </c>
      <c r="H66" s="83"/>
      <c r="I66" s="103"/>
      <c r="J66" s="76" t="s">
        <v>125</v>
      </c>
      <c r="K66" s="104"/>
      <c r="L66" s="104"/>
      <c r="M66" s="105">
        <f>IF(Tabelle1324568[[#This Row],[Pulled after Start]]="",MIN(Tabelle1324568[[#This Row],[Jira Story Points]],Tabelle1324568[[#This Row],[Carry-over]]),0)</f>
        <v>8</v>
      </c>
      <c r="N66" s="108">
        <f>MIN(Tabelle1324568[[#This Row],[Jira Story Points]],Tabelle1324568[[#This Row],[Carry-over]])-Tabelle1324568[[#This Row],[SP Initially Planned (COS)]]</f>
        <v>0</v>
      </c>
      <c r="O66"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8</v>
      </c>
      <c r="P66" s="108">
        <f>IFERROR(IF(Tabelle1324568[[#This Row],[Status]]=$I$5,MIN(Tabelle1324568[[#This Row],[Jira Story Points]],Tabelle1324568[[#This Row],[Carry-over]]),0),0)</f>
        <v>0</v>
      </c>
      <c r="Q66" s="108">
        <f>IFERROR(IF(Tabelle1324568[[#This Row],[Status]]=$I$5,0,MIN(Tabelle1324568[[#This Row],[Jira Story Points]],Tabelle1324568[[#This Row],[Carry-over]])-Tabelle1324568[[#This Row],[SP Completed (COS &amp; SOS)]]),0)</f>
        <v>0</v>
      </c>
    </row>
    <row r="67" spans="1:17" s="46" customFormat="1" ht="14.45" customHeight="1">
      <c r="A67" s="117" t="s">
        <v>2825</v>
      </c>
      <c r="B67" s="47" t="s">
        <v>2826</v>
      </c>
      <c r="C67" s="76" t="s">
        <v>372</v>
      </c>
      <c r="D67" s="76">
        <v>3</v>
      </c>
      <c r="E67" s="76" t="s">
        <v>324</v>
      </c>
      <c r="F67" s="104">
        <v>5</v>
      </c>
      <c r="G67" s="76" t="s">
        <v>9</v>
      </c>
      <c r="H67" s="83"/>
      <c r="I67" s="103"/>
      <c r="J67" s="76" t="s">
        <v>125</v>
      </c>
      <c r="K67" s="104"/>
      <c r="L67" s="104"/>
      <c r="M67" s="105">
        <f>IF(Tabelle1324568[[#This Row],[Pulled after Start]]="",MIN(Tabelle1324568[[#This Row],[Jira Story Points]],Tabelle1324568[[#This Row],[Carry-over]]),0)</f>
        <v>5</v>
      </c>
      <c r="N67" s="108">
        <f>MIN(Tabelle1324568[[#This Row],[Jira Story Points]],Tabelle1324568[[#This Row],[Carry-over]])-Tabelle1324568[[#This Row],[SP Initially Planned (COS)]]</f>
        <v>0</v>
      </c>
      <c r="O67"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5</v>
      </c>
      <c r="P67" s="108">
        <f>IFERROR(IF(Tabelle1324568[[#This Row],[Status]]=$I$5,MIN(Tabelle1324568[[#This Row],[Jira Story Points]],Tabelle1324568[[#This Row],[Carry-over]]),0),0)</f>
        <v>0</v>
      </c>
      <c r="Q67" s="108">
        <f>IFERROR(IF(Tabelle1324568[[#This Row],[Status]]=$I$5,0,MIN(Tabelle1324568[[#This Row],[Jira Story Points]],Tabelle1324568[[#This Row],[Carry-over]])-Tabelle1324568[[#This Row],[SP Completed (COS &amp; SOS)]]),0)</f>
        <v>0</v>
      </c>
    </row>
    <row r="68" spans="1:17" s="46" customFormat="1" ht="14.45" customHeight="1">
      <c r="A68" s="117" t="s">
        <v>2827</v>
      </c>
      <c r="B68" s="47" t="s">
        <v>2828</v>
      </c>
      <c r="C68" s="76" t="s">
        <v>372</v>
      </c>
      <c r="D68" s="76">
        <v>3</v>
      </c>
      <c r="E68" s="76" t="s">
        <v>324</v>
      </c>
      <c r="F68" s="104">
        <v>3</v>
      </c>
      <c r="G68" s="76" t="s">
        <v>9</v>
      </c>
      <c r="H68" s="83"/>
      <c r="I68" s="103"/>
      <c r="J68" s="76" t="s">
        <v>125</v>
      </c>
      <c r="K68" s="104"/>
      <c r="L68" s="104"/>
      <c r="M68" s="105">
        <f>IF(Tabelle1324568[[#This Row],[Pulled after Start]]="",MIN(Tabelle1324568[[#This Row],[Jira Story Points]],Tabelle1324568[[#This Row],[Carry-over]]),0)</f>
        <v>3</v>
      </c>
      <c r="N68" s="108">
        <f>MIN(Tabelle1324568[[#This Row],[Jira Story Points]],Tabelle1324568[[#This Row],[Carry-over]])-Tabelle1324568[[#This Row],[SP Initially Planned (COS)]]</f>
        <v>0</v>
      </c>
      <c r="O68"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68" s="108">
        <f>IFERROR(IF(Tabelle1324568[[#This Row],[Status]]=$I$5,MIN(Tabelle1324568[[#This Row],[Jira Story Points]],Tabelle1324568[[#This Row],[Carry-over]]),0),0)</f>
        <v>0</v>
      </c>
      <c r="Q68" s="108">
        <f>IFERROR(IF(Tabelle1324568[[#This Row],[Status]]=$I$5,0,MIN(Tabelle1324568[[#This Row],[Jira Story Points]],Tabelle1324568[[#This Row],[Carry-over]])-Tabelle1324568[[#This Row],[SP Completed (COS &amp; SOS)]]),0)</f>
        <v>0</v>
      </c>
    </row>
    <row r="69" spans="1:17" s="46" customFormat="1" ht="14.45" customHeight="1">
      <c r="A69" s="117" t="s">
        <v>2829</v>
      </c>
      <c r="B69" s="47" t="s">
        <v>2830</v>
      </c>
      <c r="C69" s="76" t="s">
        <v>372</v>
      </c>
      <c r="D69" s="76">
        <v>3</v>
      </c>
      <c r="E69" s="76" t="s">
        <v>324</v>
      </c>
      <c r="F69" s="104">
        <v>2</v>
      </c>
      <c r="G69" s="76" t="s">
        <v>9</v>
      </c>
      <c r="H69" s="83" t="s">
        <v>209</v>
      </c>
      <c r="I69" s="103"/>
      <c r="J69" s="76" t="s">
        <v>125</v>
      </c>
      <c r="K69" s="104"/>
      <c r="L69" s="104"/>
      <c r="M69" s="105">
        <f>IF(Tabelle1324568[[#This Row],[Pulled after Start]]="",MIN(Tabelle1324568[[#This Row],[Jira Story Points]],Tabelle1324568[[#This Row],[Carry-over]]),0)</f>
        <v>0</v>
      </c>
      <c r="N69" s="108">
        <f>MIN(Tabelle1324568[[#This Row],[Jira Story Points]],Tabelle1324568[[#This Row],[Carry-over]])-Tabelle1324568[[#This Row],[SP Initially Planned (COS)]]</f>
        <v>2</v>
      </c>
      <c r="O69"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2</v>
      </c>
      <c r="P69" s="108">
        <f>IFERROR(IF(Tabelle1324568[[#This Row],[Status]]=$I$5,MIN(Tabelle1324568[[#This Row],[Jira Story Points]],Tabelle1324568[[#This Row],[Carry-over]]),0),0)</f>
        <v>0</v>
      </c>
      <c r="Q69" s="108">
        <f>IFERROR(IF(Tabelle1324568[[#This Row],[Status]]=$I$5,0,MIN(Tabelle1324568[[#This Row],[Jira Story Points]],Tabelle1324568[[#This Row],[Carry-over]])-Tabelle1324568[[#This Row],[SP Completed (COS &amp; SOS)]]),0)</f>
        <v>0</v>
      </c>
    </row>
    <row r="70" spans="1:17" s="46" customFormat="1" ht="14.45" customHeight="1">
      <c r="A70" s="117" t="s">
        <v>2831</v>
      </c>
      <c r="B70" s="47" t="s">
        <v>2832</v>
      </c>
      <c r="C70" s="76" t="s">
        <v>372</v>
      </c>
      <c r="D70" s="76">
        <v>3</v>
      </c>
      <c r="E70" s="76" t="s">
        <v>324</v>
      </c>
      <c r="F70" s="104">
        <v>2</v>
      </c>
      <c r="G70" s="76" t="s">
        <v>9</v>
      </c>
      <c r="H70" s="83" t="s">
        <v>209</v>
      </c>
      <c r="I70" s="103"/>
      <c r="J70" s="76" t="s">
        <v>125</v>
      </c>
      <c r="K70" s="104"/>
      <c r="L70" s="104"/>
      <c r="M70" s="105">
        <f>IF(Tabelle1324568[[#This Row],[Pulled after Start]]="",MIN(Tabelle1324568[[#This Row],[Jira Story Points]],Tabelle1324568[[#This Row],[Carry-over]]),0)</f>
        <v>0</v>
      </c>
      <c r="N70" s="108">
        <f>MIN(Tabelle1324568[[#This Row],[Jira Story Points]],Tabelle1324568[[#This Row],[Carry-over]])-Tabelle1324568[[#This Row],[SP Initially Planned (COS)]]</f>
        <v>2</v>
      </c>
      <c r="O70"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2</v>
      </c>
      <c r="P70" s="108">
        <f>IFERROR(IF(Tabelle1324568[[#This Row],[Status]]=$I$5,MIN(Tabelle1324568[[#This Row],[Jira Story Points]],Tabelle1324568[[#This Row],[Carry-over]]),0),0)</f>
        <v>0</v>
      </c>
      <c r="Q70" s="108">
        <f>IFERROR(IF(Tabelle1324568[[#This Row],[Status]]=$I$5,0,MIN(Tabelle1324568[[#This Row],[Jira Story Points]],Tabelle1324568[[#This Row],[Carry-over]])-Tabelle1324568[[#This Row],[SP Completed (COS &amp; SOS)]]),0)</f>
        <v>0</v>
      </c>
    </row>
    <row r="71" spans="1:17" s="46" customFormat="1" ht="14.45" customHeight="1">
      <c r="A71" s="117" t="s">
        <v>2833</v>
      </c>
      <c r="B71" s="47" t="s">
        <v>2834</v>
      </c>
      <c r="C71" s="76" t="s">
        <v>375</v>
      </c>
      <c r="D71" s="76">
        <v>3</v>
      </c>
      <c r="E71" s="76" t="s">
        <v>324</v>
      </c>
      <c r="F71" s="104">
        <v>1</v>
      </c>
      <c r="G71" s="76" t="s">
        <v>9</v>
      </c>
      <c r="H71" s="83" t="s">
        <v>209</v>
      </c>
      <c r="I71" s="103"/>
      <c r="J71" s="76" t="s">
        <v>125</v>
      </c>
      <c r="K71" s="104"/>
      <c r="L71" s="104"/>
      <c r="M71" s="105">
        <f>IF(Tabelle1324568[[#This Row],[Pulled after Start]]="",MIN(Tabelle1324568[[#This Row],[Jira Story Points]],Tabelle1324568[[#This Row],[Carry-over]]),0)</f>
        <v>0</v>
      </c>
      <c r="N71" s="108">
        <f>MIN(Tabelle1324568[[#This Row],[Jira Story Points]],Tabelle1324568[[#This Row],[Carry-over]])-Tabelle1324568[[#This Row],[SP Initially Planned (COS)]]</f>
        <v>1</v>
      </c>
      <c r="O71"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1</v>
      </c>
      <c r="P71" s="108">
        <f>IFERROR(IF(Tabelle1324568[[#This Row],[Status]]=$I$5,MIN(Tabelle1324568[[#This Row],[Jira Story Points]],Tabelle1324568[[#This Row],[Carry-over]]),0),0)</f>
        <v>0</v>
      </c>
      <c r="Q71" s="108">
        <f>IFERROR(IF(Tabelle1324568[[#This Row],[Status]]=$I$5,0,MIN(Tabelle1324568[[#This Row],[Jira Story Points]],Tabelle1324568[[#This Row],[Carry-over]])-Tabelle1324568[[#This Row],[SP Completed (COS &amp; SOS)]]),0)</f>
        <v>0</v>
      </c>
    </row>
    <row r="72" spans="1:17" s="46" customFormat="1" ht="14.45" customHeight="1">
      <c r="A72" s="117" t="s">
        <v>2704</v>
      </c>
      <c r="B72" s="47" t="s">
        <v>2705</v>
      </c>
      <c r="C72" s="76" t="s">
        <v>372</v>
      </c>
      <c r="D72" s="76">
        <v>3</v>
      </c>
      <c r="E72" s="76" t="s">
        <v>637</v>
      </c>
      <c r="F72" s="104">
        <v>3</v>
      </c>
      <c r="G72" s="76" t="s">
        <v>9</v>
      </c>
      <c r="H72" s="83"/>
      <c r="I72" s="103"/>
      <c r="J72" s="76" t="s">
        <v>127</v>
      </c>
      <c r="K72" s="104"/>
      <c r="L72" s="104"/>
      <c r="M72" s="105">
        <f>IF(Tabelle1324568[[#This Row],[Pulled after Start]]="",MIN(Tabelle1324568[[#This Row],[Jira Story Points]],Tabelle1324568[[#This Row],[Carry-over]]),0)</f>
        <v>3</v>
      </c>
      <c r="N72" s="108">
        <f>MIN(Tabelle1324568[[#This Row],[Jira Story Points]],Tabelle1324568[[#This Row],[Carry-over]])-Tabelle1324568[[#This Row],[SP Initially Planned (COS)]]</f>
        <v>0</v>
      </c>
      <c r="O72"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72" s="108">
        <f>IFERROR(IF(Tabelle1324568[[#This Row],[Status]]=$I$5,MIN(Tabelle1324568[[#This Row],[Jira Story Points]],Tabelle1324568[[#This Row],[Carry-over]]),0),0)</f>
        <v>0</v>
      </c>
      <c r="Q72" s="108">
        <f>IFERROR(IF(Tabelle1324568[[#This Row],[Status]]=$I$5,0,MIN(Tabelle1324568[[#This Row],[Jira Story Points]],Tabelle1324568[[#This Row],[Carry-over]])-Tabelle1324568[[#This Row],[SP Completed (COS &amp; SOS)]]),0)</f>
        <v>3</v>
      </c>
    </row>
    <row r="73" spans="1:17" s="46" customFormat="1" ht="14.45" customHeight="1">
      <c r="A73" s="117" t="s">
        <v>2706</v>
      </c>
      <c r="B73" s="47" t="s">
        <v>2707</v>
      </c>
      <c r="C73" s="76" t="s">
        <v>372</v>
      </c>
      <c r="D73" s="76">
        <v>3</v>
      </c>
      <c r="E73" s="76" t="s">
        <v>637</v>
      </c>
      <c r="F73" s="104">
        <v>5</v>
      </c>
      <c r="G73" s="76" t="s">
        <v>9</v>
      </c>
      <c r="H73" s="83"/>
      <c r="I73" s="103"/>
      <c r="J73" s="76" t="s">
        <v>127</v>
      </c>
      <c r="K73" s="104"/>
      <c r="L73" s="104"/>
      <c r="M73" s="105">
        <f>IF(Tabelle1324568[[#This Row],[Pulled after Start]]="",MIN(Tabelle1324568[[#This Row],[Jira Story Points]],Tabelle1324568[[#This Row],[Carry-over]]),0)</f>
        <v>5</v>
      </c>
      <c r="N73" s="108">
        <f>MIN(Tabelle1324568[[#This Row],[Jira Story Points]],Tabelle1324568[[#This Row],[Carry-over]])-Tabelle1324568[[#This Row],[SP Initially Planned (COS)]]</f>
        <v>0</v>
      </c>
      <c r="O73"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73" s="108">
        <f>IFERROR(IF(Tabelle1324568[[#This Row],[Status]]=$I$5,MIN(Tabelle1324568[[#This Row],[Jira Story Points]],Tabelle1324568[[#This Row],[Carry-over]]),0),0)</f>
        <v>0</v>
      </c>
      <c r="Q73" s="108">
        <f>IFERROR(IF(Tabelle1324568[[#This Row],[Status]]=$I$5,0,MIN(Tabelle1324568[[#This Row],[Jira Story Points]],Tabelle1324568[[#This Row],[Carry-over]])-Tabelle1324568[[#This Row],[SP Completed (COS &amp; SOS)]]),0)</f>
        <v>5</v>
      </c>
    </row>
    <row r="74" spans="1:17" s="46" customFormat="1" ht="14.45" customHeight="1">
      <c r="A74" s="117" t="s">
        <v>2708</v>
      </c>
      <c r="B74" s="47" t="s">
        <v>2709</v>
      </c>
      <c r="C74" s="76" t="s">
        <v>372</v>
      </c>
      <c r="D74" s="76">
        <v>3</v>
      </c>
      <c r="E74" s="76" t="s">
        <v>327</v>
      </c>
      <c r="F74" s="104">
        <v>2</v>
      </c>
      <c r="G74" s="76" t="s">
        <v>9</v>
      </c>
      <c r="H74" s="83" t="s">
        <v>209</v>
      </c>
      <c r="I74" s="103"/>
      <c r="J74" s="76" t="s">
        <v>127</v>
      </c>
      <c r="K74" s="104"/>
      <c r="L74" s="104"/>
      <c r="M74" s="105">
        <f>IF(Tabelle1324568[[#This Row],[Pulled after Start]]="",MIN(Tabelle1324568[[#This Row],[Jira Story Points]],Tabelle1324568[[#This Row],[Carry-over]]),0)</f>
        <v>0</v>
      </c>
      <c r="N74" s="108">
        <f>MIN(Tabelle1324568[[#This Row],[Jira Story Points]],Tabelle1324568[[#This Row],[Carry-over]])-Tabelle1324568[[#This Row],[SP Initially Planned (COS)]]</f>
        <v>2</v>
      </c>
      <c r="O74"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74" s="108">
        <f>IFERROR(IF(Tabelle1324568[[#This Row],[Status]]=$I$5,MIN(Tabelle1324568[[#This Row],[Jira Story Points]],Tabelle1324568[[#This Row],[Carry-over]]),0),0)</f>
        <v>0</v>
      </c>
      <c r="Q74" s="108">
        <f>IFERROR(IF(Tabelle1324568[[#This Row],[Status]]=$I$5,0,MIN(Tabelle1324568[[#This Row],[Jira Story Points]],Tabelle1324568[[#This Row],[Carry-over]])-Tabelle1324568[[#This Row],[SP Completed (COS &amp; SOS)]]),0)</f>
        <v>2</v>
      </c>
    </row>
    <row r="75" spans="1:17" s="46" customFormat="1" ht="14.45" customHeight="1">
      <c r="A75" s="117" t="s">
        <v>2710</v>
      </c>
      <c r="B75" s="47" t="s">
        <v>2711</v>
      </c>
      <c r="C75" s="76" t="s">
        <v>372</v>
      </c>
      <c r="D75" s="76">
        <v>3</v>
      </c>
      <c r="E75" s="76" t="s">
        <v>327</v>
      </c>
      <c r="F75" s="104">
        <v>5</v>
      </c>
      <c r="G75" s="76" t="s">
        <v>9</v>
      </c>
      <c r="H75" s="83"/>
      <c r="I75" s="103"/>
      <c r="J75" s="76" t="s">
        <v>127</v>
      </c>
      <c r="K75" s="104"/>
      <c r="L75" s="104"/>
      <c r="M75" s="105">
        <f>IF(Tabelle1324568[[#This Row],[Pulled after Start]]="",MIN(Tabelle1324568[[#This Row],[Jira Story Points]],Tabelle1324568[[#This Row],[Carry-over]]),0)</f>
        <v>5</v>
      </c>
      <c r="N75" s="108">
        <f>MIN(Tabelle1324568[[#This Row],[Jira Story Points]],Tabelle1324568[[#This Row],[Carry-over]])-Tabelle1324568[[#This Row],[SP Initially Planned (COS)]]</f>
        <v>0</v>
      </c>
      <c r="O75"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75" s="108">
        <f>IFERROR(IF(Tabelle1324568[[#This Row],[Status]]=$I$5,MIN(Tabelle1324568[[#This Row],[Jira Story Points]],Tabelle1324568[[#This Row],[Carry-over]]),0),0)</f>
        <v>0</v>
      </c>
      <c r="Q75" s="108">
        <f>IFERROR(IF(Tabelle1324568[[#This Row],[Status]]=$I$5,0,MIN(Tabelle1324568[[#This Row],[Jira Story Points]],Tabelle1324568[[#This Row],[Carry-over]])-Tabelle1324568[[#This Row],[SP Completed (COS &amp; SOS)]]),0)</f>
        <v>5</v>
      </c>
    </row>
    <row r="76" spans="1:17" s="46" customFormat="1" ht="14.45" customHeight="1">
      <c r="A76" s="117" t="s">
        <v>2712</v>
      </c>
      <c r="B76" s="47" t="s">
        <v>2713</v>
      </c>
      <c r="C76" s="76" t="s">
        <v>372</v>
      </c>
      <c r="D76" s="76">
        <v>3</v>
      </c>
      <c r="E76" s="76" t="s">
        <v>637</v>
      </c>
      <c r="F76" s="104">
        <v>5</v>
      </c>
      <c r="G76" s="76" t="s">
        <v>9</v>
      </c>
      <c r="H76" s="83"/>
      <c r="I76" s="103"/>
      <c r="J76" s="76" t="s">
        <v>127</v>
      </c>
      <c r="K76" s="104"/>
      <c r="L76" s="104"/>
      <c r="M76" s="105">
        <f>IF(Tabelle1324568[[#This Row],[Pulled after Start]]="",MIN(Tabelle1324568[[#This Row],[Jira Story Points]],Tabelle1324568[[#This Row],[Carry-over]]),0)</f>
        <v>5</v>
      </c>
      <c r="N76" s="108">
        <f>MIN(Tabelle1324568[[#This Row],[Jira Story Points]],Tabelle1324568[[#This Row],[Carry-over]])-Tabelle1324568[[#This Row],[SP Initially Planned (COS)]]</f>
        <v>0</v>
      </c>
      <c r="O76"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76" s="108">
        <f>IFERROR(IF(Tabelle1324568[[#This Row],[Status]]=$I$5,MIN(Tabelle1324568[[#This Row],[Jira Story Points]],Tabelle1324568[[#This Row],[Carry-over]]),0),0)</f>
        <v>0</v>
      </c>
      <c r="Q76" s="108">
        <f>IFERROR(IF(Tabelle1324568[[#This Row],[Status]]=$I$5,0,MIN(Tabelle1324568[[#This Row],[Jira Story Points]],Tabelle1324568[[#This Row],[Carry-over]])-Tabelle1324568[[#This Row],[SP Completed (COS &amp; SOS)]]),0)</f>
        <v>5</v>
      </c>
    </row>
    <row r="77" spans="1:17" s="46" customFormat="1" ht="14.45" customHeight="1">
      <c r="A77" s="117" t="s">
        <v>2835</v>
      </c>
      <c r="B77" s="47" t="s">
        <v>2836</v>
      </c>
      <c r="C77" s="76" t="s">
        <v>372</v>
      </c>
      <c r="D77" s="76">
        <v>3</v>
      </c>
      <c r="E77" s="76" t="s">
        <v>351</v>
      </c>
      <c r="F77" s="104" t="s">
        <v>210</v>
      </c>
      <c r="G77" s="76" t="s">
        <v>9</v>
      </c>
      <c r="H77" s="83"/>
      <c r="I77" s="103"/>
      <c r="J77" s="76" t="s">
        <v>127</v>
      </c>
      <c r="K77" s="104"/>
      <c r="L77" s="104"/>
      <c r="M77" s="105">
        <f>IF(Tabelle1324568[[#This Row],[Pulled after Start]]="",MIN(Tabelle1324568[[#This Row],[Jira Story Points]],Tabelle1324568[[#This Row],[Carry-over]]),0)</f>
        <v>0</v>
      </c>
      <c r="N77" s="108">
        <f>MIN(Tabelle1324568[[#This Row],[Jira Story Points]],Tabelle1324568[[#This Row],[Carry-over]])-Tabelle1324568[[#This Row],[SP Initially Planned (COS)]]</f>
        <v>0</v>
      </c>
      <c r="O77"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77" s="108">
        <f>IFERROR(IF(Tabelle1324568[[#This Row],[Status]]=$I$5,MIN(Tabelle1324568[[#This Row],[Jira Story Points]],Tabelle1324568[[#This Row],[Carry-over]]),0),0)</f>
        <v>0</v>
      </c>
      <c r="Q77" s="108">
        <f>IFERROR(IF(Tabelle1324568[[#This Row],[Status]]=$I$5,0,MIN(Tabelle1324568[[#This Row],[Jira Story Points]],Tabelle1324568[[#This Row],[Carry-over]])-Tabelle1324568[[#This Row],[SP Completed (COS &amp; SOS)]]),0)</f>
        <v>0</v>
      </c>
    </row>
    <row r="78" spans="1:17" s="46" customFormat="1" ht="14.45" customHeight="1">
      <c r="A78" s="117" t="s">
        <v>2718</v>
      </c>
      <c r="B78" s="47" t="s">
        <v>2719</v>
      </c>
      <c r="C78" s="76" t="s">
        <v>375</v>
      </c>
      <c r="D78" s="76">
        <v>3</v>
      </c>
      <c r="E78" s="76" t="s">
        <v>642</v>
      </c>
      <c r="F78" s="104">
        <v>2</v>
      </c>
      <c r="G78" s="76" t="s">
        <v>9</v>
      </c>
      <c r="H78" s="83" t="s">
        <v>209</v>
      </c>
      <c r="I78" s="103"/>
      <c r="J78" s="76" t="s">
        <v>127</v>
      </c>
      <c r="K78" s="104"/>
      <c r="L78" s="104"/>
      <c r="M78" s="105">
        <f>IF(Tabelle1324568[[#This Row],[Pulled after Start]]="",MIN(Tabelle1324568[[#This Row],[Jira Story Points]],Tabelle1324568[[#This Row],[Carry-over]]),0)</f>
        <v>0</v>
      </c>
      <c r="N78" s="108">
        <f>MIN(Tabelle1324568[[#This Row],[Jira Story Points]],Tabelle1324568[[#This Row],[Carry-over]])-Tabelle1324568[[#This Row],[SP Initially Planned (COS)]]</f>
        <v>2</v>
      </c>
      <c r="O78"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78" s="108">
        <f>IFERROR(IF(Tabelle1324568[[#This Row],[Status]]=$I$5,MIN(Tabelle1324568[[#This Row],[Jira Story Points]],Tabelle1324568[[#This Row],[Carry-over]]),0),0)</f>
        <v>0</v>
      </c>
      <c r="Q78" s="108">
        <f>IFERROR(IF(Tabelle1324568[[#This Row],[Status]]=$I$5,0,MIN(Tabelle1324568[[#This Row],[Jira Story Points]],Tabelle1324568[[#This Row],[Carry-over]])-Tabelle1324568[[#This Row],[SP Completed (COS &amp; SOS)]]),0)</f>
        <v>2</v>
      </c>
    </row>
    <row r="79" spans="1:17" s="46" customFormat="1" ht="14.45" customHeight="1">
      <c r="A79" s="117" t="s">
        <v>2413</v>
      </c>
      <c r="B79" s="47" t="s">
        <v>2414</v>
      </c>
      <c r="C79" s="76" t="s">
        <v>372</v>
      </c>
      <c r="D79" s="76">
        <v>3</v>
      </c>
      <c r="E79" s="76" t="s">
        <v>351</v>
      </c>
      <c r="F79" s="104">
        <v>3</v>
      </c>
      <c r="G79" s="76" t="s">
        <v>9</v>
      </c>
      <c r="H79" s="83" t="s">
        <v>209</v>
      </c>
      <c r="I79" s="103"/>
      <c r="J79" s="76" t="s">
        <v>126</v>
      </c>
      <c r="K79" s="104"/>
      <c r="L79" s="104"/>
      <c r="M79" s="105">
        <f>IF(Tabelle1324568[[#This Row],[Pulled after Start]]="",MIN(Tabelle1324568[[#This Row],[Jira Story Points]],Tabelle1324568[[#This Row],[Carry-over]]),0)</f>
        <v>0</v>
      </c>
      <c r="N79" s="108">
        <f>MIN(Tabelle1324568[[#This Row],[Jira Story Points]],Tabelle1324568[[#This Row],[Carry-over]])-Tabelle1324568[[#This Row],[SP Initially Planned (COS)]]</f>
        <v>3</v>
      </c>
      <c r="O79"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79" s="108">
        <f>IFERROR(IF(Tabelle1324568[[#This Row],[Status]]=$I$5,MIN(Tabelle1324568[[#This Row],[Jira Story Points]],Tabelle1324568[[#This Row],[Carry-over]]),0),0)</f>
        <v>3</v>
      </c>
      <c r="Q79" s="108">
        <f>IFERROR(IF(Tabelle1324568[[#This Row],[Status]]=$I$5,0,MIN(Tabelle1324568[[#This Row],[Jira Story Points]],Tabelle1324568[[#This Row],[Carry-over]])-Tabelle1324568[[#This Row],[SP Completed (COS &amp; SOS)]]),0)</f>
        <v>0</v>
      </c>
    </row>
    <row r="80" spans="1:17" s="46" customFormat="1" ht="14.45" customHeight="1">
      <c r="A80" s="88" t="s">
        <v>2837</v>
      </c>
      <c r="B80" s="46" t="s">
        <v>2838</v>
      </c>
      <c r="C80" s="76" t="s">
        <v>375</v>
      </c>
      <c r="D80" s="76">
        <v>2</v>
      </c>
      <c r="E80" s="76" t="s">
        <v>216</v>
      </c>
      <c r="F80" s="76">
        <v>3</v>
      </c>
      <c r="G80" s="76" t="s">
        <v>12</v>
      </c>
      <c r="H80" s="76"/>
      <c r="I80" s="103"/>
      <c r="J80" s="76" t="s">
        <v>125</v>
      </c>
      <c r="K80" s="104"/>
      <c r="L80" s="104"/>
      <c r="M80" s="105">
        <f>IF(Tabelle1324568[[#This Row],[Pulled after Start]]="",MIN(Tabelle1324568[[#This Row],[Jira Story Points]],Tabelle1324568[[#This Row],[Carry-over]]),0)</f>
        <v>3</v>
      </c>
      <c r="N80" s="108">
        <f>MIN(Tabelle1324568[[#This Row],[Jira Story Points]],Tabelle1324568[[#This Row],[Carry-over]])-Tabelle1324568[[#This Row],[SP Initially Planned (COS)]]</f>
        <v>0</v>
      </c>
      <c r="O80"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80" s="108">
        <f>IFERROR(IF(Tabelle1324568[[#This Row],[Status]]=$I$5,MIN(Tabelle1324568[[#This Row],[Jira Story Points]],Tabelle1324568[[#This Row],[Carry-over]]),0),0)</f>
        <v>0</v>
      </c>
      <c r="Q80" s="108">
        <f>IFERROR(IF(Tabelle1324568[[#This Row],[Status]]=$I$5,0,MIN(Tabelle1324568[[#This Row],[Jira Story Points]],Tabelle1324568[[#This Row],[Carry-over]])-Tabelle1324568[[#This Row],[SP Completed (COS &amp; SOS)]]),0)</f>
        <v>0</v>
      </c>
    </row>
    <row r="81" spans="1:17" s="46" customFormat="1" ht="14.45" customHeight="1">
      <c r="A81" s="88" t="s">
        <v>2839</v>
      </c>
      <c r="B81" s="46" t="s">
        <v>2840</v>
      </c>
      <c r="C81" s="76" t="s">
        <v>375</v>
      </c>
      <c r="D81" s="76">
        <v>2</v>
      </c>
      <c r="E81" s="76" t="s">
        <v>216</v>
      </c>
      <c r="F81" s="104">
        <v>3</v>
      </c>
      <c r="G81" s="76" t="s">
        <v>12</v>
      </c>
      <c r="H81" s="83"/>
      <c r="I81" s="103"/>
      <c r="J81" s="76" t="s">
        <v>125</v>
      </c>
      <c r="K81" s="104">
        <v>1</v>
      </c>
      <c r="L81" s="104"/>
      <c r="M81" s="105">
        <f>IF(Tabelle1324568[[#This Row],[Pulled after Start]]="",MIN(Tabelle1324568[[#This Row],[Jira Story Points]],Tabelle1324568[[#This Row],[Carry-over]]),0)</f>
        <v>1</v>
      </c>
      <c r="N81" s="108">
        <f>MIN(Tabelle1324568[[#This Row],[Jira Story Points]],Tabelle1324568[[#This Row],[Carry-over]])-Tabelle1324568[[#This Row],[SP Initially Planned (COS)]]</f>
        <v>0</v>
      </c>
      <c r="O81"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1</v>
      </c>
      <c r="P81" s="108">
        <f>IFERROR(IF(Tabelle1324568[[#This Row],[Status]]=$I$5,MIN(Tabelle1324568[[#This Row],[Jira Story Points]],Tabelle1324568[[#This Row],[Carry-over]]),0),0)</f>
        <v>0</v>
      </c>
      <c r="Q81" s="108">
        <f>IFERROR(IF(Tabelle1324568[[#This Row],[Status]]=$I$5,0,MIN(Tabelle1324568[[#This Row],[Jira Story Points]],Tabelle1324568[[#This Row],[Carry-over]])-Tabelle1324568[[#This Row],[SP Completed (COS &amp; SOS)]]),0)</f>
        <v>0</v>
      </c>
    </row>
    <row r="82" spans="1:17" s="46" customFormat="1" ht="14.45" customHeight="1">
      <c r="A82" s="88" t="s">
        <v>1837</v>
      </c>
      <c r="B82" s="46" t="s">
        <v>1838</v>
      </c>
      <c r="C82" s="76" t="s">
        <v>375</v>
      </c>
      <c r="D82" s="76">
        <v>2</v>
      </c>
      <c r="E82" s="76" t="s">
        <v>238</v>
      </c>
      <c r="F82" s="76">
        <v>5</v>
      </c>
      <c r="G82" s="76" t="s">
        <v>12</v>
      </c>
      <c r="H82" s="76" t="s">
        <v>209</v>
      </c>
      <c r="I82" s="103"/>
      <c r="J82" s="76" t="s">
        <v>127</v>
      </c>
      <c r="K82" s="76"/>
      <c r="L82" s="76">
        <v>5</v>
      </c>
      <c r="M82" s="105">
        <f>IF(Tabelle1324568[[#This Row],[Pulled after Start]]="",MIN(Tabelle1324568[[#This Row],[Jira Story Points]],Tabelle1324568[[#This Row],[Carry-over]]),0)</f>
        <v>0</v>
      </c>
      <c r="N82" s="108">
        <f>MIN(Tabelle1324568[[#This Row],[Jira Story Points]],Tabelle1324568[[#This Row],[Carry-over]])-Tabelle1324568[[#This Row],[SP Initially Planned (COS)]]</f>
        <v>5</v>
      </c>
      <c r="O82"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82" s="108">
        <f>IFERROR(IF(Tabelle1324568[[#This Row],[Status]]=$I$5,MIN(Tabelle1324568[[#This Row],[Jira Story Points]],Tabelle1324568[[#This Row],[Carry-over]]),0),0)</f>
        <v>0</v>
      </c>
      <c r="Q82" s="108">
        <f>IFERROR(IF(Tabelle1324568[[#This Row],[Status]]=$I$5,0,MIN(Tabelle1324568[[#This Row],[Jira Story Points]],Tabelle1324568[[#This Row],[Carry-over]])-Tabelle1324568[[#This Row],[SP Completed (COS &amp; SOS)]]),0)</f>
        <v>5</v>
      </c>
    </row>
    <row r="83" spans="1:17" s="46" customFormat="1" ht="14.45" customHeight="1">
      <c r="A83" s="88" t="s">
        <v>2557</v>
      </c>
      <c r="B83" s="46" t="s">
        <v>2558</v>
      </c>
      <c r="C83" s="76" t="s">
        <v>372</v>
      </c>
      <c r="D83" s="76">
        <v>3</v>
      </c>
      <c r="E83" s="76" t="s">
        <v>238</v>
      </c>
      <c r="F83" s="104">
        <v>3</v>
      </c>
      <c r="G83" s="76" t="s">
        <v>12</v>
      </c>
      <c r="H83" s="76"/>
      <c r="I83" s="103"/>
      <c r="J83" s="76" t="s">
        <v>127</v>
      </c>
      <c r="K83" s="104">
        <v>2</v>
      </c>
      <c r="L83" s="104">
        <v>1</v>
      </c>
      <c r="M83" s="105">
        <f>IF(Tabelle1324568[[#This Row],[Pulled after Start]]="",MIN(Tabelle1324568[[#This Row],[Jira Story Points]],Tabelle1324568[[#This Row],[Carry-over]]),0)</f>
        <v>2</v>
      </c>
      <c r="N83" s="108">
        <f>MIN(Tabelle1324568[[#This Row],[Jira Story Points]],Tabelle1324568[[#This Row],[Carry-over]])-Tabelle1324568[[#This Row],[SP Initially Planned (COS)]]</f>
        <v>0</v>
      </c>
      <c r="O83"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1</v>
      </c>
      <c r="P83" s="108">
        <f>IFERROR(IF(Tabelle1324568[[#This Row],[Status]]=$I$5,MIN(Tabelle1324568[[#This Row],[Jira Story Points]],Tabelle1324568[[#This Row],[Carry-over]]),0),0)</f>
        <v>0</v>
      </c>
      <c r="Q83" s="108">
        <f>IFERROR(IF(Tabelle1324568[[#This Row],[Status]]=$I$5,0,MIN(Tabelle1324568[[#This Row],[Jira Story Points]],Tabelle1324568[[#This Row],[Carry-over]])-Tabelle1324568[[#This Row],[SP Completed (COS &amp; SOS)]]),0)</f>
        <v>1</v>
      </c>
    </row>
    <row r="84" spans="1:17" s="46" customFormat="1" ht="14.45" customHeight="1">
      <c r="A84" s="88" t="s">
        <v>2559</v>
      </c>
      <c r="B84" s="46" t="s">
        <v>2560</v>
      </c>
      <c r="C84" s="76" t="s">
        <v>372</v>
      </c>
      <c r="D84" s="76">
        <v>3</v>
      </c>
      <c r="E84" s="76" t="s">
        <v>238</v>
      </c>
      <c r="F84" s="104">
        <v>5</v>
      </c>
      <c r="G84" s="76" t="s">
        <v>12</v>
      </c>
      <c r="H84" s="83"/>
      <c r="I84" s="103"/>
      <c r="J84" s="76" t="s">
        <v>127</v>
      </c>
      <c r="K84" s="104">
        <v>2</v>
      </c>
      <c r="L84" s="104">
        <v>1</v>
      </c>
      <c r="M84" s="105">
        <f>IF(Tabelle1324568[[#This Row],[Pulled after Start]]="",MIN(Tabelle1324568[[#This Row],[Jira Story Points]],Tabelle1324568[[#This Row],[Carry-over]]),0)</f>
        <v>2</v>
      </c>
      <c r="N84" s="108">
        <f>MIN(Tabelle1324568[[#This Row],[Jira Story Points]],Tabelle1324568[[#This Row],[Carry-over]])-Tabelle1324568[[#This Row],[SP Initially Planned (COS)]]</f>
        <v>0</v>
      </c>
      <c r="O84"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1</v>
      </c>
      <c r="P84" s="108">
        <f>IFERROR(IF(Tabelle1324568[[#This Row],[Status]]=$I$5,MIN(Tabelle1324568[[#This Row],[Jira Story Points]],Tabelle1324568[[#This Row],[Carry-over]]),0),0)</f>
        <v>0</v>
      </c>
      <c r="Q84" s="108">
        <f>IFERROR(IF(Tabelle1324568[[#This Row],[Status]]=$I$5,0,MIN(Tabelle1324568[[#This Row],[Jira Story Points]],Tabelle1324568[[#This Row],[Carry-over]])-Tabelle1324568[[#This Row],[SP Completed (COS &amp; SOS)]]),0)</f>
        <v>1</v>
      </c>
    </row>
    <row r="85" spans="1:17" s="46" customFormat="1" ht="14.45" customHeight="1">
      <c r="A85" s="88" t="s">
        <v>2561</v>
      </c>
      <c r="B85" s="46" t="s">
        <v>2562</v>
      </c>
      <c r="C85" s="76" t="s">
        <v>372</v>
      </c>
      <c r="D85" s="76">
        <v>3</v>
      </c>
      <c r="E85" s="76" t="s">
        <v>238</v>
      </c>
      <c r="F85" s="76">
        <v>5</v>
      </c>
      <c r="G85" s="76" t="s">
        <v>12</v>
      </c>
      <c r="H85" s="76"/>
      <c r="I85" s="103"/>
      <c r="J85" s="76" t="s">
        <v>127</v>
      </c>
      <c r="K85" s="104">
        <v>1</v>
      </c>
      <c r="L85" s="104">
        <v>1</v>
      </c>
      <c r="M85" s="105">
        <f>IF(Tabelle1324568[[#This Row],[Pulled after Start]]="",MIN(Tabelle1324568[[#This Row],[Jira Story Points]],Tabelle1324568[[#This Row],[Carry-over]]),0)</f>
        <v>1</v>
      </c>
      <c r="N85" s="108">
        <f>MIN(Tabelle1324568[[#This Row],[Jira Story Points]],Tabelle1324568[[#This Row],[Carry-over]])-Tabelle1324568[[#This Row],[SP Initially Planned (COS)]]</f>
        <v>0</v>
      </c>
      <c r="O85"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85" s="108">
        <f>IFERROR(IF(Tabelle1324568[[#This Row],[Status]]=$I$5,MIN(Tabelle1324568[[#This Row],[Jira Story Points]],Tabelle1324568[[#This Row],[Carry-over]]),0),0)</f>
        <v>0</v>
      </c>
      <c r="Q85" s="108">
        <f>IFERROR(IF(Tabelle1324568[[#This Row],[Status]]=$I$5,0,MIN(Tabelle1324568[[#This Row],[Jira Story Points]],Tabelle1324568[[#This Row],[Carry-over]])-Tabelle1324568[[#This Row],[SP Completed (COS &amp; SOS)]]),0)</f>
        <v>1</v>
      </c>
    </row>
    <row r="86" spans="1:17" s="46" customFormat="1" ht="14.45" customHeight="1">
      <c r="A86" s="88" t="s">
        <v>2563</v>
      </c>
      <c r="B86" s="46" t="s">
        <v>2564</v>
      </c>
      <c r="C86" s="76" t="s">
        <v>372</v>
      </c>
      <c r="D86" s="76">
        <v>3</v>
      </c>
      <c r="E86" s="76" t="s">
        <v>238</v>
      </c>
      <c r="F86" s="104">
        <v>5</v>
      </c>
      <c r="G86" s="76" t="s">
        <v>12</v>
      </c>
      <c r="H86" s="76"/>
      <c r="I86" s="103"/>
      <c r="J86" s="76" t="s">
        <v>127</v>
      </c>
      <c r="K86" s="76">
        <v>1</v>
      </c>
      <c r="L86" s="76">
        <v>1</v>
      </c>
      <c r="M86" s="105">
        <f>IF(Tabelle1324568[[#This Row],[Pulled after Start]]="",MIN(Tabelle1324568[[#This Row],[Jira Story Points]],Tabelle1324568[[#This Row],[Carry-over]]),0)</f>
        <v>1</v>
      </c>
      <c r="N86" s="108">
        <f>MIN(Tabelle1324568[[#This Row],[Jira Story Points]],Tabelle1324568[[#This Row],[Carry-over]])-Tabelle1324568[[#This Row],[SP Initially Planned (COS)]]</f>
        <v>0</v>
      </c>
      <c r="O86"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86" s="108">
        <f>IFERROR(IF(Tabelle1324568[[#This Row],[Status]]=$I$5,MIN(Tabelle1324568[[#This Row],[Jira Story Points]],Tabelle1324568[[#This Row],[Carry-over]]),0),0)</f>
        <v>0</v>
      </c>
      <c r="Q86" s="108">
        <f>IFERROR(IF(Tabelle1324568[[#This Row],[Status]]=$I$5,0,MIN(Tabelle1324568[[#This Row],[Jira Story Points]],Tabelle1324568[[#This Row],[Carry-over]])-Tabelle1324568[[#This Row],[SP Completed (COS &amp; SOS)]]),0)</f>
        <v>1</v>
      </c>
    </row>
    <row r="87" spans="1:17" s="46" customFormat="1" ht="14.45" customHeight="1">
      <c r="A87" s="88" t="s">
        <v>2841</v>
      </c>
      <c r="B87" s="46" t="s">
        <v>2842</v>
      </c>
      <c r="C87" s="76" t="s">
        <v>372</v>
      </c>
      <c r="D87" s="76">
        <v>3</v>
      </c>
      <c r="E87" s="76" t="s">
        <v>216</v>
      </c>
      <c r="F87" s="104">
        <v>1</v>
      </c>
      <c r="G87" s="76" t="s">
        <v>12</v>
      </c>
      <c r="H87" s="76" t="s">
        <v>209</v>
      </c>
      <c r="J87" s="76" t="s">
        <v>125</v>
      </c>
      <c r="K87" s="76"/>
      <c r="L87" s="76"/>
      <c r="M87" s="105">
        <f>IF(Tabelle1324568[[#This Row],[Pulled after Start]]="",MIN(Tabelle1324568[[#This Row],[Jira Story Points]],Tabelle1324568[[#This Row],[Carry-over]]),0)</f>
        <v>0</v>
      </c>
      <c r="N87" s="108">
        <f>MIN(Tabelle1324568[[#This Row],[Jira Story Points]],Tabelle1324568[[#This Row],[Carry-over]])-Tabelle1324568[[#This Row],[SP Initially Planned (COS)]]</f>
        <v>1</v>
      </c>
      <c r="O87"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1</v>
      </c>
      <c r="P87" s="108">
        <f>IFERROR(IF(Tabelle1324568[[#This Row],[Status]]=$I$5,MIN(Tabelle1324568[[#This Row],[Jira Story Points]],Tabelle1324568[[#This Row],[Carry-over]]),0),0)</f>
        <v>0</v>
      </c>
      <c r="Q87" s="108">
        <f>IFERROR(IF(Tabelle1324568[[#This Row],[Status]]=$I$5,0,MIN(Tabelle1324568[[#This Row],[Jira Story Points]],Tabelle1324568[[#This Row],[Carry-over]])-Tabelle1324568[[#This Row],[SP Completed (COS &amp; SOS)]]),0)</f>
        <v>0</v>
      </c>
    </row>
    <row r="88" spans="1:17" s="46" customFormat="1">
      <c r="A88" s="88" t="s">
        <v>2843</v>
      </c>
      <c r="B88" s="46" t="s">
        <v>2844</v>
      </c>
      <c r="C88" s="76" t="s">
        <v>372</v>
      </c>
      <c r="D88" s="76">
        <v>3</v>
      </c>
      <c r="E88" s="76" t="s">
        <v>216</v>
      </c>
      <c r="F88" s="104">
        <v>3</v>
      </c>
      <c r="G88" s="76" t="s">
        <v>12</v>
      </c>
      <c r="H88" s="83"/>
      <c r="I88" s="103"/>
      <c r="J88" s="76" t="s">
        <v>125</v>
      </c>
      <c r="K88" s="104">
        <v>1</v>
      </c>
      <c r="L88" s="104"/>
      <c r="M88" s="105">
        <f>IF(Tabelle1324568[[#This Row],[Pulled after Start]]="",MIN(Tabelle1324568[[#This Row],[Jira Story Points]],Tabelle1324568[[#This Row],[Carry-over]]),0)</f>
        <v>1</v>
      </c>
      <c r="N88" s="108">
        <f>MIN(Tabelle1324568[[#This Row],[Jira Story Points]],Tabelle1324568[[#This Row],[Carry-over]])-Tabelle1324568[[#This Row],[SP Initially Planned (COS)]]</f>
        <v>0</v>
      </c>
      <c r="O88"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1</v>
      </c>
      <c r="P88" s="108">
        <f>IFERROR(IF(Tabelle1324568[[#This Row],[Status]]=$I$5,MIN(Tabelle1324568[[#This Row],[Jira Story Points]],Tabelle1324568[[#This Row],[Carry-over]]),0),0)</f>
        <v>0</v>
      </c>
      <c r="Q88" s="108">
        <f>IFERROR(IF(Tabelle1324568[[#This Row],[Status]]=$I$5,0,MIN(Tabelle1324568[[#This Row],[Jira Story Points]],Tabelle1324568[[#This Row],[Carry-over]])-Tabelle1324568[[#This Row],[SP Completed (COS &amp; SOS)]]),0)</f>
        <v>0</v>
      </c>
    </row>
    <row r="89" spans="1:17" s="46" customFormat="1" ht="13.5" customHeight="1">
      <c r="A89" s="88" t="s">
        <v>2325</v>
      </c>
      <c r="B89" s="46" t="s">
        <v>2326</v>
      </c>
      <c r="C89" s="76" t="s">
        <v>372</v>
      </c>
      <c r="D89" s="76">
        <v>3</v>
      </c>
      <c r="E89" s="76" t="s">
        <v>238</v>
      </c>
      <c r="F89" s="104">
        <v>3</v>
      </c>
      <c r="G89" s="76" t="s">
        <v>12</v>
      </c>
      <c r="H89" s="83" t="s">
        <v>209</v>
      </c>
      <c r="I89" s="103"/>
      <c r="J89" s="76" t="s">
        <v>127</v>
      </c>
      <c r="K89" s="104"/>
      <c r="L89" s="104">
        <v>2</v>
      </c>
      <c r="M89" s="105">
        <f>IF(Tabelle1324568[[#This Row],[Pulled after Start]]="",MIN(Tabelle1324568[[#This Row],[Jira Story Points]],Tabelle1324568[[#This Row],[Carry-over]]),0)</f>
        <v>0</v>
      </c>
      <c r="N89" s="108">
        <f>MIN(Tabelle1324568[[#This Row],[Jira Story Points]],Tabelle1324568[[#This Row],[Carry-over]])-Tabelle1324568[[#This Row],[SP Initially Planned (COS)]]</f>
        <v>3</v>
      </c>
      <c r="O89"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1</v>
      </c>
      <c r="P89" s="108">
        <f>IFERROR(IF(Tabelle1324568[[#This Row],[Status]]=$I$5,MIN(Tabelle1324568[[#This Row],[Jira Story Points]],Tabelle1324568[[#This Row],[Carry-over]]),0),0)</f>
        <v>0</v>
      </c>
      <c r="Q89" s="108">
        <f>IFERROR(IF(Tabelle1324568[[#This Row],[Status]]=$I$5,0,MIN(Tabelle1324568[[#This Row],[Jira Story Points]],Tabelle1324568[[#This Row],[Carry-over]])-Tabelle1324568[[#This Row],[SP Completed (COS &amp; SOS)]]),0)</f>
        <v>2</v>
      </c>
    </row>
    <row r="90" spans="1:17" s="46" customFormat="1" ht="13.5" customHeight="1">
      <c r="A90" s="88" t="s">
        <v>2845</v>
      </c>
      <c r="B90" s="46" t="s">
        <v>2846</v>
      </c>
      <c r="C90" s="76" t="s">
        <v>382</v>
      </c>
      <c r="D90" s="76">
        <v>3</v>
      </c>
      <c r="E90" s="76" t="s">
        <v>216</v>
      </c>
      <c r="F90" s="104" t="s">
        <v>210</v>
      </c>
      <c r="G90" s="76" t="s">
        <v>12</v>
      </c>
      <c r="H90" s="76"/>
      <c r="J90" s="76" t="s">
        <v>125</v>
      </c>
      <c r="K90" s="76"/>
      <c r="L90" s="76"/>
      <c r="M90" s="105">
        <f>IF(Tabelle1324568[[#This Row],[Pulled after Start]]="",MIN(Tabelle1324568[[#This Row],[Jira Story Points]],Tabelle1324568[[#This Row],[Carry-over]]),0)</f>
        <v>0</v>
      </c>
      <c r="N90" s="108">
        <f>MIN(Tabelle1324568[[#This Row],[Jira Story Points]],Tabelle1324568[[#This Row],[Carry-over]])-Tabelle1324568[[#This Row],[SP Initially Planned (COS)]]</f>
        <v>0</v>
      </c>
      <c r="O90" s="107" t="str">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v>
      </c>
      <c r="P90" s="108">
        <f>IFERROR(IF(Tabelle1324568[[#This Row],[Status]]=$I$5,MIN(Tabelle1324568[[#This Row],[Jira Story Points]],Tabelle1324568[[#This Row],[Carry-over]]),0),0)</f>
        <v>0</v>
      </c>
      <c r="Q90" s="108">
        <f>IFERROR(IF(Tabelle1324568[[#This Row],[Status]]=$I$5,0,MIN(Tabelle1324568[[#This Row],[Jira Story Points]],Tabelle1324568[[#This Row],[Carry-over]])-Tabelle1324568[[#This Row],[SP Completed (COS &amp; SOS)]]),0)</f>
        <v>0</v>
      </c>
    </row>
    <row r="91" spans="1:17" s="46" customFormat="1" ht="13.5" customHeight="1">
      <c r="A91" s="88" t="s">
        <v>2847</v>
      </c>
      <c r="B91" s="46" t="s">
        <v>2848</v>
      </c>
      <c r="C91" s="76" t="s">
        <v>382</v>
      </c>
      <c r="D91" s="76">
        <v>3</v>
      </c>
      <c r="E91" s="76" t="s">
        <v>216</v>
      </c>
      <c r="F91" s="104" t="s">
        <v>210</v>
      </c>
      <c r="G91" s="76" t="s">
        <v>12</v>
      </c>
      <c r="H91" s="76"/>
      <c r="I91" s="103"/>
      <c r="J91" s="76" t="s">
        <v>125</v>
      </c>
      <c r="K91" s="76"/>
      <c r="L91" s="76"/>
      <c r="M91" s="105">
        <f>IF(Tabelle1324568[[#This Row],[Pulled after Start]]="",MIN(Tabelle1324568[[#This Row],[Jira Story Points]],Tabelle1324568[[#This Row],[Carry-over]]),0)</f>
        <v>0</v>
      </c>
      <c r="N91" s="108">
        <f>MIN(Tabelle1324568[[#This Row],[Jira Story Points]],Tabelle1324568[[#This Row],[Carry-over]])-Tabelle1324568[[#This Row],[SP Initially Planned (COS)]]</f>
        <v>0</v>
      </c>
      <c r="O91" s="107" t="str">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v>
      </c>
      <c r="P91" s="108">
        <f>IFERROR(IF(Tabelle1324568[[#This Row],[Status]]=$I$5,MIN(Tabelle1324568[[#This Row],[Jira Story Points]],Tabelle1324568[[#This Row],[Carry-over]]),0),0)</f>
        <v>0</v>
      </c>
      <c r="Q91" s="108">
        <f>IFERROR(IF(Tabelle1324568[[#This Row],[Status]]=$I$5,0,MIN(Tabelle1324568[[#This Row],[Jira Story Points]],Tabelle1324568[[#This Row],[Carry-over]])-Tabelle1324568[[#This Row],[SP Completed (COS &amp; SOS)]]),0)</f>
        <v>0</v>
      </c>
    </row>
    <row r="92" spans="1:17" s="46" customFormat="1" ht="13.5" customHeight="1">
      <c r="A92" s="88" t="s">
        <v>2569</v>
      </c>
      <c r="B92" s="46" t="s">
        <v>2570</v>
      </c>
      <c r="C92" s="76" t="s">
        <v>382</v>
      </c>
      <c r="D92" s="76">
        <v>3</v>
      </c>
      <c r="E92" s="76" t="s">
        <v>264</v>
      </c>
      <c r="F92" s="104" t="s">
        <v>210</v>
      </c>
      <c r="G92" s="76" t="s">
        <v>12</v>
      </c>
      <c r="H92" s="76" t="s">
        <v>209</v>
      </c>
      <c r="I92" s="79"/>
      <c r="J92" s="76" t="s">
        <v>127</v>
      </c>
      <c r="K92" s="104"/>
      <c r="L92" s="104"/>
      <c r="M92" s="105">
        <f>IF(Tabelle1324568[[#This Row],[Pulled after Start]]="",MIN(Tabelle1324568[[#This Row],[Jira Story Points]],Tabelle1324568[[#This Row],[Carry-over]]),0)</f>
        <v>0</v>
      </c>
      <c r="N92" s="108">
        <f>MIN(Tabelle1324568[[#This Row],[Jira Story Points]],Tabelle1324568[[#This Row],[Carry-over]])-Tabelle1324568[[#This Row],[SP Initially Planned (COS)]]</f>
        <v>0</v>
      </c>
      <c r="O92"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92" s="108">
        <f>IFERROR(IF(Tabelle1324568[[#This Row],[Status]]=$I$5,MIN(Tabelle1324568[[#This Row],[Jira Story Points]],Tabelle1324568[[#This Row],[Carry-over]]),0),0)</f>
        <v>0</v>
      </c>
      <c r="Q92" s="108">
        <f>IFERROR(IF(Tabelle1324568[[#This Row],[Status]]=$I$5,0,MIN(Tabelle1324568[[#This Row],[Jira Story Points]],Tabelle1324568[[#This Row],[Carry-over]])-Tabelle1324568[[#This Row],[SP Completed (COS &amp; SOS)]]),0)</f>
        <v>0</v>
      </c>
    </row>
    <row r="93" spans="1:17" s="46" customFormat="1" ht="13.5" customHeight="1">
      <c r="A93" s="115" t="s">
        <v>2655</v>
      </c>
      <c r="B93" s="49" t="s">
        <v>2656</v>
      </c>
      <c r="C93" s="76" t="s">
        <v>372</v>
      </c>
      <c r="D93" s="76">
        <v>3</v>
      </c>
      <c r="E93" s="76" t="s">
        <v>327</v>
      </c>
      <c r="F93" s="104">
        <v>3</v>
      </c>
      <c r="G93" s="76" t="s">
        <v>27</v>
      </c>
      <c r="H93" s="83" t="s">
        <v>209</v>
      </c>
      <c r="I93" s="103"/>
      <c r="J93" s="76" t="s">
        <v>127</v>
      </c>
      <c r="K93" s="104"/>
      <c r="L93" s="104"/>
      <c r="M93" s="105">
        <f>IF(Tabelle1324568[[#This Row],[Pulled after Start]]="",MIN(Tabelle1324568[[#This Row],[Jira Story Points]],Tabelle1324568[[#This Row],[Carry-over]]),0)</f>
        <v>0</v>
      </c>
      <c r="N93" s="108">
        <f>MIN(Tabelle1324568[[#This Row],[Jira Story Points]],Tabelle1324568[[#This Row],[Carry-over]])-Tabelle1324568[[#This Row],[SP Initially Planned (COS)]]</f>
        <v>3</v>
      </c>
      <c r="O93"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93" s="108">
        <f>IFERROR(IF(Tabelle1324568[[#This Row],[Status]]=$I$5,MIN(Tabelle1324568[[#This Row],[Jira Story Points]],Tabelle1324568[[#This Row],[Carry-over]]),0),0)</f>
        <v>0</v>
      </c>
      <c r="Q93" s="108">
        <f>IFERROR(IF(Tabelle1324568[[#This Row],[Status]]=$I$5,0,MIN(Tabelle1324568[[#This Row],[Jira Story Points]],Tabelle1324568[[#This Row],[Carry-over]])-Tabelle1324568[[#This Row],[SP Completed (COS &amp; SOS)]]),0)</f>
        <v>3</v>
      </c>
    </row>
    <row r="94" spans="1:17" s="46" customFormat="1" ht="13.5" customHeight="1">
      <c r="A94" s="115" t="s">
        <v>2849</v>
      </c>
      <c r="B94" s="49" t="s">
        <v>2850</v>
      </c>
      <c r="C94" s="76" t="s">
        <v>372</v>
      </c>
      <c r="D94" s="76">
        <v>3</v>
      </c>
      <c r="E94" s="76" t="s">
        <v>324</v>
      </c>
      <c r="F94" s="104">
        <v>3</v>
      </c>
      <c r="G94" s="76" t="s">
        <v>27</v>
      </c>
      <c r="H94" s="83" t="s">
        <v>209</v>
      </c>
      <c r="I94" s="103"/>
      <c r="J94" s="76" t="s">
        <v>125</v>
      </c>
      <c r="K94" s="104"/>
      <c r="L94" s="104"/>
      <c r="M94" s="105">
        <f>IF(Tabelle1324568[[#This Row],[Pulled after Start]]="",MIN(Tabelle1324568[[#This Row],[Jira Story Points]],Tabelle1324568[[#This Row],[Carry-over]]),0)</f>
        <v>0</v>
      </c>
      <c r="N94" s="108">
        <f>MIN(Tabelle1324568[[#This Row],[Jira Story Points]],Tabelle1324568[[#This Row],[Carry-over]])-Tabelle1324568[[#This Row],[SP Initially Planned (COS)]]</f>
        <v>3</v>
      </c>
      <c r="O94"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94" s="108">
        <f>IFERROR(IF(Tabelle1324568[[#This Row],[Status]]=$I$5,MIN(Tabelle1324568[[#This Row],[Jira Story Points]],Tabelle1324568[[#This Row],[Carry-over]]),0),0)</f>
        <v>0</v>
      </c>
      <c r="Q94" s="108">
        <f>IFERROR(IF(Tabelle1324568[[#This Row],[Status]]=$I$5,0,MIN(Tabelle1324568[[#This Row],[Jira Story Points]],Tabelle1324568[[#This Row],[Carry-over]])-Tabelle1324568[[#This Row],[SP Completed (COS &amp; SOS)]]),0)</f>
        <v>0</v>
      </c>
    </row>
    <row r="95" spans="1:17" s="46" customFormat="1" ht="13.5" customHeight="1">
      <c r="A95" s="115" t="s">
        <v>2851</v>
      </c>
      <c r="B95" s="47" t="s">
        <v>2852</v>
      </c>
      <c r="C95" s="76" t="s">
        <v>375</v>
      </c>
      <c r="D95" s="76">
        <v>2</v>
      </c>
      <c r="E95" s="76" t="s">
        <v>324</v>
      </c>
      <c r="F95" s="104">
        <v>3</v>
      </c>
      <c r="G95" s="76" t="s">
        <v>27</v>
      </c>
      <c r="H95" s="83"/>
      <c r="I95" s="103"/>
      <c r="J95" s="76" t="s">
        <v>125</v>
      </c>
      <c r="K95" s="104"/>
      <c r="L95" s="104"/>
      <c r="M95" s="105">
        <f>IF(Tabelle1324568[[#This Row],[Pulled after Start]]="",MIN(Tabelle1324568[[#This Row],[Jira Story Points]],Tabelle1324568[[#This Row],[Carry-over]]),0)</f>
        <v>3</v>
      </c>
      <c r="N95" s="108">
        <f>MIN(Tabelle1324568[[#This Row],[Jira Story Points]],Tabelle1324568[[#This Row],[Carry-over]])-Tabelle1324568[[#This Row],[SP Initially Planned (COS)]]</f>
        <v>0</v>
      </c>
      <c r="O95"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95" s="108">
        <f>IFERROR(IF(Tabelle1324568[[#This Row],[Status]]=$I$5,MIN(Tabelle1324568[[#This Row],[Jira Story Points]],Tabelle1324568[[#This Row],[Carry-over]]),0),0)</f>
        <v>0</v>
      </c>
      <c r="Q95" s="108">
        <f>IFERROR(IF(Tabelle1324568[[#This Row],[Status]]=$I$5,0,MIN(Tabelle1324568[[#This Row],[Jira Story Points]],Tabelle1324568[[#This Row],[Carry-over]])-Tabelle1324568[[#This Row],[SP Completed (COS &amp; SOS)]]),0)</f>
        <v>0</v>
      </c>
    </row>
    <row r="96" spans="1:17" s="46" customFormat="1" ht="13.5" customHeight="1">
      <c r="A96" s="115" t="s">
        <v>2853</v>
      </c>
      <c r="B96" s="47" t="s">
        <v>2854</v>
      </c>
      <c r="C96" s="76" t="s">
        <v>382</v>
      </c>
      <c r="D96" s="76">
        <v>3</v>
      </c>
      <c r="E96" s="76" t="s">
        <v>330</v>
      </c>
      <c r="F96" s="104"/>
      <c r="G96" s="76" t="s">
        <v>27</v>
      </c>
      <c r="H96" s="83"/>
      <c r="I96" s="103"/>
      <c r="J96" s="76" t="s">
        <v>127</v>
      </c>
      <c r="K96" s="104"/>
      <c r="L96" s="104"/>
      <c r="M96" s="105">
        <f>IF(Tabelle1324568[[#This Row],[Pulled after Start]]="",MIN(Tabelle1324568[[#This Row],[Jira Story Points]],Tabelle1324568[[#This Row],[Carry-over]]),0)</f>
        <v>0</v>
      </c>
      <c r="N96" s="108">
        <f>MIN(Tabelle1324568[[#This Row],[Jira Story Points]],Tabelle1324568[[#This Row],[Carry-over]])-Tabelle1324568[[#This Row],[SP Initially Planned (COS)]]</f>
        <v>0</v>
      </c>
      <c r="O96"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96" s="108">
        <f>IFERROR(IF(Tabelle1324568[[#This Row],[Status]]=$I$5,MIN(Tabelle1324568[[#This Row],[Jira Story Points]],Tabelle1324568[[#This Row],[Carry-over]]),0),0)</f>
        <v>0</v>
      </c>
      <c r="Q96" s="108">
        <f>IFERROR(IF(Tabelle1324568[[#This Row],[Status]]=$I$5,0,MIN(Tabelle1324568[[#This Row],[Jira Story Points]],Tabelle1324568[[#This Row],[Carry-over]])-Tabelle1324568[[#This Row],[SP Completed (COS &amp; SOS)]]),0)</f>
        <v>0</v>
      </c>
    </row>
    <row r="97" spans="1:17" s="46" customFormat="1" ht="13.5" customHeight="1">
      <c r="A97" s="115" t="s">
        <v>2855</v>
      </c>
      <c r="B97" s="47" t="s">
        <v>2856</v>
      </c>
      <c r="C97" s="76" t="s">
        <v>375</v>
      </c>
      <c r="D97" s="76">
        <v>2</v>
      </c>
      <c r="E97" s="76" t="s">
        <v>327</v>
      </c>
      <c r="F97" s="104">
        <v>3</v>
      </c>
      <c r="G97" s="76" t="s">
        <v>27</v>
      </c>
      <c r="H97" s="83" t="s">
        <v>209</v>
      </c>
      <c r="I97" s="103"/>
      <c r="J97" s="76" t="s">
        <v>127</v>
      </c>
      <c r="K97" s="104"/>
      <c r="L97" s="104"/>
      <c r="M97" s="105">
        <f>IF(Tabelle1324568[[#This Row],[Pulled after Start]]="",MIN(Tabelle1324568[[#This Row],[Jira Story Points]],Tabelle1324568[[#This Row],[Carry-over]]),0)</f>
        <v>0</v>
      </c>
      <c r="N97" s="108">
        <f>MIN(Tabelle1324568[[#This Row],[Jira Story Points]],Tabelle1324568[[#This Row],[Carry-over]])-Tabelle1324568[[#This Row],[SP Initially Planned (COS)]]</f>
        <v>3</v>
      </c>
      <c r="O97"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97" s="108">
        <f>IFERROR(IF(Tabelle1324568[[#This Row],[Status]]=$I$5,MIN(Tabelle1324568[[#This Row],[Jira Story Points]],Tabelle1324568[[#This Row],[Carry-over]]),0),0)</f>
        <v>0</v>
      </c>
      <c r="Q97" s="108">
        <f>IFERROR(IF(Tabelle1324568[[#This Row],[Status]]=$I$5,0,MIN(Tabelle1324568[[#This Row],[Jira Story Points]],Tabelle1324568[[#This Row],[Carry-over]])-Tabelle1324568[[#This Row],[SP Completed (COS &amp; SOS)]]),0)</f>
        <v>3</v>
      </c>
    </row>
    <row r="98" spans="1:17" s="46" customFormat="1" ht="13.5" customHeight="1">
      <c r="A98" s="115" t="s">
        <v>2857</v>
      </c>
      <c r="B98" s="47" t="s">
        <v>2858</v>
      </c>
      <c r="C98" s="76" t="s">
        <v>375</v>
      </c>
      <c r="D98" s="76">
        <v>3</v>
      </c>
      <c r="E98" s="76" t="s">
        <v>324</v>
      </c>
      <c r="F98" s="104">
        <v>3</v>
      </c>
      <c r="G98" s="76" t="s">
        <v>27</v>
      </c>
      <c r="H98" s="83"/>
      <c r="I98" s="103"/>
      <c r="J98" s="76" t="s">
        <v>125</v>
      </c>
      <c r="K98" s="104"/>
      <c r="L98" s="104"/>
      <c r="M98" s="105">
        <f>IF(Tabelle1324568[[#This Row],[Pulled after Start]]="",MIN(Tabelle1324568[[#This Row],[Jira Story Points]],Tabelle1324568[[#This Row],[Carry-over]]),0)</f>
        <v>3</v>
      </c>
      <c r="N98" s="108">
        <f>MIN(Tabelle1324568[[#This Row],[Jira Story Points]],Tabelle1324568[[#This Row],[Carry-over]])-Tabelle1324568[[#This Row],[SP Initially Planned (COS)]]</f>
        <v>0</v>
      </c>
      <c r="O98"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98" s="108">
        <f>IFERROR(IF(Tabelle1324568[[#This Row],[Status]]=$I$5,MIN(Tabelle1324568[[#This Row],[Jira Story Points]],Tabelle1324568[[#This Row],[Carry-over]]),0),0)</f>
        <v>0</v>
      </c>
      <c r="Q98" s="108">
        <f>IFERROR(IF(Tabelle1324568[[#This Row],[Status]]=$I$5,0,MIN(Tabelle1324568[[#This Row],[Jira Story Points]],Tabelle1324568[[#This Row],[Carry-over]])-Tabelle1324568[[#This Row],[SP Completed (COS &amp; SOS)]]),0)</f>
        <v>0</v>
      </c>
    </row>
    <row r="99" spans="1:17" s="46" customFormat="1" ht="13.5" customHeight="1">
      <c r="A99" s="115" t="s">
        <v>2859</v>
      </c>
      <c r="B99" s="47" t="s">
        <v>2860</v>
      </c>
      <c r="C99" s="76" t="s">
        <v>372</v>
      </c>
      <c r="D99" s="76">
        <v>2</v>
      </c>
      <c r="E99" s="76" t="s">
        <v>324</v>
      </c>
      <c r="F99" s="104">
        <v>1</v>
      </c>
      <c r="G99" s="76" t="s">
        <v>27</v>
      </c>
      <c r="H99" s="83"/>
      <c r="I99" s="103"/>
      <c r="J99" s="76" t="s">
        <v>125</v>
      </c>
      <c r="K99" s="104"/>
      <c r="L99" s="104"/>
      <c r="M99" s="105">
        <f>IF(Tabelle1324568[[#This Row],[Pulled after Start]]="",MIN(Tabelle1324568[[#This Row],[Jira Story Points]],Tabelle1324568[[#This Row],[Carry-over]]),0)</f>
        <v>1</v>
      </c>
      <c r="N99" s="108">
        <f>MIN(Tabelle1324568[[#This Row],[Jira Story Points]],Tabelle1324568[[#This Row],[Carry-over]])-Tabelle1324568[[#This Row],[SP Initially Planned (COS)]]</f>
        <v>0</v>
      </c>
      <c r="O99"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1</v>
      </c>
      <c r="P99" s="108">
        <f>IFERROR(IF(Tabelle1324568[[#This Row],[Status]]=$I$5,MIN(Tabelle1324568[[#This Row],[Jira Story Points]],Tabelle1324568[[#This Row],[Carry-over]]),0),0)</f>
        <v>0</v>
      </c>
      <c r="Q99" s="108">
        <f>IFERROR(IF(Tabelle1324568[[#This Row],[Status]]=$I$5,0,MIN(Tabelle1324568[[#This Row],[Jira Story Points]],Tabelle1324568[[#This Row],[Carry-over]])-Tabelle1324568[[#This Row],[SP Completed (COS &amp; SOS)]]),0)</f>
        <v>0</v>
      </c>
    </row>
    <row r="100" spans="1:17" s="46" customFormat="1" ht="13.5" customHeight="1">
      <c r="A100" s="115" t="s">
        <v>2861</v>
      </c>
      <c r="B100" s="47" t="s">
        <v>2862</v>
      </c>
      <c r="C100" s="76" t="s">
        <v>372</v>
      </c>
      <c r="D100" s="76">
        <v>3</v>
      </c>
      <c r="E100" s="76" t="s">
        <v>324</v>
      </c>
      <c r="F100" s="104">
        <v>3</v>
      </c>
      <c r="G100" s="76" t="s">
        <v>27</v>
      </c>
      <c r="H100" s="83" t="s">
        <v>209</v>
      </c>
      <c r="I100" s="103"/>
      <c r="J100" s="76" t="s">
        <v>125</v>
      </c>
      <c r="K100" s="104"/>
      <c r="L100" s="104"/>
      <c r="M100" s="105">
        <f>IF(Tabelle1324568[[#This Row],[Pulled after Start]]="",MIN(Tabelle1324568[[#This Row],[Jira Story Points]],Tabelle1324568[[#This Row],[Carry-over]]),0)</f>
        <v>0</v>
      </c>
      <c r="N100" s="108">
        <f>MIN(Tabelle1324568[[#This Row],[Jira Story Points]],Tabelle1324568[[#This Row],[Carry-over]])-Tabelle1324568[[#This Row],[SP Initially Planned (COS)]]</f>
        <v>3</v>
      </c>
      <c r="O100"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00" s="108">
        <f>IFERROR(IF(Tabelle1324568[[#This Row],[Status]]=$I$5,MIN(Tabelle1324568[[#This Row],[Jira Story Points]],Tabelle1324568[[#This Row],[Carry-over]]),0),0)</f>
        <v>0</v>
      </c>
      <c r="Q100" s="108">
        <f>IFERROR(IF(Tabelle1324568[[#This Row],[Status]]=$I$5,0,MIN(Tabelle1324568[[#This Row],[Jira Story Points]],Tabelle1324568[[#This Row],[Carry-over]])-Tabelle1324568[[#This Row],[SP Completed (COS &amp; SOS)]]),0)</f>
        <v>0</v>
      </c>
    </row>
    <row r="101" spans="1:17" s="46" customFormat="1" ht="13.5" customHeight="1">
      <c r="A101" s="115" t="s">
        <v>2863</v>
      </c>
      <c r="B101" s="47" t="s">
        <v>2864</v>
      </c>
      <c r="C101" s="76" t="s">
        <v>372</v>
      </c>
      <c r="D101" s="76">
        <v>3</v>
      </c>
      <c r="E101" s="76" t="s">
        <v>327</v>
      </c>
      <c r="F101" s="104">
        <v>3</v>
      </c>
      <c r="G101" s="76" t="s">
        <v>27</v>
      </c>
      <c r="H101" s="83"/>
      <c r="I101" s="103"/>
      <c r="J101" s="76" t="s">
        <v>127</v>
      </c>
      <c r="K101" s="104"/>
      <c r="L101" s="104"/>
      <c r="M101" s="105">
        <f>IF(Tabelle1324568[[#This Row],[Pulled after Start]]="",MIN(Tabelle1324568[[#This Row],[Jira Story Points]],Tabelle1324568[[#This Row],[Carry-over]]),0)</f>
        <v>3</v>
      </c>
      <c r="N101" s="108">
        <f>MIN(Tabelle1324568[[#This Row],[Jira Story Points]],Tabelle1324568[[#This Row],[Carry-over]])-Tabelle1324568[[#This Row],[SP Initially Planned (COS)]]</f>
        <v>0</v>
      </c>
      <c r="O101"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101" s="108">
        <f>IFERROR(IF(Tabelle1324568[[#This Row],[Status]]=$I$5,MIN(Tabelle1324568[[#This Row],[Jira Story Points]],Tabelle1324568[[#This Row],[Carry-over]]),0),0)</f>
        <v>0</v>
      </c>
      <c r="Q101" s="108">
        <f>IFERROR(IF(Tabelle1324568[[#This Row],[Status]]=$I$5,0,MIN(Tabelle1324568[[#This Row],[Jira Story Points]],Tabelle1324568[[#This Row],[Carry-over]])-Tabelle1324568[[#This Row],[SP Completed (COS &amp; SOS)]]),0)</f>
        <v>3</v>
      </c>
    </row>
    <row r="102" spans="1:17" s="46" customFormat="1" ht="13.5" customHeight="1">
      <c r="A102" s="115" t="s">
        <v>2661</v>
      </c>
      <c r="B102" s="47" t="s">
        <v>2662</v>
      </c>
      <c r="C102" s="76" t="s">
        <v>372</v>
      </c>
      <c r="D102" s="76">
        <v>3</v>
      </c>
      <c r="E102" s="76" t="s">
        <v>327</v>
      </c>
      <c r="F102" s="104">
        <v>5</v>
      </c>
      <c r="G102" s="76" t="s">
        <v>27</v>
      </c>
      <c r="H102" s="83"/>
      <c r="I102" s="103"/>
      <c r="J102" s="76" t="s">
        <v>127</v>
      </c>
      <c r="K102" s="104"/>
      <c r="L102" s="104"/>
      <c r="M102" s="105">
        <f>IF(Tabelle1324568[[#This Row],[Pulled after Start]]="",MIN(Tabelle1324568[[#This Row],[Jira Story Points]],Tabelle1324568[[#This Row],[Carry-over]]),0)</f>
        <v>5</v>
      </c>
      <c r="N102" s="108">
        <f>MIN(Tabelle1324568[[#This Row],[Jira Story Points]],Tabelle1324568[[#This Row],[Carry-over]])-Tabelle1324568[[#This Row],[SP Initially Planned (COS)]]</f>
        <v>0</v>
      </c>
      <c r="O102"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102" s="108">
        <f>IFERROR(IF(Tabelle1324568[[#This Row],[Status]]=$I$5,MIN(Tabelle1324568[[#This Row],[Jira Story Points]],Tabelle1324568[[#This Row],[Carry-over]]),0),0)</f>
        <v>0</v>
      </c>
      <c r="Q102" s="108">
        <f>IFERROR(IF(Tabelle1324568[[#This Row],[Status]]=$I$5,0,MIN(Tabelle1324568[[#This Row],[Jira Story Points]],Tabelle1324568[[#This Row],[Carry-over]])-Tabelle1324568[[#This Row],[SP Completed (COS &amp; SOS)]]),0)</f>
        <v>5</v>
      </c>
    </row>
    <row r="103" spans="1:17" s="46" customFormat="1" ht="13.5" customHeight="1">
      <c r="A103" s="115" t="s">
        <v>2865</v>
      </c>
      <c r="B103" s="47" t="s">
        <v>2866</v>
      </c>
      <c r="C103" s="76" t="s">
        <v>372</v>
      </c>
      <c r="D103" s="76">
        <v>3</v>
      </c>
      <c r="E103" s="76" t="s">
        <v>324</v>
      </c>
      <c r="F103" s="104">
        <v>5</v>
      </c>
      <c r="G103" s="76" t="s">
        <v>27</v>
      </c>
      <c r="H103" s="83" t="s">
        <v>209</v>
      </c>
      <c r="I103" s="103"/>
      <c r="J103" s="76" t="s">
        <v>125</v>
      </c>
      <c r="K103" s="104"/>
      <c r="L103" s="104"/>
      <c r="M103" s="105">
        <f>IF(Tabelle1324568[[#This Row],[Pulled after Start]]="",MIN(Tabelle1324568[[#This Row],[Jira Story Points]],Tabelle1324568[[#This Row],[Carry-over]]),0)</f>
        <v>0</v>
      </c>
      <c r="N103" s="108">
        <f>MIN(Tabelle1324568[[#This Row],[Jira Story Points]],Tabelle1324568[[#This Row],[Carry-over]])-Tabelle1324568[[#This Row],[SP Initially Planned (COS)]]</f>
        <v>5</v>
      </c>
      <c r="O103"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5</v>
      </c>
      <c r="P103" s="108">
        <f>IFERROR(IF(Tabelle1324568[[#This Row],[Status]]=$I$5,MIN(Tabelle1324568[[#This Row],[Jira Story Points]],Tabelle1324568[[#This Row],[Carry-over]]),0),0)</f>
        <v>0</v>
      </c>
      <c r="Q103" s="108">
        <f>IFERROR(IF(Tabelle1324568[[#This Row],[Status]]=$I$5,0,MIN(Tabelle1324568[[#This Row],[Jira Story Points]],Tabelle1324568[[#This Row],[Carry-over]])-Tabelle1324568[[#This Row],[SP Completed (COS &amp; SOS)]]),0)</f>
        <v>0</v>
      </c>
    </row>
    <row r="104" spans="1:17" s="46" customFormat="1" ht="13.5" customHeight="1">
      <c r="A104" s="115" t="s">
        <v>2867</v>
      </c>
      <c r="B104" s="47" t="s">
        <v>2868</v>
      </c>
      <c r="C104" s="76" t="s">
        <v>375</v>
      </c>
      <c r="D104" s="76">
        <v>3</v>
      </c>
      <c r="E104" s="76" t="s">
        <v>324</v>
      </c>
      <c r="F104" s="104">
        <v>3</v>
      </c>
      <c r="G104" s="76" t="s">
        <v>27</v>
      </c>
      <c r="H104" s="83"/>
      <c r="I104" s="103"/>
      <c r="J104" s="76" t="s">
        <v>125</v>
      </c>
      <c r="K104" s="104"/>
      <c r="L104" s="104"/>
      <c r="M104" s="105">
        <f>IF(Tabelle1324568[[#This Row],[Pulled after Start]]="",MIN(Tabelle1324568[[#This Row],[Jira Story Points]],Tabelle1324568[[#This Row],[Carry-over]]),0)</f>
        <v>3</v>
      </c>
      <c r="N104" s="108">
        <f>MIN(Tabelle1324568[[#This Row],[Jira Story Points]],Tabelle1324568[[#This Row],[Carry-over]])-Tabelle1324568[[#This Row],[SP Initially Planned (COS)]]</f>
        <v>0</v>
      </c>
      <c r="O104"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04" s="108">
        <f>IFERROR(IF(Tabelle1324568[[#This Row],[Status]]=$I$5,MIN(Tabelle1324568[[#This Row],[Jira Story Points]],Tabelle1324568[[#This Row],[Carry-over]]),0),0)</f>
        <v>0</v>
      </c>
      <c r="Q104" s="108">
        <f>IFERROR(IF(Tabelle1324568[[#This Row],[Status]]=$I$5,0,MIN(Tabelle1324568[[#This Row],[Jira Story Points]],Tabelle1324568[[#This Row],[Carry-over]])-Tabelle1324568[[#This Row],[SP Completed (COS &amp; SOS)]]),0)</f>
        <v>0</v>
      </c>
    </row>
    <row r="105" spans="1:17" s="46" customFormat="1" ht="13.5" customHeight="1">
      <c r="A105" s="115" t="s">
        <v>2869</v>
      </c>
      <c r="B105" s="47" t="s">
        <v>2870</v>
      </c>
      <c r="C105" s="76" t="s">
        <v>375</v>
      </c>
      <c r="D105" s="76">
        <v>3</v>
      </c>
      <c r="E105" s="76" t="s">
        <v>324</v>
      </c>
      <c r="F105" s="104">
        <v>3</v>
      </c>
      <c r="G105" s="76" t="s">
        <v>27</v>
      </c>
      <c r="H105" s="83"/>
      <c r="I105" s="103"/>
      <c r="J105" s="76" t="s">
        <v>125</v>
      </c>
      <c r="K105" s="104"/>
      <c r="L105" s="104"/>
      <c r="M105" s="105">
        <f>IF(Tabelle1324568[[#This Row],[Pulled after Start]]="",MIN(Tabelle1324568[[#This Row],[Jira Story Points]],Tabelle1324568[[#This Row],[Carry-over]]),0)</f>
        <v>3</v>
      </c>
      <c r="N105" s="108">
        <f>MIN(Tabelle1324568[[#This Row],[Jira Story Points]],Tabelle1324568[[#This Row],[Carry-over]])-Tabelle1324568[[#This Row],[SP Initially Planned (COS)]]</f>
        <v>0</v>
      </c>
      <c r="O105"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05" s="108">
        <f>IFERROR(IF(Tabelle1324568[[#This Row],[Status]]=$I$5,MIN(Tabelle1324568[[#This Row],[Jira Story Points]],Tabelle1324568[[#This Row],[Carry-over]]),0),0)</f>
        <v>0</v>
      </c>
      <c r="Q105" s="108">
        <f>IFERROR(IF(Tabelle1324568[[#This Row],[Status]]=$I$5,0,MIN(Tabelle1324568[[#This Row],[Jira Story Points]],Tabelle1324568[[#This Row],[Carry-over]])-Tabelle1324568[[#This Row],[SP Completed (COS &amp; SOS)]]),0)</f>
        <v>0</v>
      </c>
    </row>
    <row r="106" spans="1:17" s="46" customFormat="1" ht="13.5" customHeight="1">
      <c r="A106" s="115" t="s">
        <v>2871</v>
      </c>
      <c r="B106" s="47" t="s">
        <v>2872</v>
      </c>
      <c r="C106" s="76" t="s">
        <v>372</v>
      </c>
      <c r="D106" s="76">
        <v>3</v>
      </c>
      <c r="E106" s="76" t="s">
        <v>324</v>
      </c>
      <c r="F106" s="104">
        <v>13</v>
      </c>
      <c r="G106" s="76" t="s">
        <v>27</v>
      </c>
      <c r="H106" s="83"/>
      <c r="I106" s="103"/>
      <c r="J106" s="76" t="s">
        <v>125</v>
      </c>
      <c r="K106" s="104"/>
      <c r="L106" s="104"/>
      <c r="M106" s="105">
        <f>IF(Tabelle1324568[[#This Row],[Pulled after Start]]="",MIN(Tabelle1324568[[#This Row],[Jira Story Points]],Tabelle1324568[[#This Row],[Carry-over]]),0)</f>
        <v>13</v>
      </c>
      <c r="N106" s="108">
        <f>MIN(Tabelle1324568[[#This Row],[Jira Story Points]],Tabelle1324568[[#This Row],[Carry-over]])-Tabelle1324568[[#This Row],[SP Initially Planned (COS)]]</f>
        <v>0</v>
      </c>
      <c r="O106"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13</v>
      </c>
      <c r="P106" s="108">
        <f>IFERROR(IF(Tabelle1324568[[#This Row],[Status]]=$I$5,MIN(Tabelle1324568[[#This Row],[Jira Story Points]],Tabelle1324568[[#This Row],[Carry-over]]),0),0)</f>
        <v>0</v>
      </c>
      <c r="Q106" s="108">
        <f>IFERROR(IF(Tabelle1324568[[#This Row],[Status]]=$I$5,0,MIN(Tabelle1324568[[#This Row],[Jira Story Points]],Tabelle1324568[[#This Row],[Carry-over]])-Tabelle1324568[[#This Row],[SP Completed (COS &amp; SOS)]]),0)</f>
        <v>0</v>
      </c>
    </row>
    <row r="107" spans="1:17" s="46" customFormat="1" ht="13.5" customHeight="1">
      <c r="A107" s="115" t="s">
        <v>2666</v>
      </c>
      <c r="B107" s="47" t="s">
        <v>2667</v>
      </c>
      <c r="C107" s="76" t="s">
        <v>372</v>
      </c>
      <c r="D107" s="76">
        <v>3</v>
      </c>
      <c r="E107" s="76" t="s">
        <v>327</v>
      </c>
      <c r="F107" s="104">
        <v>3</v>
      </c>
      <c r="G107" s="76" t="s">
        <v>27</v>
      </c>
      <c r="H107" s="83" t="s">
        <v>209</v>
      </c>
      <c r="I107" s="103"/>
      <c r="J107" s="76" t="s">
        <v>127</v>
      </c>
      <c r="K107" s="104"/>
      <c r="L107" s="104"/>
      <c r="M107" s="105">
        <f>IF(Tabelle1324568[[#This Row],[Pulled after Start]]="",MIN(Tabelle1324568[[#This Row],[Jira Story Points]],Tabelle1324568[[#This Row],[Carry-over]]),0)</f>
        <v>0</v>
      </c>
      <c r="N107" s="108">
        <f>MIN(Tabelle1324568[[#This Row],[Jira Story Points]],Tabelle1324568[[#This Row],[Carry-over]])-Tabelle1324568[[#This Row],[SP Initially Planned (COS)]]</f>
        <v>3</v>
      </c>
      <c r="O107"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107" s="108">
        <f>IFERROR(IF(Tabelle1324568[[#This Row],[Status]]=$I$5,MIN(Tabelle1324568[[#This Row],[Jira Story Points]],Tabelle1324568[[#This Row],[Carry-over]]),0),0)</f>
        <v>0</v>
      </c>
      <c r="Q107" s="108">
        <f>IFERROR(IF(Tabelle1324568[[#This Row],[Status]]=$I$5,0,MIN(Tabelle1324568[[#This Row],[Jira Story Points]],Tabelle1324568[[#This Row],[Carry-over]])-Tabelle1324568[[#This Row],[SP Completed (COS &amp; SOS)]]),0)</f>
        <v>3</v>
      </c>
    </row>
    <row r="108" spans="1:17" s="46" customFormat="1" ht="13.5" customHeight="1">
      <c r="A108" s="88" t="s">
        <v>2873</v>
      </c>
      <c r="B108" s="47" t="s">
        <v>2874</v>
      </c>
      <c r="C108" s="76" t="s">
        <v>375</v>
      </c>
      <c r="D108" s="76">
        <v>2</v>
      </c>
      <c r="E108" s="76" t="s">
        <v>324</v>
      </c>
      <c r="F108" s="76">
        <v>3</v>
      </c>
      <c r="G108" s="76" t="s">
        <v>21</v>
      </c>
      <c r="H108" s="76"/>
      <c r="I108" s="103" t="s">
        <v>2875</v>
      </c>
      <c r="J108" s="76" t="s">
        <v>125</v>
      </c>
      <c r="K108" s="76"/>
      <c r="L108" s="76"/>
      <c r="M108" s="105">
        <f>IF(Tabelle1324568[[#This Row],[Pulled after Start]]="",MIN(Tabelle1324568[[#This Row],[Jira Story Points]],Tabelle1324568[[#This Row],[Carry-over]]),0)</f>
        <v>3</v>
      </c>
      <c r="N108" s="108">
        <f>MIN(Tabelle1324568[[#This Row],[Jira Story Points]],Tabelle1324568[[#This Row],[Carry-over]])-Tabelle1324568[[#This Row],[SP Initially Planned (COS)]]</f>
        <v>0</v>
      </c>
      <c r="O108"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08" s="108">
        <f>IFERROR(IF(Tabelle1324568[[#This Row],[Status]]=$I$5,MIN(Tabelle1324568[[#This Row],[Jira Story Points]],Tabelle1324568[[#This Row],[Carry-over]]),0),0)</f>
        <v>0</v>
      </c>
      <c r="Q108" s="108">
        <f>IFERROR(IF(Tabelle1324568[[#This Row],[Status]]=$I$5,0,MIN(Tabelle1324568[[#This Row],[Jira Story Points]],Tabelle1324568[[#This Row],[Carry-over]])-Tabelle1324568[[#This Row],[SP Completed (COS &amp; SOS)]]),0)</f>
        <v>0</v>
      </c>
    </row>
    <row r="109" spans="1:17" s="46" customFormat="1" ht="13.5" customHeight="1">
      <c r="A109" s="88" t="s">
        <v>2876</v>
      </c>
      <c r="B109" s="47" t="s">
        <v>2877</v>
      </c>
      <c r="C109" s="76" t="s">
        <v>372</v>
      </c>
      <c r="D109" s="76">
        <v>3</v>
      </c>
      <c r="E109" s="76" t="s">
        <v>324</v>
      </c>
      <c r="F109" s="76">
        <v>2</v>
      </c>
      <c r="G109" s="76" t="s">
        <v>21</v>
      </c>
      <c r="H109" s="76"/>
      <c r="I109" s="103"/>
      <c r="J109" s="76" t="s">
        <v>125</v>
      </c>
      <c r="K109" s="104"/>
      <c r="L109" s="104"/>
      <c r="M109" s="105">
        <f>IF(Tabelle1324568[[#This Row],[Pulled after Start]]="",MIN(Tabelle1324568[[#This Row],[Jira Story Points]],Tabelle1324568[[#This Row],[Carry-over]]),0)</f>
        <v>2</v>
      </c>
      <c r="N109" s="108">
        <f>MIN(Tabelle1324568[[#This Row],[Jira Story Points]],Tabelle1324568[[#This Row],[Carry-over]])-Tabelle1324568[[#This Row],[SP Initially Planned (COS)]]</f>
        <v>0</v>
      </c>
      <c r="O109"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2</v>
      </c>
      <c r="P109" s="108">
        <f>IFERROR(IF(Tabelle1324568[[#This Row],[Status]]=$I$5,MIN(Tabelle1324568[[#This Row],[Jira Story Points]],Tabelle1324568[[#This Row],[Carry-over]]),0),0)</f>
        <v>0</v>
      </c>
      <c r="Q109" s="108">
        <f>IFERROR(IF(Tabelle1324568[[#This Row],[Status]]=$I$5,0,MIN(Tabelle1324568[[#This Row],[Jira Story Points]],Tabelle1324568[[#This Row],[Carry-over]])-Tabelle1324568[[#This Row],[SP Completed (COS &amp; SOS)]]),0)</f>
        <v>0</v>
      </c>
    </row>
    <row r="110" spans="1:17" s="46" customFormat="1" ht="13.5" customHeight="1">
      <c r="A110" s="88" t="s">
        <v>2878</v>
      </c>
      <c r="B110" s="47" t="s">
        <v>2879</v>
      </c>
      <c r="C110" s="76" t="s">
        <v>372</v>
      </c>
      <c r="D110" s="76">
        <v>3</v>
      </c>
      <c r="E110" s="76" t="s">
        <v>324</v>
      </c>
      <c r="F110" s="76">
        <v>1</v>
      </c>
      <c r="G110" s="76" t="s">
        <v>21</v>
      </c>
      <c r="H110" s="76" t="s">
        <v>209</v>
      </c>
      <c r="I110" s="103"/>
      <c r="J110" s="76" t="s">
        <v>125</v>
      </c>
      <c r="K110" s="76"/>
      <c r="L110" s="76"/>
      <c r="M110" s="105">
        <f>IF(Tabelle1324568[[#This Row],[Pulled after Start]]="",MIN(Tabelle1324568[[#This Row],[Jira Story Points]],Tabelle1324568[[#This Row],[Carry-over]]),0)</f>
        <v>0</v>
      </c>
      <c r="N110" s="108">
        <f>MIN(Tabelle1324568[[#This Row],[Jira Story Points]],Tabelle1324568[[#This Row],[Carry-over]])-Tabelle1324568[[#This Row],[SP Initially Planned (COS)]]</f>
        <v>1</v>
      </c>
      <c r="O110"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1</v>
      </c>
      <c r="P110" s="108">
        <f>IFERROR(IF(Tabelle1324568[[#This Row],[Status]]=$I$5,MIN(Tabelle1324568[[#This Row],[Jira Story Points]],Tabelle1324568[[#This Row],[Carry-over]]),0),0)</f>
        <v>0</v>
      </c>
      <c r="Q110" s="108">
        <f>IFERROR(IF(Tabelle1324568[[#This Row],[Status]]=$I$5,0,MIN(Tabelle1324568[[#This Row],[Jira Story Points]],Tabelle1324568[[#This Row],[Carry-over]])-Tabelle1324568[[#This Row],[SP Completed (COS &amp; SOS)]]),0)</f>
        <v>0</v>
      </c>
    </row>
    <row r="111" spans="1:17" s="46" customFormat="1" ht="13.5" customHeight="1">
      <c r="A111" s="88" t="s">
        <v>2631</v>
      </c>
      <c r="B111" s="47" t="s">
        <v>2632</v>
      </c>
      <c r="C111" s="76" t="s">
        <v>372</v>
      </c>
      <c r="D111" s="76">
        <v>2</v>
      </c>
      <c r="E111" s="76" t="s">
        <v>327</v>
      </c>
      <c r="F111" s="76">
        <v>8</v>
      </c>
      <c r="G111" s="76" t="s">
        <v>21</v>
      </c>
      <c r="H111" s="76"/>
      <c r="I111" s="103" t="s">
        <v>2880</v>
      </c>
      <c r="J111" s="76" t="s">
        <v>127</v>
      </c>
      <c r="K111" s="104"/>
      <c r="L111" s="104">
        <v>1</v>
      </c>
      <c r="M111" s="105">
        <f>IF(Tabelle1324568[[#This Row],[Pulled after Start]]="",MIN(Tabelle1324568[[#This Row],[Jira Story Points]],Tabelle1324568[[#This Row],[Carry-over]]),0)</f>
        <v>8</v>
      </c>
      <c r="N111" s="108">
        <f>MIN(Tabelle1324568[[#This Row],[Jira Story Points]],Tabelle1324568[[#This Row],[Carry-over]])-Tabelle1324568[[#This Row],[SP Initially Planned (COS)]]</f>
        <v>0</v>
      </c>
      <c r="O111"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7</v>
      </c>
      <c r="P111" s="108">
        <f>IFERROR(IF(Tabelle1324568[[#This Row],[Status]]=$I$5,MIN(Tabelle1324568[[#This Row],[Jira Story Points]],Tabelle1324568[[#This Row],[Carry-over]]),0),0)</f>
        <v>0</v>
      </c>
      <c r="Q111" s="108">
        <f>IFERROR(IF(Tabelle1324568[[#This Row],[Status]]=$I$5,0,MIN(Tabelle1324568[[#This Row],[Jira Story Points]],Tabelle1324568[[#This Row],[Carry-over]])-Tabelle1324568[[#This Row],[SP Completed (COS &amp; SOS)]]),0)</f>
        <v>1</v>
      </c>
    </row>
    <row r="112" spans="1:17" s="46" customFormat="1" ht="13.5" customHeight="1">
      <c r="A112" s="88" t="s">
        <v>1330</v>
      </c>
      <c r="B112" s="47" t="s">
        <v>1331</v>
      </c>
      <c r="C112" s="76" t="s">
        <v>375</v>
      </c>
      <c r="D112" s="76">
        <v>3</v>
      </c>
      <c r="E112" s="76" t="s">
        <v>637</v>
      </c>
      <c r="F112" s="76">
        <v>3</v>
      </c>
      <c r="G112" s="76" t="s">
        <v>21</v>
      </c>
      <c r="H112" s="76"/>
      <c r="I112" s="103" t="s">
        <v>2875</v>
      </c>
      <c r="J112" s="76" t="s">
        <v>126</v>
      </c>
      <c r="K112" s="104"/>
      <c r="L112" s="104"/>
      <c r="M112" s="105">
        <f>IF(Tabelle1324568[[#This Row],[Pulled after Start]]="",MIN(Tabelle1324568[[#This Row],[Jira Story Points]],Tabelle1324568[[#This Row],[Carry-over]]),0)</f>
        <v>3</v>
      </c>
      <c r="N112" s="108">
        <f>MIN(Tabelle1324568[[#This Row],[Jira Story Points]],Tabelle1324568[[#This Row],[Carry-over]])-Tabelle1324568[[#This Row],[SP Initially Planned (COS)]]</f>
        <v>0</v>
      </c>
      <c r="O112"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112" s="108">
        <f>IFERROR(IF(Tabelle1324568[[#This Row],[Status]]=$I$5,MIN(Tabelle1324568[[#This Row],[Jira Story Points]],Tabelle1324568[[#This Row],[Carry-over]]),0),0)</f>
        <v>3</v>
      </c>
      <c r="Q112" s="108">
        <f>IFERROR(IF(Tabelle1324568[[#This Row],[Status]]=$I$5,0,MIN(Tabelle1324568[[#This Row],[Jira Story Points]],Tabelle1324568[[#This Row],[Carry-over]])-Tabelle1324568[[#This Row],[SP Completed (COS &amp; SOS)]]),0)</f>
        <v>0</v>
      </c>
    </row>
    <row r="113" spans="1:17" s="46" customFormat="1" ht="13.5" customHeight="1">
      <c r="A113" s="88" t="s">
        <v>2633</v>
      </c>
      <c r="B113" s="47" t="s">
        <v>2634</v>
      </c>
      <c r="C113" s="76" t="s">
        <v>372</v>
      </c>
      <c r="D113" s="76">
        <v>2</v>
      </c>
      <c r="E113" s="76" t="s">
        <v>324</v>
      </c>
      <c r="F113" s="76">
        <v>5</v>
      </c>
      <c r="G113" s="76" t="s">
        <v>21</v>
      </c>
      <c r="H113" s="76"/>
      <c r="I113" s="103"/>
      <c r="J113" s="76" t="s">
        <v>127</v>
      </c>
      <c r="K113" s="104"/>
      <c r="L113" s="104"/>
      <c r="M113" s="105">
        <f>IF(Tabelle1324568[[#This Row],[Pulled after Start]]="",MIN(Tabelle1324568[[#This Row],[Jira Story Points]],Tabelle1324568[[#This Row],[Carry-over]]),0)</f>
        <v>5</v>
      </c>
      <c r="N113" s="108">
        <f>MIN(Tabelle1324568[[#This Row],[Jira Story Points]],Tabelle1324568[[#This Row],[Carry-over]])-Tabelle1324568[[#This Row],[SP Initially Planned (COS)]]</f>
        <v>0</v>
      </c>
      <c r="O113"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113" s="108">
        <f>IFERROR(IF(Tabelle1324568[[#This Row],[Status]]=$I$5,MIN(Tabelle1324568[[#This Row],[Jira Story Points]],Tabelle1324568[[#This Row],[Carry-over]]),0),0)</f>
        <v>0</v>
      </c>
      <c r="Q113" s="108">
        <f>IFERROR(IF(Tabelle1324568[[#This Row],[Status]]=$I$5,0,MIN(Tabelle1324568[[#This Row],[Jira Story Points]],Tabelle1324568[[#This Row],[Carry-over]])-Tabelle1324568[[#This Row],[SP Completed (COS &amp; SOS)]]),0)</f>
        <v>5</v>
      </c>
    </row>
    <row r="114" spans="1:17" s="46" customFormat="1" ht="13.5" customHeight="1">
      <c r="A114" s="88" t="s">
        <v>2528</v>
      </c>
      <c r="B114" s="47" t="s">
        <v>2529</v>
      </c>
      <c r="C114" s="76" t="s">
        <v>372</v>
      </c>
      <c r="D114" s="76">
        <v>2</v>
      </c>
      <c r="E114" s="76" t="s">
        <v>637</v>
      </c>
      <c r="F114" s="76">
        <v>8</v>
      </c>
      <c r="G114" s="76" t="s">
        <v>21</v>
      </c>
      <c r="H114" s="76"/>
      <c r="I114" s="103" t="s">
        <v>2881</v>
      </c>
      <c r="J114" s="76" t="s">
        <v>126</v>
      </c>
      <c r="K114" s="104">
        <v>3</v>
      </c>
      <c r="L114" s="104"/>
      <c r="M114" s="105">
        <f>IF(Tabelle1324568[[#This Row],[Pulled after Start]]="",MIN(Tabelle1324568[[#This Row],[Jira Story Points]],Tabelle1324568[[#This Row],[Carry-over]]),0)</f>
        <v>3</v>
      </c>
      <c r="N114" s="108">
        <f>MIN(Tabelle1324568[[#This Row],[Jira Story Points]],Tabelle1324568[[#This Row],[Carry-over]])-Tabelle1324568[[#This Row],[SP Initially Planned (COS)]]</f>
        <v>0</v>
      </c>
      <c r="O114"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114" s="108">
        <f>IFERROR(IF(Tabelle1324568[[#This Row],[Status]]=$I$5,MIN(Tabelle1324568[[#This Row],[Jira Story Points]],Tabelle1324568[[#This Row],[Carry-over]]),0),0)</f>
        <v>3</v>
      </c>
      <c r="Q114" s="108">
        <f>IFERROR(IF(Tabelle1324568[[#This Row],[Status]]=$I$5,0,MIN(Tabelle1324568[[#This Row],[Jira Story Points]],Tabelle1324568[[#This Row],[Carry-over]])-Tabelle1324568[[#This Row],[SP Completed (COS &amp; SOS)]]),0)</f>
        <v>0</v>
      </c>
    </row>
    <row r="115" spans="1:17" s="46" customFormat="1" ht="13.5" customHeight="1">
      <c r="A115" s="88" t="s">
        <v>2882</v>
      </c>
      <c r="B115" s="47" t="s">
        <v>2883</v>
      </c>
      <c r="C115" s="76" t="s">
        <v>372</v>
      </c>
      <c r="D115" s="76">
        <v>2</v>
      </c>
      <c r="E115" s="76" t="s">
        <v>324</v>
      </c>
      <c r="F115" s="76">
        <v>8</v>
      </c>
      <c r="G115" s="76" t="s">
        <v>21</v>
      </c>
      <c r="H115" s="76"/>
      <c r="I115" s="103"/>
      <c r="J115" s="76" t="s">
        <v>125</v>
      </c>
      <c r="K115" s="104"/>
      <c r="L115" s="104"/>
      <c r="M115" s="105">
        <f>IF(Tabelle1324568[[#This Row],[Pulled after Start]]="",MIN(Tabelle1324568[[#This Row],[Jira Story Points]],Tabelle1324568[[#This Row],[Carry-over]]),0)</f>
        <v>8</v>
      </c>
      <c r="N115" s="108">
        <f>MIN(Tabelle1324568[[#This Row],[Jira Story Points]],Tabelle1324568[[#This Row],[Carry-over]])-Tabelle1324568[[#This Row],[SP Initially Planned (COS)]]</f>
        <v>0</v>
      </c>
      <c r="O115"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8</v>
      </c>
      <c r="P115" s="108">
        <f>IFERROR(IF(Tabelle1324568[[#This Row],[Status]]=$I$5,MIN(Tabelle1324568[[#This Row],[Jira Story Points]],Tabelle1324568[[#This Row],[Carry-over]]),0),0)</f>
        <v>0</v>
      </c>
      <c r="Q115" s="108">
        <f>IFERROR(IF(Tabelle1324568[[#This Row],[Status]]=$I$5,0,MIN(Tabelle1324568[[#This Row],[Jira Story Points]],Tabelle1324568[[#This Row],[Carry-over]])-Tabelle1324568[[#This Row],[SP Completed (COS &amp; SOS)]]),0)</f>
        <v>0</v>
      </c>
    </row>
    <row r="116" spans="1:17" s="46" customFormat="1" ht="13.5" customHeight="1">
      <c r="A116" s="88" t="s">
        <v>2884</v>
      </c>
      <c r="B116" s="47" t="s">
        <v>2885</v>
      </c>
      <c r="C116" s="76" t="s">
        <v>372</v>
      </c>
      <c r="D116" s="76">
        <v>2</v>
      </c>
      <c r="E116" s="76" t="s">
        <v>324</v>
      </c>
      <c r="F116" s="76">
        <v>3</v>
      </c>
      <c r="G116" s="76" t="s">
        <v>21</v>
      </c>
      <c r="H116" s="76" t="s">
        <v>209</v>
      </c>
      <c r="I116" s="103"/>
      <c r="J116" s="76" t="s">
        <v>125</v>
      </c>
      <c r="K116" s="104"/>
      <c r="L116" s="104"/>
      <c r="M116" s="105">
        <f>IF(Tabelle1324568[[#This Row],[Pulled after Start]]="",MIN(Tabelle1324568[[#This Row],[Jira Story Points]],Tabelle1324568[[#This Row],[Carry-over]]),0)</f>
        <v>0</v>
      </c>
      <c r="N116" s="108">
        <f>MIN(Tabelle1324568[[#This Row],[Jira Story Points]],Tabelle1324568[[#This Row],[Carry-over]])-Tabelle1324568[[#This Row],[SP Initially Planned (COS)]]</f>
        <v>3</v>
      </c>
      <c r="O116"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16" s="108">
        <f>IFERROR(IF(Tabelle1324568[[#This Row],[Status]]=$I$5,MIN(Tabelle1324568[[#This Row],[Jira Story Points]],Tabelle1324568[[#This Row],[Carry-over]]),0),0)</f>
        <v>0</v>
      </c>
      <c r="Q116" s="108">
        <f>IFERROR(IF(Tabelle1324568[[#This Row],[Status]]=$I$5,0,MIN(Tabelle1324568[[#This Row],[Jira Story Points]],Tabelle1324568[[#This Row],[Carry-over]])-Tabelle1324568[[#This Row],[SP Completed (COS &amp; SOS)]]),0)</f>
        <v>0</v>
      </c>
    </row>
    <row r="117" spans="1:17" s="46" customFormat="1" ht="13.5" customHeight="1">
      <c r="A117" s="88" t="s">
        <v>2886</v>
      </c>
      <c r="B117" s="47" t="s">
        <v>2887</v>
      </c>
      <c r="C117" s="76" t="s">
        <v>382</v>
      </c>
      <c r="D117" s="76">
        <v>3</v>
      </c>
      <c r="E117" s="76" t="s">
        <v>324</v>
      </c>
      <c r="F117" s="76">
        <v>3</v>
      </c>
      <c r="G117" s="76" t="s">
        <v>17</v>
      </c>
      <c r="H117" s="76"/>
      <c r="I117" s="103"/>
      <c r="J117" s="76" t="s">
        <v>125</v>
      </c>
      <c r="K117" s="76"/>
      <c r="L117" s="76"/>
      <c r="M117" s="105">
        <f>IF(Tabelle1324568[[#This Row],[Pulled after Start]]="",MIN(Tabelle1324568[[#This Row],[Jira Story Points]],Tabelle1324568[[#This Row],[Carry-over]]),0)</f>
        <v>3</v>
      </c>
      <c r="N117" s="108">
        <f>MIN(Tabelle1324568[[#This Row],[Jira Story Points]],Tabelle1324568[[#This Row],[Carry-over]])-Tabelle1324568[[#This Row],[SP Initially Planned (COS)]]</f>
        <v>0</v>
      </c>
      <c r="O117"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17" s="108">
        <f>IFERROR(IF(Tabelle1324568[[#This Row],[Status]]=$I$5,MIN(Tabelle1324568[[#This Row],[Jira Story Points]],Tabelle1324568[[#This Row],[Carry-over]]),0),0)</f>
        <v>0</v>
      </c>
      <c r="Q117" s="108">
        <f>IFERROR(IF(Tabelle1324568[[#This Row],[Status]]=$I$5,0,MIN(Tabelle1324568[[#This Row],[Jira Story Points]],Tabelle1324568[[#This Row],[Carry-over]])-Tabelle1324568[[#This Row],[SP Completed (COS &amp; SOS)]]),0)</f>
        <v>0</v>
      </c>
    </row>
    <row r="118" spans="1:17" s="46" customFormat="1" ht="13.5" customHeight="1">
      <c r="A118" s="88" t="s">
        <v>2888</v>
      </c>
      <c r="B118" s="47" t="s">
        <v>2889</v>
      </c>
      <c r="C118" s="76" t="s">
        <v>382</v>
      </c>
      <c r="D118" s="76">
        <v>3</v>
      </c>
      <c r="E118" s="76" t="s">
        <v>324</v>
      </c>
      <c r="F118" s="76">
        <v>3</v>
      </c>
      <c r="G118" s="76" t="s">
        <v>17</v>
      </c>
      <c r="H118" s="76"/>
      <c r="I118" s="103"/>
      <c r="J118" s="76" t="s">
        <v>125</v>
      </c>
      <c r="K118" s="76"/>
      <c r="L118" s="76"/>
      <c r="M118" s="105">
        <f>IF(Tabelle1324568[[#This Row],[Pulled after Start]]="",MIN(Tabelle1324568[[#This Row],[Jira Story Points]],Tabelle1324568[[#This Row],[Carry-over]]),0)</f>
        <v>3</v>
      </c>
      <c r="N118" s="108">
        <f>MIN(Tabelle1324568[[#This Row],[Jira Story Points]],Tabelle1324568[[#This Row],[Carry-over]])-Tabelle1324568[[#This Row],[SP Initially Planned (COS)]]</f>
        <v>0</v>
      </c>
      <c r="O118"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18" s="108">
        <f>IFERROR(IF(Tabelle1324568[[#This Row],[Status]]=$I$5,MIN(Tabelle1324568[[#This Row],[Jira Story Points]],Tabelle1324568[[#This Row],[Carry-over]]),0),0)</f>
        <v>0</v>
      </c>
      <c r="Q118" s="108">
        <f>IFERROR(IF(Tabelle1324568[[#This Row],[Status]]=$I$5,0,MIN(Tabelle1324568[[#This Row],[Jira Story Points]],Tabelle1324568[[#This Row],[Carry-over]])-Tabelle1324568[[#This Row],[SP Completed (COS &amp; SOS)]]),0)</f>
        <v>0</v>
      </c>
    </row>
    <row r="119" spans="1:17" s="46" customFormat="1" ht="13.5" customHeight="1">
      <c r="A119" s="88" t="s">
        <v>2890</v>
      </c>
      <c r="B119" s="47" t="s">
        <v>2891</v>
      </c>
      <c r="C119" s="76" t="s">
        <v>382</v>
      </c>
      <c r="D119" s="76">
        <v>3</v>
      </c>
      <c r="E119" s="76" t="s">
        <v>324</v>
      </c>
      <c r="F119" s="76">
        <v>3</v>
      </c>
      <c r="G119" s="76" t="s">
        <v>17</v>
      </c>
      <c r="H119" s="76"/>
      <c r="I119" s="103"/>
      <c r="J119" s="76" t="s">
        <v>125</v>
      </c>
      <c r="K119" s="76"/>
      <c r="L119" s="76"/>
      <c r="M119" s="105">
        <f>IF(Tabelle1324568[[#This Row],[Pulled after Start]]="",MIN(Tabelle1324568[[#This Row],[Jira Story Points]],Tabelle1324568[[#This Row],[Carry-over]]),0)</f>
        <v>3</v>
      </c>
      <c r="N119" s="108">
        <f>MIN(Tabelle1324568[[#This Row],[Jira Story Points]],Tabelle1324568[[#This Row],[Carry-over]])-Tabelle1324568[[#This Row],[SP Initially Planned (COS)]]</f>
        <v>0</v>
      </c>
      <c r="O119"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19" s="108">
        <f>IFERROR(IF(Tabelle1324568[[#This Row],[Status]]=$I$5,MIN(Tabelle1324568[[#This Row],[Jira Story Points]],Tabelle1324568[[#This Row],[Carry-over]]),0),0)</f>
        <v>0</v>
      </c>
      <c r="Q119" s="108">
        <f>IFERROR(IF(Tabelle1324568[[#This Row],[Status]]=$I$5,0,MIN(Tabelle1324568[[#This Row],[Jira Story Points]],Tabelle1324568[[#This Row],[Carry-over]])-Tabelle1324568[[#This Row],[SP Completed (COS &amp; SOS)]]),0)</f>
        <v>0</v>
      </c>
    </row>
    <row r="120" spans="1:17" s="46" customFormat="1" ht="13.5" customHeight="1">
      <c r="A120" s="88" t="s">
        <v>2892</v>
      </c>
      <c r="B120" s="47" t="s">
        <v>2893</v>
      </c>
      <c r="C120" s="76" t="s">
        <v>382</v>
      </c>
      <c r="D120" s="76">
        <v>3</v>
      </c>
      <c r="E120" s="76" t="s">
        <v>324</v>
      </c>
      <c r="F120" s="76">
        <v>3</v>
      </c>
      <c r="G120" s="76" t="s">
        <v>17</v>
      </c>
      <c r="H120" s="76" t="s">
        <v>209</v>
      </c>
      <c r="I120" s="103"/>
      <c r="J120" s="76" t="s">
        <v>125</v>
      </c>
      <c r="K120" s="76"/>
      <c r="L120" s="76"/>
      <c r="M120" s="105">
        <f>IF(Tabelle1324568[[#This Row],[Pulled after Start]]="",MIN(Tabelle1324568[[#This Row],[Jira Story Points]],Tabelle1324568[[#This Row],[Carry-over]]),0)</f>
        <v>0</v>
      </c>
      <c r="N120" s="108">
        <f>MIN(Tabelle1324568[[#This Row],[Jira Story Points]],Tabelle1324568[[#This Row],[Carry-over]])-Tabelle1324568[[#This Row],[SP Initially Planned (COS)]]</f>
        <v>3</v>
      </c>
      <c r="O120"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20" s="108">
        <f>IFERROR(IF(Tabelle1324568[[#This Row],[Status]]=$I$5,MIN(Tabelle1324568[[#This Row],[Jira Story Points]],Tabelle1324568[[#This Row],[Carry-over]]),0),0)</f>
        <v>0</v>
      </c>
      <c r="Q120" s="108">
        <f>IFERROR(IF(Tabelle1324568[[#This Row],[Status]]=$I$5,0,MIN(Tabelle1324568[[#This Row],[Jira Story Points]],Tabelle1324568[[#This Row],[Carry-over]])-Tabelle1324568[[#This Row],[SP Completed (COS &amp; SOS)]]),0)</f>
        <v>0</v>
      </c>
    </row>
    <row r="121" spans="1:17" s="46" customFormat="1" ht="13.5" customHeight="1">
      <c r="A121" s="88" t="s">
        <v>2894</v>
      </c>
      <c r="B121" s="47" t="s">
        <v>2895</v>
      </c>
      <c r="C121" s="76" t="s">
        <v>382</v>
      </c>
      <c r="D121" s="76">
        <v>4</v>
      </c>
      <c r="E121" s="76" t="s">
        <v>324</v>
      </c>
      <c r="F121" s="76">
        <v>1</v>
      </c>
      <c r="G121" s="76" t="s">
        <v>17</v>
      </c>
      <c r="H121" s="76" t="s">
        <v>209</v>
      </c>
      <c r="I121" s="103"/>
      <c r="J121" s="76" t="s">
        <v>125</v>
      </c>
      <c r="K121" s="76"/>
      <c r="L121" s="76"/>
      <c r="M121" s="105">
        <f>IF(Tabelle1324568[[#This Row],[Pulled after Start]]="",MIN(Tabelle1324568[[#This Row],[Jira Story Points]],Tabelle1324568[[#This Row],[Carry-over]]),0)</f>
        <v>0</v>
      </c>
      <c r="N121" s="108">
        <f>MIN(Tabelle1324568[[#This Row],[Jira Story Points]],Tabelle1324568[[#This Row],[Carry-over]])-Tabelle1324568[[#This Row],[SP Initially Planned (COS)]]</f>
        <v>1</v>
      </c>
      <c r="O121"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1</v>
      </c>
      <c r="P121" s="108">
        <f>IFERROR(IF(Tabelle1324568[[#This Row],[Status]]=$I$5,MIN(Tabelle1324568[[#This Row],[Jira Story Points]],Tabelle1324568[[#This Row],[Carry-over]]),0),0)</f>
        <v>0</v>
      </c>
      <c r="Q121" s="108">
        <f>IFERROR(IF(Tabelle1324568[[#This Row],[Status]]=$I$5,0,MIN(Tabelle1324568[[#This Row],[Jira Story Points]],Tabelle1324568[[#This Row],[Carry-over]])-Tabelle1324568[[#This Row],[SP Completed (COS &amp; SOS)]]),0)</f>
        <v>0</v>
      </c>
    </row>
    <row r="122" spans="1:17" s="46" customFormat="1" ht="13.5" customHeight="1">
      <c r="A122" s="88" t="s">
        <v>2896</v>
      </c>
      <c r="B122" s="47" t="s">
        <v>2897</v>
      </c>
      <c r="C122" s="76" t="s">
        <v>382</v>
      </c>
      <c r="D122" s="76">
        <v>3</v>
      </c>
      <c r="E122" s="76" t="s">
        <v>324</v>
      </c>
      <c r="F122" s="76">
        <v>3</v>
      </c>
      <c r="G122" s="76" t="s">
        <v>17</v>
      </c>
      <c r="H122" s="76" t="s">
        <v>209</v>
      </c>
      <c r="I122" s="103"/>
      <c r="J122" s="76" t="s">
        <v>125</v>
      </c>
      <c r="K122" s="76"/>
      <c r="L122" s="76"/>
      <c r="M122" s="105">
        <f>IF(Tabelle1324568[[#This Row],[Pulled after Start]]="",MIN(Tabelle1324568[[#This Row],[Jira Story Points]],Tabelle1324568[[#This Row],[Carry-over]]),0)</f>
        <v>0</v>
      </c>
      <c r="N122" s="108">
        <f>MIN(Tabelle1324568[[#This Row],[Jira Story Points]],Tabelle1324568[[#This Row],[Carry-over]])-Tabelle1324568[[#This Row],[SP Initially Planned (COS)]]</f>
        <v>3</v>
      </c>
      <c r="O122"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22" s="108">
        <f>IFERROR(IF(Tabelle1324568[[#This Row],[Status]]=$I$5,MIN(Tabelle1324568[[#This Row],[Jira Story Points]],Tabelle1324568[[#This Row],[Carry-over]]),0),0)</f>
        <v>0</v>
      </c>
      <c r="Q122" s="108">
        <f>IFERROR(IF(Tabelle1324568[[#This Row],[Status]]=$I$5,0,MIN(Tabelle1324568[[#This Row],[Jira Story Points]],Tabelle1324568[[#This Row],[Carry-over]])-Tabelle1324568[[#This Row],[SP Completed (COS &amp; SOS)]]),0)</f>
        <v>0</v>
      </c>
    </row>
    <row r="123" spans="1:17" s="46" customFormat="1" ht="13.5" customHeight="1">
      <c r="A123" s="88" t="s">
        <v>2599</v>
      </c>
      <c r="B123" s="47" t="s">
        <v>2600</v>
      </c>
      <c r="C123" s="76" t="s">
        <v>372</v>
      </c>
      <c r="D123" s="76">
        <v>3</v>
      </c>
      <c r="E123" s="76" t="s">
        <v>327</v>
      </c>
      <c r="F123" s="76">
        <v>8</v>
      </c>
      <c r="G123" s="76" t="s">
        <v>17</v>
      </c>
      <c r="H123" s="76"/>
      <c r="I123" s="103"/>
      <c r="J123" s="76" t="s">
        <v>127</v>
      </c>
      <c r="K123" s="76">
        <v>3</v>
      </c>
      <c r="L123" s="76">
        <v>1</v>
      </c>
      <c r="M123" s="105">
        <f>IF(Tabelle1324568[[#This Row],[Pulled after Start]]="",MIN(Tabelle1324568[[#This Row],[Jira Story Points]],Tabelle1324568[[#This Row],[Carry-over]]),0)</f>
        <v>3</v>
      </c>
      <c r="N123" s="108">
        <f>MIN(Tabelle1324568[[#This Row],[Jira Story Points]],Tabelle1324568[[#This Row],[Carry-over]])-Tabelle1324568[[#This Row],[SP Initially Planned (COS)]]</f>
        <v>0</v>
      </c>
      <c r="O123"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2</v>
      </c>
      <c r="P123" s="108">
        <f>IFERROR(IF(Tabelle1324568[[#This Row],[Status]]=$I$5,MIN(Tabelle1324568[[#This Row],[Jira Story Points]],Tabelle1324568[[#This Row],[Carry-over]]),0),0)</f>
        <v>0</v>
      </c>
      <c r="Q123" s="108">
        <f>IFERROR(IF(Tabelle1324568[[#This Row],[Status]]=$I$5,0,MIN(Tabelle1324568[[#This Row],[Jira Story Points]],Tabelle1324568[[#This Row],[Carry-over]])-Tabelle1324568[[#This Row],[SP Completed (COS &amp; SOS)]]),0)</f>
        <v>1</v>
      </c>
    </row>
    <row r="124" spans="1:17" s="46" customFormat="1" ht="13.5" customHeight="1">
      <c r="A124" s="88" t="s">
        <v>2603</v>
      </c>
      <c r="B124" s="47" t="s">
        <v>2604</v>
      </c>
      <c r="C124" s="76" t="s">
        <v>372</v>
      </c>
      <c r="D124" s="76">
        <v>3</v>
      </c>
      <c r="E124" s="76" t="s">
        <v>327</v>
      </c>
      <c r="F124" s="76">
        <v>3</v>
      </c>
      <c r="G124" s="76" t="s">
        <v>17</v>
      </c>
      <c r="H124" s="76"/>
      <c r="I124" s="103"/>
      <c r="J124" s="76" t="s">
        <v>127</v>
      </c>
      <c r="K124" s="76"/>
      <c r="L124" s="76">
        <v>2</v>
      </c>
      <c r="M124" s="105">
        <f>IF(Tabelle1324568[[#This Row],[Pulled after Start]]="",MIN(Tabelle1324568[[#This Row],[Jira Story Points]],Tabelle1324568[[#This Row],[Carry-over]]),0)</f>
        <v>3</v>
      </c>
      <c r="N124" s="108">
        <f>MIN(Tabelle1324568[[#This Row],[Jira Story Points]],Tabelle1324568[[#This Row],[Carry-over]])-Tabelle1324568[[#This Row],[SP Initially Planned (COS)]]</f>
        <v>0</v>
      </c>
      <c r="O124"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1</v>
      </c>
      <c r="P124" s="108">
        <f>IFERROR(IF(Tabelle1324568[[#This Row],[Status]]=$I$5,MIN(Tabelle1324568[[#This Row],[Jira Story Points]],Tabelle1324568[[#This Row],[Carry-over]]),0),0)</f>
        <v>0</v>
      </c>
      <c r="Q124" s="108">
        <f>IFERROR(IF(Tabelle1324568[[#This Row],[Status]]=$I$5,0,MIN(Tabelle1324568[[#This Row],[Jira Story Points]],Tabelle1324568[[#This Row],[Carry-over]])-Tabelle1324568[[#This Row],[SP Completed (COS &amp; SOS)]]),0)</f>
        <v>2</v>
      </c>
    </row>
    <row r="125" spans="1:17" s="46" customFormat="1" ht="13.5" customHeight="1">
      <c r="A125" s="88" t="s">
        <v>2898</v>
      </c>
      <c r="B125" s="47" t="s">
        <v>2899</v>
      </c>
      <c r="C125" s="76" t="s">
        <v>382</v>
      </c>
      <c r="D125" s="76">
        <v>3</v>
      </c>
      <c r="E125" s="76" t="s">
        <v>324</v>
      </c>
      <c r="F125" s="76">
        <v>1</v>
      </c>
      <c r="G125" s="76" t="s">
        <v>17</v>
      </c>
      <c r="H125" s="76"/>
      <c r="I125" s="103"/>
      <c r="J125" s="76" t="s">
        <v>125</v>
      </c>
      <c r="K125" s="76"/>
      <c r="L125" s="76"/>
      <c r="M125" s="105">
        <f>IF(Tabelle1324568[[#This Row],[Pulled after Start]]="",MIN(Tabelle1324568[[#This Row],[Jira Story Points]],Tabelle1324568[[#This Row],[Carry-over]]),0)</f>
        <v>1</v>
      </c>
      <c r="N125" s="108">
        <f>MIN(Tabelle1324568[[#This Row],[Jira Story Points]],Tabelle1324568[[#This Row],[Carry-over]])-Tabelle1324568[[#This Row],[SP Initially Planned (COS)]]</f>
        <v>0</v>
      </c>
      <c r="O125"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1</v>
      </c>
      <c r="P125" s="108">
        <f>IFERROR(IF(Tabelle1324568[[#This Row],[Status]]=$I$5,MIN(Tabelle1324568[[#This Row],[Jira Story Points]],Tabelle1324568[[#This Row],[Carry-over]]),0),0)</f>
        <v>0</v>
      </c>
      <c r="Q125" s="108">
        <f>IFERROR(IF(Tabelle1324568[[#This Row],[Status]]=$I$5,0,MIN(Tabelle1324568[[#This Row],[Jira Story Points]],Tabelle1324568[[#This Row],[Carry-over]])-Tabelle1324568[[#This Row],[SP Completed (COS &amp; SOS)]]),0)</f>
        <v>0</v>
      </c>
    </row>
    <row r="126" spans="1:17" s="46" customFormat="1" ht="13.5" customHeight="1">
      <c r="A126" s="88" t="s">
        <v>2900</v>
      </c>
      <c r="B126" s="47" t="s">
        <v>2901</v>
      </c>
      <c r="C126" s="76" t="s">
        <v>372</v>
      </c>
      <c r="D126" s="76">
        <v>3</v>
      </c>
      <c r="E126" s="76" t="s">
        <v>324</v>
      </c>
      <c r="F126" s="76">
        <v>1</v>
      </c>
      <c r="G126" s="76" t="s">
        <v>17</v>
      </c>
      <c r="H126" s="76"/>
      <c r="I126" s="103"/>
      <c r="J126" s="76" t="s">
        <v>125</v>
      </c>
      <c r="K126" s="76"/>
      <c r="L126" s="76"/>
      <c r="M126" s="105">
        <f>IF(Tabelle1324568[[#This Row],[Pulled after Start]]="",MIN(Tabelle1324568[[#This Row],[Jira Story Points]],Tabelle1324568[[#This Row],[Carry-over]]),0)</f>
        <v>1</v>
      </c>
      <c r="N126" s="108">
        <f>MIN(Tabelle1324568[[#This Row],[Jira Story Points]],Tabelle1324568[[#This Row],[Carry-over]])-Tabelle1324568[[#This Row],[SP Initially Planned (COS)]]</f>
        <v>0</v>
      </c>
      <c r="O126"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1</v>
      </c>
      <c r="P126" s="108">
        <f>IFERROR(IF(Tabelle1324568[[#This Row],[Status]]=$I$5,MIN(Tabelle1324568[[#This Row],[Jira Story Points]],Tabelle1324568[[#This Row],[Carry-over]]),0),0)</f>
        <v>0</v>
      </c>
      <c r="Q126" s="108">
        <f>IFERROR(IF(Tabelle1324568[[#This Row],[Status]]=$I$5,0,MIN(Tabelle1324568[[#This Row],[Jira Story Points]],Tabelle1324568[[#This Row],[Carry-over]])-Tabelle1324568[[#This Row],[SP Completed (COS &amp; SOS)]]),0)</f>
        <v>0</v>
      </c>
    </row>
    <row r="127" spans="1:17" s="46" customFormat="1" ht="13.5" customHeight="1">
      <c r="A127" s="88" t="s">
        <v>2902</v>
      </c>
      <c r="B127" s="47" t="s">
        <v>2903</v>
      </c>
      <c r="C127" s="76" t="s">
        <v>372</v>
      </c>
      <c r="D127" s="76">
        <v>3</v>
      </c>
      <c r="E127" s="76" t="s">
        <v>324</v>
      </c>
      <c r="F127" s="76">
        <v>1</v>
      </c>
      <c r="G127" s="76" t="s">
        <v>17</v>
      </c>
      <c r="H127" s="76"/>
      <c r="I127" s="103"/>
      <c r="J127" s="76" t="s">
        <v>125</v>
      </c>
      <c r="K127" s="76"/>
      <c r="L127" s="76"/>
      <c r="M127" s="105">
        <f>IF(Tabelle1324568[[#This Row],[Pulled after Start]]="",MIN(Tabelle1324568[[#This Row],[Jira Story Points]],Tabelle1324568[[#This Row],[Carry-over]]),0)</f>
        <v>1</v>
      </c>
      <c r="N127" s="108">
        <f>MIN(Tabelle1324568[[#This Row],[Jira Story Points]],Tabelle1324568[[#This Row],[Carry-over]])-Tabelle1324568[[#This Row],[SP Initially Planned (COS)]]</f>
        <v>0</v>
      </c>
      <c r="O127"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1</v>
      </c>
      <c r="P127" s="108">
        <f>IFERROR(IF(Tabelle1324568[[#This Row],[Status]]=$I$5,MIN(Tabelle1324568[[#This Row],[Jira Story Points]],Tabelle1324568[[#This Row],[Carry-over]]),0),0)</f>
        <v>0</v>
      </c>
      <c r="Q127" s="108">
        <f>IFERROR(IF(Tabelle1324568[[#This Row],[Status]]=$I$5,0,MIN(Tabelle1324568[[#This Row],[Jira Story Points]],Tabelle1324568[[#This Row],[Carry-over]])-Tabelle1324568[[#This Row],[SP Completed (COS &amp; SOS)]]),0)</f>
        <v>0</v>
      </c>
    </row>
    <row r="128" spans="1:17" s="46" customFormat="1" ht="13.5" customHeight="1">
      <c r="A128" s="88" t="s">
        <v>2904</v>
      </c>
      <c r="B128" s="47" t="s">
        <v>2905</v>
      </c>
      <c r="C128" s="76" t="s">
        <v>375</v>
      </c>
      <c r="D128" s="76">
        <v>3</v>
      </c>
      <c r="E128" s="76" t="s">
        <v>324</v>
      </c>
      <c r="F128" s="76">
        <v>3</v>
      </c>
      <c r="G128" s="76" t="s">
        <v>17</v>
      </c>
      <c r="H128" s="76" t="s">
        <v>209</v>
      </c>
      <c r="I128" s="103"/>
      <c r="J128" s="76" t="s">
        <v>125</v>
      </c>
      <c r="K128" s="76"/>
      <c r="L128" s="76"/>
      <c r="M128" s="105">
        <f>IF(Tabelle1324568[[#This Row],[Pulled after Start]]="",MIN(Tabelle1324568[[#This Row],[Jira Story Points]],Tabelle1324568[[#This Row],[Carry-over]]),0)</f>
        <v>0</v>
      </c>
      <c r="N128" s="108">
        <f>MIN(Tabelle1324568[[#This Row],[Jira Story Points]],Tabelle1324568[[#This Row],[Carry-over]])-Tabelle1324568[[#This Row],[SP Initially Planned (COS)]]</f>
        <v>3</v>
      </c>
      <c r="O128"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28" s="108">
        <f>IFERROR(IF(Tabelle1324568[[#This Row],[Status]]=$I$5,MIN(Tabelle1324568[[#This Row],[Jira Story Points]],Tabelle1324568[[#This Row],[Carry-over]]),0),0)</f>
        <v>0</v>
      </c>
      <c r="Q128" s="108">
        <f>IFERROR(IF(Tabelle1324568[[#This Row],[Status]]=$I$5,0,MIN(Tabelle1324568[[#This Row],[Jira Story Points]],Tabelle1324568[[#This Row],[Carry-over]])-Tabelle1324568[[#This Row],[SP Completed (COS &amp; SOS)]]),0)</f>
        <v>0</v>
      </c>
    </row>
    <row r="129" spans="1:17" s="46" customFormat="1" ht="13.5" customHeight="1">
      <c r="A129" s="118" t="s">
        <v>2906</v>
      </c>
      <c r="B129" s="47" t="s">
        <v>2907</v>
      </c>
      <c r="C129" s="76" t="s">
        <v>372</v>
      </c>
      <c r="D129" s="76">
        <v>3</v>
      </c>
      <c r="E129" s="76" t="s">
        <v>324</v>
      </c>
      <c r="F129" s="104">
        <v>3</v>
      </c>
      <c r="G129" s="76" t="s">
        <v>24</v>
      </c>
      <c r="H129" s="76"/>
      <c r="I129" s="103"/>
      <c r="J129" s="76" t="s">
        <v>125</v>
      </c>
      <c r="K129" s="104"/>
      <c r="L129" s="104"/>
      <c r="M129" s="105">
        <f>IF(Tabelle1324568[[#This Row],[Pulled after Start]]="",MIN(Tabelle1324568[[#This Row],[Jira Story Points]],Tabelle1324568[[#This Row],[Carry-over]]),0)</f>
        <v>3</v>
      </c>
      <c r="N129" s="108">
        <f>MIN(Tabelle1324568[[#This Row],[Jira Story Points]],Tabelle1324568[[#This Row],[Carry-over]])-Tabelle1324568[[#This Row],[SP Initially Planned (COS)]]</f>
        <v>0</v>
      </c>
      <c r="O129"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29" s="108">
        <f>IFERROR(IF(Tabelle1324568[[#This Row],[Status]]=$I$5,MIN(Tabelle1324568[[#This Row],[Jira Story Points]],Tabelle1324568[[#This Row],[Carry-over]]),0),0)</f>
        <v>0</v>
      </c>
      <c r="Q129" s="108">
        <f>IFERROR(IF(Tabelle1324568[[#This Row],[Status]]=$I$5,0,MIN(Tabelle1324568[[#This Row],[Jira Story Points]],Tabelle1324568[[#This Row],[Carry-over]])-Tabelle1324568[[#This Row],[SP Completed (COS &amp; SOS)]]),0)</f>
        <v>0</v>
      </c>
    </row>
    <row r="130" spans="1:17" s="46" customFormat="1" ht="13.5" customHeight="1">
      <c r="A130" s="118" t="s">
        <v>2908</v>
      </c>
      <c r="B130" s="47" t="s">
        <v>2909</v>
      </c>
      <c r="C130" s="76" t="s">
        <v>375</v>
      </c>
      <c r="D130" s="76">
        <v>2</v>
      </c>
      <c r="E130" s="76" t="s">
        <v>324</v>
      </c>
      <c r="F130" s="104">
        <v>3</v>
      </c>
      <c r="G130" s="76" t="s">
        <v>24</v>
      </c>
      <c r="H130" s="76"/>
      <c r="I130" s="79"/>
      <c r="J130" s="76" t="s">
        <v>125</v>
      </c>
      <c r="K130" s="104"/>
      <c r="L130" s="104"/>
      <c r="M130" s="105">
        <f>IF(Tabelle1324568[[#This Row],[Pulled after Start]]="",MIN(Tabelle1324568[[#This Row],[Jira Story Points]],Tabelle1324568[[#This Row],[Carry-over]]),0)</f>
        <v>3</v>
      </c>
      <c r="N130" s="108">
        <f>MIN(Tabelle1324568[[#This Row],[Jira Story Points]],Tabelle1324568[[#This Row],[Carry-over]])-Tabelle1324568[[#This Row],[SP Initially Planned (COS)]]</f>
        <v>0</v>
      </c>
      <c r="O130"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30" s="108">
        <f>IFERROR(IF(Tabelle1324568[[#This Row],[Status]]=$I$5,MIN(Tabelle1324568[[#This Row],[Jira Story Points]],Tabelle1324568[[#This Row],[Carry-over]]),0),0)</f>
        <v>0</v>
      </c>
      <c r="Q130" s="108">
        <f>IFERROR(IF(Tabelle1324568[[#This Row],[Status]]=$I$5,0,MIN(Tabelle1324568[[#This Row],[Jira Story Points]],Tabelle1324568[[#This Row],[Carry-over]])-Tabelle1324568[[#This Row],[SP Completed (COS &amp; SOS)]]),0)</f>
        <v>0</v>
      </c>
    </row>
    <row r="131" spans="1:17" s="46" customFormat="1" ht="13.5" customHeight="1">
      <c r="A131" s="118" t="s">
        <v>2910</v>
      </c>
      <c r="B131" s="47" t="s">
        <v>2911</v>
      </c>
      <c r="C131" s="76" t="s">
        <v>372</v>
      </c>
      <c r="D131" s="76">
        <v>3</v>
      </c>
      <c r="E131" s="76" t="s">
        <v>324</v>
      </c>
      <c r="F131" s="104">
        <v>5</v>
      </c>
      <c r="G131" s="76" t="s">
        <v>24</v>
      </c>
      <c r="H131" s="76"/>
      <c r="I131" s="103"/>
      <c r="J131" s="76" t="s">
        <v>125</v>
      </c>
      <c r="K131" s="76"/>
      <c r="L131" s="76"/>
      <c r="M131" s="105">
        <f>IF(Tabelle1324568[[#This Row],[Pulled after Start]]="",MIN(Tabelle1324568[[#This Row],[Jira Story Points]],Tabelle1324568[[#This Row],[Carry-over]]),0)</f>
        <v>5</v>
      </c>
      <c r="N131" s="108">
        <f>MIN(Tabelle1324568[[#This Row],[Jira Story Points]],Tabelle1324568[[#This Row],[Carry-over]])-Tabelle1324568[[#This Row],[SP Initially Planned (COS)]]</f>
        <v>0</v>
      </c>
      <c r="O131"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5</v>
      </c>
      <c r="P131" s="108">
        <f>IFERROR(IF(Tabelle1324568[[#This Row],[Status]]=$I$5,MIN(Tabelle1324568[[#This Row],[Jira Story Points]],Tabelle1324568[[#This Row],[Carry-over]]),0),0)</f>
        <v>0</v>
      </c>
      <c r="Q131" s="108">
        <f>IFERROR(IF(Tabelle1324568[[#This Row],[Status]]=$I$5,0,MIN(Tabelle1324568[[#This Row],[Jira Story Points]],Tabelle1324568[[#This Row],[Carry-over]])-Tabelle1324568[[#This Row],[SP Completed (COS &amp; SOS)]]),0)</f>
        <v>0</v>
      </c>
    </row>
    <row r="132" spans="1:17" s="46" customFormat="1" ht="13.5" customHeight="1">
      <c r="A132" s="118" t="s">
        <v>2912</v>
      </c>
      <c r="B132" s="47" t="s">
        <v>2913</v>
      </c>
      <c r="C132" s="76" t="s">
        <v>382</v>
      </c>
      <c r="D132" s="76">
        <v>3</v>
      </c>
      <c r="E132" s="76" t="s">
        <v>324</v>
      </c>
      <c r="F132" s="104">
        <v>2</v>
      </c>
      <c r="G132" s="76" t="s">
        <v>24</v>
      </c>
      <c r="H132" s="83"/>
      <c r="I132" s="103"/>
      <c r="J132" s="76" t="s">
        <v>125</v>
      </c>
      <c r="K132" s="104"/>
      <c r="L132" s="104"/>
      <c r="M132" s="105">
        <f>IF(Tabelle1324568[[#This Row],[Pulled after Start]]="",MIN(Tabelle1324568[[#This Row],[Jira Story Points]],Tabelle1324568[[#This Row],[Carry-over]]),0)</f>
        <v>2</v>
      </c>
      <c r="N132" s="108">
        <f>MIN(Tabelle1324568[[#This Row],[Jira Story Points]],Tabelle1324568[[#This Row],[Carry-over]])-Tabelle1324568[[#This Row],[SP Initially Planned (COS)]]</f>
        <v>0</v>
      </c>
      <c r="O132"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2</v>
      </c>
      <c r="P132" s="108">
        <f>IFERROR(IF(Tabelle1324568[[#This Row],[Status]]=$I$5,MIN(Tabelle1324568[[#This Row],[Jira Story Points]],Tabelle1324568[[#This Row],[Carry-over]]),0),0)</f>
        <v>0</v>
      </c>
      <c r="Q132" s="108">
        <f>IFERROR(IF(Tabelle1324568[[#This Row],[Status]]=$I$5,0,MIN(Tabelle1324568[[#This Row],[Jira Story Points]],Tabelle1324568[[#This Row],[Carry-over]])-Tabelle1324568[[#This Row],[SP Completed (COS &amp; SOS)]]),0)</f>
        <v>0</v>
      </c>
    </row>
    <row r="133" spans="1:17" s="46" customFormat="1" ht="13.5" customHeight="1">
      <c r="A133" s="118" t="s">
        <v>2914</v>
      </c>
      <c r="B133" s="47" t="s">
        <v>2915</v>
      </c>
      <c r="C133" s="76" t="s">
        <v>382</v>
      </c>
      <c r="D133" s="76">
        <v>3</v>
      </c>
      <c r="E133" s="76" t="s">
        <v>324</v>
      </c>
      <c r="F133" s="104">
        <v>2</v>
      </c>
      <c r="G133" s="76" t="s">
        <v>24</v>
      </c>
      <c r="H133" s="76"/>
      <c r="I133" s="103"/>
      <c r="J133" s="76" t="s">
        <v>125</v>
      </c>
      <c r="K133" s="76"/>
      <c r="L133" s="76"/>
      <c r="M133" s="105">
        <f>IF(Tabelle1324568[[#This Row],[Pulled after Start]]="",MIN(Tabelle1324568[[#This Row],[Jira Story Points]],Tabelle1324568[[#This Row],[Carry-over]]),0)</f>
        <v>2</v>
      </c>
      <c r="N133" s="108">
        <f>MIN(Tabelle1324568[[#This Row],[Jira Story Points]],Tabelle1324568[[#This Row],[Carry-over]])-Tabelle1324568[[#This Row],[SP Initially Planned (COS)]]</f>
        <v>0</v>
      </c>
      <c r="O133"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2</v>
      </c>
      <c r="P133" s="108">
        <f>IFERROR(IF(Tabelle1324568[[#This Row],[Status]]=$I$5,MIN(Tabelle1324568[[#This Row],[Jira Story Points]],Tabelle1324568[[#This Row],[Carry-over]]),0),0)</f>
        <v>0</v>
      </c>
      <c r="Q133" s="108">
        <f>IFERROR(IF(Tabelle1324568[[#This Row],[Status]]=$I$5,0,MIN(Tabelle1324568[[#This Row],[Jira Story Points]],Tabelle1324568[[#This Row],[Carry-over]])-Tabelle1324568[[#This Row],[SP Completed (COS &amp; SOS)]]),0)</f>
        <v>0</v>
      </c>
    </row>
    <row r="134" spans="1:17" s="46" customFormat="1" ht="13.5" customHeight="1">
      <c r="A134" s="118" t="s">
        <v>2916</v>
      </c>
      <c r="B134" s="47" t="s">
        <v>2917</v>
      </c>
      <c r="C134" s="76" t="s">
        <v>382</v>
      </c>
      <c r="D134" s="76">
        <v>3</v>
      </c>
      <c r="E134" s="76" t="s">
        <v>324</v>
      </c>
      <c r="F134" s="104">
        <v>3</v>
      </c>
      <c r="G134" s="76" t="s">
        <v>24</v>
      </c>
      <c r="H134" s="83"/>
      <c r="I134" s="103"/>
      <c r="J134" s="76" t="s">
        <v>125</v>
      </c>
      <c r="K134" s="104"/>
      <c r="L134" s="104"/>
      <c r="M134" s="105">
        <f>IF(Tabelle1324568[[#This Row],[Pulled after Start]]="",MIN(Tabelle1324568[[#This Row],[Jira Story Points]],Tabelle1324568[[#This Row],[Carry-over]]),0)</f>
        <v>3</v>
      </c>
      <c r="N134" s="108">
        <f>MIN(Tabelle1324568[[#This Row],[Jira Story Points]],Tabelle1324568[[#This Row],[Carry-over]])-Tabelle1324568[[#This Row],[SP Initially Planned (COS)]]</f>
        <v>0</v>
      </c>
      <c r="O134"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34" s="108">
        <f>IFERROR(IF(Tabelle1324568[[#This Row],[Status]]=$I$5,MIN(Tabelle1324568[[#This Row],[Jira Story Points]],Tabelle1324568[[#This Row],[Carry-over]]),0),0)</f>
        <v>0</v>
      </c>
      <c r="Q134" s="108">
        <f>IFERROR(IF(Tabelle1324568[[#This Row],[Status]]=$I$5,0,MIN(Tabelle1324568[[#This Row],[Jira Story Points]],Tabelle1324568[[#This Row],[Carry-over]])-Tabelle1324568[[#This Row],[SP Completed (COS &amp; SOS)]]),0)</f>
        <v>0</v>
      </c>
    </row>
    <row r="135" spans="1:17" s="46" customFormat="1" ht="13.5" customHeight="1">
      <c r="A135" s="118" t="s">
        <v>2918</v>
      </c>
      <c r="B135" s="47" t="s">
        <v>2919</v>
      </c>
      <c r="C135" s="76" t="s">
        <v>375</v>
      </c>
      <c r="D135" s="76">
        <v>3</v>
      </c>
      <c r="E135" s="76" t="s">
        <v>324</v>
      </c>
      <c r="F135" s="104">
        <v>3</v>
      </c>
      <c r="G135" s="76" t="s">
        <v>24</v>
      </c>
      <c r="H135" s="76"/>
      <c r="I135" s="103"/>
      <c r="J135" s="76" t="s">
        <v>125</v>
      </c>
      <c r="K135" s="104"/>
      <c r="L135" s="104"/>
      <c r="M135" s="105">
        <f>IF(Tabelle1324568[[#This Row],[Pulled after Start]]="",MIN(Tabelle1324568[[#This Row],[Jira Story Points]],Tabelle1324568[[#This Row],[Carry-over]]),0)</f>
        <v>3</v>
      </c>
      <c r="N135" s="108">
        <f>MIN(Tabelle1324568[[#This Row],[Jira Story Points]],Tabelle1324568[[#This Row],[Carry-over]])-Tabelle1324568[[#This Row],[SP Initially Planned (COS)]]</f>
        <v>0</v>
      </c>
      <c r="O135"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35" s="108">
        <f>IFERROR(IF(Tabelle1324568[[#This Row],[Status]]=$I$5,MIN(Tabelle1324568[[#This Row],[Jira Story Points]],Tabelle1324568[[#This Row],[Carry-over]]),0),0)</f>
        <v>0</v>
      </c>
      <c r="Q135" s="108">
        <f>IFERROR(IF(Tabelle1324568[[#This Row],[Status]]=$I$5,0,MIN(Tabelle1324568[[#This Row],[Jira Story Points]],Tabelle1324568[[#This Row],[Carry-over]])-Tabelle1324568[[#This Row],[SP Completed (COS &amp; SOS)]]),0)</f>
        <v>0</v>
      </c>
    </row>
    <row r="136" spans="1:17" s="46" customFormat="1" ht="13.5" customHeight="1">
      <c r="A136" s="117" t="s">
        <v>2605</v>
      </c>
      <c r="B136" s="110" t="s">
        <v>2606</v>
      </c>
      <c r="C136" s="76" t="s">
        <v>382</v>
      </c>
      <c r="D136" s="76">
        <v>3</v>
      </c>
      <c r="E136" s="76" t="s">
        <v>642</v>
      </c>
      <c r="F136" s="104">
        <v>2</v>
      </c>
      <c r="G136" s="76" t="s">
        <v>24</v>
      </c>
      <c r="H136" s="83"/>
      <c r="I136" s="103"/>
      <c r="J136" s="76" t="s">
        <v>127</v>
      </c>
      <c r="K136" s="104"/>
      <c r="L136" s="104">
        <v>2</v>
      </c>
      <c r="M136" s="105">
        <f>IF(Tabelle1324568[[#This Row],[Pulled after Start]]="",MIN(Tabelle1324568[[#This Row],[Jira Story Points]],Tabelle1324568[[#This Row],[Carry-over]]),0)</f>
        <v>2</v>
      </c>
      <c r="N136" s="108">
        <f>MIN(Tabelle1324568[[#This Row],[Jira Story Points]],Tabelle1324568[[#This Row],[Carry-over]])-Tabelle1324568[[#This Row],[SP Initially Planned (COS)]]</f>
        <v>0</v>
      </c>
      <c r="O136"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136" s="108">
        <f>IFERROR(IF(Tabelle1324568[[#This Row],[Status]]=$I$5,MIN(Tabelle1324568[[#This Row],[Jira Story Points]],Tabelle1324568[[#This Row],[Carry-over]]),0),0)</f>
        <v>0</v>
      </c>
      <c r="Q136" s="108">
        <f>IFERROR(IF(Tabelle1324568[[#This Row],[Status]]=$I$5,0,MIN(Tabelle1324568[[#This Row],[Jira Story Points]],Tabelle1324568[[#This Row],[Carry-over]])-Tabelle1324568[[#This Row],[SP Completed (COS &amp; SOS)]]),0)</f>
        <v>2</v>
      </c>
    </row>
    <row r="137" spans="1:17" s="46" customFormat="1" ht="13.5" customHeight="1">
      <c r="A137" s="88" t="s">
        <v>2920</v>
      </c>
      <c r="B137" s="46" t="s">
        <v>2921</v>
      </c>
      <c r="C137" s="76" t="s">
        <v>375</v>
      </c>
      <c r="D137" s="76">
        <v>1</v>
      </c>
      <c r="E137" s="76" t="s">
        <v>324</v>
      </c>
      <c r="F137" s="76">
        <v>3</v>
      </c>
      <c r="G137" s="76" t="s">
        <v>24</v>
      </c>
      <c r="H137" s="76" t="s">
        <v>209</v>
      </c>
      <c r="I137" s="103"/>
      <c r="J137" s="76" t="s">
        <v>125</v>
      </c>
      <c r="K137" s="104"/>
      <c r="L137" s="104"/>
      <c r="M137" s="105">
        <f>IF(Tabelle1324568[[#This Row],[Pulled after Start]]="",MIN(Tabelle1324568[[#This Row],[Jira Story Points]],Tabelle1324568[[#This Row],[Carry-over]]),0)</f>
        <v>0</v>
      </c>
      <c r="N137" s="108">
        <f>MIN(Tabelle1324568[[#This Row],[Jira Story Points]],Tabelle1324568[[#This Row],[Carry-over]])-Tabelle1324568[[#This Row],[SP Initially Planned (COS)]]</f>
        <v>3</v>
      </c>
      <c r="O137"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37" s="108">
        <f>IFERROR(IF(Tabelle1324568[[#This Row],[Status]]=$I$5,MIN(Tabelle1324568[[#This Row],[Jira Story Points]],Tabelle1324568[[#This Row],[Carry-over]]),0),0)</f>
        <v>0</v>
      </c>
      <c r="Q137" s="108">
        <f>IFERROR(IF(Tabelle1324568[[#This Row],[Status]]=$I$5,0,MIN(Tabelle1324568[[#This Row],[Jira Story Points]],Tabelle1324568[[#This Row],[Carry-over]])-Tabelle1324568[[#This Row],[SP Completed (COS &amp; SOS)]]),0)</f>
        <v>0</v>
      </c>
    </row>
    <row r="138" spans="1:17" s="46" customFormat="1" ht="13.5" customHeight="1">
      <c r="A138" s="88" t="s">
        <v>2922</v>
      </c>
      <c r="B138" s="46" t="s">
        <v>2923</v>
      </c>
      <c r="C138" s="76" t="s">
        <v>372</v>
      </c>
      <c r="D138" s="76">
        <v>3</v>
      </c>
      <c r="E138" s="76" t="s">
        <v>448</v>
      </c>
      <c r="F138" s="76">
        <v>3</v>
      </c>
      <c r="G138" s="76" t="s">
        <v>24</v>
      </c>
      <c r="H138" s="76"/>
      <c r="I138" s="103"/>
      <c r="J138" s="76" t="s">
        <v>125</v>
      </c>
      <c r="K138" s="104"/>
      <c r="L138" s="104"/>
      <c r="M138" s="105">
        <f>IF(Tabelle1324568[[#This Row],[Pulled after Start]]="",MIN(Tabelle1324568[[#This Row],[Jira Story Points]],Tabelle1324568[[#This Row],[Carry-over]]),0)</f>
        <v>3</v>
      </c>
      <c r="N138" s="108">
        <f>MIN(Tabelle1324568[[#This Row],[Jira Story Points]],Tabelle1324568[[#This Row],[Carry-over]])-Tabelle1324568[[#This Row],[SP Initially Planned (COS)]]</f>
        <v>0</v>
      </c>
      <c r="O138"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38" s="108">
        <f>IFERROR(IF(Tabelle1324568[[#This Row],[Status]]=$I$5,MIN(Tabelle1324568[[#This Row],[Jira Story Points]],Tabelle1324568[[#This Row],[Carry-over]]),0),0)</f>
        <v>0</v>
      </c>
      <c r="Q138" s="108">
        <f>IFERROR(IF(Tabelle1324568[[#This Row],[Status]]=$I$5,0,MIN(Tabelle1324568[[#This Row],[Jira Story Points]],Tabelle1324568[[#This Row],[Carry-over]])-Tabelle1324568[[#This Row],[SP Completed (COS &amp; SOS)]]),0)</f>
        <v>0</v>
      </c>
    </row>
    <row r="139" spans="1:17" s="46" customFormat="1" ht="13.5" customHeight="1">
      <c r="A139" s="117" t="s">
        <v>2924</v>
      </c>
      <c r="B139" s="110" t="s">
        <v>2925</v>
      </c>
      <c r="C139" s="76" t="s">
        <v>372</v>
      </c>
      <c r="D139" s="76">
        <v>3</v>
      </c>
      <c r="E139" s="76" t="s">
        <v>448</v>
      </c>
      <c r="F139" s="104">
        <v>3</v>
      </c>
      <c r="G139" s="76" t="s">
        <v>24</v>
      </c>
      <c r="H139" s="83"/>
      <c r="I139" s="103"/>
      <c r="J139" s="76" t="s">
        <v>125</v>
      </c>
      <c r="K139" s="104"/>
      <c r="L139" s="104"/>
      <c r="M139" s="105">
        <f>IF(Tabelle1324568[[#This Row],[Pulled after Start]]="",MIN(Tabelle1324568[[#This Row],[Jira Story Points]],Tabelle1324568[[#This Row],[Carry-over]]),0)</f>
        <v>3</v>
      </c>
      <c r="N139" s="108">
        <f>MIN(Tabelle1324568[[#This Row],[Jira Story Points]],Tabelle1324568[[#This Row],[Carry-over]])-Tabelle1324568[[#This Row],[SP Initially Planned (COS)]]</f>
        <v>0</v>
      </c>
      <c r="O139"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39" s="108">
        <f>IFERROR(IF(Tabelle1324568[[#This Row],[Status]]=$I$5,MIN(Tabelle1324568[[#This Row],[Jira Story Points]],Tabelle1324568[[#This Row],[Carry-over]]),0),0)</f>
        <v>0</v>
      </c>
      <c r="Q139" s="108">
        <f>IFERROR(IF(Tabelle1324568[[#This Row],[Status]]=$I$5,0,MIN(Tabelle1324568[[#This Row],[Jira Story Points]],Tabelle1324568[[#This Row],[Carry-over]])-Tabelle1324568[[#This Row],[SP Completed (COS &amp; SOS)]]),0)</f>
        <v>0</v>
      </c>
    </row>
    <row r="140" spans="1:17" s="46" customFormat="1" ht="13.5" customHeight="1">
      <c r="A140" s="88" t="s">
        <v>2926</v>
      </c>
      <c r="B140" s="46" t="s">
        <v>2927</v>
      </c>
      <c r="C140" s="76" t="s">
        <v>372</v>
      </c>
      <c r="D140" s="76">
        <v>3</v>
      </c>
      <c r="E140" s="76" t="s">
        <v>448</v>
      </c>
      <c r="F140" s="76">
        <v>3</v>
      </c>
      <c r="G140" s="76" t="s">
        <v>24</v>
      </c>
      <c r="H140" s="76"/>
      <c r="J140" s="76" t="s">
        <v>125</v>
      </c>
      <c r="K140" s="76"/>
      <c r="L140" s="76"/>
      <c r="M140" s="105">
        <f>IF(Tabelle1324568[[#This Row],[Pulled after Start]]="",MIN(Tabelle1324568[[#This Row],[Jira Story Points]],Tabelle1324568[[#This Row],[Carry-over]]),0)</f>
        <v>3</v>
      </c>
      <c r="N140" s="108">
        <f>MIN(Tabelle1324568[[#This Row],[Jira Story Points]],Tabelle1324568[[#This Row],[Carry-over]])-Tabelle1324568[[#This Row],[SP Initially Planned (COS)]]</f>
        <v>0</v>
      </c>
      <c r="O140"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40" s="108">
        <f>IFERROR(IF(Tabelle1324568[[#This Row],[Status]]=$I$5,MIN(Tabelle1324568[[#This Row],[Jira Story Points]],Tabelle1324568[[#This Row],[Carry-over]]),0),0)</f>
        <v>0</v>
      </c>
      <c r="Q140" s="108">
        <f>IFERROR(IF(Tabelle1324568[[#This Row],[Status]]=$I$5,0,MIN(Tabelle1324568[[#This Row],[Jira Story Points]],Tabelle1324568[[#This Row],[Carry-over]])-Tabelle1324568[[#This Row],[SP Completed (COS &amp; SOS)]]),0)</f>
        <v>0</v>
      </c>
    </row>
    <row r="141" spans="1:17" s="46" customFormat="1" ht="13.5" customHeight="1">
      <c r="A141" s="117" t="s">
        <v>2928</v>
      </c>
      <c r="B141" s="110" t="s">
        <v>2929</v>
      </c>
      <c r="C141" s="76" t="s">
        <v>372</v>
      </c>
      <c r="D141" s="76">
        <v>3</v>
      </c>
      <c r="E141" s="76" t="s">
        <v>327</v>
      </c>
      <c r="F141" s="104">
        <v>3</v>
      </c>
      <c r="G141" s="76" t="s">
        <v>24</v>
      </c>
      <c r="H141" s="83"/>
      <c r="I141" s="103"/>
      <c r="J141" s="76" t="s">
        <v>127</v>
      </c>
      <c r="K141" s="104"/>
      <c r="L141" s="104"/>
      <c r="M141" s="105">
        <f>IF(Tabelle1324568[[#This Row],[Pulled after Start]]="",MIN(Tabelle1324568[[#This Row],[Jira Story Points]],Tabelle1324568[[#This Row],[Carry-over]]),0)</f>
        <v>3</v>
      </c>
      <c r="N141" s="108">
        <f>MIN(Tabelle1324568[[#This Row],[Jira Story Points]],Tabelle1324568[[#This Row],[Carry-over]])-Tabelle1324568[[#This Row],[SP Initially Planned (COS)]]</f>
        <v>0</v>
      </c>
      <c r="O141"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141" s="108">
        <f>IFERROR(IF(Tabelle1324568[[#This Row],[Status]]=$I$5,MIN(Tabelle1324568[[#This Row],[Jira Story Points]],Tabelle1324568[[#This Row],[Carry-over]]),0),0)</f>
        <v>0</v>
      </c>
      <c r="Q141" s="108">
        <f>IFERROR(IF(Tabelle1324568[[#This Row],[Status]]=$I$5,0,MIN(Tabelle1324568[[#This Row],[Jira Story Points]],Tabelle1324568[[#This Row],[Carry-over]])-Tabelle1324568[[#This Row],[SP Completed (COS &amp; SOS)]]),0)</f>
        <v>3</v>
      </c>
    </row>
    <row r="142" spans="1:17" s="46" customFormat="1" ht="13.5" customHeight="1">
      <c r="A142" s="88" t="s">
        <v>2930</v>
      </c>
      <c r="B142" s="47" t="s">
        <v>2931</v>
      </c>
      <c r="C142" s="76" t="s">
        <v>382</v>
      </c>
      <c r="D142" s="76">
        <v>3</v>
      </c>
      <c r="E142" s="76" t="s">
        <v>330</v>
      </c>
      <c r="F142" s="104">
        <v>1</v>
      </c>
      <c r="G142" s="76" t="s">
        <v>24</v>
      </c>
      <c r="H142" s="76"/>
      <c r="I142" s="103"/>
      <c r="J142" s="76" t="s">
        <v>125</v>
      </c>
      <c r="K142" s="76"/>
      <c r="L142" s="76"/>
      <c r="M142" s="105">
        <f>IF(Tabelle1324568[[#This Row],[Pulled after Start]]="",MIN(Tabelle1324568[[#This Row],[Jira Story Points]],Tabelle1324568[[#This Row],[Carry-over]]),0)</f>
        <v>1</v>
      </c>
      <c r="N142" s="108">
        <f>MIN(Tabelle1324568[[#This Row],[Jira Story Points]],Tabelle1324568[[#This Row],[Carry-over]])-Tabelle1324568[[#This Row],[SP Initially Planned (COS)]]</f>
        <v>0</v>
      </c>
      <c r="O142"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1</v>
      </c>
      <c r="P142" s="108">
        <f>IFERROR(IF(Tabelle1324568[[#This Row],[Status]]=$I$5,MIN(Tabelle1324568[[#This Row],[Jira Story Points]],Tabelle1324568[[#This Row],[Carry-over]]),0),0)</f>
        <v>0</v>
      </c>
      <c r="Q142" s="108">
        <f>IFERROR(IF(Tabelle1324568[[#This Row],[Status]]=$I$5,0,MIN(Tabelle1324568[[#This Row],[Jira Story Points]],Tabelle1324568[[#This Row],[Carry-over]])-Tabelle1324568[[#This Row],[SP Completed (COS &amp; SOS)]]),0)</f>
        <v>0</v>
      </c>
    </row>
    <row r="143" spans="1:17" s="46" customFormat="1" ht="13.5" customHeight="1">
      <c r="A143" s="88" t="s">
        <v>2932</v>
      </c>
      <c r="B143" s="47" t="s">
        <v>2933</v>
      </c>
      <c r="C143" s="76" t="s">
        <v>382</v>
      </c>
      <c r="D143" s="76">
        <v>3</v>
      </c>
      <c r="E143" s="76" t="s">
        <v>448</v>
      </c>
      <c r="F143" s="76">
        <v>1</v>
      </c>
      <c r="G143" s="76" t="s">
        <v>24</v>
      </c>
      <c r="H143" s="76"/>
      <c r="I143" s="103"/>
      <c r="J143" s="76" t="s">
        <v>125</v>
      </c>
      <c r="K143" s="76"/>
      <c r="L143" s="76"/>
      <c r="M143" s="105">
        <f>IF(Tabelle1324568[[#This Row],[Pulled after Start]]="",MIN(Tabelle1324568[[#This Row],[Jira Story Points]],Tabelle1324568[[#This Row],[Carry-over]]),0)</f>
        <v>1</v>
      </c>
      <c r="N143" s="108">
        <f>MIN(Tabelle1324568[[#This Row],[Jira Story Points]],Tabelle1324568[[#This Row],[Carry-over]])-Tabelle1324568[[#This Row],[SP Initially Planned (COS)]]</f>
        <v>0</v>
      </c>
      <c r="O143"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1</v>
      </c>
      <c r="P143" s="108">
        <f>IFERROR(IF(Tabelle1324568[[#This Row],[Status]]=$I$5,MIN(Tabelle1324568[[#This Row],[Jira Story Points]],Tabelle1324568[[#This Row],[Carry-over]]),0),0)</f>
        <v>0</v>
      </c>
      <c r="Q143" s="108">
        <f>IFERROR(IF(Tabelle1324568[[#This Row],[Status]]=$I$5,0,MIN(Tabelle1324568[[#This Row],[Jira Story Points]],Tabelle1324568[[#This Row],[Carry-over]])-Tabelle1324568[[#This Row],[SP Completed (COS &amp; SOS)]]),0)</f>
        <v>0</v>
      </c>
    </row>
    <row r="144" spans="1:17" s="46" customFormat="1" ht="13.5" customHeight="1">
      <c r="A144" s="117" t="s">
        <v>2934</v>
      </c>
      <c r="B144" s="47" t="s">
        <v>2935</v>
      </c>
      <c r="C144" s="76" t="s">
        <v>382</v>
      </c>
      <c r="D144" s="76">
        <v>3</v>
      </c>
      <c r="E144" s="76" t="s">
        <v>324</v>
      </c>
      <c r="F144" s="104">
        <v>0</v>
      </c>
      <c r="G144" s="76" t="s">
        <v>24</v>
      </c>
      <c r="H144" s="76"/>
      <c r="I144" s="103"/>
      <c r="J144" s="76" t="s">
        <v>125</v>
      </c>
      <c r="K144" s="104"/>
      <c r="L144" s="104"/>
      <c r="M144" s="105">
        <f>IF(Tabelle1324568[[#This Row],[Pulled after Start]]="",MIN(Tabelle1324568[[#This Row],[Jira Story Points]],Tabelle1324568[[#This Row],[Carry-over]]),0)</f>
        <v>0</v>
      </c>
      <c r="N144" s="108">
        <f>MIN(Tabelle1324568[[#This Row],[Jira Story Points]],Tabelle1324568[[#This Row],[Carry-over]])-Tabelle1324568[[#This Row],[SP Initially Planned (COS)]]</f>
        <v>0</v>
      </c>
      <c r="O144"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144" s="108">
        <f>IFERROR(IF(Tabelle1324568[[#This Row],[Status]]=$I$5,MIN(Tabelle1324568[[#This Row],[Jira Story Points]],Tabelle1324568[[#This Row],[Carry-over]]),0),0)</f>
        <v>0</v>
      </c>
      <c r="Q144" s="108">
        <f>IFERROR(IF(Tabelle1324568[[#This Row],[Status]]=$I$5,0,MIN(Tabelle1324568[[#This Row],[Jira Story Points]],Tabelle1324568[[#This Row],[Carry-over]])-Tabelle1324568[[#This Row],[SP Completed (COS &amp; SOS)]]),0)</f>
        <v>0</v>
      </c>
    </row>
    <row r="145" spans="1:17" s="46" customFormat="1" ht="13.5" customHeight="1">
      <c r="A145" s="88" t="s">
        <v>2607</v>
      </c>
      <c r="B145" s="47" t="s">
        <v>2608</v>
      </c>
      <c r="C145" s="76" t="s">
        <v>382</v>
      </c>
      <c r="D145" s="76">
        <v>3</v>
      </c>
      <c r="E145" s="76" t="s">
        <v>330</v>
      </c>
      <c r="F145" s="76">
        <v>3</v>
      </c>
      <c r="G145" s="76" t="s">
        <v>24</v>
      </c>
      <c r="H145" s="76"/>
      <c r="I145" s="103"/>
      <c r="J145" s="76" t="s">
        <v>127</v>
      </c>
      <c r="K145" s="76"/>
      <c r="L145" s="76">
        <v>3</v>
      </c>
      <c r="M145" s="105">
        <f>IF(Tabelle1324568[[#This Row],[Pulled after Start]]="",MIN(Tabelle1324568[[#This Row],[Jira Story Points]],Tabelle1324568[[#This Row],[Carry-over]]),0)</f>
        <v>3</v>
      </c>
      <c r="N145" s="108">
        <f>MIN(Tabelle1324568[[#This Row],[Jira Story Points]],Tabelle1324568[[#This Row],[Carry-over]])-Tabelle1324568[[#This Row],[SP Initially Planned (COS)]]</f>
        <v>0</v>
      </c>
      <c r="O145"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145" s="108">
        <f>IFERROR(IF(Tabelle1324568[[#This Row],[Status]]=$I$5,MIN(Tabelle1324568[[#This Row],[Jira Story Points]],Tabelle1324568[[#This Row],[Carry-over]]),0),0)</f>
        <v>0</v>
      </c>
      <c r="Q145" s="108">
        <f>IFERROR(IF(Tabelle1324568[[#This Row],[Status]]=$I$5,0,MIN(Tabelle1324568[[#This Row],[Jira Story Points]],Tabelle1324568[[#This Row],[Carry-over]])-Tabelle1324568[[#This Row],[SP Completed (COS &amp; SOS)]]),0)</f>
        <v>3</v>
      </c>
    </row>
    <row r="146" spans="1:17" s="46" customFormat="1" ht="13.5" customHeight="1">
      <c r="A146" s="117" t="s">
        <v>2936</v>
      </c>
      <c r="B146" s="47" t="s">
        <v>2937</v>
      </c>
      <c r="C146" s="76" t="s">
        <v>382</v>
      </c>
      <c r="D146" s="76">
        <v>3</v>
      </c>
      <c r="E146" s="76" t="s">
        <v>324</v>
      </c>
      <c r="F146" s="104">
        <v>2</v>
      </c>
      <c r="G146" s="76" t="s">
        <v>24</v>
      </c>
      <c r="H146" s="76"/>
      <c r="I146" s="103"/>
      <c r="J146" s="76" t="s">
        <v>125</v>
      </c>
      <c r="K146" s="104"/>
      <c r="L146" s="104"/>
      <c r="M146" s="105">
        <f>IF(Tabelle1324568[[#This Row],[Pulled after Start]]="",MIN(Tabelle1324568[[#This Row],[Jira Story Points]],Tabelle1324568[[#This Row],[Carry-over]]),0)</f>
        <v>2</v>
      </c>
      <c r="N146" s="108">
        <f>MIN(Tabelle1324568[[#This Row],[Jira Story Points]],Tabelle1324568[[#This Row],[Carry-over]])-Tabelle1324568[[#This Row],[SP Initially Planned (COS)]]</f>
        <v>0</v>
      </c>
      <c r="O146"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2</v>
      </c>
      <c r="P146" s="108">
        <f>IFERROR(IF(Tabelle1324568[[#This Row],[Status]]=$I$5,MIN(Tabelle1324568[[#This Row],[Jira Story Points]],Tabelle1324568[[#This Row],[Carry-over]]),0),0)</f>
        <v>0</v>
      </c>
      <c r="Q146" s="108">
        <f>IFERROR(IF(Tabelle1324568[[#This Row],[Status]]=$I$5,0,MIN(Tabelle1324568[[#This Row],[Jira Story Points]],Tabelle1324568[[#This Row],[Carry-over]])-Tabelle1324568[[#This Row],[SP Completed (COS &amp; SOS)]]),0)</f>
        <v>0</v>
      </c>
    </row>
    <row r="147" spans="1:17" s="46" customFormat="1" ht="13.5" customHeight="1">
      <c r="A147" s="88" t="s">
        <v>2609</v>
      </c>
      <c r="B147" s="47" t="s">
        <v>2610</v>
      </c>
      <c r="C147" s="76" t="s">
        <v>375</v>
      </c>
      <c r="D147" s="76">
        <v>2</v>
      </c>
      <c r="E147" s="76" t="s">
        <v>327</v>
      </c>
      <c r="F147" s="76">
        <v>3</v>
      </c>
      <c r="G147" s="76" t="s">
        <v>24</v>
      </c>
      <c r="H147" s="76"/>
      <c r="I147" s="103"/>
      <c r="J147" s="76" t="s">
        <v>127</v>
      </c>
      <c r="K147" s="76"/>
      <c r="L147" s="76"/>
      <c r="M147" s="105">
        <f>IF(Tabelle1324568[[#This Row],[Pulled after Start]]="",MIN(Tabelle1324568[[#This Row],[Jira Story Points]],Tabelle1324568[[#This Row],[Carry-over]]),0)</f>
        <v>3</v>
      </c>
      <c r="N147" s="108">
        <f>MIN(Tabelle1324568[[#This Row],[Jira Story Points]],Tabelle1324568[[#This Row],[Carry-over]])-Tabelle1324568[[#This Row],[SP Initially Planned (COS)]]</f>
        <v>0</v>
      </c>
      <c r="O147"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147" s="108">
        <f>IFERROR(IF(Tabelle1324568[[#This Row],[Status]]=$I$5,MIN(Tabelle1324568[[#This Row],[Jira Story Points]],Tabelle1324568[[#This Row],[Carry-over]]),0),0)</f>
        <v>0</v>
      </c>
      <c r="Q147" s="108">
        <f>IFERROR(IF(Tabelle1324568[[#This Row],[Status]]=$I$5,0,MIN(Tabelle1324568[[#This Row],[Jira Story Points]],Tabelle1324568[[#This Row],[Carry-over]])-Tabelle1324568[[#This Row],[SP Completed (COS &amp; SOS)]]),0)</f>
        <v>3</v>
      </c>
    </row>
    <row r="148" spans="1:17" s="46" customFormat="1" ht="13.5" customHeight="1">
      <c r="A148" s="88" t="s">
        <v>2611</v>
      </c>
      <c r="B148" s="47" t="s">
        <v>2612</v>
      </c>
      <c r="C148" s="76" t="s">
        <v>372</v>
      </c>
      <c r="D148" s="76">
        <v>3</v>
      </c>
      <c r="E148" s="76" t="s">
        <v>327</v>
      </c>
      <c r="F148" s="76">
        <v>5</v>
      </c>
      <c r="G148" s="76" t="s">
        <v>24</v>
      </c>
      <c r="H148" s="76" t="s">
        <v>209</v>
      </c>
      <c r="I148" s="103"/>
      <c r="J148" s="76" t="s">
        <v>127</v>
      </c>
      <c r="K148" s="76"/>
      <c r="L148" s="76">
        <v>3</v>
      </c>
      <c r="M148" s="105">
        <f>IF(Tabelle1324568[[#This Row],[Pulled after Start]]="",MIN(Tabelle1324568[[#This Row],[Jira Story Points]],Tabelle1324568[[#This Row],[Carry-over]]),0)</f>
        <v>0</v>
      </c>
      <c r="N148" s="108">
        <f>MIN(Tabelle1324568[[#This Row],[Jira Story Points]],Tabelle1324568[[#This Row],[Carry-over]])-Tabelle1324568[[#This Row],[SP Initially Planned (COS)]]</f>
        <v>5</v>
      </c>
      <c r="O148"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2</v>
      </c>
      <c r="P148" s="108">
        <f>IFERROR(IF(Tabelle1324568[[#This Row],[Status]]=$I$5,MIN(Tabelle1324568[[#This Row],[Jira Story Points]],Tabelle1324568[[#This Row],[Carry-over]]),0),0)</f>
        <v>0</v>
      </c>
      <c r="Q148" s="108">
        <f>IFERROR(IF(Tabelle1324568[[#This Row],[Status]]=$I$5,0,MIN(Tabelle1324568[[#This Row],[Jira Story Points]],Tabelle1324568[[#This Row],[Carry-over]])-Tabelle1324568[[#This Row],[SP Completed (COS &amp; SOS)]]),0)</f>
        <v>3</v>
      </c>
    </row>
    <row r="149" spans="1:17" s="46" customFormat="1" ht="13.5" customHeight="1">
      <c r="A149" s="88" t="s">
        <v>2613</v>
      </c>
      <c r="B149" s="47" t="s">
        <v>2938</v>
      </c>
      <c r="C149" s="76" t="s">
        <v>382</v>
      </c>
      <c r="D149" s="76">
        <v>3</v>
      </c>
      <c r="E149" s="76" t="s">
        <v>448</v>
      </c>
      <c r="F149" s="76">
        <v>3</v>
      </c>
      <c r="G149" s="76" t="s">
        <v>24</v>
      </c>
      <c r="H149" s="76"/>
      <c r="I149" s="103"/>
      <c r="J149" s="76" t="s">
        <v>127</v>
      </c>
      <c r="K149" s="76"/>
      <c r="L149" s="76"/>
      <c r="M149" s="105">
        <f>IF(Tabelle1324568[[#This Row],[Pulled after Start]]="",MIN(Tabelle1324568[[#This Row],[Jira Story Points]],Tabelle1324568[[#This Row],[Carry-over]]),0)</f>
        <v>3</v>
      </c>
      <c r="N149" s="108">
        <f>MIN(Tabelle1324568[[#This Row],[Jira Story Points]],Tabelle1324568[[#This Row],[Carry-over]])-Tabelle1324568[[#This Row],[SP Initially Planned (COS)]]</f>
        <v>0</v>
      </c>
      <c r="O149"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149" s="108">
        <f>IFERROR(IF(Tabelle1324568[[#This Row],[Status]]=$I$5,MIN(Tabelle1324568[[#This Row],[Jira Story Points]],Tabelle1324568[[#This Row],[Carry-over]]),0),0)</f>
        <v>0</v>
      </c>
      <c r="Q149" s="108">
        <f>IFERROR(IF(Tabelle1324568[[#This Row],[Status]]=$I$5,0,MIN(Tabelle1324568[[#This Row],[Jira Story Points]],Tabelle1324568[[#This Row],[Carry-over]])-Tabelle1324568[[#This Row],[SP Completed (COS &amp; SOS)]]),0)</f>
        <v>3</v>
      </c>
    </row>
    <row r="150" spans="1:17" s="46" customFormat="1" ht="13.5" customHeight="1">
      <c r="A150" s="115" t="s">
        <v>2391</v>
      </c>
      <c r="B150" s="47" t="s">
        <v>2939</v>
      </c>
      <c r="C150" s="76" t="s">
        <v>372</v>
      </c>
      <c r="D150" s="76">
        <v>3</v>
      </c>
      <c r="E150" s="76" t="s">
        <v>628</v>
      </c>
      <c r="F150" s="104">
        <v>3</v>
      </c>
      <c r="G150" s="76" t="s">
        <v>32</v>
      </c>
      <c r="H150" s="83"/>
      <c r="I150" s="120"/>
      <c r="J150" s="76" t="s">
        <v>127</v>
      </c>
      <c r="K150" s="104"/>
      <c r="L150" s="104"/>
      <c r="M150" s="105">
        <f>IF(Tabelle1324568[[#This Row],[Pulled after Start]]="",MIN(Tabelle1324568[[#This Row],[Jira Story Points]],Tabelle1324568[[#This Row],[Carry-over]]),0)</f>
        <v>3</v>
      </c>
      <c r="N150" s="108">
        <f>MIN(Tabelle1324568[[#This Row],[Jira Story Points]],Tabelle1324568[[#This Row],[Carry-over]])-Tabelle1324568[[#This Row],[SP Initially Planned (COS)]]</f>
        <v>0</v>
      </c>
      <c r="O150"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150" s="108">
        <f>IFERROR(IF(Tabelle1324568[[#This Row],[Status]]=$I$5,MIN(Tabelle1324568[[#This Row],[Jira Story Points]],Tabelle1324568[[#This Row],[Carry-over]]),0),0)</f>
        <v>0</v>
      </c>
      <c r="Q150" s="108">
        <f>IFERROR(IF(Tabelle1324568[[#This Row],[Status]]=$I$5,0,MIN(Tabelle1324568[[#This Row],[Jira Story Points]],Tabelle1324568[[#This Row],[Carry-over]])-Tabelle1324568[[#This Row],[SP Completed (COS &amp; SOS)]]),0)</f>
        <v>3</v>
      </c>
    </row>
    <row r="151" spans="1:17" s="46" customFormat="1" ht="13.5" customHeight="1">
      <c r="A151" s="115" t="s">
        <v>2940</v>
      </c>
      <c r="B151" s="47" t="s">
        <v>2941</v>
      </c>
      <c r="C151" s="76" t="s">
        <v>375</v>
      </c>
      <c r="D151" s="76">
        <v>3</v>
      </c>
      <c r="E151" s="76" t="s">
        <v>324</v>
      </c>
      <c r="F151" s="104">
        <v>3</v>
      </c>
      <c r="G151" s="76" t="s">
        <v>32</v>
      </c>
      <c r="H151" s="83"/>
      <c r="I151" s="120"/>
      <c r="J151" s="76" t="s">
        <v>125</v>
      </c>
      <c r="K151" s="104"/>
      <c r="L151" s="104"/>
      <c r="M151" s="105">
        <f>IF(Tabelle1324568[[#This Row],[Pulled after Start]]="",MIN(Tabelle1324568[[#This Row],[Jira Story Points]],Tabelle1324568[[#This Row],[Carry-over]]),0)</f>
        <v>3</v>
      </c>
      <c r="N151" s="108">
        <f>MIN(Tabelle1324568[[#This Row],[Jira Story Points]],Tabelle1324568[[#This Row],[Carry-over]])-Tabelle1324568[[#This Row],[SP Initially Planned (COS)]]</f>
        <v>0</v>
      </c>
      <c r="O151"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51" s="108">
        <f>IFERROR(IF(Tabelle1324568[[#This Row],[Status]]=$I$5,MIN(Tabelle1324568[[#This Row],[Jira Story Points]],Tabelle1324568[[#This Row],[Carry-over]]),0),0)</f>
        <v>0</v>
      </c>
      <c r="Q151" s="108">
        <f>IFERROR(IF(Tabelle1324568[[#This Row],[Status]]=$I$5,0,MIN(Tabelle1324568[[#This Row],[Jira Story Points]],Tabelle1324568[[#This Row],[Carry-over]])-Tabelle1324568[[#This Row],[SP Completed (COS &amp; SOS)]]),0)</f>
        <v>0</v>
      </c>
    </row>
    <row r="152" spans="1:17" s="46" customFormat="1" ht="13.5" customHeight="1">
      <c r="A152" s="115" t="s">
        <v>2942</v>
      </c>
      <c r="B152" s="47" t="s">
        <v>2376</v>
      </c>
      <c r="C152" s="76" t="s">
        <v>382</v>
      </c>
      <c r="D152" s="76">
        <v>3</v>
      </c>
      <c r="E152" s="76" t="s">
        <v>330</v>
      </c>
      <c r="F152" s="104">
        <v>5</v>
      </c>
      <c r="G152" s="76" t="s">
        <v>32</v>
      </c>
      <c r="H152" s="83"/>
      <c r="I152" s="120"/>
      <c r="J152" s="76" t="s">
        <v>125</v>
      </c>
      <c r="K152" s="104"/>
      <c r="L152" s="104"/>
      <c r="M152" s="105">
        <f>IF(Tabelle1324568[[#This Row],[Pulled after Start]]="",MIN(Tabelle1324568[[#This Row],[Jira Story Points]],Tabelle1324568[[#This Row],[Carry-over]]),0)</f>
        <v>5</v>
      </c>
      <c r="N152" s="108">
        <f>MIN(Tabelle1324568[[#This Row],[Jira Story Points]],Tabelle1324568[[#This Row],[Carry-over]])-Tabelle1324568[[#This Row],[SP Initially Planned (COS)]]</f>
        <v>0</v>
      </c>
      <c r="O152"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5</v>
      </c>
      <c r="P152" s="108">
        <f>IFERROR(IF(Tabelle1324568[[#This Row],[Status]]=$I$5,MIN(Tabelle1324568[[#This Row],[Jira Story Points]],Tabelle1324568[[#This Row],[Carry-over]]),0),0)</f>
        <v>0</v>
      </c>
      <c r="Q152" s="108">
        <f>IFERROR(IF(Tabelle1324568[[#This Row],[Status]]=$I$5,0,MIN(Tabelle1324568[[#This Row],[Jira Story Points]],Tabelle1324568[[#This Row],[Carry-over]])-Tabelle1324568[[#This Row],[SP Completed (COS &amp; SOS)]]),0)</f>
        <v>0</v>
      </c>
    </row>
    <row r="153" spans="1:17" s="46" customFormat="1" ht="13.5" customHeight="1">
      <c r="A153" s="115" t="s">
        <v>2943</v>
      </c>
      <c r="B153" s="47" t="s">
        <v>2944</v>
      </c>
      <c r="C153" s="76" t="s">
        <v>372</v>
      </c>
      <c r="D153" s="76">
        <v>3</v>
      </c>
      <c r="E153" s="76" t="s">
        <v>324</v>
      </c>
      <c r="F153" s="104">
        <v>3</v>
      </c>
      <c r="G153" s="76" t="s">
        <v>32</v>
      </c>
      <c r="H153" s="83"/>
      <c r="I153" s="120"/>
      <c r="J153" s="76" t="s">
        <v>125</v>
      </c>
      <c r="K153" s="104"/>
      <c r="L153" s="104"/>
      <c r="M153" s="105">
        <f>IF(Tabelle1324568[[#This Row],[Pulled after Start]]="",MIN(Tabelle1324568[[#This Row],[Jira Story Points]],Tabelle1324568[[#This Row],[Carry-over]]),0)</f>
        <v>3</v>
      </c>
      <c r="N153" s="108">
        <f>MIN(Tabelle1324568[[#This Row],[Jira Story Points]],Tabelle1324568[[#This Row],[Carry-over]])-Tabelle1324568[[#This Row],[SP Initially Planned (COS)]]</f>
        <v>0</v>
      </c>
      <c r="O153"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53" s="108">
        <f>IFERROR(IF(Tabelle1324568[[#This Row],[Status]]=$I$5,MIN(Tabelle1324568[[#This Row],[Jira Story Points]],Tabelle1324568[[#This Row],[Carry-over]]),0),0)</f>
        <v>0</v>
      </c>
      <c r="Q153" s="108">
        <f>IFERROR(IF(Tabelle1324568[[#This Row],[Status]]=$I$5,0,MIN(Tabelle1324568[[#This Row],[Jira Story Points]],Tabelle1324568[[#This Row],[Carry-over]])-Tabelle1324568[[#This Row],[SP Completed (COS &amp; SOS)]]),0)</f>
        <v>0</v>
      </c>
    </row>
    <row r="154" spans="1:17" s="46" customFormat="1" ht="13.5" customHeight="1">
      <c r="A154" s="115" t="s">
        <v>2945</v>
      </c>
      <c r="B154" s="47" t="s">
        <v>2946</v>
      </c>
      <c r="C154" s="76" t="s">
        <v>382</v>
      </c>
      <c r="D154" s="76">
        <v>3</v>
      </c>
      <c r="E154" s="76" t="s">
        <v>324</v>
      </c>
      <c r="F154" s="104">
        <v>2</v>
      </c>
      <c r="G154" s="76" t="s">
        <v>32</v>
      </c>
      <c r="H154" s="83"/>
      <c r="I154" s="120"/>
      <c r="J154" s="76" t="s">
        <v>125</v>
      </c>
      <c r="K154" s="104"/>
      <c r="L154" s="104"/>
      <c r="M154" s="105">
        <f>IF(Tabelle1324568[[#This Row],[Pulled after Start]]="",MIN(Tabelle1324568[[#This Row],[Jira Story Points]],Tabelle1324568[[#This Row],[Carry-over]]),0)</f>
        <v>2</v>
      </c>
      <c r="N154" s="108">
        <f>MIN(Tabelle1324568[[#This Row],[Jira Story Points]],Tabelle1324568[[#This Row],[Carry-over]])-Tabelle1324568[[#This Row],[SP Initially Planned (COS)]]</f>
        <v>0</v>
      </c>
      <c r="O154"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2</v>
      </c>
      <c r="P154" s="108">
        <f>IFERROR(IF(Tabelle1324568[[#This Row],[Status]]=$I$5,MIN(Tabelle1324568[[#This Row],[Jira Story Points]],Tabelle1324568[[#This Row],[Carry-over]]),0),0)</f>
        <v>0</v>
      </c>
      <c r="Q154" s="108">
        <f>IFERROR(IF(Tabelle1324568[[#This Row],[Status]]=$I$5,0,MIN(Tabelle1324568[[#This Row],[Jira Story Points]],Tabelle1324568[[#This Row],[Carry-over]])-Tabelle1324568[[#This Row],[SP Completed (COS &amp; SOS)]]),0)</f>
        <v>0</v>
      </c>
    </row>
    <row r="155" spans="1:17" s="46" customFormat="1" ht="13.5" customHeight="1">
      <c r="A155" s="115" t="s">
        <v>2947</v>
      </c>
      <c r="B155" s="47" t="s">
        <v>2948</v>
      </c>
      <c r="C155" s="76" t="s">
        <v>382</v>
      </c>
      <c r="D155" s="76">
        <v>3</v>
      </c>
      <c r="E155" s="76" t="s">
        <v>324</v>
      </c>
      <c r="F155" s="104">
        <v>3</v>
      </c>
      <c r="G155" s="76" t="s">
        <v>32</v>
      </c>
      <c r="H155" s="83"/>
      <c r="I155" s="120"/>
      <c r="J155" s="76" t="s">
        <v>125</v>
      </c>
      <c r="K155" s="104"/>
      <c r="L155" s="104"/>
      <c r="M155" s="105">
        <f>IF(Tabelle1324568[[#This Row],[Pulled after Start]]="",MIN(Tabelle1324568[[#This Row],[Jira Story Points]],Tabelle1324568[[#This Row],[Carry-over]]),0)</f>
        <v>3</v>
      </c>
      <c r="N155" s="108">
        <f>MIN(Tabelle1324568[[#This Row],[Jira Story Points]],Tabelle1324568[[#This Row],[Carry-over]])-Tabelle1324568[[#This Row],[SP Initially Planned (COS)]]</f>
        <v>0</v>
      </c>
      <c r="O155"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55" s="108">
        <f>IFERROR(IF(Tabelle1324568[[#This Row],[Status]]=$I$5,MIN(Tabelle1324568[[#This Row],[Jira Story Points]],Tabelle1324568[[#This Row],[Carry-over]]),0),0)</f>
        <v>0</v>
      </c>
      <c r="Q155" s="108">
        <f>IFERROR(IF(Tabelle1324568[[#This Row],[Status]]=$I$5,0,MIN(Tabelle1324568[[#This Row],[Jira Story Points]],Tabelle1324568[[#This Row],[Carry-over]])-Tabelle1324568[[#This Row],[SP Completed (COS &amp; SOS)]]),0)</f>
        <v>0</v>
      </c>
    </row>
    <row r="156" spans="1:17" s="46" customFormat="1" ht="13.5" customHeight="1">
      <c r="A156" s="115" t="s">
        <v>2949</v>
      </c>
      <c r="B156" s="47" t="s">
        <v>2950</v>
      </c>
      <c r="C156" s="76" t="s">
        <v>382</v>
      </c>
      <c r="D156" s="76">
        <v>3</v>
      </c>
      <c r="E156" s="76" t="s">
        <v>351</v>
      </c>
      <c r="F156" s="104">
        <v>2</v>
      </c>
      <c r="G156" s="76" t="s">
        <v>32</v>
      </c>
      <c r="H156" s="83"/>
      <c r="I156" s="120"/>
      <c r="J156" s="76" t="s">
        <v>125</v>
      </c>
      <c r="K156" s="104"/>
      <c r="L156" s="104"/>
      <c r="M156" s="105">
        <f>IF(Tabelle1324568[[#This Row],[Pulled after Start]]="",MIN(Tabelle1324568[[#This Row],[Jira Story Points]],Tabelle1324568[[#This Row],[Carry-over]]),0)</f>
        <v>2</v>
      </c>
      <c r="N156" s="108">
        <f>MIN(Tabelle1324568[[#This Row],[Jira Story Points]],Tabelle1324568[[#This Row],[Carry-over]])-Tabelle1324568[[#This Row],[SP Initially Planned (COS)]]</f>
        <v>0</v>
      </c>
      <c r="O156"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2</v>
      </c>
      <c r="P156" s="108">
        <f>IFERROR(IF(Tabelle1324568[[#This Row],[Status]]=$I$5,MIN(Tabelle1324568[[#This Row],[Jira Story Points]],Tabelle1324568[[#This Row],[Carry-over]]),0),0)</f>
        <v>0</v>
      </c>
      <c r="Q156" s="108">
        <f>IFERROR(IF(Tabelle1324568[[#This Row],[Status]]=$I$5,0,MIN(Tabelle1324568[[#This Row],[Jira Story Points]],Tabelle1324568[[#This Row],[Carry-over]])-Tabelle1324568[[#This Row],[SP Completed (COS &amp; SOS)]]),0)</f>
        <v>0</v>
      </c>
    </row>
    <row r="157" spans="1:17" s="46" customFormat="1" ht="13.5" customHeight="1">
      <c r="A157" s="115" t="s">
        <v>2951</v>
      </c>
      <c r="B157" s="47" t="s">
        <v>2952</v>
      </c>
      <c r="C157" s="76" t="s">
        <v>375</v>
      </c>
      <c r="D157" s="76">
        <v>2</v>
      </c>
      <c r="E157" s="76" t="s">
        <v>2953</v>
      </c>
      <c r="F157" s="104">
        <v>5</v>
      </c>
      <c r="G157" s="76" t="s">
        <v>32</v>
      </c>
      <c r="H157" s="83"/>
      <c r="I157" s="120"/>
      <c r="J157" s="76" t="s">
        <v>126</v>
      </c>
      <c r="K157" s="104"/>
      <c r="L157" s="104"/>
      <c r="M157" s="105">
        <f>IF(Tabelle1324568[[#This Row],[Pulled after Start]]="",MIN(Tabelle1324568[[#This Row],[Jira Story Points]],Tabelle1324568[[#This Row],[Carry-over]]),0)</f>
        <v>5</v>
      </c>
      <c r="N157" s="108">
        <f>MIN(Tabelle1324568[[#This Row],[Jira Story Points]],Tabelle1324568[[#This Row],[Carry-over]])-Tabelle1324568[[#This Row],[SP Initially Planned (COS)]]</f>
        <v>0</v>
      </c>
      <c r="O157"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157" s="108">
        <f>IFERROR(IF(Tabelle1324568[[#This Row],[Status]]=$I$5,MIN(Tabelle1324568[[#This Row],[Jira Story Points]],Tabelle1324568[[#This Row],[Carry-over]]),0),0)</f>
        <v>5</v>
      </c>
      <c r="Q157" s="108">
        <f>IFERROR(IF(Tabelle1324568[[#This Row],[Status]]=$I$5,0,MIN(Tabelle1324568[[#This Row],[Jira Story Points]],Tabelle1324568[[#This Row],[Carry-over]])-Tabelle1324568[[#This Row],[SP Completed (COS &amp; SOS)]]),0)</f>
        <v>0</v>
      </c>
    </row>
    <row r="158" spans="1:17" s="46" customFormat="1" ht="13.5" customHeight="1">
      <c r="A158" s="115" t="s">
        <v>2954</v>
      </c>
      <c r="B158" s="47" t="s">
        <v>2955</v>
      </c>
      <c r="C158" s="76" t="s">
        <v>372</v>
      </c>
      <c r="D158" s="76">
        <v>3</v>
      </c>
      <c r="E158" s="76" t="s">
        <v>327</v>
      </c>
      <c r="F158" s="104">
        <v>5</v>
      </c>
      <c r="G158" s="76" t="s">
        <v>32</v>
      </c>
      <c r="H158" s="112" t="s">
        <v>209</v>
      </c>
      <c r="I158" s="120"/>
      <c r="J158" s="76" t="s">
        <v>125</v>
      </c>
      <c r="K158" s="104"/>
      <c r="L158" s="104"/>
      <c r="M158" s="105">
        <f>IF(Tabelle1324568[[#This Row],[Pulled after Start]]="",MIN(Tabelle1324568[[#This Row],[Jira Story Points]],Tabelle1324568[[#This Row],[Carry-over]]),0)</f>
        <v>0</v>
      </c>
      <c r="N158" s="108">
        <f>MIN(Tabelle1324568[[#This Row],[Jira Story Points]],Tabelle1324568[[#This Row],[Carry-over]])-Tabelle1324568[[#This Row],[SP Initially Planned (COS)]]</f>
        <v>5</v>
      </c>
      <c r="O158"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5</v>
      </c>
      <c r="P158" s="108">
        <f>IFERROR(IF(Tabelle1324568[[#This Row],[Status]]=$I$5,MIN(Tabelle1324568[[#This Row],[Jira Story Points]],Tabelle1324568[[#This Row],[Carry-over]]),0),0)</f>
        <v>0</v>
      </c>
      <c r="Q158" s="108">
        <f>IFERROR(IF(Tabelle1324568[[#This Row],[Status]]=$I$5,0,MIN(Tabelle1324568[[#This Row],[Jira Story Points]],Tabelle1324568[[#This Row],[Carry-over]])-Tabelle1324568[[#This Row],[SP Completed (COS &amp; SOS)]]),0)</f>
        <v>0</v>
      </c>
    </row>
    <row r="159" spans="1:17" s="46" customFormat="1" ht="13.5" customHeight="1">
      <c r="A159" s="115" t="s">
        <v>2956</v>
      </c>
      <c r="B159" s="47" t="s">
        <v>2957</v>
      </c>
      <c r="C159" s="76" t="s">
        <v>382</v>
      </c>
      <c r="D159" s="76">
        <v>3</v>
      </c>
      <c r="E159" s="76" t="s">
        <v>330</v>
      </c>
      <c r="F159" s="104" t="s">
        <v>2958</v>
      </c>
      <c r="G159" s="76" t="s">
        <v>32</v>
      </c>
      <c r="H159" s="83"/>
      <c r="I159" s="120"/>
      <c r="J159" s="76" t="s">
        <v>125</v>
      </c>
      <c r="K159" s="104"/>
      <c r="L159" s="104"/>
      <c r="M159" s="105">
        <f>IF(Tabelle1324568[[#This Row],[Pulled after Start]]="",MIN(Tabelle1324568[[#This Row],[Jira Story Points]],Tabelle1324568[[#This Row],[Carry-over]]),0)</f>
        <v>0</v>
      </c>
      <c r="N159" s="108">
        <f>MIN(Tabelle1324568[[#This Row],[Jira Story Points]],Tabelle1324568[[#This Row],[Carry-over]])-Tabelle1324568[[#This Row],[SP Initially Planned (COS)]]</f>
        <v>0</v>
      </c>
      <c r="O159" s="107" t="str">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v>
      </c>
      <c r="P159" s="108">
        <f>IFERROR(IF(Tabelle1324568[[#This Row],[Status]]=$I$5,MIN(Tabelle1324568[[#This Row],[Jira Story Points]],Tabelle1324568[[#This Row],[Carry-over]]),0),0)</f>
        <v>0</v>
      </c>
      <c r="Q159" s="108">
        <f>IFERROR(IF(Tabelle1324568[[#This Row],[Status]]=$I$5,0,MIN(Tabelle1324568[[#This Row],[Jira Story Points]],Tabelle1324568[[#This Row],[Carry-over]])-Tabelle1324568[[#This Row],[SP Completed (COS &amp; SOS)]]),0)</f>
        <v>0</v>
      </c>
    </row>
    <row r="160" spans="1:17" s="46" customFormat="1" ht="13.5" customHeight="1">
      <c r="A160" s="115" t="s">
        <v>2959</v>
      </c>
      <c r="B160" s="47" t="s">
        <v>2960</v>
      </c>
      <c r="C160" s="76" t="s">
        <v>382</v>
      </c>
      <c r="D160" s="76">
        <v>3</v>
      </c>
      <c r="E160" s="76" t="s">
        <v>330</v>
      </c>
      <c r="F160" s="104" t="s">
        <v>2958</v>
      </c>
      <c r="G160" s="76" t="s">
        <v>32</v>
      </c>
      <c r="H160" s="83"/>
      <c r="I160" s="120"/>
      <c r="J160" s="76" t="s">
        <v>125</v>
      </c>
      <c r="K160" s="104"/>
      <c r="L160" s="104"/>
      <c r="M160" s="105">
        <f>IF(Tabelle1324568[[#This Row],[Pulled after Start]]="",MIN(Tabelle1324568[[#This Row],[Jira Story Points]],Tabelle1324568[[#This Row],[Carry-over]]),0)</f>
        <v>0</v>
      </c>
      <c r="N160" s="108">
        <f>MIN(Tabelle1324568[[#This Row],[Jira Story Points]],Tabelle1324568[[#This Row],[Carry-over]])-Tabelle1324568[[#This Row],[SP Initially Planned (COS)]]</f>
        <v>0</v>
      </c>
      <c r="O160" s="107" t="str">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v>
      </c>
      <c r="P160" s="108">
        <f>IFERROR(IF(Tabelle1324568[[#This Row],[Status]]=$I$5,MIN(Tabelle1324568[[#This Row],[Jira Story Points]],Tabelle1324568[[#This Row],[Carry-over]]),0),0)</f>
        <v>0</v>
      </c>
      <c r="Q160" s="108">
        <f>IFERROR(IF(Tabelle1324568[[#This Row],[Status]]=$I$5,0,MIN(Tabelle1324568[[#This Row],[Jira Story Points]],Tabelle1324568[[#This Row],[Carry-over]])-Tabelle1324568[[#This Row],[SP Completed (COS &amp; SOS)]]),0)</f>
        <v>0</v>
      </c>
    </row>
    <row r="161" spans="1:17" s="46" customFormat="1" ht="13.5" customHeight="1">
      <c r="A161" s="115" t="s">
        <v>2961</v>
      </c>
      <c r="B161" s="47" t="s">
        <v>2962</v>
      </c>
      <c r="C161" s="76" t="s">
        <v>382</v>
      </c>
      <c r="D161" s="76">
        <v>3</v>
      </c>
      <c r="E161" s="76" t="s">
        <v>324</v>
      </c>
      <c r="F161" s="104">
        <v>3</v>
      </c>
      <c r="G161" s="76" t="s">
        <v>32</v>
      </c>
      <c r="H161" s="83"/>
      <c r="I161" s="120"/>
      <c r="J161" s="76" t="s">
        <v>125</v>
      </c>
      <c r="K161" s="104"/>
      <c r="L161" s="104"/>
      <c r="M161" s="105">
        <f>IF(Tabelle1324568[[#This Row],[Pulled after Start]]="",MIN(Tabelle1324568[[#This Row],[Jira Story Points]],Tabelle1324568[[#This Row],[Carry-over]]),0)</f>
        <v>3</v>
      </c>
      <c r="N161" s="108">
        <f>MIN(Tabelle1324568[[#This Row],[Jira Story Points]],Tabelle1324568[[#This Row],[Carry-over]])-Tabelle1324568[[#This Row],[SP Initially Planned (COS)]]</f>
        <v>0</v>
      </c>
      <c r="O161"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61" s="108">
        <f>IFERROR(IF(Tabelle1324568[[#This Row],[Status]]=$I$5,MIN(Tabelle1324568[[#This Row],[Jira Story Points]],Tabelle1324568[[#This Row],[Carry-over]]),0),0)</f>
        <v>0</v>
      </c>
      <c r="Q161" s="108">
        <f>IFERROR(IF(Tabelle1324568[[#This Row],[Status]]=$I$5,0,MIN(Tabelle1324568[[#This Row],[Jira Story Points]],Tabelle1324568[[#This Row],[Carry-over]])-Tabelle1324568[[#This Row],[SP Completed (COS &amp; SOS)]]),0)</f>
        <v>0</v>
      </c>
    </row>
    <row r="162" spans="1:17" s="46" customFormat="1" ht="13.5" customHeight="1">
      <c r="A162" s="115" t="s">
        <v>2963</v>
      </c>
      <c r="B162" s="47" t="s">
        <v>2964</v>
      </c>
      <c r="C162" s="76" t="s">
        <v>382</v>
      </c>
      <c r="D162" s="76">
        <v>3</v>
      </c>
      <c r="E162" s="76" t="s">
        <v>324</v>
      </c>
      <c r="F162" s="104">
        <v>3</v>
      </c>
      <c r="G162" s="76" t="s">
        <v>32</v>
      </c>
      <c r="H162" s="83"/>
      <c r="I162" s="120"/>
      <c r="J162" s="76" t="s">
        <v>125</v>
      </c>
      <c r="K162" s="104"/>
      <c r="L162" s="104"/>
      <c r="M162" s="105">
        <f>IF(Tabelle1324568[[#This Row],[Pulled after Start]]="",MIN(Tabelle1324568[[#This Row],[Jira Story Points]],Tabelle1324568[[#This Row],[Carry-over]]),0)</f>
        <v>3</v>
      </c>
      <c r="N162" s="108">
        <f>MIN(Tabelle1324568[[#This Row],[Jira Story Points]],Tabelle1324568[[#This Row],[Carry-over]])-Tabelle1324568[[#This Row],[SP Initially Planned (COS)]]</f>
        <v>0</v>
      </c>
      <c r="O162"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62" s="108">
        <f>IFERROR(IF(Tabelle1324568[[#This Row],[Status]]=$I$5,MIN(Tabelle1324568[[#This Row],[Jira Story Points]],Tabelle1324568[[#This Row],[Carry-over]]),0),0)</f>
        <v>0</v>
      </c>
      <c r="Q162" s="108">
        <f>IFERROR(IF(Tabelle1324568[[#This Row],[Status]]=$I$5,0,MIN(Tabelle1324568[[#This Row],[Jira Story Points]],Tabelle1324568[[#This Row],[Carry-over]])-Tabelle1324568[[#This Row],[SP Completed (COS &amp; SOS)]]),0)</f>
        <v>0</v>
      </c>
    </row>
    <row r="163" spans="1:17" s="46" customFormat="1" ht="13.5" customHeight="1">
      <c r="A163" s="88" t="s">
        <v>2965</v>
      </c>
      <c r="B163" s="80" t="s">
        <v>2966</v>
      </c>
      <c r="C163" s="76" t="s">
        <v>372</v>
      </c>
      <c r="D163" s="76">
        <v>3</v>
      </c>
      <c r="E163" s="76" t="s">
        <v>324</v>
      </c>
      <c r="F163" s="104">
        <v>8</v>
      </c>
      <c r="G163" s="76" t="s">
        <v>5</v>
      </c>
      <c r="H163" s="76"/>
      <c r="I163" s="103"/>
      <c r="J163" s="76" t="s">
        <v>125</v>
      </c>
      <c r="K163" s="104">
        <v>0.5</v>
      </c>
      <c r="L163" s="104"/>
      <c r="M163" s="105">
        <f>IF(Tabelle1324568[[#This Row],[Pulled after Start]]="",MIN(Tabelle1324568[[#This Row],[Jira Story Points]],Tabelle1324568[[#This Row],[Carry-over]]),0)</f>
        <v>0.5</v>
      </c>
      <c r="N163" s="108">
        <f>MIN(Tabelle1324568[[#This Row],[Jira Story Points]],Tabelle1324568[[#This Row],[Carry-over]])-Tabelle1324568[[#This Row],[SP Initially Planned (COS)]]</f>
        <v>0</v>
      </c>
      <c r="O163"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0.5</v>
      </c>
      <c r="P163" s="108">
        <f>IFERROR(IF(Tabelle1324568[[#This Row],[Status]]=$I$5,MIN(Tabelle1324568[[#This Row],[Jira Story Points]],Tabelle1324568[[#This Row],[Carry-over]]),0),0)</f>
        <v>0</v>
      </c>
      <c r="Q163" s="108">
        <f>IFERROR(IF(Tabelle1324568[[#This Row],[Status]]=$I$5,0,MIN(Tabelle1324568[[#This Row],[Jira Story Points]],Tabelle1324568[[#This Row],[Carry-over]])-Tabelle1324568[[#This Row],[SP Completed (COS &amp; SOS)]]),0)</f>
        <v>0</v>
      </c>
    </row>
    <row r="164" spans="1:17" s="46" customFormat="1" ht="13.5" customHeight="1">
      <c r="A164" s="88" t="s">
        <v>2967</v>
      </c>
      <c r="B164" s="80" t="s">
        <v>2968</v>
      </c>
      <c r="C164" s="76" t="s">
        <v>372</v>
      </c>
      <c r="D164" s="76">
        <v>3</v>
      </c>
      <c r="E164" s="76" t="s">
        <v>324</v>
      </c>
      <c r="F164" s="104">
        <v>3</v>
      </c>
      <c r="G164" s="76" t="s">
        <v>5</v>
      </c>
      <c r="H164" s="83"/>
      <c r="I164" s="103"/>
      <c r="J164" s="76" t="s">
        <v>125</v>
      </c>
      <c r="K164" s="104">
        <v>0.5</v>
      </c>
      <c r="L164" s="104"/>
      <c r="M164" s="105">
        <f>IF(Tabelle1324568[[#This Row],[Pulled after Start]]="",MIN(Tabelle1324568[[#This Row],[Jira Story Points]],Tabelle1324568[[#This Row],[Carry-over]]),0)</f>
        <v>0.5</v>
      </c>
      <c r="N164" s="108">
        <f>MIN(Tabelle1324568[[#This Row],[Jira Story Points]],Tabelle1324568[[#This Row],[Carry-over]])-Tabelle1324568[[#This Row],[SP Initially Planned (COS)]]</f>
        <v>0</v>
      </c>
      <c r="O164"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0.5</v>
      </c>
      <c r="P164" s="108">
        <f>IFERROR(IF(Tabelle1324568[[#This Row],[Status]]=$I$5,MIN(Tabelle1324568[[#This Row],[Jira Story Points]],Tabelle1324568[[#This Row],[Carry-over]]),0),0)</f>
        <v>0</v>
      </c>
      <c r="Q164" s="108">
        <f>IFERROR(IF(Tabelle1324568[[#This Row],[Status]]=$I$5,0,MIN(Tabelle1324568[[#This Row],[Jira Story Points]],Tabelle1324568[[#This Row],[Carry-over]])-Tabelle1324568[[#This Row],[SP Completed (COS &amp; SOS)]]),0)</f>
        <v>0</v>
      </c>
    </row>
    <row r="165" spans="1:17" s="46" customFormat="1" ht="13.5" customHeight="1">
      <c r="A165" s="117" t="s">
        <v>2969</v>
      </c>
      <c r="B165" s="47" t="s">
        <v>2970</v>
      </c>
      <c r="C165" s="76" t="s">
        <v>375</v>
      </c>
      <c r="D165" s="76">
        <v>3</v>
      </c>
      <c r="E165" s="76" t="s">
        <v>324</v>
      </c>
      <c r="F165" s="104">
        <v>3</v>
      </c>
      <c r="G165" s="76" t="s">
        <v>5</v>
      </c>
      <c r="H165" s="83"/>
      <c r="I165" s="103"/>
      <c r="J165" s="76" t="s">
        <v>125</v>
      </c>
      <c r="K165" s="104">
        <v>2</v>
      </c>
      <c r="L165" s="104"/>
      <c r="M165" s="105">
        <f>IF(Tabelle1324568[[#This Row],[Pulled after Start]]="",MIN(Tabelle1324568[[#This Row],[Jira Story Points]],Tabelle1324568[[#This Row],[Carry-over]]),0)</f>
        <v>2</v>
      </c>
      <c r="N165" s="108">
        <f>MIN(Tabelle1324568[[#This Row],[Jira Story Points]],Tabelle1324568[[#This Row],[Carry-over]])-Tabelle1324568[[#This Row],[SP Initially Planned (COS)]]</f>
        <v>0</v>
      </c>
      <c r="O165"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2</v>
      </c>
      <c r="P165" s="108">
        <f>IFERROR(IF(Tabelle1324568[[#This Row],[Status]]=$I$5,MIN(Tabelle1324568[[#This Row],[Jira Story Points]],Tabelle1324568[[#This Row],[Carry-over]]),0),0)</f>
        <v>0</v>
      </c>
      <c r="Q165" s="108">
        <f>IFERROR(IF(Tabelle1324568[[#This Row],[Status]]=$I$5,0,MIN(Tabelle1324568[[#This Row],[Jira Story Points]],Tabelle1324568[[#This Row],[Carry-over]])-Tabelle1324568[[#This Row],[SP Completed (COS &amp; SOS)]]),0)</f>
        <v>0</v>
      </c>
    </row>
    <row r="166" spans="1:17" s="46" customFormat="1" ht="13.5" customHeight="1">
      <c r="A166" s="117" t="s">
        <v>2737</v>
      </c>
      <c r="B166" s="47" t="s">
        <v>2738</v>
      </c>
      <c r="C166" s="76" t="s">
        <v>372</v>
      </c>
      <c r="D166" s="76">
        <v>3</v>
      </c>
      <c r="E166" s="76" t="s">
        <v>327</v>
      </c>
      <c r="F166" s="104">
        <v>5</v>
      </c>
      <c r="G166" s="76" t="s">
        <v>5</v>
      </c>
      <c r="H166" s="83"/>
      <c r="I166" s="103"/>
      <c r="J166" s="76" t="s">
        <v>127</v>
      </c>
      <c r="K166" s="104"/>
      <c r="L166" s="104">
        <v>2</v>
      </c>
      <c r="M166" s="105">
        <f>IF(Tabelle1324568[[#This Row],[Pulled after Start]]="",MIN(Tabelle1324568[[#This Row],[Jira Story Points]],Tabelle1324568[[#This Row],[Carry-over]]),0)</f>
        <v>5</v>
      </c>
      <c r="N166" s="108">
        <f>MIN(Tabelle1324568[[#This Row],[Jira Story Points]],Tabelle1324568[[#This Row],[Carry-over]])-Tabelle1324568[[#This Row],[SP Initially Planned (COS)]]</f>
        <v>0</v>
      </c>
      <c r="O166"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66" s="108">
        <f>IFERROR(IF(Tabelle1324568[[#This Row],[Status]]=$I$5,MIN(Tabelle1324568[[#This Row],[Jira Story Points]],Tabelle1324568[[#This Row],[Carry-over]]),0),0)</f>
        <v>0</v>
      </c>
      <c r="Q166" s="108">
        <f>IFERROR(IF(Tabelle1324568[[#This Row],[Status]]=$I$5,0,MIN(Tabelle1324568[[#This Row],[Jira Story Points]],Tabelle1324568[[#This Row],[Carry-over]])-Tabelle1324568[[#This Row],[SP Completed (COS &amp; SOS)]]),0)</f>
        <v>2</v>
      </c>
    </row>
    <row r="167" spans="1:17" s="46" customFormat="1" ht="13.5" customHeight="1">
      <c r="A167" s="117" t="s">
        <v>2398</v>
      </c>
      <c r="B167" s="47" t="s">
        <v>2399</v>
      </c>
      <c r="C167" s="76" t="s">
        <v>372</v>
      </c>
      <c r="D167" s="76">
        <v>3</v>
      </c>
      <c r="E167" s="76" t="s">
        <v>327</v>
      </c>
      <c r="F167" s="104">
        <v>5</v>
      </c>
      <c r="G167" s="76" t="s">
        <v>5</v>
      </c>
      <c r="H167" s="83"/>
      <c r="I167" s="103"/>
      <c r="J167" s="76" t="s">
        <v>127</v>
      </c>
      <c r="K167" s="104"/>
      <c r="L167" s="104">
        <v>2</v>
      </c>
      <c r="M167" s="105">
        <f>IF(Tabelle1324568[[#This Row],[Pulled after Start]]="",MIN(Tabelle1324568[[#This Row],[Jira Story Points]],Tabelle1324568[[#This Row],[Carry-over]]),0)</f>
        <v>5</v>
      </c>
      <c r="N167" s="108">
        <f>MIN(Tabelle1324568[[#This Row],[Jira Story Points]],Tabelle1324568[[#This Row],[Carry-over]])-Tabelle1324568[[#This Row],[SP Initially Planned (COS)]]</f>
        <v>0</v>
      </c>
      <c r="O167"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67" s="108">
        <f>IFERROR(IF(Tabelle1324568[[#This Row],[Status]]=$I$5,MIN(Tabelle1324568[[#This Row],[Jira Story Points]],Tabelle1324568[[#This Row],[Carry-over]]),0),0)</f>
        <v>0</v>
      </c>
      <c r="Q167" s="108">
        <f>IFERROR(IF(Tabelle1324568[[#This Row],[Status]]=$I$5,0,MIN(Tabelle1324568[[#This Row],[Jira Story Points]],Tabelle1324568[[#This Row],[Carry-over]])-Tabelle1324568[[#This Row],[SP Completed (COS &amp; SOS)]]),0)</f>
        <v>2</v>
      </c>
    </row>
    <row r="168" spans="1:17" s="46" customFormat="1" ht="13.5" customHeight="1">
      <c r="A168" s="117" t="s">
        <v>2971</v>
      </c>
      <c r="B168" s="47" t="s">
        <v>2972</v>
      </c>
      <c r="C168" s="76" t="s">
        <v>372</v>
      </c>
      <c r="D168" s="76">
        <v>3</v>
      </c>
      <c r="E168" s="76" t="s">
        <v>327</v>
      </c>
      <c r="F168" s="104">
        <v>8</v>
      </c>
      <c r="G168" s="76" t="s">
        <v>5</v>
      </c>
      <c r="H168" s="83"/>
      <c r="I168" s="103"/>
      <c r="J168" s="76" t="s">
        <v>125</v>
      </c>
      <c r="K168" s="104"/>
      <c r="L168" s="104"/>
      <c r="M168" s="105">
        <f>IF(Tabelle1324568[[#This Row],[Pulled after Start]]="",MIN(Tabelle1324568[[#This Row],[Jira Story Points]],Tabelle1324568[[#This Row],[Carry-over]]),0)</f>
        <v>8</v>
      </c>
      <c r="N168" s="108">
        <f>MIN(Tabelle1324568[[#This Row],[Jira Story Points]],Tabelle1324568[[#This Row],[Carry-over]])-Tabelle1324568[[#This Row],[SP Initially Planned (COS)]]</f>
        <v>0</v>
      </c>
      <c r="O168"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8</v>
      </c>
      <c r="P168" s="108">
        <f>IFERROR(IF(Tabelle1324568[[#This Row],[Status]]=$I$5,MIN(Tabelle1324568[[#This Row],[Jira Story Points]],Tabelle1324568[[#This Row],[Carry-over]]),0),0)</f>
        <v>0</v>
      </c>
      <c r="Q168" s="108">
        <f>IFERROR(IF(Tabelle1324568[[#This Row],[Status]]=$I$5,0,MIN(Tabelle1324568[[#This Row],[Jira Story Points]],Tabelle1324568[[#This Row],[Carry-over]])-Tabelle1324568[[#This Row],[SP Completed (COS &amp; SOS)]]),0)</f>
        <v>0</v>
      </c>
    </row>
    <row r="169" spans="1:17" s="46" customFormat="1" ht="13.5" customHeight="1">
      <c r="A169" s="117" t="s">
        <v>2739</v>
      </c>
      <c r="B169" s="47" t="s">
        <v>2740</v>
      </c>
      <c r="C169" s="76" t="s">
        <v>372</v>
      </c>
      <c r="D169" s="76">
        <v>3</v>
      </c>
      <c r="E169" s="76" t="s">
        <v>327</v>
      </c>
      <c r="F169" s="104">
        <v>5</v>
      </c>
      <c r="G169" s="76" t="s">
        <v>5</v>
      </c>
      <c r="H169" s="83"/>
      <c r="I169" s="103"/>
      <c r="J169" s="76" t="s">
        <v>127</v>
      </c>
      <c r="K169" s="104">
        <v>5</v>
      </c>
      <c r="L169" s="104">
        <v>2</v>
      </c>
      <c r="M169" s="105">
        <f>IF(Tabelle1324568[[#This Row],[Pulled after Start]]="",MIN(Tabelle1324568[[#This Row],[Jira Story Points]],Tabelle1324568[[#This Row],[Carry-over]]),0)</f>
        <v>5</v>
      </c>
      <c r="N169" s="108">
        <f>MIN(Tabelle1324568[[#This Row],[Jira Story Points]],Tabelle1324568[[#This Row],[Carry-over]])-Tabelle1324568[[#This Row],[SP Initially Planned (COS)]]</f>
        <v>0</v>
      </c>
      <c r="O169"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69" s="108">
        <f>IFERROR(IF(Tabelle1324568[[#This Row],[Status]]=$I$5,MIN(Tabelle1324568[[#This Row],[Jira Story Points]],Tabelle1324568[[#This Row],[Carry-over]]),0),0)</f>
        <v>0</v>
      </c>
      <c r="Q169" s="108">
        <f>IFERROR(IF(Tabelle1324568[[#This Row],[Status]]=$I$5,0,MIN(Tabelle1324568[[#This Row],[Jira Story Points]],Tabelle1324568[[#This Row],[Carry-over]])-Tabelle1324568[[#This Row],[SP Completed (COS &amp; SOS)]]),0)</f>
        <v>2</v>
      </c>
    </row>
    <row r="170" spans="1:17" s="46" customFormat="1" ht="13.5" customHeight="1">
      <c r="A170" s="117" t="s">
        <v>2757</v>
      </c>
      <c r="B170" s="47" t="s">
        <v>2758</v>
      </c>
      <c r="C170" s="76" t="s">
        <v>382</v>
      </c>
      <c r="D170" s="76">
        <v>3</v>
      </c>
      <c r="E170" s="76" t="s">
        <v>448</v>
      </c>
      <c r="F170" s="121" t="s">
        <v>210</v>
      </c>
      <c r="G170" s="76" t="s">
        <v>5</v>
      </c>
      <c r="H170" s="83"/>
      <c r="I170" s="103"/>
      <c r="J170" s="76" t="s">
        <v>127</v>
      </c>
      <c r="K170" s="104"/>
      <c r="L170" s="104"/>
      <c r="M170" s="105">
        <f>IF(Tabelle1324568[[#This Row],[Pulled after Start]]="",MIN(Tabelle1324568[[#This Row],[Jira Story Points]],Tabelle1324568[[#This Row],[Carry-over]]),0)</f>
        <v>0</v>
      </c>
      <c r="N170" s="108">
        <f>MIN(Tabelle1324568[[#This Row],[Jira Story Points]],Tabelle1324568[[#This Row],[Carry-over]])-Tabelle1324568[[#This Row],[SP Initially Planned (COS)]]</f>
        <v>0</v>
      </c>
      <c r="O170"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170" s="108">
        <f>IFERROR(IF(Tabelle1324568[[#This Row],[Status]]=$I$5,MIN(Tabelle1324568[[#This Row],[Jira Story Points]],Tabelle1324568[[#This Row],[Carry-over]]),0),0)</f>
        <v>0</v>
      </c>
      <c r="Q170" s="108">
        <f>IFERROR(IF(Tabelle1324568[[#This Row],[Status]]=$I$5,0,MIN(Tabelle1324568[[#This Row],[Jira Story Points]],Tabelle1324568[[#This Row],[Carry-over]])-Tabelle1324568[[#This Row],[SP Completed (COS &amp; SOS)]]),0)</f>
        <v>0</v>
      </c>
    </row>
    <row r="171" spans="1:17" s="46" customFormat="1" ht="13.5" customHeight="1">
      <c r="A171" s="117" t="s">
        <v>2741</v>
      </c>
      <c r="B171" s="47" t="s">
        <v>2742</v>
      </c>
      <c r="C171" s="76" t="s">
        <v>382</v>
      </c>
      <c r="D171" s="76">
        <v>3</v>
      </c>
      <c r="E171" s="76" t="s">
        <v>330</v>
      </c>
      <c r="F171" s="121" t="s">
        <v>210</v>
      </c>
      <c r="G171" s="76" t="s">
        <v>5</v>
      </c>
      <c r="H171" s="83"/>
      <c r="I171" s="103"/>
      <c r="J171" s="76" t="s">
        <v>127</v>
      </c>
      <c r="K171" s="104"/>
      <c r="L171" s="104"/>
      <c r="M171" s="105">
        <f>IF(Tabelle1324568[[#This Row],[Pulled after Start]]="",MIN(Tabelle1324568[[#This Row],[Jira Story Points]],Tabelle1324568[[#This Row],[Carry-over]]),0)</f>
        <v>0</v>
      </c>
      <c r="N171" s="108">
        <f>MIN(Tabelle1324568[[#This Row],[Jira Story Points]],Tabelle1324568[[#This Row],[Carry-over]])-Tabelle1324568[[#This Row],[SP Initially Planned (COS)]]</f>
        <v>0</v>
      </c>
      <c r="O171"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171" s="108">
        <f>IFERROR(IF(Tabelle1324568[[#This Row],[Status]]=$I$5,MIN(Tabelle1324568[[#This Row],[Jira Story Points]],Tabelle1324568[[#This Row],[Carry-over]]),0),0)</f>
        <v>0</v>
      </c>
      <c r="Q171" s="108">
        <f>IFERROR(IF(Tabelle1324568[[#This Row],[Status]]=$I$5,0,MIN(Tabelle1324568[[#This Row],[Jira Story Points]],Tabelle1324568[[#This Row],[Carry-over]])-Tabelle1324568[[#This Row],[SP Completed (COS &amp; SOS)]]),0)</f>
        <v>0</v>
      </c>
    </row>
    <row r="172" spans="1:17" s="46" customFormat="1" ht="13.5" customHeight="1">
      <c r="A172" s="117" t="s">
        <v>2745</v>
      </c>
      <c r="B172" s="47" t="s">
        <v>2746</v>
      </c>
      <c r="C172" s="76" t="s">
        <v>372</v>
      </c>
      <c r="D172" s="76">
        <v>3</v>
      </c>
      <c r="E172" s="76" t="s">
        <v>327</v>
      </c>
      <c r="F172" s="104">
        <v>5</v>
      </c>
      <c r="G172" s="76" t="s">
        <v>5</v>
      </c>
      <c r="H172" s="83"/>
      <c r="I172" s="103"/>
      <c r="J172" s="76" t="s">
        <v>127</v>
      </c>
      <c r="K172" s="104"/>
      <c r="L172" s="104">
        <v>2</v>
      </c>
      <c r="M172" s="105">
        <f>IF(Tabelle1324568[[#This Row],[Pulled after Start]]="",MIN(Tabelle1324568[[#This Row],[Jira Story Points]],Tabelle1324568[[#This Row],[Carry-over]]),0)</f>
        <v>5</v>
      </c>
      <c r="N172" s="108">
        <f>MIN(Tabelle1324568[[#This Row],[Jira Story Points]],Tabelle1324568[[#This Row],[Carry-over]])-Tabelle1324568[[#This Row],[SP Initially Planned (COS)]]</f>
        <v>0</v>
      </c>
      <c r="O172"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3</v>
      </c>
      <c r="P172" s="108">
        <f>IFERROR(IF(Tabelle1324568[[#This Row],[Status]]=$I$5,MIN(Tabelle1324568[[#This Row],[Jira Story Points]],Tabelle1324568[[#This Row],[Carry-over]]),0),0)</f>
        <v>0</v>
      </c>
      <c r="Q172" s="108">
        <f>IFERROR(IF(Tabelle1324568[[#This Row],[Status]]=$I$5,0,MIN(Tabelle1324568[[#This Row],[Jira Story Points]],Tabelle1324568[[#This Row],[Carry-over]])-Tabelle1324568[[#This Row],[SP Completed (COS &amp; SOS)]]),0)</f>
        <v>2</v>
      </c>
    </row>
    <row r="173" spans="1:17" s="46" customFormat="1" ht="13.5" customHeight="1">
      <c r="A173" s="117" t="s">
        <v>2747</v>
      </c>
      <c r="B173" s="47" t="s">
        <v>2748</v>
      </c>
      <c r="C173" s="76" t="s">
        <v>372</v>
      </c>
      <c r="D173" s="76">
        <v>3</v>
      </c>
      <c r="E173" s="76" t="s">
        <v>327</v>
      </c>
      <c r="F173" s="104">
        <v>1</v>
      </c>
      <c r="G173" s="76" t="s">
        <v>5</v>
      </c>
      <c r="H173" s="83"/>
      <c r="I173" s="103"/>
      <c r="J173" s="76" t="s">
        <v>127</v>
      </c>
      <c r="K173" s="104"/>
      <c r="L173" s="104">
        <v>0</v>
      </c>
      <c r="M173" s="105">
        <f>IF(Tabelle1324568[[#This Row],[Pulled after Start]]="",MIN(Tabelle1324568[[#This Row],[Jira Story Points]],Tabelle1324568[[#This Row],[Carry-over]]),0)</f>
        <v>1</v>
      </c>
      <c r="N173" s="108">
        <f>MIN(Tabelle1324568[[#This Row],[Jira Story Points]],Tabelle1324568[[#This Row],[Carry-over]])-Tabelle1324568[[#This Row],[SP Initially Planned (COS)]]</f>
        <v>0</v>
      </c>
      <c r="O173"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173" s="108">
        <f>IFERROR(IF(Tabelle1324568[[#This Row],[Status]]=$I$5,MIN(Tabelle1324568[[#This Row],[Jira Story Points]],Tabelle1324568[[#This Row],[Carry-over]]),0),0)</f>
        <v>0</v>
      </c>
      <c r="Q173" s="108">
        <f>IFERROR(IF(Tabelle1324568[[#This Row],[Status]]=$I$5,0,MIN(Tabelle1324568[[#This Row],[Jira Story Points]],Tabelle1324568[[#This Row],[Carry-over]])-Tabelle1324568[[#This Row],[SP Completed (COS &amp; SOS)]]),0)</f>
        <v>1</v>
      </c>
    </row>
    <row r="174" spans="1:17" s="46" customFormat="1" ht="13.5" customHeight="1">
      <c r="A174" s="117" t="s">
        <v>2749</v>
      </c>
      <c r="B174" s="47" t="s">
        <v>2750</v>
      </c>
      <c r="C174" s="76" t="s">
        <v>372</v>
      </c>
      <c r="D174" s="76">
        <v>3</v>
      </c>
      <c r="E174" s="76" t="s">
        <v>327</v>
      </c>
      <c r="F174" s="104">
        <v>1</v>
      </c>
      <c r="G174" s="76" t="s">
        <v>5</v>
      </c>
      <c r="H174" s="83"/>
      <c r="I174" s="103"/>
      <c r="J174" s="76" t="s">
        <v>127</v>
      </c>
      <c r="K174" s="104"/>
      <c r="L174" s="104">
        <v>0</v>
      </c>
      <c r="M174" s="105">
        <f>IF(Tabelle1324568[[#This Row],[Pulled after Start]]="",MIN(Tabelle1324568[[#This Row],[Jira Story Points]],Tabelle1324568[[#This Row],[Carry-over]]),0)</f>
        <v>1</v>
      </c>
      <c r="N174" s="108">
        <f>MIN(Tabelle1324568[[#This Row],[Jira Story Points]],Tabelle1324568[[#This Row],[Carry-over]])-Tabelle1324568[[#This Row],[SP Initially Planned (COS)]]</f>
        <v>0</v>
      </c>
      <c r="O174"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174" s="108">
        <f>IFERROR(IF(Tabelle1324568[[#This Row],[Status]]=$I$5,MIN(Tabelle1324568[[#This Row],[Jira Story Points]],Tabelle1324568[[#This Row],[Carry-over]]),0),0)</f>
        <v>0</v>
      </c>
      <c r="Q174" s="108">
        <f>IFERROR(IF(Tabelle1324568[[#This Row],[Status]]=$I$5,0,MIN(Tabelle1324568[[#This Row],[Jira Story Points]],Tabelle1324568[[#This Row],[Carry-over]])-Tabelle1324568[[#This Row],[SP Completed (COS &amp; SOS)]]),0)</f>
        <v>1</v>
      </c>
    </row>
    <row r="175" spans="1:17" s="46" customFormat="1" ht="13.5" customHeight="1">
      <c r="A175" s="117" t="s">
        <v>2973</v>
      </c>
      <c r="B175" s="47" t="s">
        <v>2974</v>
      </c>
      <c r="C175" s="76" t="s">
        <v>372</v>
      </c>
      <c r="D175" s="76">
        <v>3</v>
      </c>
      <c r="E175" s="76" t="s">
        <v>324</v>
      </c>
      <c r="F175" s="104">
        <v>5</v>
      </c>
      <c r="G175" s="76" t="s">
        <v>5</v>
      </c>
      <c r="H175" s="83"/>
      <c r="I175" s="103"/>
      <c r="J175" s="76" t="s">
        <v>125</v>
      </c>
      <c r="K175" s="104"/>
      <c r="L175" s="104"/>
      <c r="M175" s="105">
        <f>IF(Tabelle1324568[[#This Row],[Pulled after Start]]="",MIN(Tabelle1324568[[#This Row],[Jira Story Points]],Tabelle1324568[[#This Row],[Carry-over]]),0)</f>
        <v>5</v>
      </c>
      <c r="N175" s="108">
        <f>MIN(Tabelle1324568[[#This Row],[Jira Story Points]],Tabelle1324568[[#This Row],[Carry-over]])-Tabelle1324568[[#This Row],[SP Initially Planned (COS)]]</f>
        <v>0</v>
      </c>
      <c r="O175"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5</v>
      </c>
      <c r="P175" s="108">
        <f>IFERROR(IF(Tabelle1324568[[#This Row],[Status]]=$I$5,MIN(Tabelle1324568[[#This Row],[Jira Story Points]],Tabelle1324568[[#This Row],[Carry-over]]),0),0)</f>
        <v>0</v>
      </c>
      <c r="Q175" s="108">
        <f>IFERROR(IF(Tabelle1324568[[#This Row],[Status]]=$I$5,0,MIN(Tabelle1324568[[#This Row],[Jira Story Points]],Tabelle1324568[[#This Row],[Carry-over]])-Tabelle1324568[[#This Row],[SP Completed (COS &amp; SOS)]]),0)</f>
        <v>0</v>
      </c>
    </row>
    <row r="176" spans="1:17" s="46" customFormat="1" ht="13.5" customHeight="1">
      <c r="A176" s="117" t="s">
        <v>2751</v>
      </c>
      <c r="B176" s="47" t="s">
        <v>2752</v>
      </c>
      <c r="C176" s="76" t="s">
        <v>382</v>
      </c>
      <c r="D176" s="76">
        <v>3</v>
      </c>
      <c r="E176" s="76" t="s">
        <v>330</v>
      </c>
      <c r="F176" s="121" t="s">
        <v>210</v>
      </c>
      <c r="G176" s="76" t="s">
        <v>5</v>
      </c>
      <c r="H176" s="83"/>
      <c r="I176" s="103"/>
      <c r="J176" s="76" t="s">
        <v>127</v>
      </c>
      <c r="K176" s="104"/>
      <c r="L176" s="104"/>
      <c r="M176" s="105">
        <f>IF(Tabelle1324568[[#This Row],[Pulled after Start]]="",MIN(Tabelle1324568[[#This Row],[Jira Story Points]],Tabelle1324568[[#This Row],[Carry-over]]),0)</f>
        <v>0</v>
      </c>
      <c r="N176" s="108">
        <f>MIN(Tabelle1324568[[#This Row],[Jira Story Points]],Tabelle1324568[[#This Row],[Carry-over]])-Tabelle1324568[[#This Row],[SP Initially Planned (COS)]]</f>
        <v>0</v>
      </c>
      <c r="O176"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176" s="108">
        <f>IFERROR(IF(Tabelle1324568[[#This Row],[Status]]=$I$5,MIN(Tabelle1324568[[#This Row],[Jira Story Points]],Tabelle1324568[[#This Row],[Carry-over]]),0),0)</f>
        <v>0</v>
      </c>
      <c r="Q176" s="108">
        <f>IFERROR(IF(Tabelle1324568[[#This Row],[Status]]=$I$5,0,MIN(Tabelle1324568[[#This Row],[Jira Story Points]],Tabelle1324568[[#This Row],[Carry-over]])-Tabelle1324568[[#This Row],[SP Completed (COS &amp; SOS)]]),0)</f>
        <v>0</v>
      </c>
    </row>
    <row r="177" spans="1:17" s="46" customFormat="1" ht="13.5" customHeight="1">
      <c r="A177" s="117" t="s">
        <v>2975</v>
      </c>
      <c r="B177" s="47" t="s">
        <v>2754</v>
      </c>
      <c r="C177" s="76" t="s">
        <v>382</v>
      </c>
      <c r="D177" s="76">
        <v>3</v>
      </c>
      <c r="E177" s="76" t="s">
        <v>448</v>
      </c>
      <c r="F177" s="121" t="s">
        <v>210</v>
      </c>
      <c r="G177" s="76" t="s">
        <v>5</v>
      </c>
      <c r="H177" s="83" t="s">
        <v>209</v>
      </c>
      <c r="I177" s="103"/>
      <c r="J177" s="76" t="s">
        <v>127</v>
      </c>
      <c r="K177" s="104"/>
      <c r="L177" s="104"/>
      <c r="M177" s="105">
        <f>IF(Tabelle1324568[[#This Row],[Pulled after Start]]="",MIN(Tabelle1324568[[#This Row],[Jira Story Points]],Tabelle1324568[[#This Row],[Carry-over]]),0)</f>
        <v>0</v>
      </c>
      <c r="N177" s="108">
        <f>MIN(Tabelle1324568[[#This Row],[Jira Story Points]],Tabelle1324568[[#This Row],[Carry-over]])-Tabelle1324568[[#This Row],[SP Initially Planned (COS)]]</f>
        <v>0</v>
      </c>
      <c r="O177" s="107">
        <f>IFERROR(IF(Tabelle1324568[[#This Row],[Status]]=$I$5,0,IF(AND(Tabelle1324568[[#This Row],[Status]]=$H$5,Tabelle1324568[[#This Row],[Spill-over]]=0),0,IF(Tabelle1324568[[#This Row],[Carry-over]]&lt;&gt;0,Tabelle1324568[[#This Row],[Carry-over]]-Tabelle1324568[[#This Row],[Spill-over]],Tabelle1324568[[#This Row],[Jira Story Points]]-Tabelle1324568[[#This Row],[Spill-over]]))),"-")</f>
        <v>0</v>
      </c>
      <c r="P177" s="108">
        <f>IFERROR(IF(Tabelle1324568[[#This Row],[Status]]=$I$5,MIN(Tabelle1324568[[#This Row],[Jira Story Points]],Tabelle1324568[[#This Row],[Carry-over]]),0),0)</f>
        <v>0</v>
      </c>
      <c r="Q177" s="108">
        <f>IFERROR(IF(Tabelle1324568[[#This Row],[Status]]=$I$5,0,MIN(Tabelle1324568[[#This Row],[Jira Story Points]],Tabelle1324568[[#This Row],[Carry-over]])-Tabelle1324568[[#This Row],[SP Completed (COS &amp; SOS)]]),0)</f>
        <v>0</v>
      </c>
    </row>
    <row r="178" spans="1:17" ht="13.5" customHeight="1">
      <c r="C178" s="27"/>
      <c r="D178" s="27"/>
      <c r="E178" s="27"/>
      <c r="F178" s="27"/>
      <c r="G178" s="27"/>
      <c r="H178" s="27"/>
      <c r="I178" s="27"/>
      <c r="J178" s="27"/>
      <c r="K178" s="27"/>
      <c r="L178" s="27"/>
      <c r="M178" s="27"/>
      <c r="N178" s="27"/>
    </row>
    <row r="179" spans="1:17" ht="13.5" customHeight="1">
      <c r="C179" s="27"/>
      <c r="D179" s="27"/>
      <c r="E179" s="27"/>
      <c r="F179" s="27"/>
      <c r="G179" s="27"/>
      <c r="H179" s="27"/>
      <c r="I179" s="27"/>
      <c r="J179" s="27"/>
      <c r="K179" s="27"/>
      <c r="L179" s="27"/>
      <c r="M179" s="27"/>
      <c r="N179" s="27"/>
    </row>
    <row r="180" spans="1:17" ht="13.5" customHeight="1">
      <c r="C180" s="27"/>
      <c r="D180" s="27"/>
      <c r="E180" s="27"/>
      <c r="F180" s="27"/>
      <c r="G180" s="27"/>
      <c r="H180" s="27"/>
      <c r="I180" s="27"/>
      <c r="J180" s="27"/>
      <c r="K180" s="27"/>
      <c r="L180" s="27"/>
      <c r="M180" s="27"/>
      <c r="N180" s="27"/>
    </row>
    <row r="181" spans="1:17" ht="13.5" customHeight="1">
      <c r="C181" s="27"/>
      <c r="D181" s="27"/>
      <c r="E181" s="27"/>
      <c r="F181" s="27"/>
      <c r="G181" s="27"/>
      <c r="H181" s="27"/>
      <c r="I181" s="27"/>
      <c r="J181" s="27"/>
      <c r="K181" s="27"/>
      <c r="L181" s="27"/>
      <c r="M181" s="27"/>
      <c r="N181" s="27"/>
    </row>
    <row r="182" spans="1:17" ht="13.5" customHeight="1">
      <c r="C182" s="27"/>
      <c r="D182" s="27"/>
      <c r="E182" s="27"/>
      <c r="F182" s="27"/>
      <c r="G182" s="27"/>
      <c r="H182" s="27"/>
      <c r="I182" s="27"/>
      <c r="J182" s="27"/>
      <c r="K182" s="27"/>
      <c r="L182" s="27"/>
      <c r="M182" s="27"/>
      <c r="N182" s="27"/>
    </row>
    <row r="183" spans="1:17" ht="13.5" customHeight="1">
      <c r="C183" s="27"/>
      <c r="D183" s="27"/>
      <c r="E183" s="27"/>
      <c r="F183" s="27"/>
      <c r="G183" s="27"/>
      <c r="H183" s="27"/>
      <c r="I183" s="27"/>
      <c r="J183" s="27"/>
      <c r="K183" s="27"/>
      <c r="L183" s="27"/>
      <c r="M183" s="27"/>
      <c r="N183" s="27"/>
    </row>
    <row r="184" spans="1:17" ht="13.5" customHeight="1">
      <c r="C184" s="27"/>
      <c r="D184" s="27"/>
      <c r="E184" s="27"/>
      <c r="F184" s="27"/>
      <c r="G184" s="27"/>
      <c r="H184" s="27"/>
      <c r="I184" s="27"/>
      <c r="J184" s="27"/>
      <c r="K184" s="27"/>
      <c r="L184" s="27"/>
      <c r="M184" s="27"/>
      <c r="N184" s="27"/>
    </row>
    <row r="185" spans="1:17" ht="13.5" customHeight="1">
      <c r="C185" s="27"/>
      <c r="D185" s="27"/>
      <c r="E185" s="27"/>
      <c r="F185" s="27"/>
      <c r="G185" s="27"/>
      <c r="H185" s="27"/>
      <c r="I185" s="27"/>
      <c r="J185" s="27"/>
      <c r="K185" s="27"/>
      <c r="L185" s="27"/>
      <c r="M185" s="27"/>
      <c r="N185" s="27"/>
    </row>
    <row r="186" spans="1:17" ht="13.5" customHeight="1">
      <c r="C186" s="27"/>
      <c r="D186" s="27"/>
      <c r="E186" s="27"/>
      <c r="F186" s="27"/>
      <c r="G186" s="27"/>
      <c r="H186" s="27"/>
      <c r="I186" s="27"/>
      <c r="J186" s="27"/>
      <c r="K186" s="27"/>
      <c r="L186" s="27"/>
      <c r="M186" s="27"/>
      <c r="N186" s="27"/>
    </row>
    <row r="187" spans="1:17" ht="13.5" customHeight="1">
      <c r="C187" s="27"/>
      <c r="D187" s="27"/>
      <c r="E187" s="27"/>
      <c r="F187" s="27"/>
      <c r="G187" s="27"/>
      <c r="H187" s="27"/>
      <c r="I187" s="27"/>
      <c r="J187" s="27"/>
      <c r="K187" s="27"/>
      <c r="L187" s="27"/>
      <c r="M187" s="27"/>
      <c r="N187" s="27"/>
    </row>
    <row r="188" spans="1:17" ht="13.5" customHeight="1">
      <c r="C188" s="27"/>
      <c r="D188" s="27"/>
      <c r="E188" s="27"/>
      <c r="F188" s="27"/>
      <c r="G188" s="27"/>
      <c r="H188" s="27"/>
      <c r="I188" s="27"/>
      <c r="J188" s="27"/>
      <c r="K188" s="27"/>
      <c r="L188" s="27"/>
      <c r="M188" s="27"/>
      <c r="N188" s="27"/>
    </row>
    <row r="189" spans="1:17" ht="13.5" customHeight="1">
      <c r="C189" s="27"/>
      <c r="D189" s="27"/>
      <c r="E189" s="27"/>
      <c r="F189" s="27"/>
      <c r="G189" s="27"/>
      <c r="H189" s="27"/>
      <c r="I189" s="27"/>
      <c r="J189" s="27"/>
      <c r="K189" s="27"/>
      <c r="L189" s="27"/>
      <c r="M189" s="27"/>
      <c r="N189" s="27"/>
    </row>
    <row r="190" spans="1:17" ht="13.5" customHeight="1">
      <c r="C190" s="27"/>
      <c r="D190" s="27"/>
      <c r="E190" s="27"/>
      <c r="F190" s="27"/>
      <c r="G190" s="27"/>
      <c r="H190" s="27"/>
      <c r="I190" s="27"/>
      <c r="J190" s="27"/>
      <c r="K190" s="27"/>
      <c r="L190" s="27"/>
      <c r="M190" s="27"/>
      <c r="N190" s="27"/>
    </row>
    <row r="191" spans="1:17" ht="13.5" customHeight="1">
      <c r="C191" s="27"/>
      <c r="D191" s="27"/>
      <c r="E191" s="27"/>
      <c r="F191" s="27"/>
      <c r="G191" s="27"/>
      <c r="H191" s="27"/>
      <c r="I191" s="27"/>
      <c r="J191" s="27"/>
      <c r="K191" s="27"/>
      <c r="L191" s="27"/>
      <c r="M191" s="27"/>
      <c r="N191" s="27"/>
    </row>
    <row r="192" spans="1:17" ht="13.5" customHeight="1">
      <c r="C192" s="27"/>
      <c r="D192" s="27"/>
      <c r="E192" s="27"/>
      <c r="F192" s="27"/>
      <c r="G192" s="27"/>
      <c r="H192" s="27"/>
      <c r="I192" s="27"/>
      <c r="J192" s="27"/>
      <c r="K192" s="27"/>
      <c r="L192" s="27"/>
      <c r="M192" s="27"/>
      <c r="N192" s="27"/>
    </row>
    <row r="193" spans="3:14" ht="13.5" customHeight="1">
      <c r="C193" s="27"/>
      <c r="D193" s="27"/>
      <c r="E193" s="27"/>
      <c r="F193" s="27"/>
      <c r="G193" s="27"/>
      <c r="H193" s="27"/>
      <c r="I193" s="27"/>
      <c r="J193" s="27"/>
      <c r="K193" s="27"/>
      <c r="L193" s="27"/>
      <c r="M193" s="27"/>
      <c r="N193" s="27"/>
    </row>
    <row r="194" spans="3:14" ht="13.5" customHeight="1">
      <c r="C194" s="27"/>
      <c r="D194" s="27"/>
      <c r="E194" s="27"/>
      <c r="F194" s="27"/>
      <c r="G194" s="27"/>
      <c r="H194" s="27"/>
      <c r="I194" s="27"/>
      <c r="J194" s="27"/>
      <c r="K194" s="27"/>
      <c r="L194" s="27"/>
      <c r="M194" s="27"/>
      <c r="N194" s="27"/>
    </row>
    <row r="195" spans="3:14" ht="13.5" customHeight="1">
      <c r="C195" s="27"/>
      <c r="D195" s="27"/>
      <c r="E195" s="27"/>
      <c r="F195" s="27"/>
      <c r="G195" s="27"/>
      <c r="H195" s="27"/>
      <c r="I195" s="27"/>
      <c r="J195" s="27"/>
      <c r="K195" s="27"/>
      <c r="L195" s="27"/>
      <c r="M195" s="27"/>
      <c r="N195" s="27"/>
    </row>
    <row r="196" spans="3:14" ht="13.5" customHeight="1">
      <c r="C196" s="27"/>
      <c r="D196" s="27"/>
      <c r="E196" s="27"/>
      <c r="F196" s="27"/>
      <c r="G196" s="27"/>
      <c r="H196" s="27"/>
      <c r="I196" s="27"/>
      <c r="J196" s="27"/>
      <c r="K196" s="27"/>
      <c r="L196" s="27"/>
      <c r="M196" s="27"/>
      <c r="N196" s="27"/>
    </row>
    <row r="197" spans="3:14" ht="13.5" customHeight="1">
      <c r="C197" s="27"/>
      <c r="D197" s="27"/>
      <c r="E197" s="27"/>
      <c r="F197" s="27"/>
      <c r="G197" s="27"/>
      <c r="H197" s="27"/>
      <c r="I197" s="27"/>
      <c r="J197" s="27"/>
      <c r="K197" s="27"/>
      <c r="L197" s="27"/>
      <c r="M197" s="27"/>
      <c r="N197" s="27"/>
    </row>
    <row r="198" spans="3:14" ht="13.5" customHeight="1">
      <c r="C198" s="27"/>
      <c r="D198" s="27"/>
      <c r="E198" s="27"/>
      <c r="F198" s="27"/>
      <c r="G198" s="27"/>
      <c r="H198" s="27"/>
      <c r="I198" s="27"/>
      <c r="J198" s="27"/>
      <c r="K198" s="27"/>
      <c r="L198" s="27"/>
      <c r="M198" s="27"/>
      <c r="N198" s="27"/>
    </row>
  </sheetData>
  <mergeCells count="11">
    <mergeCell ref="N22:O22"/>
    <mergeCell ref="C1:J1"/>
    <mergeCell ref="G3:I3"/>
    <mergeCell ref="E4:J4"/>
    <mergeCell ref="L4:Q4"/>
    <mergeCell ref="L22:M22"/>
    <mergeCell ref="B6:B15"/>
    <mergeCell ref="D22:E22"/>
    <mergeCell ref="F22:G22"/>
    <mergeCell ref="H22:I22"/>
    <mergeCell ref="J22:K22"/>
  </mergeCells>
  <dataValidations count="4">
    <dataValidation type="list" allowBlank="1" showErrorMessage="1" sqref="H32:H42 H58:H82" xr:uid="{48AF5946-C1B7-412D-96E8-A902E145FBAB}">
      <formula1>"yes"</formula1>
    </dataValidation>
    <dataValidation type="list" allowBlank="1" showErrorMessage="1" sqref="G32:G42 G95:G103" xr:uid="{06063985-963F-4DCE-974A-AD75D51F897D}">
      <formula1>$C$6:$C$15</formula1>
    </dataValidation>
    <dataValidation allowBlank="1" showInputMessage="1" showErrorMessage="1" sqref="K32 M32:N177 K34:L111 L33" xr:uid="{4952E629-3E55-43FF-8495-9A704F4B834D}"/>
    <dataValidation type="list" allowBlank="1" showErrorMessage="1" sqref="J32:J177" xr:uid="{0D5A62BE-D6FB-413E-8754-53F5831286DA}">
      <formula1>$G$5:$I$5</formula1>
    </dataValidation>
  </dataValidations>
  <hyperlinks>
    <hyperlink ref="A86" r:id="rId1" display="[ANP-23694] Create Integrity Tests and Manual Tests - AT TAW - Jira" xr:uid="{7EE45697-B7DE-4FDF-9BF3-F9D582055E92}"/>
    <hyperlink ref="A87" r:id="rId2" display="[ANP-24846] Pick ANP-22753 to Release 4.7.1 - Jira" xr:uid="{84896982-400A-4383-AC53-58B282AC201C}"/>
    <hyperlink ref="A88" r:id="rId3" display="[ANP-23695] Create Integrity Tests and Manual Tests - CH BASICS+ - Jira" xr:uid="{39D7167D-3713-4BD9-9078-8F4388839909}"/>
    <hyperlink ref="A89" r:id="rId4" display="[ANP-23037] Terminal Assignment Wizard - IP Address-based - Pre-fill Prompt from Till_State - Jira" xr:uid="{A7351A9B-2FEE-4A61-9F68-105C8A6DB27C}"/>
    <hyperlink ref="A90" r:id="rId5" display="[ANP-24655] [BOSS Interface] evaluate effects of port change - Jira" xr:uid="{9DA5B121-6B6F-4DB5-83F6-4FDB7324F5C2}"/>
    <hyperlink ref="A91" r:id="rId6" display="[ANP-24686] clarify next steps for setting up test hardware for CHOP CH - Jira" xr:uid="{282FF2F9-45E0-4B86-AC6A-DBBBD16B3BBE}"/>
    <hyperlink ref="A92" r:id="rId7" display="[ANP-24485] find out whether there was a change in printing the second sale receipt in case of EFT/EGC after total - Jira" xr:uid="{8DBFD30D-73DB-464D-950B-41403A237A93}"/>
    <hyperlink ref="A117" r:id="rId8" display="https://aldi-sued.atlassian.net/browse/NPSCO-18480" xr:uid="{7FBDC689-A4FD-43A1-B94E-36AC7073B447}"/>
    <hyperlink ref="B117" r:id="rId9" display="https://aldi-sued.atlassian.net/browse/NPSCO-18480" xr:uid="{6C5A7605-EFCE-4F4F-8B27-981385DD70CD}"/>
    <hyperlink ref="G117" r:id="rId10" display="https://aldi-sued.atlassian.net/issues/?jql=%22cf%5B12600%5D%22%20%3D%20Checkout_Base" xr:uid="{68A1BEAC-0006-4EB4-9268-E17A012734B2}"/>
    <hyperlink ref="A118" r:id="rId11" display="https://aldi-sued.atlassian.net/browse/NPSCO-18486" xr:uid="{3AE312C1-7F3B-40DF-BD6E-C5BEDECA4E92}"/>
    <hyperlink ref="B118" r:id="rId12" display="https://aldi-sued.atlassian.net/browse/NPSCO-18486" xr:uid="{131FF3F7-9047-4F4E-848A-1A32AECEBFF3}"/>
    <hyperlink ref="G118" r:id="rId13" display="https://aldi-sued.atlassian.net/issues/?jql=%22cf%5B12600%5D%22%20%3D%20Checkout_Base" xr:uid="{CA98701F-4E5D-4FD7-8CEE-DEF3323115F8}"/>
    <hyperlink ref="A119" r:id="rId14" display="https://aldi-sued.atlassian.net/browse/NPSCO-18492" xr:uid="{1D8E1741-A825-4BF8-A440-BA790272D078}"/>
    <hyperlink ref="B119" r:id="rId15" display="https://aldi-sued.atlassian.net/browse/NPSCO-18492" xr:uid="{386129BB-D5E5-42B1-9331-F449E1EF0288}"/>
    <hyperlink ref="A120" r:id="rId16" display="https://aldi-sued.atlassian.net/browse/NPSCO-15193" xr:uid="{EE70511D-42DF-401E-8D23-379BD5E17096}"/>
    <hyperlink ref="B120" r:id="rId17" display="https://aldi-sued.atlassian.net/browse/NPSCO-15193" xr:uid="{EB792364-87F1-41B6-B0A0-BF2081B32194}"/>
    <hyperlink ref="A121" r:id="rId18" display="https://aldi-sued.atlassian.net/browse/NPSCO-15500" xr:uid="{5AD107DA-5F92-432B-9028-C27EA0DFEFA9}"/>
    <hyperlink ref="B121" r:id="rId19" display="https://aldi-sued.atlassian.net/browse/NPSCO-15500" xr:uid="{8A81787F-2AAC-4DC4-BB2A-FA66BE14817F}"/>
    <hyperlink ref="A122" r:id="rId20" display="https://aldi-sued.atlassian.net/browse/NPSCO-15192" xr:uid="{7BDBD34E-FE41-4983-91EF-5FA189C4071A}"/>
    <hyperlink ref="B122" r:id="rId21" display="https://aldi-sued.atlassian.net/browse/NPSCO-15192" xr:uid="{2C69D297-7A3A-4EFF-A642-EB5CAD94BD1B}"/>
    <hyperlink ref="A123" r:id="rId22" display="https://aldi-sued.atlassian.net/browse/NPSCO-16393" xr:uid="{B54C7784-C4B7-4D50-A801-2EC82D232850}"/>
    <hyperlink ref="B123" r:id="rId23" display="https://aldi-sued.atlassian.net/browse/NPSCO-16393" xr:uid="{51BDC849-B3DE-4598-A71C-E4DBE6EC3ADC}"/>
    <hyperlink ref="A124" r:id="rId24" display="https://aldi-sued.atlassian.net/browse/NPSCO-15737" xr:uid="{D3B1F05A-28CF-42E2-AAB2-08DE8CC168CD}"/>
    <hyperlink ref="B124" r:id="rId25" display="https://aldi-sued.atlassian.net/browse/NPSCO-15737" xr:uid="{1B41F3F5-3EA3-42BB-B2BA-E0308CD4C94E}"/>
    <hyperlink ref="A125" r:id="rId26" display="https://aldi-sued.atlassian.net/browse/NPSCO-10135" xr:uid="{397E6EDB-86B3-43E4-AB70-0A74CA5C0093}"/>
    <hyperlink ref="B125" r:id="rId27" display="https://aldi-sued.atlassian.net/browse/NPSCO-10135" xr:uid="{0546762F-E7F1-4228-8B49-37F8DD47F320}"/>
    <hyperlink ref="A126" r:id="rId28" display="https://aldi-sued.atlassian.net/browse/NPSCO-15738" xr:uid="{B56AB3C3-2669-4970-B4BF-08BAF60583E2}"/>
    <hyperlink ref="B126" r:id="rId29" display="https://aldi-sued.atlassian.net/browse/NPSCO-15738" xr:uid="{E4FEC3A7-6AAD-437D-9C08-0E35740153DB}"/>
    <hyperlink ref="A127" r:id="rId30" display="https://aldi-sued.atlassian.net/browse/NPSCO-15736" xr:uid="{00121DFF-E27A-41BD-92FE-BB2002AEC3D0}"/>
    <hyperlink ref="B127" r:id="rId31" display="https://aldi-sued.atlassian.net/browse/NPSCO-15736" xr:uid="{81D890CF-C1F0-4627-AD61-A4E11627F343}"/>
    <hyperlink ref="A128" r:id="rId32" display="https://aldi-sued.atlassian.net/browse/NPSCO-17566" xr:uid="{308339AF-501A-4200-8B15-906EDC2238D4}"/>
    <hyperlink ref="B128" r:id="rId33" display="https://aldi-sued.atlassian.net/browse/NPSCO-17566" xr:uid="{86FEF1AF-C703-487D-B995-B45D9799DCA7}"/>
    <hyperlink ref="G85:G94" r:id="rId34" display="https://aldi-sued.atlassian.net/issues/?jql=%22cf%5B12600%5D%22%20%3D%20Checkout_Base" xr:uid="{9CF46B25-9C92-41C1-9876-0090FC911FAB}"/>
    <hyperlink ref="A108" r:id="rId35" xr:uid="{F1D9BD3C-7940-4DEA-BBD9-EBCAC9B0AB88}"/>
    <hyperlink ref="A109" r:id="rId36" xr:uid="{D7A10147-475C-4733-9B82-B82B56EF1271}"/>
    <hyperlink ref="A110" r:id="rId37" xr:uid="{F2B4AAE1-97B7-4460-A1EE-8859D620EF85}"/>
    <hyperlink ref="A111" r:id="rId38" xr:uid="{7DFC7B82-0724-4243-B168-4783C1F8C62D}"/>
    <hyperlink ref="A112" r:id="rId39" xr:uid="{DFD941B7-22B2-4305-BE8C-DDC20468A0A2}"/>
    <hyperlink ref="A113" r:id="rId40" xr:uid="{5DEFD6C4-6C27-435B-A714-9E5DB52793D6}"/>
    <hyperlink ref="A114" r:id="rId41" xr:uid="{23F26351-52E4-4F1C-B569-E35F7D6FAADC}"/>
    <hyperlink ref="A115" r:id="rId42" xr:uid="{1A02287E-5A67-486C-AD16-9C344910EEE3}"/>
    <hyperlink ref="A150" r:id="rId43" display="https://aldi-sued.atlassian.net/browse/NPSCO-16261" xr:uid="{C3A638EA-6352-4066-8602-765BA11295CF}"/>
    <hyperlink ref="A151" r:id="rId44" display="https://aldi-sued.atlassian.net/browse/NPSCO-17316" xr:uid="{10DBED78-337A-4AEA-BFA1-46A81367559F}"/>
    <hyperlink ref="A152" r:id="rId45" display="https://aldi-sued.atlassian.net/browse/NPSCO-18448" xr:uid="{E283125E-F031-450C-8F53-A4489D84489E}"/>
    <hyperlink ref="A153" r:id="rId46" display="https://aldi-sued.atlassian.net/browse/NPSCO-18428" xr:uid="{B488EA74-9DE2-4EFE-B19B-932AE43C7D03}"/>
    <hyperlink ref="A154" r:id="rId47" display="https://aldi-sued.atlassian.net/browse/NPSCO-18474" xr:uid="{81D6DE08-60D2-4AE9-9050-9CB622960E32}"/>
    <hyperlink ref="A155" r:id="rId48" display="https://aldi-sued.atlassian.net/browse/NPSCO-18210" xr:uid="{2A992D71-0028-4548-B305-22689F2FD768}"/>
    <hyperlink ref="A156" r:id="rId49" display="https://aldi-sued.atlassian.net/browse/NPSCO-18493" xr:uid="{21974021-85AB-414D-B982-B4CCB2A657AD}"/>
    <hyperlink ref="A157" r:id="rId50" display="https://aldi-sued.atlassian.net/browse/NPSCO-18259" xr:uid="{6F4F736B-BC3C-4E99-B24F-D0D9F1769351}"/>
    <hyperlink ref="A158" r:id="rId51" display="https://aldi-sued.atlassian.net/browse/NPSCO-18563" xr:uid="{4E8CA68F-8BE6-41E3-ABFA-4C8D98CCEC49}"/>
    <hyperlink ref="A159" r:id="rId52" display="https://aldi-sued.atlassian.net/browse/NPSCO-17881" xr:uid="{BFCF47E8-2E7A-419B-BCBB-ACBCF151931E}"/>
    <hyperlink ref="A160" r:id="rId53" display="https://aldi-sued.atlassian.net/browse/NPSCO-18138" xr:uid="{F997A931-34BB-4F19-A9BC-C4196C88C82A}"/>
    <hyperlink ref="A161" r:id="rId54" display="https://aldi-sued.atlassian.net/browse/NPSCO-18532" xr:uid="{02BBF53C-CCFF-4AE3-9457-A5ADF9384074}"/>
    <hyperlink ref="A162" r:id="rId55" display="https://aldi-sued.atlassian.net/browse/NPSCO-18533" xr:uid="{3693EAC2-8F7E-4660-8FE5-62D61F977E44}"/>
    <hyperlink ref="A116" r:id="rId56" display="ANP-24168 *" xr:uid="{6912DB0C-0196-46DC-ADCB-B0596B31C60B}"/>
    <hyperlink ref="A163" r:id="rId57" xr:uid="{F04227B2-3358-4691-B4F7-4B06FD6D496E}"/>
    <hyperlink ref="A164" r:id="rId58" xr:uid="{08FC3089-4B11-4D7A-BF4D-26E17B8E93DB}"/>
    <hyperlink ref="A165" r:id="rId59" xr:uid="{90998EF3-D363-4CC9-9121-D380435C16E2}"/>
    <hyperlink ref="A166" r:id="rId60" xr:uid="{E1663616-A2A4-4C87-B9ED-E5845D583B22}"/>
    <hyperlink ref="A167" r:id="rId61" xr:uid="{1BFEDBC6-FCD3-491E-8BE5-CD5CB986E4CF}"/>
    <hyperlink ref="A168" r:id="rId62" xr:uid="{E06B51EB-DFDF-4E38-81BC-9754F50BA124}"/>
    <hyperlink ref="A169" r:id="rId63" xr:uid="{B21102DF-2173-4AE5-924C-1F711BFB3C1B}"/>
    <hyperlink ref="A170" r:id="rId64" xr:uid="{6D570F9D-40A0-42B6-988F-9CCA7CA5F620}"/>
    <hyperlink ref="A171" r:id="rId65" xr:uid="{4D461043-6390-4718-A285-F2B319A0DAF5}"/>
    <hyperlink ref="A172" r:id="rId66" xr:uid="{6E373546-DB0F-4CEE-B5E6-FB5DDC808070}"/>
    <hyperlink ref="A173" r:id="rId67" xr:uid="{D1C96848-7249-457A-A23E-A45C51A0B6A8}"/>
    <hyperlink ref="A174" r:id="rId68" xr:uid="{5D422EAB-BA28-45AC-B401-3A886BB50D63}"/>
    <hyperlink ref="A175" r:id="rId69" xr:uid="{3B80B3A5-D5C6-433B-B946-70E447A8F0E8}"/>
    <hyperlink ref="A176" r:id="rId70" xr:uid="{F4BAC239-DABA-4DA5-8635-094E875E53AE}"/>
    <hyperlink ref="A177" r:id="rId71" xr:uid="{7B09A169-CB97-4B09-AD37-8E973647282B}"/>
    <hyperlink ref="A85" r:id="rId72" display="[ANP-19941] Create Integrity Tests and Manual Tests - CH BASICS - Jira" xr:uid="{3DC0E5A3-B464-4460-935E-D7D43F47EF26}"/>
    <hyperlink ref="A84" r:id="rId73" display="[ANP-19414] Create Integrity Tests and Manual Tests - AT BASICS - Jira" xr:uid="{FBE210D7-3F82-4F06-BC44-A580106AB4BA}"/>
    <hyperlink ref="A83" r:id="rId74" display="[ANP-18160] CFRM Configuration Guide - Jira" xr:uid="{3E739A4A-87A3-4D84-84E2-931FDA2EC6DD}"/>
    <hyperlink ref="A82" r:id="rId75" display="[ANP-24318] EFT: Double debiting of card payments - Jira" xr:uid="{E11E8167-865B-49D2-8B10-0544140ED1E6}"/>
    <hyperlink ref="A81" r:id="rId76" display="[ANP-22753] The Scanner unit at the Till play alert sound during a card payment. - Jira" xr:uid="{FCC3AF9B-3197-4676-8479-BBB18895FFC0}"/>
    <hyperlink ref="A80" r:id="rId77" display="[ANP-24583] Printer detection not reliable on CHOP MCO after changing printer protocol to NHPI - Jira" xr:uid="{C30745DD-BCD9-490C-AC9F-A788A5963D21}"/>
    <hyperlink ref="A65" r:id="rId78" display="https://aldi-sued.atlassian.net/browse/BF-338" xr:uid="{74B115C0-23FD-4FE7-A0AE-0C175CA0EEC8}"/>
    <hyperlink ref="A66" r:id="rId79" display="https://aldi-sued.atlassian.net/browse/BF-571" xr:uid="{9E2B8199-505C-496B-9E1E-53BF151D7D2E}"/>
    <hyperlink ref="A67" r:id="rId80" display="https://aldi-sued.atlassian.net/browse/BF-623" xr:uid="{ADF5D6E2-ABFD-4516-A0AE-63626E07AEE8}"/>
    <hyperlink ref="A68" r:id="rId81" display="https://aldi-sued.atlassian.net/browse/BF-674" xr:uid="{E16139E0-3E90-4CA4-AF82-28684E2C6F3B}"/>
    <hyperlink ref="A69" r:id="rId82" display="https://aldi-sued.atlassian.net/browse/BF-724" xr:uid="{C363AB50-1BDD-4340-BE5F-928790E9B9CD}"/>
    <hyperlink ref="A70" r:id="rId83" display="https://aldi-sued.atlassian.net/browse/BF-732" xr:uid="{B947BAF8-5165-4BC3-8DBE-39509E59AFF6}"/>
    <hyperlink ref="A71" r:id="rId84" display="https://aldi-sued.atlassian.net/browse/BF-787" xr:uid="{C9C4E27F-20CD-4731-ADC3-C8F03625E7AF}"/>
    <hyperlink ref="A72" r:id="rId85" display="https://aldi-sued.atlassian.net/browse/BF-718" xr:uid="{88D4EEF1-4B5F-4541-8780-7AC07BAF9123}"/>
    <hyperlink ref="A73" r:id="rId86" display="https://aldi-sued.atlassian.net/browse/BF-719" xr:uid="{3A7558CC-F401-412F-B3B7-DE2619C82C0E}"/>
    <hyperlink ref="A74" r:id="rId87" display="https://aldi-sued.atlassian.net/browse/BF-734" xr:uid="{4B1B6673-755C-454C-8A63-5FB4A04F0D6E}"/>
    <hyperlink ref="A75" r:id="rId88" display="https://aldi-sued.atlassian.net/browse/BF-740" xr:uid="{BE429B91-6A14-4AE9-8994-AF57E6DE12DB}"/>
    <hyperlink ref="A76" r:id="rId89" display="https://aldi-sued.atlassian.net/browse/BF-741" xr:uid="{671192FB-FFB5-4CD7-9B78-A31652A580B2}"/>
    <hyperlink ref="A77" r:id="rId90" display="https://aldi-sued.atlassian.net/browse/BF-743" xr:uid="{BA12D94A-0E3F-4856-B01D-47B6FEE83974}"/>
    <hyperlink ref="A78" r:id="rId91" display="https://aldi-sued.atlassian.net/browse/BF-788" xr:uid="{D90F692F-7B9D-4ADA-9AE1-F526F68619C2}"/>
    <hyperlink ref="A79" r:id="rId92" display="https://aldi-sued.atlassian.net/browse/BF-770" xr:uid="{3D0123E3-970B-4F13-B26F-88CECCA522F5}"/>
  </hyperlinks>
  <pageMargins left="0.23622047244094491" right="0.23622047244094491" top="0.35433070866141736" bottom="0.35433070866141736" header="0" footer="0"/>
  <pageSetup paperSize="9" scale="88" fitToHeight="0" orientation="landscape" r:id="rId93"/>
  <headerFooter>
    <oddFooter>&amp;CS. &amp;P / &amp;N</oddFooter>
  </headerFooter>
  <tableParts count="1">
    <tablePart r:id="rId9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E8DFF-3669-4541-9710-C111CCAB17DC}">
  <sheetPr>
    <outlinePr summaryBelow="0" summaryRight="0"/>
    <pageSetUpPr fitToPage="1"/>
  </sheetPr>
  <dimension ref="A1:AM921"/>
  <sheetViews>
    <sheetView topLeftCell="E1" zoomScale="90" zoomScaleNormal="90" workbookViewId="0">
      <selection activeCell="Z6" sqref="Z6:Z15"/>
    </sheetView>
  </sheetViews>
  <sheetFormatPr baseColWidth="10" defaultColWidth="8.85546875" defaultRowHeight="13.5" customHeight="1"/>
  <cols>
    <col min="1" max="1" width="13.42578125" style="27" bestFit="1" customWidth="1"/>
    <col min="2" max="2" width="66.42578125" style="27" customWidth="1"/>
    <col min="3" max="8" width="15.42578125" style="28" customWidth="1"/>
    <col min="9" max="11" width="15.42578125" style="29" customWidth="1"/>
    <col min="12" max="12" width="15.42578125" style="30" customWidth="1"/>
    <col min="13" max="13" width="15.42578125" style="28" customWidth="1"/>
    <col min="14" max="17" width="15.42578125" style="1" customWidth="1"/>
    <col min="18" max="28" width="10.42578125" style="1" customWidth="1"/>
    <col min="29" max="34" width="8.42578125" style="1" customWidth="1"/>
    <col min="35" max="35" width="3.42578125" style="1" customWidth="1"/>
    <col min="36" max="36" width="8.42578125" style="1" customWidth="1"/>
    <col min="37" max="16384" width="8.85546875" style="1"/>
  </cols>
  <sheetData>
    <row r="1" spans="2:26" ht="13.5" customHeight="1">
      <c r="C1" s="417" t="s">
        <v>2976</v>
      </c>
      <c r="D1" s="417"/>
      <c r="E1" s="417"/>
      <c r="F1" s="417"/>
      <c r="G1" s="417"/>
      <c r="H1" s="417"/>
      <c r="I1" s="417"/>
      <c r="J1" s="417"/>
      <c r="K1" s="2"/>
      <c r="L1" s="2"/>
      <c r="M1" s="2"/>
    </row>
    <row r="2" spans="2:26" ht="13.5" customHeight="1">
      <c r="C2" s="1"/>
      <c r="D2" s="1"/>
      <c r="E2" s="2"/>
      <c r="F2" s="2"/>
      <c r="G2" s="2"/>
      <c r="H2" s="2"/>
      <c r="I2" s="2"/>
      <c r="J2" s="1"/>
      <c r="K2" s="2"/>
      <c r="L2" s="2"/>
      <c r="M2" s="1"/>
    </row>
    <row r="3" spans="2:26" ht="13.5" customHeight="1" thickBot="1">
      <c r="C3" s="3" t="s">
        <v>162</v>
      </c>
      <c r="D3" s="18"/>
      <c r="E3" s="19"/>
      <c r="F3" s="19"/>
      <c r="G3" s="441" t="s">
        <v>2977</v>
      </c>
      <c r="H3" s="441"/>
      <c r="I3" s="441"/>
      <c r="J3" s="19"/>
      <c r="K3" s="4"/>
      <c r="L3" s="4"/>
      <c r="M3" s="2"/>
    </row>
    <row r="4" spans="2:26" ht="13.5" customHeight="1">
      <c r="C4" s="10"/>
      <c r="D4" s="10"/>
      <c r="E4" s="442" t="s">
        <v>165</v>
      </c>
      <c r="F4" s="442"/>
      <c r="G4" s="442"/>
      <c r="H4" s="442"/>
      <c r="I4" s="442"/>
      <c r="J4" s="442"/>
      <c r="K4" s="2"/>
      <c r="L4" s="424" t="s">
        <v>1303</v>
      </c>
      <c r="M4" s="424"/>
      <c r="N4" s="424"/>
      <c r="O4" s="424"/>
      <c r="P4" s="424"/>
      <c r="Q4" s="424"/>
      <c r="Z4" s="292" t="s">
        <v>164</v>
      </c>
    </row>
    <row r="5" spans="2:26" ht="27">
      <c r="C5" s="20" t="s">
        <v>167</v>
      </c>
      <c r="D5" s="20" t="s">
        <v>164</v>
      </c>
      <c r="E5" s="21" t="s">
        <v>105</v>
      </c>
      <c r="F5" s="21" t="s">
        <v>106</v>
      </c>
      <c r="G5" s="20" t="s">
        <v>125</v>
      </c>
      <c r="H5" s="20" t="s">
        <v>127</v>
      </c>
      <c r="I5" s="20" t="s">
        <v>126</v>
      </c>
      <c r="J5" s="21" t="s">
        <v>172</v>
      </c>
      <c r="K5" s="2"/>
      <c r="L5" s="21" t="s">
        <v>105</v>
      </c>
      <c r="M5" s="21" t="s">
        <v>106</v>
      </c>
      <c r="N5" s="31" t="s">
        <v>125</v>
      </c>
      <c r="O5" s="31" t="str">
        <f t="shared" ref="O5" si="0">I5</f>
        <v>Removed</v>
      </c>
      <c r="P5" s="31" t="s">
        <v>127</v>
      </c>
      <c r="Q5" s="39" t="s">
        <v>173</v>
      </c>
      <c r="Z5" s="293" t="str">
        <f>G5</f>
        <v>Completed</v>
      </c>
    </row>
    <row r="6" spans="2:26" ht="13.5" customHeight="1">
      <c r="B6" s="415" t="s">
        <v>2978</v>
      </c>
      <c r="C6" s="6" t="s">
        <v>35</v>
      </c>
      <c r="D6" s="6">
        <f>COUNTIFS(Tabelle132456[Team],$C6)</f>
        <v>29</v>
      </c>
      <c r="E6" s="6">
        <f>SUMIFS(Tabelle132456[Jira Story Points],Tabelle132456[Pulled after Start],"",Tabelle132456[Team],$C6)</f>
        <v>65</v>
      </c>
      <c r="F6" s="6">
        <f>SUMIFS(Tabelle132456[Jira Story Points],Tabelle132456[Pulled after Start],"yes",Tabelle132456[Team],$C6)</f>
        <v>37</v>
      </c>
      <c r="G6" s="7">
        <f>SUMIFS(Tabelle132456[Jira Story Points],Tabelle132456[Status],$G$5,Tabelle132456[Team],$C6)</f>
        <v>74</v>
      </c>
      <c r="H6" s="6">
        <f>SUMIFS(Tabelle132456[Jira Story Points],Tabelle132456[Status],$H$5,Tabelle132456[Team],$C6)</f>
        <v>28</v>
      </c>
      <c r="I6" s="6">
        <f>SUMIFS(Tabelle132456[Jira Story Points],Tabelle132456[Status],$I$5,Tabelle132456[Team],$C6)</f>
        <v>0</v>
      </c>
      <c r="J6" s="6">
        <f>SUMIFS(Tabelle132456[Jira Story Points],Tabelle132456[Team],$C6)</f>
        <v>102</v>
      </c>
      <c r="K6" s="85">
        <f>G6/E6</f>
        <v>1.1384615384615384</v>
      </c>
      <c r="L6" s="6">
        <f>SUMIFS(Tabelle132456[SP Initially Planned (COS)],Tabelle132456[Pulled after Start],"",Tabelle132456[Team],$C6)</f>
        <v>65</v>
      </c>
      <c r="M6" s="6">
        <f>SUMIFS(Tabelle132456[SP Pulled after Start (COS)],Tabelle132456[Team],$C6)</f>
        <v>37</v>
      </c>
      <c r="N6" s="25">
        <f>SUMIFS(Tabelle132456[SP Completed (COS &amp; SOS)],Tabelle132456[Team],$C6)</f>
        <v>74</v>
      </c>
      <c r="O6" s="25">
        <f>SUMIFS(Tabelle132456[SP Removed (COS &amp; SOS)],Tabelle132456[Team],$C6)</f>
        <v>0</v>
      </c>
      <c r="P6" s="41">
        <f>SUMIFS(Tabelle132456[SP Not Completed (COS &amp; SOS)],Tabelle132456[Team],$C6)</f>
        <v>28</v>
      </c>
      <c r="Q6" s="40">
        <f t="shared" ref="Q6:Q15" si="1">IFERROR(N6/$L6," ")</f>
        <v>1.1384615384615384</v>
      </c>
      <c r="T6" s="43"/>
      <c r="Z6" s="294">
        <f>COUNTIFS(Tabelle132456[Team],$C6,Tabelle132456[Status],$Z$5)</f>
        <v>22</v>
      </c>
    </row>
    <row r="7" spans="2:26" ht="13.5" customHeight="1">
      <c r="B7" s="415"/>
      <c r="C7" s="6" t="s">
        <v>12</v>
      </c>
      <c r="D7" s="6">
        <f>COUNTIFS(Tabelle132456[Team],$C7)</f>
        <v>6</v>
      </c>
      <c r="E7" s="6">
        <f>SUMIFS(Tabelle132456[Jira Story Points],Tabelle132456[Pulled after Start],"",Tabelle132456[Team],$C7)</f>
        <v>17</v>
      </c>
      <c r="F7" s="6">
        <f>SUMIFS(Tabelle132456[Jira Story Points],Tabelle132456[Pulled after Start],"yes",Tabelle132456[Team],$C7)</f>
        <v>3</v>
      </c>
      <c r="G7" s="7">
        <f>SUMIFS(Tabelle132456[Jira Story Points],Tabelle132456[Status],$G$5,Tabelle132456[Team],$C7)</f>
        <v>9</v>
      </c>
      <c r="H7" s="6">
        <f>SUMIFS(Tabelle132456[Jira Story Points],Tabelle132456[Status],$H$5,Tabelle132456[Team],$C7)</f>
        <v>11</v>
      </c>
      <c r="I7" s="6">
        <f>SUMIFS(Tabelle132456[Jira Story Points],Tabelle132456[Status],$I$5,Tabelle132456[Team],$C7)</f>
        <v>0</v>
      </c>
      <c r="J7" s="6">
        <f>SUMIFS(Tabelle132456[Jira Story Points],Tabelle132456[Team],$C7)</f>
        <v>20</v>
      </c>
      <c r="K7" s="85">
        <f t="shared" ref="K7:K16" si="2">G7/E7</f>
        <v>0.52941176470588236</v>
      </c>
      <c r="L7" s="6">
        <f>SUMIFS(Tabelle132456[SP Initially Planned (COS)],Tabelle132456[Pulled after Start],"",Tabelle132456[Team],$C7)</f>
        <v>17</v>
      </c>
      <c r="M7" s="6">
        <f>SUMIFS(Tabelle132456[SP Pulled after Start (COS)],Tabelle132456[Team],$C7)</f>
        <v>3</v>
      </c>
      <c r="N7" s="25">
        <f>SUMIFS(Tabelle132456[SP Completed (COS &amp; SOS)],Tabelle132456[Team],$C7)</f>
        <v>9</v>
      </c>
      <c r="O7" s="25">
        <f>SUMIFS(Tabelle132456[SP Removed (COS &amp; SOS)],Tabelle132456[Team],$C7)</f>
        <v>0</v>
      </c>
      <c r="P7" s="41">
        <f>SUMIFS(Tabelle132456[SP Not Completed (COS &amp; SOS)],Tabelle132456[Team],$C7)</f>
        <v>11</v>
      </c>
      <c r="Q7" s="40">
        <f t="shared" si="1"/>
        <v>0.52941176470588236</v>
      </c>
      <c r="T7" s="43"/>
      <c r="Z7" s="294">
        <f>COUNTIFS(Tabelle132456[Team],$C7,Tabelle132456[Status],$Z$5)</f>
        <v>3</v>
      </c>
    </row>
    <row r="8" spans="2:26" ht="13.5" customHeight="1">
      <c r="B8" s="415"/>
      <c r="C8" s="6" t="s">
        <v>27</v>
      </c>
      <c r="D8" s="6">
        <f>COUNTIFS(Tabelle132456[Team],$C8)</f>
        <v>7</v>
      </c>
      <c r="E8" s="6">
        <f>SUMIFS(Tabelle132456[Jira Story Points],Tabelle132456[Pulled after Start],"",Tabelle132456[Team],$C8)</f>
        <v>29</v>
      </c>
      <c r="F8" s="6">
        <f>SUMIFS(Tabelle132456[Jira Story Points],Tabelle132456[Pulled after Start],"yes",Tabelle132456[Team],$C8)</f>
        <v>3</v>
      </c>
      <c r="G8" s="7">
        <f>SUMIFS(Tabelle132456[Jira Story Points],Tabelle132456[Status],$G$5,Tabelle132456[Team],$C8)</f>
        <v>24</v>
      </c>
      <c r="H8" s="6">
        <f>SUMIFS(Tabelle132456[Jira Story Points],Tabelle132456[Status],$H$5,Tabelle132456[Team],$C8)</f>
        <v>8</v>
      </c>
      <c r="I8" s="6">
        <f>SUMIFS(Tabelle132456[Jira Story Points],Tabelle132456[Status],$I$5,Tabelle132456[Team],$C8)</f>
        <v>0</v>
      </c>
      <c r="J8" s="6">
        <f>SUMIFS(Tabelle132456[Jira Story Points],Tabelle132456[Team],$C8)</f>
        <v>32</v>
      </c>
      <c r="K8" s="85">
        <f t="shared" si="2"/>
        <v>0.82758620689655171</v>
      </c>
      <c r="L8" s="6">
        <f>SUMIFS(Tabelle132456[SP Initially Planned (COS)],Tabelle132456[Pulled after Start],"",Tabelle132456[Team],$C8)</f>
        <v>29</v>
      </c>
      <c r="M8" s="6">
        <f>SUMIFS(Tabelle132456[SP Pulled after Start (COS)],Tabelle132456[Team],$C8)</f>
        <v>3</v>
      </c>
      <c r="N8" s="25">
        <f>SUMIFS(Tabelle132456[SP Completed (COS &amp; SOS)],Tabelle132456[Team],$C8)</f>
        <v>24</v>
      </c>
      <c r="O8" s="25">
        <f>SUMIFS(Tabelle132456[SP Removed (COS &amp; SOS)],Tabelle132456[Team],$C8)</f>
        <v>0</v>
      </c>
      <c r="P8" s="41">
        <f>SUMIFS(Tabelle132456[SP Not Completed (COS &amp; SOS)],Tabelle132456[Team],$C8)</f>
        <v>8</v>
      </c>
      <c r="Q8" s="40">
        <f t="shared" si="1"/>
        <v>0.82758620689655171</v>
      </c>
      <c r="T8" s="43"/>
      <c r="Z8" s="294">
        <f>COUNTIFS(Tabelle132456[Team],$C8,Tabelle132456[Status],$Z$5)</f>
        <v>5</v>
      </c>
    </row>
    <row r="9" spans="2:26" ht="13.5" customHeight="1">
      <c r="B9" s="415"/>
      <c r="C9" s="6" t="s">
        <v>5</v>
      </c>
      <c r="D9" s="6">
        <f>COUNTIFS(Tabelle132456[Team],$C9)</f>
        <v>13</v>
      </c>
      <c r="E9" s="6">
        <f>SUMIFS(Tabelle132456[Jira Story Points],Tabelle132456[Pulled after Start],"",Tabelle132456[Team],$C9)</f>
        <v>34</v>
      </c>
      <c r="F9" s="6">
        <f>SUMIFS(Tabelle132456[Jira Story Points],Tabelle132456[Pulled after Start],"yes",Tabelle132456[Team],$C9)</f>
        <v>14</v>
      </c>
      <c r="G9" s="7">
        <f>SUMIFS(Tabelle132456[Jira Story Points],Tabelle132456[Status],$G$5,Tabelle132456[Team],$C9)</f>
        <v>29</v>
      </c>
      <c r="H9" s="6">
        <f>SUMIFS(Tabelle132456[Jira Story Points],Tabelle132456[Status],$H$5,Tabelle132456[Team],$C9)</f>
        <v>19</v>
      </c>
      <c r="I9" s="6">
        <f>SUMIFS(Tabelle132456[Jira Story Points],Tabelle132456[Status],$I$5,Tabelle132456[Team],$C9)</f>
        <v>0</v>
      </c>
      <c r="J9" s="6">
        <f>SUMIFS(Tabelle132456[Jira Story Points],Tabelle132456[Team],$C9)</f>
        <v>48</v>
      </c>
      <c r="K9" s="85">
        <f t="shared" si="2"/>
        <v>0.8529411764705882</v>
      </c>
      <c r="L9" s="6">
        <f>SUMIFS(Tabelle132456[SP Initially Planned (COS)],Tabelle132456[Pulled after Start],"",Tabelle132456[Team],$C9)</f>
        <v>28</v>
      </c>
      <c r="M9" s="6">
        <f>SUMIFS(Tabelle132456[SP Pulled after Start (COS)],Tabelle132456[Team],$C9)</f>
        <v>14</v>
      </c>
      <c r="N9" s="25">
        <f>SUMIFS(Tabelle132456[SP Completed (COS &amp; SOS)],Tabelle132456[Team],$C9)</f>
        <v>34</v>
      </c>
      <c r="O9" s="25">
        <f>SUMIFS(Tabelle132456[SP Removed (COS &amp; SOS)],Tabelle132456[Team],$C9)</f>
        <v>0</v>
      </c>
      <c r="P9" s="41">
        <f>SUMIFS(Tabelle132456[SP Not Completed (COS &amp; SOS)],Tabelle132456[Team],$C9)</f>
        <v>8</v>
      </c>
      <c r="Q9" s="40">
        <f t="shared" si="1"/>
        <v>1.2142857142857142</v>
      </c>
      <c r="T9" s="43"/>
      <c r="Z9" s="294">
        <f>COUNTIFS(Tabelle132456[Team],$C9,Tabelle132456[Status],$Z$5)</f>
        <v>7</v>
      </c>
    </row>
    <row r="10" spans="2:26" ht="13.5" customHeight="1">
      <c r="B10" s="415"/>
      <c r="C10" s="6" t="s">
        <v>32</v>
      </c>
      <c r="D10" s="6">
        <f>COUNTIFS(Tabelle132456[Team],$C10)</f>
        <v>15</v>
      </c>
      <c r="E10" s="6">
        <f>SUMIFS(Tabelle132456[Jira Story Points],Tabelle132456[Pulled after Start],"",Tabelle132456[Team],$C10)</f>
        <v>49</v>
      </c>
      <c r="F10" s="6">
        <f>SUMIFS(Tabelle132456[Jira Story Points],Tabelle132456[Pulled after Start],"yes",Tabelle132456[Team],$C10)</f>
        <v>0</v>
      </c>
      <c r="G10" s="7">
        <f>SUMIFS(Tabelle132456[Jira Story Points],Tabelle132456[Status],$G$5,Tabelle132456[Team],$C10)</f>
        <v>38</v>
      </c>
      <c r="H10" s="6">
        <f>SUMIFS(Tabelle132456[Jira Story Points],Tabelle132456[Status],$H$5,Tabelle132456[Team],$C10)</f>
        <v>11</v>
      </c>
      <c r="I10" s="6">
        <f>SUMIFS(Tabelle132456[Jira Story Points],Tabelle132456[Status],$I$5,Tabelle132456[Team],$C10)</f>
        <v>0</v>
      </c>
      <c r="J10" s="6">
        <f>SUMIFS(Tabelle132456[Jira Story Points],Tabelle132456[Team],$C10)</f>
        <v>49</v>
      </c>
      <c r="K10" s="85">
        <f t="shared" si="2"/>
        <v>0.77551020408163263</v>
      </c>
      <c r="L10" s="6">
        <f>SUMIFS(Tabelle132456[SP Initially Planned (COS)],Tabelle132456[Pulled after Start],"",Tabelle132456[Team],$C10)</f>
        <v>42</v>
      </c>
      <c r="M10" s="6">
        <f>SUMIFS(Tabelle132456[SP Pulled after Start (COS)],Tabelle132456[Team],$C10)</f>
        <v>0</v>
      </c>
      <c r="N10" s="25">
        <f>SUMIFS(Tabelle132456[SP Completed (COS &amp; SOS)],Tabelle132456[Team],$C10)</f>
        <v>40</v>
      </c>
      <c r="O10" s="25">
        <f>SUMIFS(Tabelle132456[SP Removed (COS &amp; SOS)],Tabelle132456[Team],$C10)</f>
        <v>0</v>
      </c>
      <c r="P10" s="41">
        <f>SUMIFS(Tabelle132456[SP Not Completed (COS &amp; SOS)],Tabelle132456[Team],$C10)</f>
        <v>2</v>
      </c>
      <c r="Q10" s="40">
        <f t="shared" si="1"/>
        <v>0.95238095238095233</v>
      </c>
      <c r="T10" s="43"/>
      <c r="Z10" s="294">
        <f>COUNTIFS(Tabelle132456[Team],$C10,Tabelle132456[Status],$Z$5)</f>
        <v>10</v>
      </c>
    </row>
    <row r="11" spans="2:26" ht="13.5" customHeight="1">
      <c r="B11" s="415"/>
      <c r="C11" s="6" t="s">
        <v>24</v>
      </c>
      <c r="D11" s="6">
        <f>COUNTIFS(Tabelle132456[Team],$C11)</f>
        <v>19</v>
      </c>
      <c r="E11" s="6">
        <f>SUMIFS(Tabelle132456[Jira Story Points],Tabelle132456[Pulled after Start],"",Tabelle132456[Team],$C11)</f>
        <v>42</v>
      </c>
      <c r="F11" s="6">
        <f>SUMIFS(Tabelle132456[Jira Story Points],Tabelle132456[Pulled after Start],"yes",Tabelle132456[Team],$C11)</f>
        <v>15</v>
      </c>
      <c r="G11" s="7">
        <f>SUMIFS(Tabelle132456[Jira Story Points],Tabelle132456[Status],$G$5,Tabelle132456[Team],$C11)</f>
        <v>52</v>
      </c>
      <c r="H11" s="6">
        <f>SUMIFS(Tabelle132456[Jira Story Points],Tabelle132456[Status],$H$5,Tabelle132456[Team],$C11)</f>
        <v>5</v>
      </c>
      <c r="I11" s="6">
        <f>SUMIFS(Tabelle132456[Jira Story Points],Tabelle132456[Status],$I$5,Tabelle132456[Team],$C11)</f>
        <v>0</v>
      </c>
      <c r="J11" s="6">
        <f>SUMIFS(Tabelle132456[Jira Story Points],Tabelle132456[Team],$C11)</f>
        <v>57</v>
      </c>
      <c r="K11" s="85">
        <f t="shared" si="2"/>
        <v>1.2380952380952381</v>
      </c>
      <c r="L11" s="6">
        <f>SUMIFS(Tabelle132456[SP Initially Planned (COS)],Tabelle132456[Pulled after Start],"",Tabelle132456[Team],$C11)</f>
        <v>42</v>
      </c>
      <c r="M11" s="6">
        <f>SUMIFS(Tabelle132456[SP Pulled after Start (COS)],Tabelle132456[Team],$C11)</f>
        <v>15</v>
      </c>
      <c r="N11" s="25">
        <f>SUMIFS(Tabelle132456[SP Completed (COS &amp; SOS)],Tabelle132456[Team],$C11)</f>
        <v>52</v>
      </c>
      <c r="O11" s="25">
        <f>SUMIFS(Tabelle132456[SP Removed (COS &amp; SOS)],Tabelle132456[Team],$C11)</f>
        <v>0</v>
      </c>
      <c r="P11" s="41">
        <f>SUMIFS(Tabelle132456[SP Not Completed (COS &amp; SOS)],Tabelle132456[Team],$C11)</f>
        <v>5</v>
      </c>
      <c r="Q11" s="40">
        <f t="shared" si="1"/>
        <v>1.2380952380952381</v>
      </c>
      <c r="T11" s="43"/>
      <c r="Z11" s="294">
        <f>COUNTIFS(Tabelle132456[Team],$C11,Tabelle132456[Status],$Z$5)</f>
        <v>17</v>
      </c>
    </row>
    <row r="12" spans="2:26" ht="13.5" customHeight="1">
      <c r="B12" s="415"/>
      <c r="C12" s="6" t="s">
        <v>17</v>
      </c>
      <c r="D12" s="6">
        <f>COUNTIFS(Tabelle132456[Team],$C12)</f>
        <v>10</v>
      </c>
      <c r="E12" s="6">
        <f>SUMIFS(Tabelle132456[Jira Story Points],Tabelle132456[Pulled after Start],"",Tabelle132456[Team],$C12)</f>
        <v>22</v>
      </c>
      <c r="F12" s="6">
        <f>SUMIFS(Tabelle132456[Jira Story Points],Tabelle132456[Pulled after Start],"yes",Tabelle132456[Team],$C12)</f>
        <v>4</v>
      </c>
      <c r="G12" s="7">
        <f>SUMIFS(Tabelle132456[Jira Story Points],Tabelle132456[Status],$G$5,Tabelle132456[Team],$C12)</f>
        <v>18</v>
      </c>
      <c r="H12" s="6">
        <f>SUMIFS(Tabelle132456[Jira Story Points],Tabelle132456[Status],$H$5,Tabelle132456[Team],$C12)</f>
        <v>8</v>
      </c>
      <c r="I12" s="6">
        <f>SUMIFS(Tabelle132456[Jira Story Points],Tabelle132456[Status],$I$5,Tabelle132456[Team],$C12)</f>
        <v>0</v>
      </c>
      <c r="J12" s="6">
        <f>SUMIFS(Tabelle132456[Jira Story Points],Tabelle132456[Team],$C12)</f>
        <v>26</v>
      </c>
      <c r="K12" s="85">
        <f t="shared" si="2"/>
        <v>0.81818181818181823</v>
      </c>
      <c r="L12" s="6">
        <f>SUMIFS(Tabelle132456[SP Initially Planned (COS)],Tabelle132456[Pulled after Start],"",Tabelle132456[Team],$C12)</f>
        <v>17</v>
      </c>
      <c r="M12" s="6">
        <f>SUMIFS(Tabelle132456[SP Pulled after Start (COS)],Tabelle132456[Team],$C12)</f>
        <v>4</v>
      </c>
      <c r="N12" s="25">
        <f>SUMIFS(Tabelle132456[SP Completed (COS &amp; SOS)],Tabelle132456[Team],$C12)</f>
        <v>18</v>
      </c>
      <c r="O12" s="25">
        <f>SUMIFS(Tabelle132456[SP Removed (COS &amp; SOS)],Tabelle132456[Team],$C12)</f>
        <v>0</v>
      </c>
      <c r="P12" s="41">
        <f>SUMIFS(Tabelle132456[SP Not Completed (COS &amp; SOS)],Tabelle132456[Team],$C12)</f>
        <v>3</v>
      </c>
      <c r="Q12" s="40">
        <f t="shared" si="1"/>
        <v>1.0588235294117647</v>
      </c>
      <c r="T12" s="43"/>
      <c r="Z12" s="294">
        <f>COUNTIFS(Tabelle132456[Team],$C12,Tabelle132456[Status],$Z$5)</f>
        <v>9</v>
      </c>
    </row>
    <row r="13" spans="2:26" ht="13.5" customHeight="1">
      <c r="B13" s="415"/>
      <c r="C13" s="32" t="s">
        <v>107</v>
      </c>
      <c r="D13" s="6">
        <f>COUNTIFS(Tabelle132456[Team],$C13)</f>
        <v>6</v>
      </c>
      <c r="E13" s="6">
        <f>SUMIFS(Tabelle132456[Jira Story Points],Tabelle132456[Pulled after Start],"",Tabelle132456[Team],$C13)</f>
        <v>27</v>
      </c>
      <c r="F13" s="6">
        <f>SUMIFS(Tabelle132456[Jira Story Points],Tabelle132456[Pulled after Start],"yes",Tabelle132456[Team],$C13)</f>
        <v>0</v>
      </c>
      <c r="G13" s="7">
        <f>SUMIFS(Tabelle132456[Jira Story Points],Tabelle132456[Status],$G$5,Tabelle132456[Team],$C13)</f>
        <v>11</v>
      </c>
      <c r="H13" s="6">
        <f>SUMIFS(Tabelle132456[Jira Story Points],Tabelle132456[Status],$H$5,Tabelle132456[Team],$C13)</f>
        <v>16</v>
      </c>
      <c r="I13" s="6">
        <f>SUMIFS(Tabelle132456[Jira Story Points],Tabelle132456[Status],$I$5,Tabelle132456[Team],$C13)</f>
        <v>0</v>
      </c>
      <c r="J13" s="6">
        <f>SUMIFS(Tabelle132456[Jira Story Points],Tabelle132456[Team],$C13)</f>
        <v>27</v>
      </c>
      <c r="K13" s="85">
        <f t="shared" si="2"/>
        <v>0.40740740740740738</v>
      </c>
      <c r="L13" s="6">
        <f>SUMIFS(Tabelle132456[SP Initially Planned (COS)],Tabelle132456[Pulled after Start],"",Tabelle132456[Team],$C13)</f>
        <v>27</v>
      </c>
      <c r="M13" s="6">
        <f>SUMIFS(Tabelle132456[SP Pulled after Start (COS)],Tabelle132456[Team],$C13)</f>
        <v>0</v>
      </c>
      <c r="N13" s="25">
        <f>SUMIFS(Tabelle132456[SP Completed (COS &amp; SOS)],Tabelle132456[Team],$C13)</f>
        <v>11</v>
      </c>
      <c r="O13" s="25">
        <f>SUMIFS(Tabelle132456[SP Removed (COS &amp; SOS)],Tabelle132456[Team],$C13)</f>
        <v>0</v>
      </c>
      <c r="P13" s="41">
        <f>SUMIFS(Tabelle132456[SP Not Completed (COS &amp; SOS)],Tabelle132456[Team],$C13)</f>
        <v>16</v>
      </c>
      <c r="Q13" s="40">
        <f t="shared" si="1"/>
        <v>0.40740740740740738</v>
      </c>
      <c r="T13" s="43"/>
      <c r="Z13" s="294">
        <f>COUNTIFS(Tabelle132456[Team],$C13,Tabelle132456[Status],$Z$5)</f>
        <v>2</v>
      </c>
    </row>
    <row r="14" spans="2:26" ht="13.5" customHeight="1">
      <c r="B14" s="415"/>
      <c r="C14" s="8" t="s">
        <v>21</v>
      </c>
      <c r="D14" s="6">
        <f>COUNTIFS(Tabelle132456[Team],$C14)</f>
        <v>15</v>
      </c>
      <c r="E14" s="6">
        <f>SUMIFS(Tabelle132456[Jira Story Points],Tabelle132456[Pulled after Start],"",Tabelle132456[Team],$C14)</f>
        <v>53</v>
      </c>
      <c r="F14" s="6">
        <f>SUMIFS(Tabelle132456[Jira Story Points],Tabelle132456[Pulled after Start],"yes",Tabelle132456[Team],$C14)</f>
        <v>1</v>
      </c>
      <c r="G14" s="7">
        <f>SUMIFS(Tabelle132456[Jira Story Points],Tabelle132456[Status],$G$5,Tabelle132456[Team],$C14)</f>
        <v>23</v>
      </c>
      <c r="H14" s="6">
        <f>SUMIFS(Tabelle132456[Jira Story Points],Tabelle132456[Status],$H$5,Tabelle132456[Team],$C14)</f>
        <v>31</v>
      </c>
      <c r="I14" s="6">
        <f>SUMIFS(Tabelle132456[Jira Story Points],Tabelle132456[Status],$I$5,Tabelle132456[Team],$C14)</f>
        <v>0</v>
      </c>
      <c r="J14" s="6">
        <f>SUMIFS(Tabelle132456[Jira Story Points],Tabelle132456[Team],$C14)</f>
        <v>54</v>
      </c>
      <c r="K14" s="85">
        <f t="shared" si="2"/>
        <v>0.43396226415094341</v>
      </c>
      <c r="L14" s="6">
        <f>SUMIFS(Tabelle132456[SP Initially Planned (COS)],Tabelle132456[Pulled after Start],"",Tabelle132456[Team],$C14)</f>
        <v>53</v>
      </c>
      <c r="M14" s="6">
        <f>SUMIFS(Tabelle132456[SP Pulled after Start (COS)],Tabelle132456[Team],$C14)</f>
        <v>1</v>
      </c>
      <c r="N14" s="25">
        <f>SUMIFS(Tabelle132456[SP Completed (COS &amp; SOS)],Tabelle132456[Team],$C14)</f>
        <v>34</v>
      </c>
      <c r="O14" s="25">
        <f>SUMIFS(Tabelle132456[SP Removed (COS &amp; SOS)],Tabelle132456[Team],$C14)</f>
        <v>0</v>
      </c>
      <c r="P14" s="41">
        <f>SUMIFS(Tabelle132456[SP Not Completed (COS &amp; SOS)],Tabelle132456[Team],$C14)</f>
        <v>20</v>
      </c>
      <c r="Q14" s="40">
        <f t="shared" si="1"/>
        <v>0.64150943396226412</v>
      </c>
      <c r="T14" s="43"/>
      <c r="Z14" s="294">
        <f>COUNTIFS(Tabelle132456[Team],$C14,Tabelle132456[Status],$Z$5)</f>
        <v>8</v>
      </c>
    </row>
    <row r="15" spans="2:26" ht="13.5" customHeight="1" thickBot="1">
      <c r="B15" s="415"/>
      <c r="C15" s="8" t="s">
        <v>9</v>
      </c>
      <c r="D15" s="6">
        <f>COUNTIFS(Tabelle132456[Team],$C15)</f>
        <v>12</v>
      </c>
      <c r="E15" s="6">
        <f>SUMIFS(Tabelle132456[Jira Story Points],Tabelle132456[Pulled after Start],"",Tabelle132456[Team],$C15)</f>
        <v>28</v>
      </c>
      <c r="F15" s="6">
        <f>SUMIFS(Tabelle132456[Jira Story Points],Tabelle132456[Pulled after Start],"yes",Tabelle132456[Team],$C15)</f>
        <v>7</v>
      </c>
      <c r="G15" s="7">
        <f>SUMIFS(Tabelle132456[Jira Story Points],Tabelle132456[Status],$G$5,Tabelle132456[Team],$C15)</f>
        <v>24</v>
      </c>
      <c r="H15" s="6">
        <f>SUMIFS(Tabelle132456[Jira Story Points],Tabelle132456[Status],$H$5,Tabelle132456[Team],$C15)</f>
        <v>11</v>
      </c>
      <c r="I15" s="6">
        <v>1</v>
      </c>
      <c r="J15" s="6">
        <f>SUMIFS(Tabelle132456[Jira Story Points],Tabelle132456[Team],$C15)</f>
        <v>35</v>
      </c>
      <c r="K15" s="85">
        <f t="shared" si="2"/>
        <v>0.8571428571428571</v>
      </c>
      <c r="L15" s="6">
        <f>SUMIFS(Tabelle132456[SP Initially Planned (COS)],Tabelle132456[Pulled after Start],"",Tabelle132456[Team],$C15)</f>
        <v>28</v>
      </c>
      <c r="M15" s="6">
        <f>SUMIFS(Tabelle132456[SP Pulled after Start (COS)],Tabelle132456[Team],$C15)</f>
        <v>7</v>
      </c>
      <c r="N15" s="25">
        <f>SUMIFS(Tabelle132456[SP Completed (COS &amp; SOS)],Tabelle132456[Team],$C15)</f>
        <v>32</v>
      </c>
      <c r="O15" s="25">
        <f>SUMIFS(Tabelle132456[SP Removed (COS &amp; SOS)],Tabelle132456[Team],$C15)</f>
        <v>0</v>
      </c>
      <c r="P15" s="41">
        <f>SUMIFS(Tabelle132456[SP Not Completed (COS &amp; SOS)],Tabelle132456[Team],$C15)</f>
        <v>3</v>
      </c>
      <c r="Q15" s="40">
        <f t="shared" si="1"/>
        <v>1.1428571428571428</v>
      </c>
      <c r="T15" s="43"/>
      <c r="Z15" s="295">
        <f>COUNTIFS(Tabelle132456[Team],$C15,Tabelle132456[Status],$Z$5)</f>
        <v>10</v>
      </c>
    </row>
    <row r="16" spans="2:26" ht="13.5" customHeight="1">
      <c r="C16" s="22" t="s">
        <v>172</v>
      </c>
      <c r="D16" s="22">
        <f t="shared" ref="D16:J16" si="3">SUM(D6:D13)</f>
        <v>105</v>
      </c>
      <c r="E16" s="23">
        <f t="shared" si="3"/>
        <v>285</v>
      </c>
      <c r="F16" s="23">
        <f t="shared" si="3"/>
        <v>76</v>
      </c>
      <c r="G16" s="22">
        <f t="shared" si="3"/>
        <v>255</v>
      </c>
      <c r="H16" s="22">
        <f t="shared" si="3"/>
        <v>106</v>
      </c>
      <c r="I16" s="22">
        <f t="shared" si="3"/>
        <v>0</v>
      </c>
      <c r="J16" s="23">
        <f t="shared" si="3"/>
        <v>361</v>
      </c>
      <c r="K16" s="85">
        <f t="shared" si="2"/>
        <v>0.89473684210526316</v>
      </c>
      <c r="L16" s="23">
        <f t="shared" ref="L16:M16" si="4">SUM(L6:L13)</f>
        <v>267</v>
      </c>
      <c r="M16" s="21">
        <f t="shared" si="4"/>
        <v>76</v>
      </c>
      <c r="N16" s="31">
        <f>SUM(N6:N13)</f>
        <v>262</v>
      </c>
      <c r="O16" s="31">
        <f>SUM(O6:O13)</f>
        <v>0</v>
      </c>
      <c r="P16" s="22">
        <f>SUM(P6:P13)</f>
        <v>81</v>
      </c>
      <c r="Q16" s="38" t="s">
        <v>185</v>
      </c>
      <c r="T16" s="42"/>
      <c r="U16" s="42"/>
      <c r="V16" s="42"/>
    </row>
    <row r="17" spans="1:39" ht="13.5" customHeight="1">
      <c r="T17" s="5"/>
      <c r="U17" s="5"/>
      <c r="V17" s="5"/>
    </row>
    <row r="18" spans="1:39" ht="13.5" customHeight="1">
      <c r="T18" s="5"/>
      <c r="U18" s="5"/>
      <c r="V18" s="5"/>
    </row>
    <row r="19" spans="1:39" ht="13.5" customHeight="1">
      <c r="T19" s="5"/>
      <c r="U19" s="5"/>
      <c r="V19" s="5"/>
    </row>
    <row r="20" spans="1:39" ht="13.5" customHeight="1">
      <c r="T20" s="5"/>
      <c r="U20" s="5"/>
      <c r="V20" s="5"/>
    </row>
    <row r="21" spans="1:39" ht="13.5" customHeight="1">
      <c r="C21" s="33" t="s">
        <v>186</v>
      </c>
      <c r="D21" s="9"/>
      <c r="E21" s="9"/>
      <c r="F21" s="9"/>
      <c r="G21" s="9"/>
      <c r="H21" s="9"/>
      <c r="I21" s="9"/>
      <c r="J21" s="9"/>
      <c r="K21" s="9"/>
      <c r="L21" s="9"/>
      <c r="M21" s="9"/>
      <c r="N21" s="9"/>
      <c r="O21" s="9"/>
      <c r="T21" s="5"/>
      <c r="U21" s="5"/>
      <c r="V21" s="5"/>
    </row>
    <row r="22" spans="1:39" ht="13.5" customHeight="1">
      <c r="C22" s="10"/>
      <c r="D22" s="425" t="s">
        <v>187</v>
      </c>
      <c r="E22" s="425"/>
      <c r="F22" s="425" t="s">
        <v>106</v>
      </c>
      <c r="G22" s="425"/>
      <c r="H22" s="425" t="s">
        <v>172</v>
      </c>
      <c r="I22" s="425"/>
      <c r="J22" s="426" t="s">
        <v>2134</v>
      </c>
      <c r="K22" s="426"/>
      <c r="L22" s="426" t="s">
        <v>189</v>
      </c>
      <c r="M22" s="426"/>
      <c r="N22" s="416" t="s">
        <v>172</v>
      </c>
      <c r="O22" s="416"/>
    </row>
    <row r="23" spans="1:39" ht="13.5" customHeight="1">
      <c r="C23" s="10"/>
      <c r="D23" s="11" t="s">
        <v>190</v>
      </c>
      <c r="E23" s="12" t="s">
        <v>191</v>
      </c>
      <c r="F23" s="11" t="s">
        <v>190</v>
      </c>
      <c r="G23" s="12" t="s">
        <v>191</v>
      </c>
      <c r="H23" s="12" t="s">
        <v>190</v>
      </c>
      <c r="I23" s="12" t="s">
        <v>191</v>
      </c>
      <c r="J23" s="34" t="s">
        <v>190</v>
      </c>
      <c r="K23" s="13" t="s">
        <v>191</v>
      </c>
      <c r="L23" s="14" t="s">
        <v>190</v>
      </c>
      <c r="M23" s="14" t="s">
        <v>191</v>
      </c>
      <c r="N23" s="14" t="s">
        <v>190</v>
      </c>
      <c r="O23" s="14" t="s">
        <v>191</v>
      </c>
    </row>
    <row r="24" spans="1:39" ht="13.5" customHeight="1">
      <c r="C24" s="15" t="s">
        <v>192</v>
      </c>
      <c r="D24" s="7">
        <f>COUNTIFS(Tabelle132456[Team],"*",Tabelle132456[Pulled after Start],"&lt;&gt;yes")</f>
        <v>101</v>
      </c>
      <c r="E24" s="7">
        <f>SUMIFS(Tabelle132456[Jira Story Points],Tabelle132456[Team],"*",Tabelle132456[Pulled after Start],"&lt;&gt;yes")+COUNTIFS(Tabelle132456[Team],"*",Tabelle132456[Jira Story Points],"-",Tabelle132456[Pulled after Start],"&lt;&gt;yes")*$M$28</f>
        <v>370</v>
      </c>
      <c r="F24" s="7">
        <f>COUNTIF(Tabelle132456[Pulled after Start],"yes")</f>
        <v>31</v>
      </c>
      <c r="G24" s="7">
        <f>SUMIFS(Tabelle132456[Jira Story Points],Tabelle132456[Team],"*",Tabelle132456[Pulled after Start],"yes")+COUNTIFS(Tabelle132456[Team],"*",Tabelle132456[Jira Story Points],"-",Tabelle132456[Pulled after Start],"yes")*$M$28</f>
        <v>92</v>
      </c>
      <c r="H24" s="7">
        <f t="shared" ref="H24:I27" si="5">D24+F24</f>
        <v>132</v>
      </c>
      <c r="I24" s="7">
        <f t="shared" si="5"/>
        <v>462</v>
      </c>
      <c r="J24" s="7">
        <f>COUNTIFS(Tabelle132456[Team],"*",Tabelle132456[Jira Story Points],"&lt;&gt;-")</f>
        <v>126</v>
      </c>
      <c r="K24" s="16">
        <f>SUMIFS(Tabelle132456[Jira Story Points],Tabelle132456[Team],"*",Tabelle132456[Jira Story Points],"&lt;&gt;-")</f>
        <v>450</v>
      </c>
      <c r="L24" s="8">
        <f>COUNTIFS(Tabelle132456[Team],"*",Tabelle132456[Jira Story Points],"-")</f>
        <v>6</v>
      </c>
      <c r="M24" s="8">
        <f>L24*$M$28</f>
        <v>12</v>
      </c>
      <c r="N24" s="35">
        <f t="shared" ref="N24:O27" si="6">J24+L24</f>
        <v>132</v>
      </c>
      <c r="O24" s="7">
        <f t="shared" si="6"/>
        <v>462</v>
      </c>
    </row>
    <row r="25" spans="1:39" ht="13.5" customHeight="1">
      <c r="C25" s="15" t="s">
        <v>125</v>
      </c>
      <c r="D25" s="7">
        <f>COUNTIFS(Tabelle132456[Team],"*",Tabelle132456[Pulled after Start],"&lt;&gt;yes",Tabelle132456[Status],G5)</f>
        <v>70</v>
      </c>
      <c r="E25" s="7">
        <f>SUMIFS(Tabelle132456[Jira Story Points],Tabelle132456[Team],"*",Tabelle132456[Pulled after Start],"&lt;&gt;yes",Tabelle132456[Status],G5)+COUNTIFS(Tabelle132456[Team],"*",Tabelle132456[Jira Story Points],"-",Tabelle132456[Pulled after Start],"&lt;&gt;yes",Tabelle132456[Status],G5)*$M$28</f>
        <v>250</v>
      </c>
      <c r="F25" s="7">
        <f>COUNTIFS(Tabelle132456[Pulled after Start],"yes",Tabelle132456[Status],G5)</f>
        <v>23</v>
      </c>
      <c r="G25" s="7">
        <f>SUMIFS(Tabelle132456[Jira Story Points],Tabelle132456[Team],"*",Tabelle132456[Pulled after Start],"yes",Tabelle132456[Status],G5)+COUNTIFS(Tabelle132456[Team],"*",Tabelle132456[Jira Story Points],"-",Tabelle132456[Pulled after Start],"yes",Tabelle132456[Status],G5)*$M$28</f>
        <v>56</v>
      </c>
      <c r="H25" s="7">
        <f t="shared" si="5"/>
        <v>93</v>
      </c>
      <c r="I25" s="7">
        <f t="shared" si="5"/>
        <v>306</v>
      </c>
      <c r="J25" s="7">
        <f>COUNTIFS(Tabelle132456[Team],"*",Tabelle132456[Jira Story Points],"&lt;&gt;-",Tabelle132456[Status],G5)</f>
        <v>91</v>
      </c>
      <c r="K25" s="7">
        <f>SUMIFS(Tabelle132456[Jira Story Points],Tabelle132456[Team],"*",Tabelle132456[Jira Story Points],"&lt;&gt;-",Tabelle132456[Status],G5)</f>
        <v>302</v>
      </c>
      <c r="L25" s="17">
        <f>COUNTIFS(Tabelle132456[Team],"*",Tabelle132456[Jira Story Points],"-",Tabelle132456[Status],G5)</f>
        <v>2</v>
      </c>
      <c r="M25" s="8">
        <f>L25*$M$28</f>
        <v>4</v>
      </c>
      <c r="N25" s="7">
        <f t="shared" si="6"/>
        <v>93</v>
      </c>
      <c r="O25" s="7">
        <f t="shared" si="6"/>
        <v>306</v>
      </c>
    </row>
    <row r="26" spans="1:39" ht="13.5" customHeight="1">
      <c r="C26" s="15" t="s">
        <v>127</v>
      </c>
      <c r="D26" s="7">
        <f>COUNTIFS(Tabelle132456[Team],"*",Tabelle132456[Pulled after Start],"&lt;&gt;yes",Tabelle132456[Status],H5)</f>
        <v>31</v>
      </c>
      <c r="E26" s="7">
        <f>SUMIFS(Tabelle132456[Jira Story Points],Tabelle132456[Team],"*",Tabelle132456[Pulled after Start],"&lt;&gt;yes",Tabelle132456[Status],H5)+COUNTIFS(Tabelle132456[Team],"*",Tabelle132456[Jira Story Points],"-",Tabelle132456[Pulled after Start],"&lt;&gt;yes",Tabelle132456[Status],H5)*$M$28</f>
        <v>120</v>
      </c>
      <c r="F26" s="7">
        <f>COUNTIFS(Tabelle132456[Pulled after Start],"yes",Tabelle132456[Status],H5)</f>
        <v>8</v>
      </c>
      <c r="G26" s="7">
        <f>SUMIFS(Tabelle132456[Jira Story Points],Tabelle132456[Team],"*",Tabelle132456[Pulled after Start],"yes",Tabelle132456[Status],H5)+COUNTIFS(Tabelle132456[Team],"*",Tabelle132456[Jira Story Points],"-",Tabelle132456[Pulled after Start],"yes",Tabelle132456[Status],H5)*$M$28</f>
        <v>36</v>
      </c>
      <c r="H26" s="7">
        <f t="shared" si="5"/>
        <v>39</v>
      </c>
      <c r="I26" s="7">
        <f t="shared" si="5"/>
        <v>156</v>
      </c>
      <c r="J26" s="7">
        <f>COUNTIFS(Tabelle132456[Team],"*",Tabelle132456[Jira Story Points],"&lt;&gt;-",Tabelle132456[Status],H5)</f>
        <v>35</v>
      </c>
      <c r="K26" s="7">
        <f>SUMIFS(Tabelle132456[Jira Story Points],Tabelle132456[Team],"*",Tabelle132456[Jira Story Points],"&lt;&gt;-",Tabelle132456[Status],H5)</f>
        <v>148</v>
      </c>
      <c r="L26" s="17">
        <f>COUNTIFS(Tabelle132456[Team],"*",Tabelle132456[Jira Story Points],"-",Tabelle132456[Status],H5)</f>
        <v>4</v>
      </c>
      <c r="M26" s="8">
        <f>L26*$M$28</f>
        <v>8</v>
      </c>
      <c r="N26" s="7">
        <f t="shared" si="6"/>
        <v>39</v>
      </c>
      <c r="O26" s="7">
        <f t="shared" si="6"/>
        <v>156</v>
      </c>
    </row>
    <row r="27" spans="1:39" ht="13.5" customHeight="1">
      <c r="C27" s="15" t="s">
        <v>126</v>
      </c>
      <c r="D27" s="7">
        <f>COUNTIFS(Tabelle132456[Team],"*",Tabelle132456[Pulled after Start],"&lt;&gt;yes",Tabelle132456[Status],I5)</f>
        <v>0</v>
      </c>
      <c r="E27" s="7">
        <f>SUMIFS(Tabelle132456[Jira Story Points],Tabelle132456[Team],"*",Tabelle132456[Pulled after Start],"&lt;&gt;yes",Tabelle132456[Status],I5)+COUNTIFS(Tabelle132456[Team],"*",Tabelle132456[Jira Story Points],"-",Tabelle132456[Pulled after Start],"&lt;&gt;yes",Tabelle132456[Status],I5)*$M$28</f>
        <v>0</v>
      </c>
      <c r="F27" s="7">
        <f>COUNTIFS(Tabelle132456[Pulled after Start],"yes",Tabelle132456[Status],I5)</f>
        <v>0</v>
      </c>
      <c r="G27" s="7">
        <f>SUMIFS(Tabelle132456[Jira Story Points],Tabelle132456[Team],"*",Tabelle132456[Pulled after Start],"yes",Tabelle132456[Status],I5)+COUNTIFS(Tabelle132456[Team],"*",Tabelle132456[Jira Story Points],"-",Tabelle132456[Pulled after Start],"yes",Tabelle132456[Status],I5)*$M$28</f>
        <v>0</v>
      </c>
      <c r="H27" s="7">
        <f t="shared" si="5"/>
        <v>0</v>
      </c>
      <c r="I27" s="7">
        <f t="shared" si="5"/>
        <v>0</v>
      </c>
      <c r="J27" s="7">
        <f>COUNTIFS(Tabelle132456[Team],"*",Tabelle132456[Jira Story Points],"&lt;&gt;-",Tabelle132456[Status],I5)</f>
        <v>0</v>
      </c>
      <c r="K27" s="7">
        <f>SUMIFS(Tabelle132456[Jira Story Points],Tabelle132456[Team],"*",Tabelle132456[Jira Story Points],"&lt;&gt;-",Tabelle132456[Status],I5)</f>
        <v>0</v>
      </c>
      <c r="L27" s="17">
        <f>COUNTIFS(Tabelle132456[Team],"*",Tabelle132456[Jira Story Points],"-",Tabelle132456[Status],I5)</f>
        <v>0</v>
      </c>
      <c r="M27" s="8">
        <f>L27*$M$28</f>
        <v>0</v>
      </c>
      <c r="N27" s="7">
        <f t="shared" si="6"/>
        <v>0</v>
      </c>
      <c r="O27" s="7">
        <f t="shared" si="6"/>
        <v>0</v>
      </c>
    </row>
    <row r="28" spans="1:39" ht="13.5" customHeight="1" thickBot="1">
      <c r="C28" s="1"/>
      <c r="D28" s="1"/>
      <c r="E28" s="1"/>
      <c r="F28" s="1"/>
      <c r="G28" s="1"/>
      <c r="H28" s="1"/>
      <c r="I28" s="1"/>
      <c r="J28" s="1"/>
      <c r="K28" s="1"/>
      <c r="L28" s="24" t="s">
        <v>193</v>
      </c>
      <c r="M28" s="45">
        <v>2</v>
      </c>
    </row>
    <row r="29" spans="1:39" ht="13.5" customHeight="1" thickTop="1"/>
    <row r="31" spans="1:39" s="116" customFormat="1" ht="27">
      <c r="A31" s="146" t="s">
        <v>194</v>
      </c>
      <c r="B31" s="146" t="s">
        <v>195</v>
      </c>
      <c r="C31" s="146" t="s">
        <v>196</v>
      </c>
      <c r="D31" s="146" t="s">
        <v>197</v>
      </c>
      <c r="E31" s="146" t="s">
        <v>198</v>
      </c>
      <c r="F31" s="146" t="s">
        <v>199</v>
      </c>
      <c r="G31" s="146" t="s">
        <v>167</v>
      </c>
      <c r="H31" s="146" t="s">
        <v>106</v>
      </c>
      <c r="I31" s="146" t="s">
        <v>200</v>
      </c>
      <c r="J31" s="146" t="s">
        <v>201</v>
      </c>
      <c r="K31" s="146" t="s">
        <v>202</v>
      </c>
      <c r="L31" s="146" t="s">
        <v>203</v>
      </c>
      <c r="M31" s="147" t="s">
        <v>1304</v>
      </c>
      <c r="N31" s="148" t="s">
        <v>1305</v>
      </c>
      <c r="O31" s="148" t="s">
        <v>1306</v>
      </c>
      <c r="P31" s="149" t="s">
        <v>1307</v>
      </c>
      <c r="Q31" s="148" t="s">
        <v>1308</v>
      </c>
    </row>
    <row r="32" spans="1:39" s="109" customFormat="1">
      <c r="A32" s="88" t="s">
        <v>2979</v>
      </c>
      <c r="B32" s="46" t="s">
        <v>1838</v>
      </c>
      <c r="C32" s="76" t="s">
        <v>375</v>
      </c>
      <c r="D32" s="76">
        <v>2</v>
      </c>
      <c r="E32" s="76" t="s">
        <v>637</v>
      </c>
      <c r="F32" s="169">
        <v>3</v>
      </c>
      <c r="G32" s="110" t="s">
        <v>107</v>
      </c>
      <c r="H32" s="169"/>
      <c r="I32" s="169" t="s">
        <v>2980</v>
      </c>
      <c r="J32" s="76" t="s">
        <v>125</v>
      </c>
      <c r="K32" s="104"/>
      <c r="L32" s="104"/>
      <c r="M32" s="174">
        <f>IF(Tabelle132456[[#This Row],[Pulled after Start]]="",MIN(Tabelle132456[[#This Row],[Jira Story Points]],Tabelle132456[[#This Row],[Carry-over]]),0)</f>
        <v>3</v>
      </c>
      <c r="N32" s="173">
        <f>MIN(Tabelle132456[[#This Row],[Jira Story Points]],Tabelle132456[[#This Row],[Carry-over]])-Tabelle132456[[#This Row],[SP Initially Planned (COS)]]</f>
        <v>0</v>
      </c>
      <c r="O3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32" s="173">
        <f>IFERROR(IF(Tabelle132456[[#This Row],[Status]]=$I$5,MIN(Tabelle132456[[#This Row],[Jira Story Points]],Tabelle132456[[#This Row],[Carry-over]]),0),0)</f>
        <v>0</v>
      </c>
      <c r="Q32" s="173">
        <f>IFERROR(IF(Tabelle132456[[#This Row],[Status]]=$I$5,0,MIN(Tabelle132456[[#This Row],[Jira Story Points]],Tabelle132456[[#This Row],[Carry-over]])-Tabelle132456[[#This Row],[SP Completed (COS &amp; SOS)]]),0)</f>
        <v>0</v>
      </c>
      <c r="AA32" s="46"/>
      <c r="AB32" s="46"/>
      <c r="AC32" s="46"/>
      <c r="AD32" s="46"/>
      <c r="AE32" s="46"/>
      <c r="AF32" s="46"/>
      <c r="AG32" s="46"/>
      <c r="AH32" s="46"/>
      <c r="AI32" s="46"/>
      <c r="AJ32" s="46"/>
      <c r="AK32" s="46"/>
      <c r="AL32" s="46"/>
      <c r="AM32" s="46"/>
    </row>
    <row r="33" spans="1:39" s="109" customFormat="1">
      <c r="A33" s="166" t="s">
        <v>2981</v>
      </c>
      <c r="B33" s="47" t="s">
        <v>2874</v>
      </c>
      <c r="C33" s="76" t="s">
        <v>375</v>
      </c>
      <c r="D33" s="76">
        <v>2</v>
      </c>
      <c r="E33" s="76" t="s">
        <v>327</v>
      </c>
      <c r="F33" s="104">
        <v>3</v>
      </c>
      <c r="G33" s="110" t="s">
        <v>107</v>
      </c>
      <c r="H33" s="83"/>
      <c r="I33" s="103" t="s">
        <v>2982</v>
      </c>
      <c r="J33" s="76" t="s">
        <v>127</v>
      </c>
      <c r="K33" s="104"/>
      <c r="L33" s="104"/>
      <c r="M33" s="174">
        <f>IF(Tabelle132456[[#This Row],[Pulled after Start]]="",MIN(Tabelle132456[[#This Row],[Jira Story Points]],Tabelle132456[[#This Row],[Carry-over]]),0)</f>
        <v>3</v>
      </c>
      <c r="N33" s="173">
        <f>MIN(Tabelle132456[[#This Row],[Jira Story Points]],Tabelle132456[[#This Row],[Carry-over]])-Tabelle132456[[#This Row],[SP Initially Planned (COS)]]</f>
        <v>0</v>
      </c>
      <c r="O3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3" s="173">
        <f>IFERROR(IF(Tabelle132456[[#This Row],[Status]]=$I$5,MIN(Tabelle132456[[#This Row],[Jira Story Points]],Tabelle132456[[#This Row],[Carry-over]]),0),0)</f>
        <v>0</v>
      </c>
      <c r="Q33" s="173">
        <f>IFERROR(IF(Tabelle132456[[#This Row],[Status]]=$I$5,0,MIN(Tabelle132456[[#This Row],[Jira Story Points]],Tabelle132456[[#This Row],[Carry-over]])-Tabelle132456[[#This Row],[SP Completed (COS &amp; SOS)]]),0)</f>
        <v>3</v>
      </c>
      <c r="AA33" s="112"/>
      <c r="AB33" s="112"/>
      <c r="AC33" s="112"/>
      <c r="AD33" s="112"/>
      <c r="AE33" s="112"/>
      <c r="AF33" s="112"/>
      <c r="AG33" s="112"/>
      <c r="AH33" s="112"/>
      <c r="AI33" s="112"/>
      <c r="AJ33" s="112"/>
      <c r="AK33" s="112"/>
      <c r="AL33" s="112"/>
      <c r="AM33" s="112"/>
    </row>
    <row r="34" spans="1:39" s="113" customFormat="1">
      <c r="A34" s="166" t="s">
        <v>2983</v>
      </c>
      <c r="B34" s="47" t="s">
        <v>2984</v>
      </c>
      <c r="C34" s="76" t="s">
        <v>375</v>
      </c>
      <c r="D34" s="76">
        <v>2</v>
      </c>
      <c r="E34" s="76" t="s">
        <v>216</v>
      </c>
      <c r="F34" s="104">
        <v>8</v>
      </c>
      <c r="G34" s="110" t="s">
        <v>107</v>
      </c>
      <c r="H34" s="83"/>
      <c r="I34" s="103"/>
      <c r="J34" s="76" t="s">
        <v>125</v>
      </c>
      <c r="K34" s="104"/>
      <c r="L34" s="104"/>
      <c r="M34" s="174">
        <f>IF(Tabelle132456[[#This Row],[Pulled after Start]]="",MIN(Tabelle132456[[#This Row],[Jira Story Points]],Tabelle132456[[#This Row],[Carry-over]]),0)</f>
        <v>8</v>
      </c>
      <c r="N34" s="173">
        <f>MIN(Tabelle132456[[#This Row],[Jira Story Points]],Tabelle132456[[#This Row],[Carry-over]])-Tabelle132456[[#This Row],[SP Initially Planned (COS)]]</f>
        <v>0</v>
      </c>
      <c r="O3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8</v>
      </c>
      <c r="P34" s="173">
        <f>IFERROR(IF(Tabelle132456[[#This Row],[Status]]=$I$5,MIN(Tabelle132456[[#This Row],[Jira Story Points]],Tabelle132456[[#This Row],[Carry-over]]),0),0)</f>
        <v>0</v>
      </c>
      <c r="Q34" s="173">
        <f>IFERROR(IF(Tabelle132456[[#This Row],[Status]]=$I$5,0,MIN(Tabelle132456[[#This Row],[Jira Story Points]],Tabelle132456[[#This Row],[Carry-over]])-Tabelle132456[[#This Row],[SP Completed (COS &amp; SOS)]]),0)</f>
        <v>0</v>
      </c>
      <c r="AA34" s="46"/>
      <c r="AB34" s="46"/>
      <c r="AC34" s="46"/>
      <c r="AD34" s="46"/>
      <c r="AE34" s="46"/>
      <c r="AF34" s="46"/>
      <c r="AG34" s="46"/>
      <c r="AH34" s="46"/>
      <c r="AI34" s="46"/>
      <c r="AK34" s="112"/>
      <c r="AL34" s="112"/>
      <c r="AM34" s="112"/>
    </row>
    <row r="35" spans="1:39" s="46" customFormat="1">
      <c r="A35" s="166" t="s">
        <v>2985</v>
      </c>
      <c r="B35" s="47" t="s">
        <v>2986</v>
      </c>
      <c r="C35" s="76" t="s">
        <v>375</v>
      </c>
      <c r="D35" s="76">
        <v>2</v>
      </c>
      <c r="E35" s="76" t="s">
        <v>327</v>
      </c>
      <c r="F35" s="104">
        <v>3</v>
      </c>
      <c r="G35" s="110" t="s">
        <v>107</v>
      </c>
      <c r="H35" s="83"/>
      <c r="I35" s="103" t="s">
        <v>2987</v>
      </c>
      <c r="J35" s="76" t="s">
        <v>127</v>
      </c>
      <c r="K35" s="104"/>
      <c r="L35" s="104"/>
      <c r="M35" s="174">
        <f>IF(Tabelle132456[[#This Row],[Pulled after Start]]="",MIN(Tabelle132456[[#This Row],[Jira Story Points]],Tabelle132456[[#This Row],[Carry-over]]),0)</f>
        <v>3</v>
      </c>
      <c r="N35" s="173">
        <f>MIN(Tabelle132456[[#This Row],[Jira Story Points]],Tabelle132456[[#This Row],[Carry-over]])-Tabelle132456[[#This Row],[SP Initially Planned (COS)]]</f>
        <v>0</v>
      </c>
      <c r="O3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5" s="173">
        <f>IFERROR(IF(Tabelle132456[[#This Row],[Status]]=$I$5,MIN(Tabelle132456[[#This Row],[Jira Story Points]],Tabelle132456[[#This Row],[Carry-over]]),0),0)</f>
        <v>0</v>
      </c>
      <c r="Q35" s="173">
        <f>IFERROR(IF(Tabelle132456[[#This Row],[Status]]=$I$5,0,MIN(Tabelle132456[[#This Row],[Jira Story Points]],Tabelle132456[[#This Row],[Carry-over]])-Tabelle132456[[#This Row],[SP Completed (COS &amp; SOS)]]),0)</f>
        <v>3</v>
      </c>
      <c r="AL35" s="112"/>
      <c r="AM35" s="112"/>
    </row>
    <row r="36" spans="1:39" s="46" customFormat="1">
      <c r="A36" s="166" t="s">
        <v>2988</v>
      </c>
      <c r="B36" s="47" t="s">
        <v>2562</v>
      </c>
      <c r="C36" s="76" t="s">
        <v>372</v>
      </c>
      <c r="D36" s="76">
        <v>3</v>
      </c>
      <c r="E36" s="76" t="s">
        <v>327</v>
      </c>
      <c r="F36" s="104">
        <v>5</v>
      </c>
      <c r="G36" s="110" t="s">
        <v>107</v>
      </c>
      <c r="H36" s="83"/>
      <c r="I36" s="103" t="s">
        <v>2989</v>
      </c>
      <c r="J36" s="76" t="s">
        <v>127</v>
      </c>
      <c r="K36" s="104"/>
      <c r="L36" s="104"/>
      <c r="M36" s="174">
        <f>IF(Tabelle132456[[#This Row],[Pulled after Start]]="",MIN(Tabelle132456[[#This Row],[Jira Story Points]],Tabelle132456[[#This Row],[Carry-over]]),0)</f>
        <v>5</v>
      </c>
      <c r="N36" s="173">
        <f>MIN(Tabelle132456[[#This Row],[Jira Story Points]],Tabelle132456[[#This Row],[Carry-over]])-Tabelle132456[[#This Row],[SP Initially Planned (COS)]]</f>
        <v>0</v>
      </c>
      <c r="O3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6" s="173">
        <f>IFERROR(IF(Tabelle132456[[#This Row],[Status]]=$I$5,MIN(Tabelle132456[[#This Row],[Jira Story Points]],Tabelle132456[[#This Row],[Carry-over]]),0),0)</f>
        <v>0</v>
      </c>
      <c r="Q36" s="173">
        <f>IFERROR(IF(Tabelle132456[[#This Row],[Status]]=$I$5,0,MIN(Tabelle132456[[#This Row],[Jira Story Points]],Tabelle132456[[#This Row],[Carry-over]])-Tabelle132456[[#This Row],[SP Completed (COS &amp; SOS)]]),0)</f>
        <v>5</v>
      </c>
      <c r="AL36" s="112"/>
      <c r="AM36" s="112"/>
    </row>
    <row r="37" spans="1:39" s="46" customFormat="1">
      <c r="A37" s="166" t="s">
        <v>2990</v>
      </c>
      <c r="B37" s="47" t="s">
        <v>2560</v>
      </c>
      <c r="C37" s="76" t="s">
        <v>372</v>
      </c>
      <c r="D37" s="76">
        <v>3</v>
      </c>
      <c r="E37" s="76" t="s">
        <v>327</v>
      </c>
      <c r="F37" s="104">
        <v>5</v>
      </c>
      <c r="G37" s="110" t="s">
        <v>107</v>
      </c>
      <c r="H37" s="83"/>
      <c r="I37" s="103" t="s">
        <v>2989</v>
      </c>
      <c r="J37" s="76" t="s">
        <v>127</v>
      </c>
      <c r="K37" s="104"/>
      <c r="L37" s="104"/>
      <c r="M37" s="174">
        <f>IF(Tabelle132456[[#This Row],[Pulled after Start]]="",MIN(Tabelle132456[[#This Row],[Jira Story Points]],Tabelle132456[[#This Row],[Carry-over]]),0)</f>
        <v>5</v>
      </c>
      <c r="N37" s="173">
        <f>MIN(Tabelle132456[[#This Row],[Jira Story Points]],Tabelle132456[[#This Row],[Carry-over]])-Tabelle132456[[#This Row],[SP Initially Planned (COS)]]</f>
        <v>0</v>
      </c>
      <c r="O3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7" s="173">
        <f>IFERROR(IF(Tabelle132456[[#This Row],[Status]]=$I$5,MIN(Tabelle132456[[#This Row],[Jira Story Points]],Tabelle132456[[#This Row],[Carry-over]]),0),0)</f>
        <v>0</v>
      </c>
      <c r="Q37" s="173">
        <f>IFERROR(IF(Tabelle132456[[#This Row],[Status]]=$I$5,0,MIN(Tabelle132456[[#This Row],[Jira Story Points]],Tabelle132456[[#This Row],[Carry-over]])-Tabelle132456[[#This Row],[SP Completed (COS &amp; SOS)]]),0)</f>
        <v>5</v>
      </c>
      <c r="AJ37" s="112"/>
      <c r="AK37" s="112"/>
      <c r="AL37" s="112"/>
      <c r="AM37" s="112"/>
    </row>
    <row r="38" spans="1:39" s="46" customFormat="1">
      <c r="A38" s="117" t="s">
        <v>2991</v>
      </c>
      <c r="B38" s="46" t="s">
        <v>2992</v>
      </c>
      <c r="C38" s="76" t="s">
        <v>372</v>
      </c>
      <c r="D38" s="76">
        <v>3</v>
      </c>
      <c r="E38" s="76" t="s">
        <v>324</v>
      </c>
      <c r="F38" s="104">
        <v>3</v>
      </c>
      <c r="G38" s="76" t="s">
        <v>35</v>
      </c>
      <c r="H38" s="83"/>
      <c r="I38" s="103"/>
      <c r="J38" s="76" t="s">
        <v>125</v>
      </c>
      <c r="K38" s="104"/>
      <c r="L38" s="104"/>
      <c r="M38" s="174">
        <f>IF(Tabelle132456[[#This Row],[Pulled after Start]]="",MIN(Tabelle132456[[#This Row],[Jira Story Points]],Tabelle132456[[#This Row],[Carry-over]]),0)</f>
        <v>3</v>
      </c>
      <c r="N38" s="173">
        <f>MIN(Tabelle132456[[#This Row],[Jira Story Points]],Tabelle132456[[#This Row],[Carry-over]])-Tabelle132456[[#This Row],[SP Initially Planned (COS)]]</f>
        <v>0</v>
      </c>
      <c r="O3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38" s="173">
        <f>IFERROR(IF(Tabelle132456[[#This Row],[Status]]=$I$5,MIN(Tabelle132456[[#This Row],[Jira Story Points]],Tabelle132456[[#This Row],[Carry-over]]),0),0)</f>
        <v>0</v>
      </c>
      <c r="Q38" s="173">
        <f>IFERROR(IF(Tabelle132456[[#This Row],[Status]]=$I$5,0,MIN(Tabelle132456[[#This Row],[Jira Story Points]],Tabelle132456[[#This Row],[Carry-over]])-Tabelle132456[[#This Row],[SP Completed (COS &amp; SOS)]]),0)</f>
        <v>0</v>
      </c>
      <c r="AJ38" s="112"/>
      <c r="AK38" s="112"/>
      <c r="AL38" s="112"/>
      <c r="AM38" s="112"/>
    </row>
    <row r="39" spans="1:39" s="46" customFormat="1">
      <c r="A39" s="186" t="s">
        <v>2993</v>
      </c>
      <c r="B39" s="46" t="s">
        <v>2994</v>
      </c>
      <c r="C39" s="76" t="s">
        <v>372</v>
      </c>
      <c r="D39" s="76">
        <v>3</v>
      </c>
      <c r="E39" s="76" t="s">
        <v>324</v>
      </c>
      <c r="F39" s="76">
        <v>8</v>
      </c>
      <c r="G39" s="76" t="s">
        <v>35</v>
      </c>
      <c r="H39" s="76"/>
      <c r="I39" s="103"/>
      <c r="J39" s="76" t="s">
        <v>125</v>
      </c>
      <c r="K39" s="76"/>
      <c r="L39" s="76"/>
      <c r="M39" s="174">
        <f>IF(Tabelle132456[[#This Row],[Pulled after Start]]="",MIN(Tabelle132456[[#This Row],[Jira Story Points]],Tabelle132456[[#This Row],[Carry-over]]),0)</f>
        <v>8</v>
      </c>
      <c r="N39" s="173">
        <f>MIN(Tabelle132456[[#This Row],[Jira Story Points]],Tabelle132456[[#This Row],[Carry-over]])-Tabelle132456[[#This Row],[SP Initially Planned (COS)]]</f>
        <v>0</v>
      </c>
      <c r="O3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8</v>
      </c>
      <c r="P39" s="173">
        <f>IFERROR(IF(Tabelle132456[[#This Row],[Status]]=$I$5,MIN(Tabelle132456[[#This Row],[Jira Story Points]],Tabelle132456[[#This Row],[Carry-over]]),0),0)</f>
        <v>0</v>
      </c>
      <c r="Q39" s="173">
        <f>IFERROR(IF(Tabelle132456[[#This Row],[Status]]=$I$5,0,MIN(Tabelle132456[[#This Row],[Jira Story Points]],Tabelle132456[[#This Row],[Carry-over]])-Tabelle132456[[#This Row],[SP Completed (COS &amp; SOS)]]),0)</f>
        <v>0</v>
      </c>
      <c r="AJ39" s="112"/>
      <c r="AK39" s="112"/>
      <c r="AL39" s="112"/>
      <c r="AM39" s="112"/>
    </row>
    <row r="40" spans="1:39" s="46" customFormat="1">
      <c r="A40" s="182" t="s">
        <v>2995</v>
      </c>
      <c r="B40" s="46" t="s">
        <v>2996</v>
      </c>
      <c r="C40" s="76" t="s">
        <v>372</v>
      </c>
      <c r="D40" s="76">
        <v>3</v>
      </c>
      <c r="E40" s="76" t="s">
        <v>324</v>
      </c>
      <c r="F40" s="104">
        <v>3</v>
      </c>
      <c r="G40" s="76" t="s">
        <v>35</v>
      </c>
      <c r="H40" s="83"/>
      <c r="I40" s="103"/>
      <c r="J40" s="76" t="s">
        <v>125</v>
      </c>
      <c r="K40" s="104"/>
      <c r="L40" s="104"/>
      <c r="M40" s="174">
        <f>IF(Tabelle132456[[#This Row],[Pulled after Start]]="",MIN(Tabelle132456[[#This Row],[Jira Story Points]],Tabelle132456[[#This Row],[Carry-over]]),0)</f>
        <v>3</v>
      </c>
      <c r="N40" s="173">
        <f>MIN(Tabelle132456[[#This Row],[Jira Story Points]],Tabelle132456[[#This Row],[Carry-over]])-Tabelle132456[[#This Row],[SP Initially Planned (COS)]]</f>
        <v>0</v>
      </c>
      <c r="O4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40" s="173">
        <f>IFERROR(IF(Tabelle132456[[#This Row],[Status]]=$I$5,MIN(Tabelle132456[[#This Row],[Jira Story Points]],Tabelle132456[[#This Row],[Carry-over]]),0),0)</f>
        <v>0</v>
      </c>
      <c r="Q40" s="173">
        <f>IFERROR(IF(Tabelle132456[[#This Row],[Status]]=$I$5,0,MIN(Tabelle132456[[#This Row],[Jira Story Points]],Tabelle132456[[#This Row],[Carry-over]])-Tabelle132456[[#This Row],[SP Completed (COS &amp; SOS)]]),0)</f>
        <v>0</v>
      </c>
      <c r="AJ40" s="112"/>
      <c r="AK40" s="112"/>
      <c r="AL40" s="112"/>
      <c r="AM40" s="112"/>
    </row>
    <row r="41" spans="1:39" s="46" customFormat="1" ht="14.45" customHeight="1">
      <c r="A41" s="186" t="s">
        <v>2997</v>
      </c>
      <c r="B41" s="186" t="s">
        <v>2998</v>
      </c>
      <c r="C41" s="76" t="s">
        <v>375</v>
      </c>
      <c r="D41" s="76">
        <v>3</v>
      </c>
      <c r="E41" s="76" t="s">
        <v>324</v>
      </c>
      <c r="F41" s="104">
        <v>3</v>
      </c>
      <c r="G41" s="76" t="s">
        <v>35</v>
      </c>
      <c r="H41" s="83" t="s">
        <v>209</v>
      </c>
      <c r="I41" s="103"/>
      <c r="J41" s="76" t="s">
        <v>125</v>
      </c>
      <c r="K41" s="104"/>
      <c r="L41" s="104"/>
      <c r="M41" s="174">
        <f>IF(Tabelle132456[[#This Row],[Pulled after Start]]="",MIN(Tabelle132456[[#This Row],[Jira Story Points]],Tabelle132456[[#This Row],[Carry-over]]),0)</f>
        <v>0</v>
      </c>
      <c r="N41" s="173">
        <f>MIN(Tabelle132456[[#This Row],[Jira Story Points]],Tabelle132456[[#This Row],[Carry-over]])-Tabelle132456[[#This Row],[SP Initially Planned (COS)]]</f>
        <v>3</v>
      </c>
      <c r="O4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41" s="173">
        <f>IFERROR(IF(Tabelle132456[[#This Row],[Status]]=$I$5,MIN(Tabelle132456[[#This Row],[Jira Story Points]],Tabelle132456[[#This Row],[Carry-over]]),0),0)</f>
        <v>0</v>
      </c>
      <c r="Q41" s="173">
        <f>IFERROR(IF(Tabelle132456[[#This Row],[Status]]=$I$5,0,MIN(Tabelle132456[[#This Row],[Jira Story Points]],Tabelle132456[[#This Row],[Carry-over]])-Tabelle132456[[#This Row],[SP Completed (COS &amp; SOS)]]),0)</f>
        <v>0</v>
      </c>
      <c r="AJ41" s="112"/>
      <c r="AK41" s="112"/>
      <c r="AL41" s="112"/>
      <c r="AM41" s="112"/>
    </row>
    <row r="42" spans="1:39" s="46" customFormat="1" ht="14.45" customHeight="1">
      <c r="A42" s="88" t="s">
        <v>2999</v>
      </c>
      <c r="B42" s="80" t="s">
        <v>3000</v>
      </c>
      <c r="C42" s="76" t="s">
        <v>372</v>
      </c>
      <c r="D42" s="76">
        <v>3</v>
      </c>
      <c r="E42" s="76" t="s">
        <v>324</v>
      </c>
      <c r="F42" s="104">
        <v>3</v>
      </c>
      <c r="G42" s="76" t="s">
        <v>35</v>
      </c>
      <c r="H42" s="76"/>
      <c r="I42" s="120"/>
      <c r="J42" s="76" t="s">
        <v>125</v>
      </c>
      <c r="K42" s="76"/>
      <c r="L42" s="76"/>
      <c r="M42" s="174">
        <f>IF(Tabelle132456[[#This Row],[Pulled after Start]]="",MIN(Tabelle132456[[#This Row],[Jira Story Points]],Tabelle132456[[#This Row],[Carry-over]]),0)</f>
        <v>3</v>
      </c>
      <c r="N42" s="173">
        <f>MIN(Tabelle132456[[#This Row],[Jira Story Points]],Tabelle132456[[#This Row],[Carry-over]])-Tabelle132456[[#This Row],[SP Initially Planned (COS)]]</f>
        <v>0</v>
      </c>
      <c r="O4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42" s="173">
        <f>IFERROR(IF(Tabelle132456[[#This Row],[Status]]=$I$5,MIN(Tabelle132456[[#This Row],[Jira Story Points]],Tabelle132456[[#This Row],[Carry-over]]),0),0)</f>
        <v>0</v>
      </c>
      <c r="Q42" s="173">
        <f>IFERROR(IF(Tabelle132456[[#This Row],[Status]]=$I$5,0,MIN(Tabelle132456[[#This Row],[Jira Story Points]],Tabelle132456[[#This Row],[Carry-over]])-Tabelle132456[[#This Row],[SP Completed (COS &amp; SOS)]]),0)</f>
        <v>0</v>
      </c>
      <c r="AJ42" s="112"/>
      <c r="AK42" s="112"/>
      <c r="AL42" s="112"/>
      <c r="AM42" s="112"/>
    </row>
    <row r="43" spans="1:39" s="46" customFormat="1" ht="14.45" customHeight="1">
      <c r="A43" s="88" t="s">
        <v>3001</v>
      </c>
      <c r="B43" s="47" t="s">
        <v>3002</v>
      </c>
      <c r="C43" s="76" t="s">
        <v>372</v>
      </c>
      <c r="D43" s="76">
        <v>2</v>
      </c>
      <c r="E43" s="76" t="s">
        <v>324</v>
      </c>
      <c r="F43" s="76">
        <v>5</v>
      </c>
      <c r="G43" s="76" t="s">
        <v>35</v>
      </c>
      <c r="H43" s="83"/>
      <c r="I43" s="103"/>
      <c r="J43" s="76" t="s">
        <v>125</v>
      </c>
      <c r="K43" s="104"/>
      <c r="L43" s="104"/>
      <c r="M43" s="174">
        <f>IF(Tabelle132456[[#This Row],[Pulled after Start]]="",MIN(Tabelle132456[[#This Row],[Jira Story Points]],Tabelle132456[[#This Row],[Carry-over]]),0)</f>
        <v>5</v>
      </c>
      <c r="N43" s="173">
        <f>MIN(Tabelle132456[[#This Row],[Jira Story Points]],Tabelle132456[[#This Row],[Carry-over]])-Tabelle132456[[#This Row],[SP Initially Planned (COS)]]</f>
        <v>0</v>
      </c>
      <c r="O4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5</v>
      </c>
      <c r="P43" s="173">
        <f>IFERROR(IF(Tabelle132456[[#This Row],[Status]]=$I$5,MIN(Tabelle132456[[#This Row],[Jira Story Points]],Tabelle132456[[#This Row],[Carry-over]]),0),0)</f>
        <v>0</v>
      </c>
      <c r="Q43" s="173">
        <f>IFERROR(IF(Tabelle132456[[#This Row],[Status]]=$I$5,0,MIN(Tabelle132456[[#This Row],[Jira Story Points]],Tabelle132456[[#This Row],[Carry-over]])-Tabelle132456[[#This Row],[SP Completed (COS &amp; SOS)]]),0)</f>
        <v>0</v>
      </c>
      <c r="AJ43" s="112"/>
      <c r="AK43" s="112"/>
      <c r="AL43" s="112"/>
      <c r="AM43" s="112"/>
    </row>
    <row r="44" spans="1:39" s="46" customFormat="1" ht="14.45" customHeight="1">
      <c r="A44" s="157" t="s">
        <v>3003</v>
      </c>
      <c r="B44" s="47" t="s">
        <v>3004</v>
      </c>
      <c r="C44" s="76" t="s">
        <v>372</v>
      </c>
      <c r="D44" s="76">
        <v>3</v>
      </c>
      <c r="E44" s="76" t="s">
        <v>324</v>
      </c>
      <c r="F44" s="104">
        <v>5</v>
      </c>
      <c r="G44" s="76" t="s">
        <v>35</v>
      </c>
      <c r="H44" s="83"/>
      <c r="I44" s="103"/>
      <c r="J44" s="76" t="s">
        <v>125</v>
      </c>
      <c r="K44" s="104"/>
      <c r="L44" s="104"/>
      <c r="M44" s="174">
        <f>IF(Tabelle132456[[#This Row],[Pulled after Start]]="",MIN(Tabelle132456[[#This Row],[Jira Story Points]],Tabelle132456[[#This Row],[Carry-over]]),0)</f>
        <v>5</v>
      </c>
      <c r="N44" s="173">
        <f>MIN(Tabelle132456[[#This Row],[Jira Story Points]],Tabelle132456[[#This Row],[Carry-over]])-Tabelle132456[[#This Row],[SP Initially Planned (COS)]]</f>
        <v>0</v>
      </c>
      <c r="O4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5</v>
      </c>
      <c r="P44" s="173">
        <f>IFERROR(IF(Tabelle132456[[#This Row],[Status]]=$I$5,MIN(Tabelle132456[[#This Row],[Jira Story Points]],Tabelle132456[[#This Row],[Carry-over]]),0),0)</f>
        <v>0</v>
      </c>
      <c r="Q44" s="173">
        <f>IFERROR(IF(Tabelle132456[[#This Row],[Status]]=$I$5,0,MIN(Tabelle132456[[#This Row],[Jira Story Points]],Tabelle132456[[#This Row],[Carry-over]])-Tabelle132456[[#This Row],[SP Completed (COS &amp; SOS)]]),0)</f>
        <v>0</v>
      </c>
      <c r="AJ44" s="112"/>
      <c r="AK44" s="112"/>
      <c r="AL44" s="112"/>
      <c r="AM44" s="112"/>
    </row>
    <row r="45" spans="1:39" s="46" customFormat="1" ht="14.45" customHeight="1">
      <c r="A45" s="157" t="s">
        <v>3005</v>
      </c>
      <c r="B45" s="47" t="s">
        <v>3006</v>
      </c>
      <c r="C45" s="76" t="s">
        <v>372</v>
      </c>
      <c r="D45" s="76">
        <v>3</v>
      </c>
      <c r="E45" s="76" t="s">
        <v>324</v>
      </c>
      <c r="F45" s="104">
        <v>5</v>
      </c>
      <c r="G45" s="76" t="s">
        <v>35</v>
      </c>
      <c r="H45" s="83"/>
      <c r="I45" s="103"/>
      <c r="J45" s="76" t="s">
        <v>125</v>
      </c>
      <c r="K45" s="104"/>
      <c r="L45" s="104"/>
      <c r="M45" s="174">
        <f>IF(Tabelle132456[[#This Row],[Pulled after Start]]="",MIN(Tabelle132456[[#This Row],[Jira Story Points]],Tabelle132456[[#This Row],[Carry-over]]),0)</f>
        <v>5</v>
      </c>
      <c r="N45" s="173">
        <f>MIN(Tabelle132456[[#This Row],[Jira Story Points]],Tabelle132456[[#This Row],[Carry-over]])-Tabelle132456[[#This Row],[SP Initially Planned (COS)]]</f>
        <v>0</v>
      </c>
      <c r="O4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5</v>
      </c>
      <c r="P45" s="173">
        <f>IFERROR(IF(Tabelle132456[[#This Row],[Status]]=$I$5,MIN(Tabelle132456[[#This Row],[Jira Story Points]],Tabelle132456[[#This Row],[Carry-over]]),0),0)</f>
        <v>0</v>
      </c>
      <c r="Q45" s="173">
        <f>IFERROR(IF(Tabelle132456[[#This Row],[Status]]=$I$5,0,MIN(Tabelle132456[[#This Row],[Jira Story Points]],Tabelle132456[[#This Row],[Carry-over]])-Tabelle132456[[#This Row],[SP Completed (COS &amp; SOS)]]),0)</f>
        <v>0</v>
      </c>
      <c r="AJ45" s="112"/>
      <c r="AK45" s="112"/>
      <c r="AL45" s="112"/>
      <c r="AM45" s="112"/>
    </row>
    <row r="46" spans="1:39" s="46" customFormat="1" ht="14.45" customHeight="1">
      <c r="A46" s="166" t="s">
        <v>3007</v>
      </c>
      <c r="B46" s="49" t="s">
        <v>3008</v>
      </c>
      <c r="C46" s="76" t="s">
        <v>375</v>
      </c>
      <c r="D46" s="76">
        <v>3</v>
      </c>
      <c r="E46" s="76" t="s">
        <v>324</v>
      </c>
      <c r="F46" s="104">
        <v>3</v>
      </c>
      <c r="G46" s="76" t="s">
        <v>35</v>
      </c>
      <c r="H46" s="83" t="s">
        <v>209</v>
      </c>
      <c r="I46" s="103"/>
      <c r="J46" s="76" t="s">
        <v>125</v>
      </c>
      <c r="K46" s="104"/>
      <c r="L46" s="104"/>
      <c r="M46" s="174">
        <f>IF(Tabelle132456[[#This Row],[Pulled after Start]]="",MIN(Tabelle132456[[#This Row],[Jira Story Points]],Tabelle132456[[#This Row],[Carry-over]]),0)</f>
        <v>0</v>
      </c>
      <c r="N46" s="173">
        <f>MIN(Tabelle132456[[#This Row],[Jira Story Points]],Tabelle132456[[#This Row],[Carry-over]])-Tabelle132456[[#This Row],[SP Initially Planned (COS)]]</f>
        <v>3</v>
      </c>
      <c r="O4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46" s="173">
        <f>IFERROR(IF(Tabelle132456[[#This Row],[Status]]=$I$5,MIN(Tabelle132456[[#This Row],[Jira Story Points]],Tabelle132456[[#This Row],[Carry-over]]),0),0)</f>
        <v>0</v>
      </c>
      <c r="Q46" s="173">
        <f>IFERROR(IF(Tabelle132456[[#This Row],[Status]]=$I$5,0,MIN(Tabelle132456[[#This Row],[Jira Story Points]],Tabelle132456[[#This Row],[Carry-over]])-Tabelle132456[[#This Row],[SP Completed (COS &amp; SOS)]]),0)</f>
        <v>0</v>
      </c>
      <c r="AJ46" s="112"/>
      <c r="AK46" s="112"/>
      <c r="AL46" s="112"/>
      <c r="AM46" s="112"/>
    </row>
    <row r="47" spans="1:39" s="46" customFormat="1" ht="14.45" customHeight="1">
      <c r="A47" s="157" t="s">
        <v>3009</v>
      </c>
      <c r="B47" s="47" t="s">
        <v>3010</v>
      </c>
      <c r="C47" s="76" t="s">
        <v>375</v>
      </c>
      <c r="D47" s="76">
        <v>3</v>
      </c>
      <c r="E47" s="76" t="s">
        <v>324</v>
      </c>
      <c r="F47" s="104">
        <v>3</v>
      </c>
      <c r="G47" s="76" t="s">
        <v>35</v>
      </c>
      <c r="H47" s="83"/>
      <c r="I47" s="103"/>
      <c r="J47" s="76" t="s">
        <v>125</v>
      </c>
      <c r="K47" s="104"/>
      <c r="L47" s="104"/>
      <c r="M47" s="174">
        <f>IF(Tabelle132456[[#This Row],[Pulled after Start]]="",MIN(Tabelle132456[[#This Row],[Jira Story Points]],Tabelle132456[[#This Row],[Carry-over]]),0)</f>
        <v>3</v>
      </c>
      <c r="N47" s="173">
        <f>MIN(Tabelle132456[[#This Row],[Jira Story Points]],Tabelle132456[[#This Row],[Carry-over]])-Tabelle132456[[#This Row],[SP Initially Planned (COS)]]</f>
        <v>0</v>
      </c>
      <c r="O4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47" s="173">
        <f>IFERROR(IF(Tabelle132456[[#This Row],[Status]]=$I$5,MIN(Tabelle132456[[#This Row],[Jira Story Points]],Tabelle132456[[#This Row],[Carry-over]]),0),0)</f>
        <v>0</v>
      </c>
      <c r="Q47" s="173">
        <f>IFERROR(IF(Tabelle132456[[#This Row],[Status]]=$I$5,0,MIN(Tabelle132456[[#This Row],[Jira Story Points]],Tabelle132456[[#This Row],[Carry-over]])-Tabelle132456[[#This Row],[SP Completed (COS &amp; SOS)]]),0)</f>
        <v>0</v>
      </c>
      <c r="AJ47" s="112"/>
      <c r="AK47" s="112"/>
      <c r="AL47" s="112"/>
      <c r="AM47" s="112"/>
    </row>
    <row r="48" spans="1:39" s="46" customFormat="1" ht="14.45" customHeight="1">
      <c r="A48" s="168" t="s">
        <v>3011</v>
      </c>
      <c r="B48" s="47" t="s">
        <v>3012</v>
      </c>
      <c r="C48" s="76" t="s">
        <v>375</v>
      </c>
      <c r="D48" s="76">
        <v>3</v>
      </c>
      <c r="E48" s="76" t="s">
        <v>324</v>
      </c>
      <c r="F48" s="104">
        <v>3</v>
      </c>
      <c r="G48" s="76" t="s">
        <v>35</v>
      </c>
      <c r="H48" s="83"/>
      <c r="I48" s="103"/>
      <c r="J48" s="76" t="s">
        <v>125</v>
      </c>
      <c r="K48" s="104"/>
      <c r="L48" s="104"/>
      <c r="M48" s="174">
        <f>IF(Tabelle132456[[#This Row],[Pulled after Start]]="",MIN(Tabelle132456[[#This Row],[Jira Story Points]],Tabelle132456[[#This Row],[Carry-over]]),0)</f>
        <v>3</v>
      </c>
      <c r="N48" s="173">
        <f>MIN(Tabelle132456[[#This Row],[Jira Story Points]],Tabelle132456[[#This Row],[Carry-over]])-Tabelle132456[[#This Row],[SP Initially Planned (COS)]]</f>
        <v>0</v>
      </c>
      <c r="O4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48" s="173">
        <f>IFERROR(IF(Tabelle132456[[#This Row],[Status]]=$I$5,MIN(Tabelle132456[[#This Row],[Jira Story Points]],Tabelle132456[[#This Row],[Carry-over]]),0),0)</f>
        <v>0</v>
      </c>
      <c r="Q48" s="173">
        <f>IFERROR(IF(Tabelle132456[[#This Row],[Status]]=$I$5,0,MIN(Tabelle132456[[#This Row],[Jira Story Points]],Tabelle132456[[#This Row],[Carry-over]])-Tabelle132456[[#This Row],[SP Completed (COS &amp; SOS)]]),0)</f>
        <v>0</v>
      </c>
      <c r="AJ48" s="112"/>
      <c r="AK48" s="112"/>
      <c r="AL48" s="112"/>
      <c r="AM48" s="112"/>
    </row>
    <row r="49" spans="1:39" s="46" customFormat="1" ht="14.45" customHeight="1">
      <c r="A49" s="157" t="s">
        <v>3013</v>
      </c>
      <c r="B49" s="47" t="s">
        <v>3014</v>
      </c>
      <c r="C49" s="76" t="s">
        <v>375</v>
      </c>
      <c r="D49" s="76">
        <v>3</v>
      </c>
      <c r="E49" s="76" t="s">
        <v>324</v>
      </c>
      <c r="F49" s="104">
        <v>3</v>
      </c>
      <c r="G49" s="76" t="s">
        <v>35</v>
      </c>
      <c r="H49" s="83"/>
      <c r="I49" s="103"/>
      <c r="J49" s="76" t="s">
        <v>125</v>
      </c>
      <c r="K49" s="104"/>
      <c r="L49" s="104"/>
      <c r="M49" s="174">
        <f>IF(Tabelle132456[[#This Row],[Pulled after Start]]="",MIN(Tabelle132456[[#This Row],[Jira Story Points]],Tabelle132456[[#This Row],[Carry-over]]),0)</f>
        <v>3</v>
      </c>
      <c r="N49" s="173">
        <f>MIN(Tabelle132456[[#This Row],[Jira Story Points]],Tabelle132456[[#This Row],[Carry-over]])-Tabelle132456[[#This Row],[SP Initially Planned (COS)]]</f>
        <v>0</v>
      </c>
      <c r="O4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49" s="173">
        <f>IFERROR(IF(Tabelle132456[[#This Row],[Status]]=$I$5,MIN(Tabelle132456[[#This Row],[Jira Story Points]],Tabelle132456[[#This Row],[Carry-over]]),0),0)</f>
        <v>0</v>
      </c>
      <c r="Q49" s="173">
        <f>IFERROR(IF(Tabelle132456[[#This Row],[Status]]=$I$5,0,MIN(Tabelle132456[[#This Row],[Jira Story Points]],Tabelle132456[[#This Row],[Carry-over]])-Tabelle132456[[#This Row],[SP Completed (COS &amp; SOS)]]),0)</f>
        <v>0</v>
      </c>
      <c r="AJ49" s="112"/>
      <c r="AK49" s="112"/>
      <c r="AL49" s="112"/>
      <c r="AM49" s="112"/>
    </row>
    <row r="50" spans="1:39" s="46" customFormat="1" ht="14.45" customHeight="1">
      <c r="A50" s="157" t="s">
        <v>3015</v>
      </c>
      <c r="B50" s="47" t="s">
        <v>3016</v>
      </c>
      <c r="C50" s="76" t="s">
        <v>375</v>
      </c>
      <c r="D50" s="76">
        <v>3</v>
      </c>
      <c r="E50" s="76" t="s">
        <v>324</v>
      </c>
      <c r="F50" s="104">
        <v>3</v>
      </c>
      <c r="G50" s="76" t="s">
        <v>35</v>
      </c>
      <c r="H50" s="83"/>
      <c r="I50" s="103"/>
      <c r="J50" s="76" t="s">
        <v>125</v>
      </c>
      <c r="K50" s="104"/>
      <c r="L50" s="104"/>
      <c r="M50" s="174">
        <f>IF(Tabelle132456[[#This Row],[Pulled after Start]]="",MIN(Tabelle132456[[#This Row],[Jira Story Points]],Tabelle132456[[#This Row],[Carry-over]]),0)</f>
        <v>3</v>
      </c>
      <c r="N50" s="173">
        <f>MIN(Tabelle132456[[#This Row],[Jira Story Points]],Tabelle132456[[#This Row],[Carry-over]])-Tabelle132456[[#This Row],[SP Initially Planned (COS)]]</f>
        <v>0</v>
      </c>
      <c r="O5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50" s="173">
        <f>IFERROR(IF(Tabelle132456[[#This Row],[Status]]=$I$5,MIN(Tabelle132456[[#This Row],[Jira Story Points]],Tabelle132456[[#This Row],[Carry-over]]),0),0)</f>
        <v>0</v>
      </c>
      <c r="Q50" s="173">
        <f>IFERROR(IF(Tabelle132456[[#This Row],[Status]]=$I$5,0,MIN(Tabelle132456[[#This Row],[Jira Story Points]],Tabelle132456[[#This Row],[Carry-over]])-Tabelle132456[[#This Row],[SP Completed (COS &amp; SOS)]]),0)</f>
        <v>0</v>
      </c>
      <c r="AJ50" s="112"/>
      <c r="AK50" s="112"/>
      <c r="AL50" s="112"/>
      <c r="AM50" s="112"/>
    </row>
    <row r="51" spans="1:39" s="46" customFormat="1" ht="14.45" customHeight="1">
      <c r="A51" s="157" t="s">
        <v>3017</v>
      </c>
      <c r="B51" s="47" t="s">
        <v>3018</v>
      </c>
      <c r="C51" s="76" t="s">
        <v>372</v>
      </c>
      <c r="D51" s="76">
        <v>2</v>
      </c>
      <c r="E51" s="76" t="s">
        <v>324</v>
      </c>
      <c r="F51" s="104">
        <v>3</v>
      </c>
      <c r="G51" s="76" t="s">
        <v>35</v>
      </c>
      <c r="H51" s="83" t="s">
        <v>209</v>
      </c>
      <c r="I51" s="103"/>
      <c r="J51" s="76" t="s">
        <v>125</v>
      </c>
      <c r="K51" s="104"/>
      <c r="L51" s="104"/>
      <c r="M51" s="174">
        <f>IF(Tabelle132456[[#This Row],[Pulled after Start]]="",MIN(Tabelle132456[[#This Row],[Jira Story Points]],Tabelle132456[[#This Row],[Carry-over]]),0)</f>
        <v>0</v>
      </c>
      <c r="N51" s="173">
        <f>MIN(Tabelle132456[[#This Row],[Jira Story Points]],Tabelle132456[[#This Row],[Carry-over]])-Tabelle132456[[#This Row],[SP Initially Planned (COS)]]</f>
        <v>3</v>
      </c>
      <c r="O5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51" s="173">
        <f>IFERROR(IF(Tabelle132456[[#This Row],[Status]]=$I$5,MIN(Tabelle132456[[#This Row],[Jira Story Points]],Tabelle132456[[#This Row],[Carry-over]]),0),0)</f>
        <v>0</v>
      </c>
      <c r="Q51" s="173">
        <f>IFERROR(IF(Tabelle132456[[#This Row],[Status]]=$I$5,0,MIN(Tabelle132456[[#This Row],[Jira Story Points]],Tabelle132456[[#This Row],[Carry-over]])-Tabelle132456[[#This Row],[SP Completed (COS &amp; SOS)]]),0)</f>
        <v>0</v>
      </c>
      <c r="AJ51" s="112"/>
      <c r="AK51" s="112"/>
      <c r="AL51" s="112"/>
      <c r="AM51" s="112"/>
    </row>
    <row r="52" spans="1:39" s="46" customFormat="1" ht="14.45" customHeight="1">
      <c r="A52" s="157" t="s">
        <v>3019</v>
      </c>
      <c r="B52" s="47" t="s">
        <v>3020</v>
      </c>
      <c r="C52" s="76" t="s">
        <v>375</v>
      </c>
      <c r="D52" s="76">
        <v>3</v>
      </c>
      <c r="E52" s="76" t="s">
        <v>324</v>
      </c>
      <c r="F52" s="104">
        <v>3</v>
      </c>
      <c r="G52" s="76" t="s">
        <v>35</v>
      </c>
      <c r="H52" s="83" t="s">
        <v>209</v>
      </c>
      <c r="I52" s="103"/>
      <c r="J52" s="76" t="s">
        <v>125</v>
      </c>
      <c r="K52" s="104"/>
      <c r="L52" s="104"/>
      <c r="M52" s="174">
        <f>IF(Tabelle132456[[#This Row],[Pulled after Start]]="",MIN(Tabelle132456[[#This Row],[Jira Story Points]],Tabelle132456[[#This Row],[Carry-over]]),0)</f>
        <v>0</v>
      </c>
      <c r="N52" s="173">
        <f>MIN(Tabelle132456[[#This Row],[Jira Story Points]],Tabelle132456[[#This Row],[Carry-over]])-Tabelle132456[[#This Row],[SP Initially Planned (COS)]]</f>
        <v>3</v>
      </c>
      <c r="O5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52" s="173">
        <f>IFERROR(IF(Tabelle132456[[#This Row],[Status]]=$I$5,MIN(Tabelle132456[[#This Row],[Jira Story Points]],Tabelle132456[[#This Row],[Carry-over]]),0),0)</f>
        <v>0</v>
      </c>
      <c r="Q52" s="173">
        <f>IFERROR(IF(Tabelle132456[[#This Row],[Status]]=$I$5,0,MIN(Tabelle132456[[#This Row],[Jira Story Points]],Tabelle132456[[#This Row],[Carry-over]])-Tabelle132456[[#This Row],[SP Completed (COS &amp; SOS)]]),0)</f>
        <v>0</v>
      </c>
      <c r="AJ52" s="112"/>
      <c r="AK52" s="112"/>
      <c r="AL52" s="112"/>
      <c r="AM52" s="112"/>
    </row>
    <row r="53" spans="1:39" s="46" customFormat="1" ht="14.45" customHeight="1">
      <c r="A53" s="168" t="s">
        <v>1841</v>
      </c>
      <c r="B53" s="47" t="s">
        <v>1842</v>
      </c>
      <c r="C53" s="76" t="s">
        <v>375</v>
      </c>
      <c r="D53" s="76">
        <v>3</v>
      </c>
      <c r="E53" s="76" t="s">
        <v>324</v>
      </c>
      <c r="F53" s="104">
        <v>3</v>
      </c>
      <c r="G53" s="76" t="s">
        <v>35</v>
      </c>
      <c r="H53" s="83" t="s">
        <v>209</v>
      </c>
      <c r="I53" s="103"/>
      <c r="J53" s="76" t="s">
        <v>125</v>
      </c>
      <c r="K53" s="104"/>
      <c r="L53" s="104"/>
      <c r="M53" s="174">
        <f>IF(Tabelle132456[[#This Row],[Pulled after Start]]="",MIN(Tabelle132456[[#This Row],[Jira Story Points]],Tabelle132456[[#This Row],[Carry-over]]),0)</f>
        <v>0</v>
      </c>
      <c r="N53" s="173">
        <f>MIN(Tabelle132456[[#This Row],[Jira Story Points]],Tabelle132456[[#This Row],[Carry-over]])-Tabelle132456[[#This Row],[SP Initially Planned (COS)]]</f>
        <v>3</v>
      </c>
      <c r="O5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53" s="173">
        <f>IFERROR(IF(Tabelle132456[[#This Row],[Status]]=$I$5,MIN(Tabelle132456[[#This Row],[Jira Story Points]],Tabelle132456[[#This Row],[Carry-over]]),0),0)</f>
        <v>0</v>
      </c>
      <c r="Q53" s="173">
        <f>IFERROR(IF(Tabelle132456[[#This Row],[Status]]=$I$5,0,MIN(Tabelle132456[[#This Row],[Jira Story Points]],Tabelle132456[[#This Row],[Carry-over]])-Tabelle132456[[#This Row],[SP Completed (COS &amp; SOS)]]),0)</f>
        <v>0</v>
      </c>
      <c r="AJ53" s="112"/>
      <c r="AK53" s="112"/>
      <c r="AL53" s="112"/>
      <c r="AM53" s="112"/>
    </row>
    <row r="54" spans="1:39" s="46" customFormat="1" ht="14.45" customHeight="1">
      <c r="A54" s="168" t="s">
        <v>3021</v>
      </c>
      <c r="B54" s="47" t="s">
        <v>3022</v>
      </c>
      <c r="C54" s="76" t="s">
        <v>372</v>
      </c>
      <c r="D54" s="76">
        <v>3</v>
      </c>
      <c r="E54" s="76" t="s">
        <v>324</v>
      </c>
      <c r="F54" s="104">
        <v>5</v>
      </c>
      <c r="G54" s="76" t="s">
        <v>35</v>
      </c>
      <c r="H54" s="83"/>
      <c r="I54" s="120"/>
      <c r="J54" s="76" t="s">
        <v>125</v>
      </c>
      <c r="K54" s="104"/>
      <c r="L54" s="104"/>
      <c r="M54" s="174">
        <f>IF(Tabelle132456[[#This Row],[Pulled after Start]]="",MIN(Tabelle132456[[#This Row],[Jira Story Points]],Tabelle132456[[#This Row],[Carry-over]]),0)</f>
        <v>5</v>
      </c>
      <c r="N54" s="173">
        <f>MIN(Tabelle132456[[#This Row],[Jira Story Points]],Tabelle132456[[#This Row],[Carry-over]])-Tabelle132456[[#This Row],[SP Initially Planned (COS)]]</f>
        <v>0</v>
      </c>
      <c r="O5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5</v>
      </c>
      <c r="P54" s="173">
        <f>IFERROR(IF(Tabelle132456[[#This Row],[Status]]=$I$5,MIN(Tabelle132456[[#This Row],[Jira Story Points]],Tabelle132456[[#This Row],[Carry-over]]),0),0)</f>
        <v>0</v>
      </c>
      <c r="Q54" s="173">
        <f>IFERROR(IF(Tabelle132456[[#This Row],[Status]]=$I$5,0,MIN(Tabelle132456[[#This Row],[Jira Story Points]],Tabelle132456[[#This Row],[Carry-over]])-Tabelle132456[[#This Row],[SP Completed (COS &amp; SOS)]]),0)</f>
        <v>0</v>
      </c>
      <c r="AJ54" s="112"/>
      <c r="AK54" s="112"/>
      <c r="AL54" s="112"/>
      <c r="AM54" s="112"/>
    </row>
    <row r="55" spans="1:39" s="46" customFormat="1">
      <c r="A55" s="157" t="s">
        <v>3023</v>
      </c>
      <c r="B55" s="47" t="s">
        <v>3024</v>
      </c>
      <c r="C55" s="76" t="s">
        <v>372</v>
      </c>
      <c r="D55" s="76">
        <v>3</v>
      </c>
      <c r="E55" s="76" t="s">
        <v>324</v>
      </c>
      <c r="F55" s="104">
        <v>3</v>
      </c>
      <c r="G55" s="76" t="s">
        <v>35</v>
      </c>
      <c r="H55" s="83"/>
      <c r="I55" s="103"/>
      <c r="J55" s="76" t="s">
        <v>125</v>
      </c>
      <c r="K55" s="104"/>
      <c r="L55" s="104"/>
      <c r="M55" s="174">
        <f>IF(Tabelle132456[[#This Row],[Pulled after Start]]="",MIN(Tabelle132456[[#This Row],[Jira Story Points]],Tabelle132456[[#This Row],[Carry-over]]),0)</f>
        <v>3</v>
      </c>
      <c r="N55" s="173">
        <f>MIN(Tabelle132456[[#This Row],[Jira Story Points]],Tabelle132456[[#This Row],[Carry-over]])-Tabelle132456[[#This Row],[SP Initially Planned (COS)]]</f>
        <v>0</v>
      </c>
      <c r="O5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55" s="173">
        <f>IFERROR(IF(Tabelle132456[[#This Row],[Status]]=$I$5,MIN(Tabelle132456[[#This Row],[Jira Story Points]],Tabelle132456[[#This Row],[Carry-over]]),0),0)</f>
        <v>0</v>
      </c>
      <c r="Q55" s="173">
        <f>IFERROR(IF(Tabelle132456[[#This Row],[Status]]=$I$5,0,MIN(Tabelle132456[[#This Row],[Jira Story Points]],Tabelle132456[[#This Row],[Carry-over]])-Tabelle132456[[#This Row],[SP Completed (COS &amp; SOS)]]),0)</f>
        <v>0</v>
      </c>
      <c r="AJ55" s="112"/>
      <c r="AK55" s="112"/>
      <c r="AL55" s="112"/>
      <c r="AM55" s="112"/>
    </row>
    <row r="56" spans="1:39" s="46" customFormat="1">
      <c r="A56" s="157" t="s">
        <v>2489</v>
      </c>
      <c r="B56" s="47" t="s">
        <v>3025</v>
      </c>
      <c r="C56" s="76" t="s">
        <v>375</v>
      </c>
      <c r="D56" s="76">
        <v>3</v>
      </c>
      <c r="E56" s="76" t="s">
        <v>637</v>
      </c>
      <c r="F56" s="104">
        <v>3</v>
      </c>
      <c r="G56" s="76" t="s">
        <v>35</v>
      </c>
      <c r="H56" s="83"/>
      <c r="I56" s="120"/>
      <c r="J56" s="76" t="s">
        <v>127</v>
      </c>
      <c r="K56" s="104"/>
      <c r="L56" s="104"/>
      <c r="M56" s="174">
        <f>IF(Tabelle132456[[#This Row],[Pulled after Start]]="",MIN(Tabelle132456[[#This Row],[Jira Story Points]],Tabelle132456[[#This Row],[Carry-over]]),0)</f>
        <v>3</v>
      </c>
      <c r="N56" s="173">
        <f>MIN(Tabelle132456[[#This Row],[Jira Story Points]],Tabelle132456[[#This Row],[Carry-over]])-Tabelle132456[[#This Row],[SP Initially Planned (COS)]]</f>
        <v>0</v>
      </c>
      <c r="O5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6" s="173">
        <f>IFERROR(IF(Tabelle132456[[#This Row],[Status]]=$I$5,MIN(Tabelle132456[[#This Row],[Jira Story Points]],Tabelle132456[[#This Row],[Carry-over]]),0),0)</f>
        <v>0</v>
      </c>
      <c r="Q56" s="173">
        <f>IFERROR(IF(Tabelle132456[[#This Row],[Status]]=$I$5,0,MIN(Tabelle132456[[#This Row],[Jira Story Points]],Tabelle132456[[#This Row],[Carry-over]])-Tabelle132456[[#This Row],[SP Completed (COS &amp; SOS)]]),0)</f>
        <v>3</v>
      </c>
      <c r="AJ56" s="112"/>
      <c r="AK56" s="112"/>
      <c r="AL56" s="112"/>
      <c r="AM56" s="112"/>
    </row>
    <row r="57" spans="1:39" s="46" customFormat="1">
      <c r="A57" s="168" t="s">
        <v>3026</v>
      </c>
      <c r="B57" s="47" t="s">
        <v>3027</v>
      </c>
      <c r="C57" s="76" t="s">
        <v>372</v>
      </c>
      <c r="D57" s="76">
        <v>3</v>
      </c>
      <c r="E57" s="76" t="s">
        <v>324</v>
      </c>
      <c r="F57" s="104">
        <v>2</v>
      </c>
      <c r="G57" s="76" t="s">
        <v>35</v>
      </c>
      <c r="H57" s="83"/>
      <c r="I57" s="120"/>
      <c r="J57" s="76" t="s">
        <v>125</v>
      </c>
      <c r="K57" s="104"/>
      <c r="L57" s="104"/>
      <c r="M57" s="174">
        <f>IF(Tabelle132456[[#This Row],[Pulled after Start]]="",MIN(Tabelle132456[[#This Row],[Jira Story Points]],Tabelle132456[[#This Row],[Carry-over]]),0)</f>
        <v>2</v>
      </c>
      <c r="N57" s="173">
        <f>MIN(Tabelle132456[[#This Row],[Jira Story Points]],Tabelle132456[[#This Row],[Carry-over]])-Tabelle132456[[#This Row],[SP Initially Planned (COS)]]</f>
        <v>0</v>
      </c>
      <c r="O5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2</v>
      </c>
      <c r="P57" s="173">
        <f>IFERROR(IF(Tabelle132456[[#This Row],[Status]]=$I$5,MIN(Tabelle132456[[#This Row],[Jira Story Points]],Tabelle132456[[#This Row],[Carry-over]]),0),0)</f>
        <v>0</v>
      </c>
      <c r="Q57" s="173">
        <f>IFERROR(IF(Tabelle132456[[#This Row],[Status]]=$I$5,0,MIN(Tabelle132456[[#This Row],[Jira Story Points]],Tabelle132456[[#This Row],[Carry-over]])-Tabelle132456[[#This Row],[SP Completed (COS &amp; SOS)]]),0)</f>
        <v>0</v>
      </c>
      <c r="AJ57" s="112"/>
      <c r="AK57" s="112"/>
      <c r="AL57" s="112"/>
      <c r="AM57" s="112"/>
    </row>
    <row r="58" spans="1:39" s="46" customFormat="1">
      <c r="A58" s="157" t="s">
        <v>2770</v>
      </c>
      <c r="B58" s="47" t="s">
        <v>2771</v>
      </c>
      <c r="C58" s="76" t="s">
        <v>372</v>
      </c>
      <c r="D58" s="76">
        <v>3</v>
      </c>
      <c r="E58" s="76" t="s">
        <v>327</v>
      </c>
      <c r="F58" s="104">
        <v>20</v>
      </c>
      <c r="G58" s="76" t="s">
        <v>35</v>
      </c>
      <c r="H58" s="83" t="s">
        <v>209</v>
      </c>
      <c r="I58" s="103"/>
      <c r="J58" s="76" t="s">
        <v>127</v>
      </c>
      <c r="K58" s="104"/>
      <c r="L58" s="104"/>
      <c r="M58" s="174">
        <f>IF(Tabelle132456[[#This Row],[Pulled after Start]]="",MIN(Tabelle132456[[#This Row],[Jira Story Points]],Tabelle132456[[#This Row],[Carry-over]]),0)</f>
        <v>0</v>
      </c>
      <c r="N58" s="173">
        <f>MIN(Tabelle132456[[#This Row],[Jira Story Points]],Tabelle132456[[#This Row],[Carry-over]])-Tabelle132456[[#This Row],[SP Initially Planned (COS)]]</f>
        <v>20</v>
      </c>
      <c r="O5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8" s="173">
        <f>IFERROR(IF(Tabelle132456[[#This Row],[Status]]=$I$5,MIN(Tabelle132456[[#This Row],[Jira Story Points]],Tabelle132456[[#This Row],[Carry-over]]),0),0)</f>
        <v>0</v>
      </c>
      <c r="Q58" s="173">
        <f>IFERROR(IF(Tabelle132456[[#This Row],[Status]]=$I$5,0,MIN(Tabelle132456[[#This Row],[Jira Story Points]],Tabelle132456[[#This Row],[Carry-over]])-Tabelle132456[[#This Row],[SP Completed (COS &amp; SOS)]]),0)</f>
        <v>20</v>
      </c>
      <c r="AJ58" s="112"/>
      <c r="AK58" s="112"/>
      <c r="AL58" s="112"/>
      <c r="AM58" s="112"/>
    </row>
    <row r="59" spans="1:39" s="46" customFormat="1">
      <c r="A59" s="157" t="s">
        <v>3028</v>
      </c>
      <c r="B59" s="47" t="s">
        <v>3029</v>
      </c>
      <c r="C59" s="76" t="s">
        <v>375</v>
      </c>
      <c r="D59" s="76">
        <v>2</v>
      </c>
      <c r="E59" s="76" t="s">
        <v>324</v>
      </c>
      <c r="F59" s="104">
        <v>3</v>
      </c>
      <c r="G59" s="76" t="s">
        <v>35</v>
      </c>
      <c r="H59" s="83"/>
      <c r="I59" s="103"/>
      <c r="J59" s="76" t="s">
        <v>125</v>
      </c>
      <c r="K59" s="104"/>
      <c r="L59" s="104"/>
      <c r="M59" s="174">
        <f>IF(Tabelle132456[[#This Row],[Pulled after Start]]="",MIN(Tabelle132456[[#This Row],[Jira Story Points]],Tabelle132456[[#This Row],[Carry-over]]),0)</f>
        <v>3</v>
      </c>
      <c r="N59" s="173">
        <f>MIN(Tabelle132456[[#This Row],[Jira Story Points]],Tabelle132456[[#This Row],[Carry-over]])-Tabelle132456[[#This Row],[SP Initially Planned (COS)]]</f>
        <v>0</v>
      </c>
      <c r="O5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59" s="173">
        <f>IFERROR(IF(Tabelle132456[[#This Row],[Status]]=$I$5,MIN(Tabelle132456[[#This Row],[Jira Story Points]],Tabelle132456[[#This Row],[Carry-over]]),0),0)</f>
        <v>0</v>
      </c>
      <c r="Q59" s="173">
        <f>IFERROR(IF(Tabelle132456[[#This Row],[Status]]=$I$5,0,MIN(Tabelle132456[[#This Row],[Jira Story Points]],Tabelle132456[[#This Row],[Carry-over]])-Tabelle132456[[#This Row],[SP Completed (COS &amp; SOS)]]),0)</f>
        <v>0</v>
      </c>
      <c r="AJ59" s="112"/>
      <c r="AK59" s="112"/>
      <c r="AL59" s="112"/>
      <c r="AM59" s="112"/>
    </row>
    <row r="60" spans="1:39" s="46" customFormat="1" ht="14.45" customHeight="1">
      <c r="A60" s="157" t="s">
        <v>2780</v>
      </c>
      <c r="B60" s="47" t="s">
        <v>2781</v>
      </c>
      <c r="C60" s="76" t="s">
        <v>372</v>
      </c>
      <c r="D60" s="76">
        <v>3</v>
      </c>
      <c r="E60" s="76" t="s">
        <v>637</v>
      </c>
      <c r="F60" s="104">
        <v>2</v>
      </c>
      <c r="G60" s="76" t="s">
        <v>35</v>
      </c>
      <c r="H60" s="83"/>
      <c r="I60" s="120" t="s">
        <v>3030</v>
      </c>
      <c r="J60" s="76" t="s">
        <v>127</v>
      </c>
      <c r="K60" s="104"/>
      <c r="L60" s="104"/>
      <c r="M60" s="174">
        <f>IF(Tabelle132456[[#This Row],[Pulled after Start]]="",MIN(Tabelle132456[[#This Row],[Jira Story Points]],Tabelle132456[[#This Row],[Carry-over]]),0)</f>
        <v>2</v>
      </c>
      <c r="N60" s="173">
        <f>MIN(Tabelle132456[[#This Row],[Jira Story Points]],Tabelle132456[[#This Row],[Carry-over]])-Tabelle132456[[#This Row],[SP Initially Planned (COS)]]</f>
        <v>0</v>
      </c>
      <c r="O6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0" s="173">
        <f>IFERROR(IF(Tabelle132456[[#This Row],[Status]]=$I$5,MIN(Tabelle132456[[#This Row],[Jira Story Points]],Tabelle132456[[#This Row],[Carry-over]]),0),0)</f>
        <v>0</v>
      </c>
      <c r="Q60" s="173">
        <f>IFERROR(IF(Tabelle132456[[#This Row],[Status]]=$I$5,0,MIN(Tabelle132456[[#This Row],[Jira Story Points]],Tabelle132456[[#This Row],[Carry-over]])-Tabelle132456[[#This Row],[SP Completed (COS &amp; SOS)]]),0)</f>
        <v>2</v>
      </c>
      <c r="AJ60" s="112"/>
      <c r="AK60" s="112"/>
      <c r="AL60" s="112"/>
      <c r="AM60" s="112"/>
    </row>
    <row r="61" spans="1:39" s="46" customFormat="1" ht="14.45" customHeight="1">
      <c r="A61" s="166" t="s">
        <v>3031</v>
      </c>
      <c r="B61" s="47" t="s">
        <v>3032</v>
      </c>
      <c r="C61" s="76" t="s">
        <v>372</v>
      </c>
      <c r="D61" s="76">
        <v>3</v>
      </c>
      <c r="E61" s="76" t="s">
        <v>324</v>
      </c>
      <c r="F61" s="104">
        <v>2</v>
      </c>
      <c r="G61" s="76" t="s">
        <v>35</v>
      </c>
      <c r="H61" s="83"/>
      <c r="I61" s="103"/>
      <c r="J61" s="76" t="s">
        <v>125</v>
      </c>
      <c r="K61" s="104"/>
      <c r="L61" s="104"/>
      <c r="M61" s="174">
        <f>IF(Tabelle132456[[#This Row],[Pulled after Start]]="",MIN(Tabelle132456[[#This Row],[Jira Story Points]],Tabelle132456[[#This Row],[Carry-over]]),0)</f>
        <v>2</v>
      </c>
      <c r="N61" s="173">
        <f>MIN(Tabelle132456[[#This Row],[Jira Story Points]],Tabelle132456[[#This Row],[Carry-over]])-Tabelle132456[[#This Row],[SP Initially Planned (COS)]]</f>
        <v>0</v>
      </c>
      <c r="O6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2</v>
      </c>
      <c r="P61" s="173">
        <f>IFERROR(IF(Tabelle132456[[#This Row],[Status]]=$I$5,MIN(Tabelle132456[[#This Row],[Jira Story Points]],Tabelle132456[[#This Row],[Carry-over]]),0),0)</f>
        <v>0</v>
      </c>
      <c r="Q61" s="173">
        <f>IFERROR(IF(Tabelle132456[[#This Row],[Status]]=$I$5,0,MIN(Tabelle132456[[#This Row],[Jira Story Points]],Tabelle132456[[#This Row],[Carry-over]])-Tabelle132456[[#This Row],[SP Completed (COS &amp; SOS)]]),0)</f>
        <v>0</v>
      </c>
      <c r="AJ61" s="112"/>
      <c r="AK61" s="112"/>
      <c r="AL61" s="112"/>
      <c r="AM61" s="112"/>
    </row>
    <row r="62" spans="1:39" s="46" customFormat="1" ht="14.45" customHeight="1">
      <c r="A62" s="166" t="s">
        <v>3033</v>
      </c>
      <c r="B62" s="47" t="s">
        <v>2152</v>
      </c>
      <c r="C62" s="76" t="s">
        <v>382</v>
      </c>
      <c r="D62" s="76">
        <v>3</v>
      </c>
      <c r="E62" s="76" t="s">
        <v>324</v>
      </c>
      <c r="F62" s="104" t="s">
        <v>210</v>
      </c>
      <c r="G62" s="76" t="s">
        <v>35</v>
      </c>
      <c r="H62" s="83" t="s">
        <v>209</v>
      </c>
      <c r="I62" s="103"/>
      <c r="J62" s="76" t="s">
        <v>125</v>
      </c>
      <c r="K62" s="104"/>
      <c r="L62" s="104"/>
      <c r="M62" s="174">
        <f>IF(Tabelle132456[[#This Row],[Pulled after Start]]="",MIN(Tabelle132456[[#This Row],[Jira Story Points]],Tabelle132456[[#This Row],[Carry-over]]),0)</f>
        <v>0</v>
      </c>
      <c r="N62" s="173">
        <f>MIN(Tabelle132456[[#This Row],[Jira Story Points]],Tabelle132456[[#This Row],[Carry-over]])-Tabelle132456[[#This Row],[SP Initially Planned (COS)]]</f>
        <v>0</v>
      </c>
      <c r="O62" s="172" t="str">
        <f>IFERROR(IF(Tabelle132456[[#This Row],[Status]]=$I$5,0,IF(AND(Tabelle132456[[#This Row],[Status]]=$H$5,Tabelle132456[[#This Row],[Spill-over]]=0),0,IF(Tabelle132456[[#This Row],[Carry-over]]&lt;&gt;0,Tabelle132456[[#This Row],[Carry-over]]-Tabelle132456[[#This Row],[Spill-over]],Tabelle132456[[#This Row],[Jira Story Points]]-Tabelle132456[[#This Row],[Spill-over]]))),"-")</f>
        <v>-</v>
      </c>
      <c r="P62" s="173">
        <f>IFERROR(IF(Tabelle132456[[#This Row],[Status]]=$I$5,MIN(Tabelle132456[[#This Row],[Jira Story Points]],Tabelle132456[[#This Row],[Carry-over]]),0),0)</f>
        <v>0</v>
      </c>
      <c r="Q62" s="173">
        <f>IFERROR(IF(Tabelle132456[[#This Row],[Status]]=$I$5,0,MIN(Tabelle132456[[#This Row],[Jira Story Points]],Tabelle132456[[#This Row],[Carry-over]])-Tabelle132456[[#This Row],[SP Completed (COS &amp; SOS)]]),0)</f>
        <v>0</v>
      </c>
      <c r="AJ62" s="112"/>
      <c r="AK62" s="112"/>
      <c r="AL62" s="112"/>
      <c r="AM62" s="112"/>
    </row>
    <row r="63" spans="1:39" s="46" customFormat="1" ht="14.45" customHeight="1">
      <c r="A63" s="157" t="s">
        <v>2792</v>
      </c>
      <c r="B63" s="47" t="s">
        <v>2793</v>
      </c>
      <c r="C63" s="76" t="s">
        <v>382</v>
      </c>
      <c r="D63" s="76">
        <v>3</v>
      </c>
      <c r="E63" s="76" t="s">
        <v>637</v>
      </c>
      <c r="F63" s="104" t="s">
        <v>210</v>
      </c>
      <c r="G63" s="76" t="s">
        <v>35</v>
      </c>
      <c r="H63" s="83" t="s">
        <v>209</v>
      </c>
      <c r="I63" s="103"/>
      <c r="J63" s="76" t="s">
        <v>127</v>
      </c>
      <c r="K63" s="104"/>
      <c r="L63" s="104"/>
      <c r="M63" s="174">
        <f>IF(Tabelle132456[[#This Row],[Pulled after Start]]="",MIN(Tabelle132456[[#This Row],[Jira Story Points]],Tabelle132456[[#This Row],[Carry-over]]),0)</f>
        <v>0</v>
      </c>
      <c r="N63" s="173">
        <f>MIN(Tabelle132456[[#This Row],[Jira Story Points]],Tabelle132456[[#This Row],[Carry-over]])-Tabelle132456[[#This Row],[SP Initially Planned (COS)]]</f>
        <v>0</v>
      </c>
      <c r="O6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3" s="173">
        <f>IFERROR(IF(Tabelle132456[[#This Row],[Status]]=$I$5,MIN(Tabelle132456[[#This Row],[Jira Story Points]],Tabelle132456[[#This Row],[Carry-over]]),0),0)</f>
        <v>0</v>
      </c>
      <c r="Q63" s="173">
        <f>IFERROR(IF(Tabelle132456[[#This Row],[Status]]=$I$5,0,MIN(Tabelle132456[[#This Row],[Jira Story Points]],Tabelle132456[[#This Row],[Carry-over]])-Tabelle132456[[#This Row],[SP Completed (COS &amp; SOS)]]),0)</f>
        <v>0</v>
      </c>
      <c r="AJ63" s="112"/>
      <c r="AK63" s="112"/>
      <c r="AL63" s="112"/>
      <c r="AM63" s="112"/>
    </row>
    <row r="64" spans="1:39" s="46" customFormat="1" ht="14.45" customHeight="1">
      <c r="A64" s="166" t="s">
        <v>3034</v>
      </c>
      <c r="B64" s="47" t="s">
        <v>3035</v>
      </c>
      <c r="C64" s="76" t="s">
        <v>382</v>
      </c>
      <c r="D64" s="76">
        <v>3</v>
      </c>
      <c r="E64" s="76" t="s">
        <v>330</v>
      </c>
      <c r="F64" s="104" t="s">
        <v>210</v>
      </c>
      <c r="G64" s="76" t="s">
        <v>35</v>
      </c>
      <c r="H64" s="83" t="s">
        <v>209</v>
      </c>
      <c r="I64" s="103"/>
      <c r="J64" s="76" t="s">
        <v>127</v>
      </c>
      <c r="K64" s="104"/>
      <c r="L64" s="104"/>
      <c r="M64" s="174">
        <f>IF(Tabelle132456[[#This Row],[Pulled after Start]]="",MIN(Tabelle132456[[#This Row],[Jira Story Points]],Tabelle132456[[#This Row],[Carry-over]]),0)</f>
        <v>0</v>
      </c>
      <c r="N64" s="173">
        <f>MIN(Tabelle132456[[#This Row],[Jira Story Points]],Tabelle132456[[#This Row],[Carry-over]])-Tabelle132456[[#This Row],[SP Initially Planned (COS)]]</f>
        <v>0</v>
      </c>
      <c r="O6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4" s="173">
        <f>IFERROR(IF(Tabelle132456[[#This Row],[Status]]=$I$5,MIN(Tabelle132456[[#This Row],[Jira Story Points]],Tabelle132456[[#This Row],[Carry-over]]),0),0)</f>
        <v>0</v>
      </c>
      <c r="Q64" s="173">
        <f>IFERROR(IF(Tabelle132456[[#This Row],[Status]]=$I$5,0,MIN(Tabelle132456[[#This Row],[Jira Story Points]],Tabelle132456[[#This Row],[Carry-over]])-Tabelle132456[[#This Row],[SP Completed (COS &amp; SOS)]]),0)</f>
        <v>0</v>
      </c>
    </row>
    <row r="65" spans="1:17" s="46" customFormat="1" ht="14.45" customHeight="1">
      <c r="A65" s="166" t="s">
        <v>2796</v>
      </c>
      <c r="B65" s="47" t="s">
        <v>2797</v>
      </c>
      <c r="C65" s="76" t="s">
        <v>372</v>
      </c>
      <c r="D65" s="76">
        <v>3</v>
      </c>
      <c r="E65" s="76" t="s">
        <v>327</v>
      </c>
      <c r="F65" s="104">
        <v>2</v>
      </c>
      <c r="G65" s="76" t="s">
        <v>35</v>
      </c>
      <c r="H65" s="83" t="s">
        <v>209</v>
      </c>
      <c r="I65" s="120" t="s">
        <v>3036</v>
      </c>
      <c r="J65" s="76" t="s">
        <v>127</v>
      </c>
      <c r="K65" s="104"/>
      <c r="L65" s="104"/>
      <c r="M65" s="174">
        <f>IF(Tabelle132456[[#This Row],[Pulled after Start]]="",MIN(Tabelle132456[[#This Row],[Jira Story Points]],Tabelle132456[[#This Row],[Carry-over]]),0)</f>
        <v>0</v>
      </c>
      <c r="N65" s="173">
        <f>MIN(Tabelle132456[[#This Row],[Jira Story Points]],Tabelle132456[[#This Row],[Carry-over]])-Tabelle132456[[#This Row],[SP Initially Planned (COS)]]</f>
        <v>2</v>
      </c>
      <c r="O6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5" s="173">
        <f>IFERROR(IF(Tabelle132456[[#This Row],[Status]]=$I$5,MIN(Tabelle132456[[#This Row],[Jira Story Points]],Tabelle132456[[#This Row],[Carry-over]]),0),0)</f>
        <v>0</v>
      </c>
      <c r="Q65" s="173">
        <f>IFERROR(IF(Tabelle132456[[#This Row],[Status]]=$I$5,0,MIN(Tabelle132456[[#This Row],[Jira Story Points]],Tabelle132456[[#This Row],[Carry-over]])-Tabelle132456[[#This Row],[SP Completed (COS &amp; SOS)]]),0)</f>
        <v>2</v>
      </c>
    </row>
    <row r="66" spans="1:17" s="46" customFormat="1" ht="14.45" customHeight="1">
      <c r="A66" s="158" t="s">
        <v>2153</v>
      </c>
      <c r="B66" s="47" t="s">
        <v>2154</v>
      </c>
      <c r="C66" s="76" t="s">
        <v>372</v>
      </c>
      <c r="D66" s="76">
        <v>3</v>
      </c>
      <c r="E66" s="76" t="s">
        <v>327</v>
      </c>
      <c r="F66" s="104">
        <v>1</v>
      </c>
      <c r="G66" s="76" t="s">
        <v>35</v>
      </c>
      <c r="H66" s="76"/>
      <c r="I66" s="120"/>
      <c r="J66" s="76" t="s">
        <v>127</v>
      </c>
      <c r="K66" s="76"/>
      <c r="L66" s="76"/>
      <c r="M66" s="174">
        <f>IF(Tabelle132456[[#This Row],[Pulled after Start]]="",MIN(Tabelle132456[[#This Row],[Jira Story Points]],Tabelle132456[[#This Row],[Carry-over]]),0)</f>
        <v>1</v>
      </c>
      <c r="N66" s="173">
        <f>MIN(Tabelle132456[[#This Row],[Jira Story Points]],Tabelle132456[[#This Row],[Carry-over]])-Tabelle132456[[#This Row],[SP Initially Planned (COS)]]</f>
        <v>0</v>
      </c>
      <c r="O6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6" s="173">
        <f>IFERROR(IF(Tabelle132456[[#This Row],[Status]]=$I$5,MIN(Tabelle132456[[#This Row],[Jira Story Points]],Tabelle132456[[#This Row],[Carry-over]]),0),0)</f>
        <v>0</v>
      </c>
      <c r="Q66" s="173">
        <f>IFERROR(IF(Tabelle132456[[#This Row],[Status]]=$I$5,0,MIN(Tabelle132456[[#This Row],[Jira Story Points]],Tabelle132456[[#This Row],[Carry-over]])-Tabelle132456[[#This Row],[SP Completed (COS &amp; SOS)]]),0)</f>
        <v>1</v>
      </c>
    </row>
    <row r="67" spans="1:17" s="46" customFormat="1" ht="14.45" customHeight="1">
      <c r="A67" s="187" t="s">
        <v>3037</v>
      </c>
      <c r="B67" s="57" t="s">
        <v>3038</v>
      </c>
      <c r="C67" s="188" t="s">
        <v>372</v>
      </c>
      <c r="D67" s="188">
        <v>3</v>
      </c>
      <c r="E67" s="188" t="s">
        <v>324</v>
      </c>
      <c r="F67" s="189">
        <v>5</v>
      </c>
      <c r="G67" s="188" t="s">
        <v>9</v>
      </c>
      <c r="H67" s="190"/>
      <c r="I67" s="191"/>
      <c r="J67" s="188" t="s">
        <v>125</v>
      </c>
      <c r="K67" s="189"/>
      <c r="L67" s="189"/>
      <c r="M67" s="174">
        <f>IF(Tabelle132456[[#This Row],[Pulled after Start]]="",MIN(Tabelle132456[[#This Row],[Jira Story Points]],Tabelle132456[[#This Row],[Carry-over]]),0)</f>
        <v>5</v>
      </c>
      <c r="N67" s="173">
        <f>MIN(Tabelle132456[[#This Row],[Jira Story Points]],Tabelle132456[[#This Row],[Carry-over]])-Tabelle132456[[#This Row],[SP Initially Planned (COS)]]</f>
        <v>0</v>
      </c>
      <c r="O6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5</v>
      </c>
      <c r="P67" s="173">
        <f>IFERROR(IF(Tabelle132456[[#This Row],[Status]]=$I$5,MIN(Tabelle132456[[#This Row],[Jira Story Points]],Tabelle132456[[#This Row],[Carry-over]]),0),0)</f>
        <v>0</v>
      </c>
      <c r="Q67" s="173">
        <f>IFERROR(IF(Tabelle132456[[#This Row],[Status]]=$I$5,0,MIN(Tabelle132456[[#This Row],[Jira Story Points]],Tabelle132456[[#This Row],[Carry-over]])-Tabelle132456[[#This Row],[SP Completed (COS &amp; SOS)]]),0)</f>
        <v>0</v>
      </c>
    </row>
    <row r="68" spans="1:17" s="46" customFormat="1" ht="14.45" customHeight="1">
      <c r="A68" s="192" t="s">
        <v>3039</v>
      </c>
      <c r="B68" s="47" t="s">
        <v>3040</v>
      </c>
      <c r="C68" s="76" t="s">
        <v>372</v>
      </c>
      <c r="D68" s="76">
        <v>3</v>
      </c>
      <c r="E68" s="76" t="s">
        <v>324</v>
      </c>
      <c r="F68" s="104">
        <v>1</v>
      </c>
      <c r="G68" s="76" t="s">
        <v>9</v>
      </c>
      <c r="H68" s="83"/>
      <c r="I68" s="103"/>
      <c r="J68" s="76" t="s">
        <v>125</v>
      </c>
      <c r="K68" s="104"/>
      <c r="L68" s="104"/>
      <c r="M68" s="174">
        <f>IF(Tabelle132456[[#This Row],[Pulled after Start]]="",MIN(Tabelle132456[[#This Row],[Jira Story Points]],Tabelle132456[[#This Row],[Carry-over]]),0)</f>
        <v>1</v>
      </c>
      <c r="N68" s="173">
        <f>MIN(Tabelle132456[[#This Row],[Jira Story Points]],Tabelle132456[[#This Row],[Carry-over]])-Tabelle132456[[#This Row],[SP Initially Planned (COS)]]</f>
        <v>0</v>
      </c>
      <c r="O6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1</v>
      </c>
      <c r="P68" s="173">
        <f>IFERROR(IF(Tabelle132456[[#This Row],[Status]]=$I$5,MIN(Tabelle132456[[#This Row],[Jira Story Points]],Tabelle132456[[#This Row],[Carry-over]]),0),0)</f>
        <v>0</v>
      </c>
      <c r="Q68" s="173">
        <f>IFERROR(IF(Tabelle132456[[#This Row],[Status]]=$I$5,0,MIN(Tabelle132456[[#This Row],[Jira Story Points]],Tabelle132456[[#This Row],[Carry-over]])-Tabelle132456[[#This Row],[SP Completed (COS &amp; SOS)]]),0)</f>
        <v>0</v>
      </c>
    </row>
    <row r="69" spans="1:17" s="46" customFormat="1" ht="14.45" customHeight="1">
      <c r="A69" s="183" t="s">
        <v>2823</v>
      </c>
      <c r="B69" s="57" t="s">
        <v>2824</v>
      </c>
      <c r="C69" s="188" t="s">
        <v>372</v>
      </c>
      <c r="D69" s="188">
        <v>3</v>
      </c>
      <c r="E69" s="188" t="s">
        <v>327</v>
      </c>
      <c r="F69" s="189">
        <v>8</v>
      </c>
      <c r="G69" s="188" t="s">
        <v>9</v>
      </c>
      <c r="H69" s="190"/>
      <c r="I69" s="191"/>
      <c r="J69" s="188" t="s">
        <v>127</v>
      </c>
      <c r="K69" s="189"/>
      <c r="L69" s="189">
        <v>2</v>
      </c>
      <c r="M69" s="174">
        <f>IF(Tabelle132456[[#This Row],[Pulled after Start]]="",MIN(Tabelle132456[[#This Row],[Jira Story Points]],Tabelle132456[[#This Row],[Carry-over]]),0)</f>
        <v>8</v>
      </c>
      <c r="N69" s="173">
        <f>MIN(Tabelle132456[[#This Row],[Jira Story Points]],Tabelle132456[[#This Row],[Carry-over]])-Tabelle132456[[#This Row],[SP Initially Planned (COS)]]</f>
        <v>0</v>
      </c>
      <c r="O6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6</v>
      </c>
      <c r="P69" s="173">
        <f>IFERROR(IF(Tabelle132456[[#This Row],[Status]]=$I$5,MIN(Tabelle132456[[#This Row],[Jira Story Points]],Tabelle132456[[#This Row],[Carry-over]]),0),0)</f>
        <v>0</v>
      </c>
      <c r="Q69" s="173">
        <f>IFERROR(IF(Tabelle132456[[#This Row],[Status]]=$I$5,0,MIN(Tabelle132456[[#This Row],[Jira Story Points]],Tabelle132456[[#This Row],[Carry-over]])-Tabelle132456[[#This Row],[SP Completed (COS &amp; SOS)]]),0)</f>
        <v>2</v>
      </c>
    </row>
    <row r="70" spans="1:17" s="46" customFormat="1" ht="14.45" customHeight="1">
      <c r="A70" s="192" t="s">
        <v>3041</v>
      </c>
      <c r="B70" s="47" t="s">
        <v>3042</v>
      </c>
      <c r="C70" s="76" t="s">
        <v>372</v>
      </c>
      <c r="D70" s="76">
        <v>3</v>
      </c>
      <c r="E70" s="76" t="s">
        <v>324</v>
      </c>
      <c r="F70" s="104">
        <v>2</v>
      </c>
      <c r="G70" s="76" t="s">
        <v>9</v>
      </c>
      <c r="H70" s="83"/>
      <c r="I70" s="103"/>
      <c r="J70" s="76" t="s">
        <v>125</v>
      </c>
      <c r="K70" s="104"/>
      <c r="L70" s="104"/>
      <c r="M70" s="174">
        <f>IF(Tabelle132456[[#This Row],[Pulled after Start]]="",MIN(Tabelle132456[[#This Row],[Jira Story Points]],Tabelle132456[[#This Row],[Carry-over]]),0)</f>
        <v>2</v>
      </c>
      <c r="N70" s="173">
        <f>MIN(Tabelle132456[[#This Row],[Jira Story Points]],Tabelle132456[[#This Row],[Carry-over]])-Tabelle132456[[#This Row],[SP Initially Planned (COS)]]</f>
        <v>0</v>
      </c>
      <c r="O7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2</v>
      </c>
      <c r="P70" s="173">
        <f>IFERROR(IF(Tabelle132456[[#This Row],[Status]]=$I$5,MIN(Tabelle132456[[#This Row],[Jira Story Points]],Tabelle132456[[#This Row],[Carry-over]]),0),0)</f>
        <v>0</v>
      </c>
      <c r="Q70" s="173">
        <f>IFERROR(IF(Tabelle132456[[#This Row],[Status]]=$I$5,0,MIN(Tabelle132456[[#This Row],[Jira Story Points]],Tabelle132456[[#This Row],[Carry-over]])-Tabelle132456[[#This Row],[SP Completed (COS &amp; SOS)]]),0)</f>
        <v>0</v>
      </c>
    </row>
    <row r="71" spans="1:17" s="46" customFormat="1" ht="14.45" customHeight="1">
      <c r="A71" s="187" t="s">
        <v>3043</v>
      </c>
      <c r="B71" s="57" t="s">
        <v>3044</v>
      </c>
      <c r="C71" s="188" t="s">
        <v>372</v>
      </c>
      <c r="D71" s="188">
        <v>3</v>
      </c>
      <c r="E71" s="188" t="s">
        <v>324</v>
      </c>
      <c r="F71" s="189">
        <v>3</v>
      </c>
      <c r="G71" s="188" t="s">
        <v>9</v>
      </c>
      <c r="H71" s="190"/>
      <c r="I71" s="191"/>
      <c r="J71" s="188" t="s">
        <v>125</v>
      </c>
      <c r="K71" s="189"/>
      <c r="L71" s="189"/>
      <c r="M71" s="174">
        <f>IF(Tabelle132456[[#This Row],[Pulled after Start]]="",MIN(Tabelle132456[[#This Row],[Jira Story Points]],Tabelle132456[[#This Row],[Carry-over]]),0)</f>
        <v>3</v>
      </c>
      <c r="N71" s="173">
        <f>MIN(Tabelle132456[[#This Row],[Jira Story Points]],Tabelle132456[[#This Row],[Carry-over]])-Tabelle132456[[#This Row],[SP Initially Planned (COS)]]</f>
        <v>0</v>
      </c>
      <c r="O7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71" s="173">
        <f>IFERROR(IF(Tabelle132456[[#This Row],[Status]]=$I$5,MIN(Tabelle132456[[#This Row],[Jira Story Points]],Tabelle132456[[#This Row],[Carry-over]]),0),0)</f>
        <v>0</v>
      </c>
      <c r="Q71" s="173">
        <f>IFERROR(IF(Tabelle132456[[#This Row],[Status]]=$I$5,0,MIN(Tabelle132456[[#This Row],[Jira Story Points]],Tabelle132456[[#This Row],[Carry-over]])-Tabelle132456[[#This Row],[SP Completed (COS &amp; SOS)]]),0)</f>
        <v>0</v>
      </c>
    </row>
    <row r="72" spans="1:17" s="46" customFormat="1">
      <c r="A72" s="192" t="s">
        <v>3045</v>
      </c>
      <c r="B72" s="47" t="s">
        <v>3046</v>
      </c>
      <c r="C72" s="76" t="s">
        <v>372</v>
      </c>
      <c r="D72" s="76">
        <v>3</v>
      </c>
      <c r="E72" s="76" t="s">
        <v>324</v>
      </c>
      <c r="F72" s="104">
        <v>2</v>
      </c>
      <c r="G72" s="76" t="s">
        <v>9</v>
      </c>
      <c r="H72" s="83"/>
      <c r="I72" s="103"/>
      <c r="J72" s="76" t="s">
        <v>125</v>
      </c>
      <c r="K72" s="104"/>
      <c r="L72" s="104"/>
      <c r="M72" s="174">
        <f>IF(Tabelle132456[[#This Row],[Pulled after Start]]="",MIN(Tabelle132456[[#This Row],[Jira Story Points]],Tabelle132456[[#This Row],[Carry-over]]),0)</f>
        <v>2</v>
      </c>
      <c r="N72" s="173">
        <f>MIN(Tabelle132456[[#This Row],[Jira Story Points]],Tabelle132456[[#This Row],[Carry-over]])-Tabelle132456[[#This Row],[SP Initially Planned (COS)]]</f>
        <v>0</v>
      </c>
      <c r="O7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2</v>
      </c>
      <c r="P72" s="173">
        <f>IFERROR(IF(Tabelle132456[[#This Row],[Status]]=$I$5,MIN(Tabelle132456[[#This Row],[Jira Story Points]],Tabelle132456[[#This Row],[Carry-over]]),0),0)</f>
        <v>0</v>
      </c>
      <c r="Q72" s="173">
        <f>IFERROR(IF(Tabelle132456[[#This Row],[Status]]=$I$5,0,MIN(Tabelle132456[[#This Row],[Jira Story Points]],Tabelle132456[[#This Row],[Carry-over]])-Tabelle132456[[#This Row],[SP Completed (COS &amp; SOS)]]),0)</f>
        <v>0</v>
      </c>
    </row>
    <row r="73" spans="1:17" s="46" customFormat="1" ht="13.5" customHeight="1">
      <c r="A73" s="183" t="s">
        <v>3047</v>
      </c>
      <c r="B73" s="57" t="s">
        <v>3048</v>
      </c>
      <c r="C73" s="188" t="s">
        <v>372</v>
      </c>
      <c r="D73" s="188">
        <v>3</v>
      </c>
      <c r="E73" s="188" t="s">
        <v>324</v>
      </c>
      <c r="F73" s="189">
        <v>2</v>
      </c>
      <c r="G73" s="188" t="s">
        <v>9</v>
      </c>
      <c r="H73" s="190"/>
      <c r="I73" s="191"/>
      <c r="J73" s="188" t="s">
        <v>125</v>
      </c>
      <c r="K73" s="189"/>
      <c r="L73" s="189"/>
      <c r="M73" s="174">
        <f>IF(Tabelle132456[[#This Row],[Pulled after Start]]="",MIN(Tabelle132456[[#This Row],[Jira Story Points]],Tabelle132456[[#This Row],[Carry-over]]),0)</f>
        <v>2</v>
      </c>
      <c r="N73" s="173">
        <f>MIN(Tabelle132456[[#This Row],[Jira Story Points]],Tabelle132456[[#This Row],[Carry-over]])-Tabelle132456[[#This Row],[SP Initially Planned (COS)]]</f>
        <v>0</v>
      </c>
      <c r="O7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2</v>
      </c>
      <c r="P73" s="173">
        <f>IFERROR(IF(Tabelle132456[[#This Row],[Status]]=$I$5,MIN(Tabelle132456[[#This Row],[Jira Story Points]],Tabelle132456[[#This Row],[Carry-over]]),0),0)</f>
        <v>0</v>
      </c>
      <c r="Q73" s="173">
        <f>IFERROR(IF(Tabelle132456[[#This Row],[Status]]=$I$5,0,MIN(Tabelle132456[[#This Row],[Jira Story Points]],Tabelle132456[[#This Row],[Carry-over]])-Tabelle132456[[#This Row],[SP Completed (COS &amp; SOS)]]),0)</f>
        <v>0</v>
      </c>
    </row>
    <row r="74" spans="1:17" s="46" customFormat="1" ht="13.5" customHeight="1">
      <c r="A74" s="192" t="s">
        <v>2827</v>
      </c>
      <c r="B74" s="47" t="s">
        <v>2828</v>
      </c>
      <c r="C74" s="76" t="s">
        <v>372</v>
      </c>
      <c r="D74" s="76">
        <v>3</v>
      </c>
      <c r="E74" s="76" t="s">
        <v>327</v>
      </c>
      <c r="F74" s="104">
        <v>3</v>
      </c>
      <c r="G74" s="76" t="s">
        <v>9</v>
      </c>
      <c r="H74" s="83"/>
      <c r="I74" s="103"/>
      <c r="J74" s="76" t="s">
        <v>127</v>
      </c>
      <c r="K74" s="104"/>
      <c r="L74" s="104">
        <v>1</v>
      </c>
      <c r="M74" s="174">
        <f>IF(Tabelle132456[[#This Row],[Pulled after Start]]="",MIN(Tabelle132456[[#This Row],[Jira Story Points]],Tabelle132456[[#This Row],[Carry-over]]),0)</f>
        <v>3</v>
      </c>
      <c r="N74" s="173">
        <f>MIN(Tabelle132456[[#This Row],[Jira Story Points]],Tabelle132456[[#This Row],[Carry-over]])-Tabelle132456[[#This Row],[SP Initially Planned (COS)]]</f>
        <v>0</v>
      </c>
      <c r="O7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2</v>
      </c>
      <c r="P74" s="173">
        <f>IFERROR(IF(Tabelle132456[[#This Row],[Status]]=$I$5,MIN(Tabelle132456[[#This Row],[Jira Story Points]],Tabelle132456[[#This Row],[Carry-over]]),0),0)</f>
        <v>0</v>
      </c>
      <c r="Q74" s="173">
        <f>IFERROR(IF(Tabelle132456[[#This Row],[Status]]=$I$5,0,MIN(Tabelle132456[[#This Row],[Jira Story Points]],Tabelle132456[[#This Row],[Carry-over]])-Tabelle132456[[#This Row],[SP Completed (COS &amp; SOS)]]),0)</f>
        <v>1</v>
      </c>
    </row>
    <row r="75" spans="1:17" s="46" customFormat="1" ht="13.5" customHeight="1">
      <c r="A75" s="187" t="s">
        <v>3049</v>
      </c>
      <c r="B75" s="57" t="s">
        <v>3050</v>
      </c>
      <c r="C75" s="188" t="s">
        <v>372</v>
      </c>
      <c r="D75" s="188">
        <v>3</v>
      </c>
      <c r="E75" s="188" t="s">
        <v>324</v>
      </c>
      <c r="F75" s="189">
        <v>2</v>
      </c>
      <c r="G75" s="188" t="s">
        <v>9</v>
      </c>
      <c r="H75" s="190"/>
      <c r="I75" s="191"/>
      <c r="J75" s="188" t="s">
        <v>125</v>
      </c>
      <c r="K75" s="189"/>
      <c r="L75" s="189"/>
      <c r="M75" s="174">
        <f>IF(Tabelle132456[[#This Row],[Pulled after Start]]="",MIN(Tabelle132456[[#This Row],[Jira Story Points]],Tabelle132456[[#This Row],[Carry-over]]),0)</f>
        <v>2</v>
      </c>
      <c r="N75" s="173">
        <f>MIN(Tabelle132456[[#This Row],[Jira Story Points]],Tabelle132456[[#This Row],[Carry-over]])-Tabelle132456[[#This Row],[SP Initially Planned (COS)]]</f>
        <v>0</v>
      </c>
      <c r="O7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2</v>
      </c>
      <c r="P75" s="173">
        <f>IFERROR(IF(Tabelle132456[[#This Row],[Status]]=$I$5,MIN(Tabelle132456[[#This Row],[Jira Story Points]],Tabelle132456[[#This Row],[Carry-over]]),0),0)</f>
        <v>0</v>
      </c>
      <c r="Q75" s="173">
        <f>IFERROR(IF(Tabelle132456[[#This Row],[Status]]=$I$5,0,MIN(Tabelle132456[[#This Row],[Jira Story Points]],Tabelle132456[[#This Row],[Carry-over]])-Tabelle132456[[#This Row],[SP Completed (COS &amp; SOS)]]),0)</f>
        <v>0</v>
      </c>
    </row>
    <row r="76" spans="1:17" s="46" customFormat="1" ht="13.5" customHeight="1">
      <c r="A76" s="192" t="s">
        <v>3051</v>
      </c>
      <c r="B76" s="47" t="s">
        <v>3052</v>
      </c>
      <c r="C76" s="76" t="s">
        <v>372</v>
      </c>
      <c r="D76" s="76">
        <v>3</v>
      </c>
      <c r="E76" s="76" t="s">
        <v>324</v>
      </c>
      <c r="F76" s="104">
        <v>3</v>
      </c>
      <c r="G76" s="76" t="s">
        <v>9</v>
      </c>
      <c r="H76" s="83" t="s">
        <v>209</v>
      </c>
      <c r="I76" s="103"/>
      <c r="J76" s="76" t="s">
        <v>125</v>
      </c>
      <c r="K76" s="104"/>
      <c r="L76" s="104"/>
      <c r="M76" s="174">
        <f>IF(Tabelle132456[[#This Row],[Pulled after Start]]="",MIN(Tabelle132456[[#This Row],[Jira Story Points]],Tabelle132456[[#This Row],[Carry-over]]),0)</f>
        <v>0</v>
      </c>
      <c r="N76" s="173">
        <f>MIN(Tabelle132456[[#This Row],[Jira Story Points]],Tabelle132456[[#This Row],[Carry-over]])-Tabelle132456[[#This Row],[SP Initially Planned (COS)]]</f>
        <v>3</v>
      </c>
      <c r="O7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76" s="173">
        <f>IFERROR(IF(Tabelle132456[[#This Row],[Status]]=$I$5,MIN(Tabelle132456[[#This Row],[Jira Story Points]],Tabelle132456[[#This Row],[Carry-over]]),0),0)</f>
        <v>0</v>
      </c>
      <c r="Q76" s="173">
        <f>IFERROR(IF(Tabelle132456[[#This Row],[Status]]=$I$5,0,MIN(Tabelle132456[[#This Row],[Jira Story Points]],Tabelle132456[[#This Row],[Carry-over]])-Tabelle132456[[#This Row],[SP Completed (COS &amp; SOS)]]),0)</f>
        <v>0</v>
      </c>
    </row>
    <row r="77" spans="1:17" s="46" customFormat="1" ht="13.5" customHeight="1">
      <c r="A77" s="183" t="s">
        <v>3053</v>
      </c>
      <c r="B77" s="57" t="s">
        <v>3054</v>
      </c>
      <c r="C77" s="188" t="s">
        <v>375</v>
      </c>
      <c r="D77" s="188">
        <v>3</v>
      </c>
      <c r="E77" s="188" t="s">
        <v>324</v>
      </c>
      <c r="F77" s="189">
        <v>2</v>
      </c>
      <c r="G77" s="188" t="s">
        <v>9</v>
      </c>
      <c r="H77" s="190" t="s">
        <v>209</v>
      </c>
      <c r="I77" s="191"/>
      <c r="J77" s="188" t="s">
        <v>125</v>
      </c>
      <c r="K77" s="189"/>
      <c r="L77" s="189"/>
      <c r="M77" s="174">
        <f>IF(Tabelle132456[[#This Row],[Pulled after Start]]="",MIN(Tabelle132456[[#This Row],[Jira Story Points]],Tabelle132456[[#This Row],[Carry-over]]),0)</f>
        <v>0</v>
      </c>
      <c r="N77" s="173">
        <f>MIN(Tabelle132456[[#This Row],[Jira Story Points]],Tabelle132456[[#This Row],[Carry-over]])-Tabelle132456[[#This Row],[SP Initially Planned (COS)]]</f>
        <v>2</v>
      </c>
      <c r="O7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2</v>
      </c>
      <c r="P77" s="173">
        <f>IFERROR(IF(Tabelle132456[[#This Row],[Status]]=$I$5,MIN(Tabelle132456[[#This Row],[Jira Story Points]],Tabelle132456[[#This Row],[Carry-over]]),0),0)</f>
        <v>0</v>
      </c>
      <c r="Q77" s="173">
        <f>IFERROR(IF(Tabelle132456[[#This Row],[Status]]=$I$5,0,MIN(Tabelle132456[[#This Row],[Jira Story Points]],Tabelle132456[[#This Row],[Carry-over]])-Tabelle132456[[#This Row],[SP Completed (COS &amp; SOS)]]),0)</f>
        <v>0</v>
      </c>
    </row>
    <row r="78" spans="1:17" s="46" customFormat="1" ht="13.5" customHeight="1">
      <c r="A78" s="192" t="s">
        <v>3055</v>
      </c>
      <c r="B78" s="47" t="s">
        <v>3056</v>
      </c>
      <c r="C78" s="76" t="s">
        <v>372</v>
      </c>
      <c r="D78" s="76">
        <v>3</v>
      </c>
      <c r="E78" s="76" t="s">
        <v>324</v>
      </c>
      <c r="F78" s="104">
        <v>2</v>
      </c>
      <c r="G78" s="76" t="s">
        <v>9</v>
      </c>
      <c r="H78" s="83" t="s">
        <v>209</v>
      </c>
      <c r="I78" s="103"/>
      <c r="J78" s="76" t="s">
        <v>125</v>
      </c>
      <c r="K78" s="104"/>
      <c r="L78" s="104"/>
      <c r="M78" s="174">
        <f>IF(Tabelle132456[[#This Row],[Pulled after Start]]="",MIN(Tabelle132456[[#This Row],[Jira Story Points]],Tabelle132456[[#This Row],[Carry-over]]),0)</f>
        <v>0</v>
      </c>
      <c r="N78" s="173">
        <f>MIN(Tabelle132456[[#This Row],[Jira Story Points]],Tabelle132456[[#This Row],[Carry-over]])-Tabelle132456[[#This Row],[SP Initially Planned (COS)]]</f>
        <v>2</v>
      </c>
      <c r="O7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2</v>
      </c>
      <c r="P78" s="173">
        <f>IFERROR(IF(Tabelle132456[[#This Row],[Status]]=$I$5,MIN(Tabelle132456[[#This Row],[Jira Story Points]],Tabelle132456[[#This Row],[Carry-over]]),0),0)</f>
        <v>0</v>
      </c>
      <c r="Q78" s="173">
        <f>IFERROR(IF(Tabelle132456[[#This Row],[Status]]=$I$5,0,MIN(Tabelle132456[[#This Row],[Jira Story Points]],Tabelle132456[[#This Row],[Carry-over]])-Tabelle132456[[#This Row],[SP Completed (COS &amp; SOS)]]),0)</f>
        <v>0</v>
      </c>
    </row>
    <row r="79" spans="1:17" s="46" customFormat="1" ht="13.5" customHeight="1">
      <c r="A79" s="88" t="s">
        <v>2557</v>
      </c>
      <c r="B79" s="46" t="s">
        <v>3057</v>
      </c>
      <c r="C79" s="76" t="s">
        <v>372</v>
      </c>
      <c r="D79" s="76">
        <v>3</v>
      </c>
      <c r="E79" s="76" t="s">
        <v>327</v>
      </c>
      <c r="F79" s="76">
        <v>3</v>
      </c>
      <c r="G79" s="76" t="s">
        <v>12</v>
      </c>
      <c r="H79" s="76"/>
      <c r="I79" s="103"/>
      <c r="J79" s="76" t="s">
        <v>127</v>
      </c>
      <c r="K79" s="104"/>
      <c r="L79" s="104"/>
      <c r="M79" s="174">
        <f>IF(Tabelle132456[[#This Row],[Pulled after Start]]="",MIN(Tabelle132456[[#This Row],[Jira Story Points]],Tabelle132456[[#This Row],[Carry-over]]),0)</f>
        <v>3</v>
      </c>
      <c r="N79" s="173">
        <f>MIN(Tabelle132456[[#This Row],[Jira Story Points]],Tabelle132456[[#This Row],[Carry-over]])-Tabelle132456[[#This Row],[SP Initially Planned (COS)]]</f>
        <v>0</v>
      </c>
      <c r="O7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9" s="173">
        <f>IFERROR(IF(Tabelle132456[[#This Row],[Status]]=$I$5,MIN(Tabelle132456[[#This Row],[Jira Story Points]],Tabelle132456[[#This Row],[Carry-over]]),0),0)</f>
        <v>0</v>
      </c>
      <c r="Q79" s="173">
        <f>IFERROR(IF(Tabelle132456[[#This Row],[Status]]=$I$5,0,MIN(Tabelle132456[[#This Row],[Jira Story Points]],Tabelle132456[[#This Row],[Carry-over]])-Tabelle132456[[#This Row],[SP Completed (COS &amp; SOS)]]),0)</f>
        <v>3</v>
      </c>
    </row>
    <row r="80" spans="1:17" s="46" customFormat="1" ht="13.5" customHeight="1">
      <c r="A80" s="88" t="s">
        <v>3058</v>
      </c>
      <c r="B80" s="46" t="s">
        <v>3059</v>
      </c>
      <c r="C80" s="76" t="s">
        <v>372</v>
      </c>
      <c r="D80" s="76">
        <v>3</v>
      </c>
      <c r="E80" s="76" t="s">
        <v>324</v>
      </c>
      <c r="F80" s="104">
        <v>3</v>
      </c>
      <c r="G80" s="76" t="s">
        <v>12</v>
      </c>
      <c r="H80" s="83"/>
      <c r="I80" s="103"/>
      <c r="J80" s="76" t="s">
        <v>125</v>
      </c>
      <c r="K80" s="104"/>
      <c r="L80" s="104"/>
      <c r="M80" s="174">
        <f>IF(Tabelle132456[[#This Row],[Pulled after Start]]="",MIN(Tabelle132456[[#This Row],[Jira Story Points]],Tabelle132456[[#This Row],[Carry-over]]),0)</f>
        <v>3</v>
      </c>
      <c r="N80" s="173">
        <f>MIN(Tabelle132456[[#This Row],[Jira Story Points]],Tabelle132456[[#This Row],[Carry-over]])-Tabelle132456[[#This Row],[SP Initially Planned (COS)]]</f>
        <v>0</v>
      </c>
      <c r="O8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80" s="173">
        <f>IFERROR(IF(Tabelle132456[[#This Row],[Status]]=$I$5,MIN(Tabelle132456[[#This Row],[Jira Story Points]],Tabelle132456[[#This Row],[Carry-over]]),0),0)</f>
        <v>0</v>
      </c>
      <c r="Q80" s="173">
        <f>IFERROR(IF(Tabelle132456[[#This Row],[Status]]=$I$5,0,MIN(Tabelle132456[[#This Row],[Jira Story Points]],Tabelle132456[[#This Row],[Carry-over]])-Tabelle132456[[#This Row],[SP Completed (COS &amp; SOS)]]),0)</f>
        <v>0</v>
      </c>
    </row>
    <row r="81" spans="1:17" s="46" customFormat="1" ht="13.5" customHeight="1">
      <c r="A81" s="88" t="s">
        <v>2563</v>
      </c>
      <c r="B81" s="46" t="s">
        <v>2564</v>
      </c>
      <c r="C81" s="76" t="s">
        <v>372</v>
      </c>
      <c r="D81" s="76">
        <v>3</v>
      </c>
      <c r="E81" s="76" t="s">
        <v>327</v>
      </c>
      <c r="F81" s="76">
        <v>5</v>
      </c>
      <c r="G81" s="76" t="s">
        <v>12</v>
      </c>
      <c r="H81" s="76"/>
      <c r="I81" s="103" t="s">
        <v>3060</v>
      </c>
      <c r="J81" s="76" t="s">
        <v>127</v>
      </c>
      <c r="K81" s="76"/>
      <c r="L81" s="76"/>
      <c r="M81" s="174">
        <f>IF(Tabelle132456[[#This Row],[Pulled after Start]]="",MIN(Tabelle132456[[#This Row],[Jira Story Points]],Tabelle132456[[#This Row],[Carry-over]]),0)</f>
        <v>5</v>
      </c>
      <c r="N81" s="173">
        <f>MIN(Tabelle132456[[#This Row],[Jira Story Points]],Tabelle132456[[#This Row],[Carry-over]])-Tabelle132456[[#This Row],[SP Initially Planned (COS)]]</f>
        <v>0</v>
      </c>
      <c r="O8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1" s="173">
        <f>IFERROR(IF(Tabelle132456[[#This Row],[Status]]=$I$5,MIN(Tabelle132456[[#This Row],[Jira Story Points]],Tabelle132456[[#This Row],[Carry-over]]),0),0)</f>
        <v>0</v>
      </c>
      <c r="Q81" s="173">
        <f>IFERROR(IF(Tabelle132456[[#This Row],[Status]]=$I$5,0,MIN(Tabelle132456[[#This Row],[Jira Story Points]],Tabelle132456[[#This Row],[Carry-over]])-Tabelle132456[[#This Row],[SP Completed (COS &amp; SOS)]]),0)</f>
        <v>5</v>
      </c>
    </row>
    <row r="82" spans="1:17" s="46" customFormat="1" ht="13.5" customHeight="1">
      <c r="A82" s="88" t="s">
        <v>2843</v>
      </c>
      <c r="B82" s="46" t="s">
        <v>2844</v>
      </c>
      <c r="C82" s="76" t="s">
        <v>372</v>
      </c>
      <c r="D82" s="76">
        <v>3</v>
      </c>
      <c r="E82" s="76" t="s">
        <v>327</v>
      </c>
      <c r="F82" s="104">
        <v>3</v>
      </c>
      <c r="G82" s="76" t="s">
        <v>12</v>
      </c>
      <c r="H82" s="76"/>
      <c r="I82" s="103" t="s">
        <v>3060</v>
      </c>
      <c r="J82" s="76" t="s">
        <v>127</v>
      </c>
      <c r="K82" s="104"/>
      <c r="L82" s="104"/>
      <c r="M82" s="174">
        <f>IF(Tabelle132456[[#This Row],[Pulled after Start]]="",MIN(Tabelle132456[[#This Row],[Jira Story Points]],Tabelle132456[[#This Row],[Carry-over]]),0)</f>
        <v>3</v>
      </c>
      <c r="N82" s="173">
        <f>MIN(Tabelle132456[[#This Row],[Jira Story Points]],Tabelle132456[[#This Row],[Carry-over]])-Tabelle132456[[#This Row],[SP Initially Planned (COS)]]</f>
        <v>0</v>
      </c>
      <c r="O8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2" s="173">
        <f>IFERROR(IF(Tabelle132456[[#This Row],[Status]]=$I$5,MIN(Tabelle132456[[#This Row],[Jira Story Points]],Tabelle132456[[#This Row],[Carry-over]]),0),0)</f>
        <v>0</v>
      </c>
      <c r="Q82" s="173">
        <f>IFERROR(IF(Tabelle132456[[#This Row],[Status]]=$I$5,0,MIN(Tabelle132456[[#This Row],[Jira Story Points]],Tabelle132456[[#This Row],[Carry-over]])-Tabelle132456[[#This Row],[SP Completed (COS &amp; SOS)]]),0)</f>
        <v>3</v>
      </c>
    </row>
    <row r="83" spans="1:17" s="46" customFormat="1" ht="13.5" customHeight="1">
      <c r="A83" s="88" t="s">
        <v>3061</v>
      </c>
      <c r="B83" s="46" t="s">
        <v>3062</v>
      </c>
      <c r="C83" s="76" t="s">
        <v>372</v>
      </c>
      <c r="D83" s="76">
        <v>3</v>
      </c>
      <c r="E83" s="76" t="s">
        <v>324</v>
      </c>
      <c r="F83" s="104">
        <v>3</v>
      </c>
      <c r="G83" s="76" t="s">
        <v>12</v>
      </c>
      <c r="H83" s="83"/>
      <c r="I83" s="103"/>
      <c r="J83" s="76" t="s">
        <v>125</v>
      </c>
      <c r="K83" s="104"/>
      <c r="L83" s="104"/>
      <c r="M83" s="174">
        <f>IF(Tabelle132456[[#This Row],[Pulled after Start]]="",MIN(Tabelle132456[[#This Row],[Jira Story Points]],Tabelle132456[[#This Row],[Carry-over]]),0)</f>
        <v>3</v>
      </c>
      <c r="N83" s="173">
        <f>MIN(Tabelle132456[[#This Row],[Jira Story Points]],Tabelle132456[[#This Row],[Carry-over]])-Tabelle132456[[#This Row],[SP Initially Planned (COS)]]</f>
        <v>0</v>
      </c>
      <c r="O8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83" s="173">
        <f>IFERROR(IF(Tabelle132456[[#This Row],[Status]]=$I$5,MIN(Tabelle132456[[#This Row],[Jira Story Points]],Tabelle132456[[#This Row],[Carry-over]]),0),0)</f>
        <v>0</v>
      </c>
      <c r="Q83" s="173">
        <f>IFERROR(IF(Tabelle132456[[#This Row],[Status]]=$I$5,0,MIN(Tabelle132456[[#This Row],[Jira Story Points]],Tabelle132456[[#This Row],[Carry-over]])-Tabelle132456[[#This Row],[SP Completed (COS &amp; SOS)]]),0)</f>
        <v>0</v>
      </c>
    </row>
    <row r="84" spans="1:17" s="46" customFormat="1" ht="13.5" customHeight="1">
      <c r="A84" s="88" t="s">
        <v>3063</v>
      </c>
      <c r="B84" s="46" t="s">
        <v>3064</v>
      </c>
      <c r="C84" s="76" t="s">
        <v>375</v>
      </c>
      <c r="D84" s="76">
        <v>3</v>
      </c>
      <c r="E84" s="76" t="s">
        <v>324</v>
      </c>
      <c r="F84" s="76">
        <v>3</v>
      </c>
      <c r="G84" s="76" t="s">
        <v>12</v>
      </c>
      <c r="H84" s="76" t="s">
        <v>209</v>
      </c>
      <c r="I84" s="103"/>
      <c r="J84" s="76" t="s">
        <v>125</v>
      </c>
      <c r="K84" s="104"/>
      <c r="L84" s="104"/>
      <c r="M84" s="174">
        <f>IF(Tabelle132456[[#This Row],[Pulled after Start]]="",MIN(Tabelle132456[[#This Row],[Jira Story Points]],Tabelle132456[[#This Row],[Carry-over]]),0)</f>
        <v>0</v>
      </c>
      <c r="N84" s="173">
        <f>MIN(Tabelle132456[[#This Row],[Jira Story Points]],Tabelle132456[[#This Row],[Carry-over]])-Tabelle132456[[#This Row],[SP Initially Planned (COS)]]</f>
        <v>3</v>
      </c>
      <c r="O8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84" s="173">
        <f>IFERROR(IF(Tabelle132456[[#This Row],[Status]]=$I$5,MIN(Tabelle132456[[#This Row],[Jira Story Points]],Tabelle132456[[#This Row],[Carry-over]]),0),0)</f>
        <v>0</v>
      </c>
      <c r="Q84" s="173">
        <f>IFERROR(IF(Tabelle132456[[#This Row],[Status]]=$I$5,0,MIN(Tabelle132456[[#This Row],[Jira Story Points]],Tabelle132456[[#This Row],[Carry-over]])-Tabelle132456[[#This Row],[SP Completed (COS &amp; SOS)]]),0)</f>
        <v>0</v>
      </c>
    </row>
    <row r="85" spans="1:17" s="46" customFormat="1" ht="13.5" customHeight="1">
      <c r="A85" s="88" t="s">
        <v>2863</v>
      </c>
      <c r="B85" s="47" t="s">
        <v>3065</v>
      </c>
      <c r="C85" s="76" t="s">
        <v>382</v>
      </c>
      <c r="D85" s="76">
        <v>3</v>
      </c>
      <c r="E85" s="76" t="s">
        <v>448</v>
      </c>
      <c r="F85" s="104"/>
      <c r="G85" s="76" t="s">
        <v>27</v>
      </c>
      <c r="H85" s="76" t="s">
        <v>209</v>
      </c>
      <c r="I85" s="120"/>
      <c r="J85" s="76" t="s">
        <v>127</v>
      </c>
      <c r="K85" s="76"/>
      <c r="L85" s="76"/>
      <c r="M85" s="174">
        <f>IF(Tabelle132456[[#This Row],[Pulled after Start]]="",MIN(Tabelle132456[[#This Row],[Jira Story Points]],Tabelle132456[[#This Row],[Carry-over]]),0)</f>
        <v>0</v>
      </c>
      <c r="N85" s="173">
        <f>MIN(Tabelle132456[[#This Row],[Jira Story Points]],Tabelle132456[[#This Row],[Carry-over]])-Tabelle132456[[#This Row],[SP Initially Planned (COS)]]</f>
        <v>0</v>
      </c>
      <c r="O8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5" s="173">
        <f>IFERROR(IF(Tabelle132456[[#This Row],[Status]]=$I$5,MIN(Tabelle132456[[#This Row],[Jira Story Points]],Tabelle132456[[#This Row],[Carry-over]]),0),0)</f>
        <v>0</v>
      </c>
      <c r="Q85" s="173">
        <f>IFERROR(IF(Tabelle132456[[#This Row],[Status]]=$I$5,0,MIN(Tabelle132456[[#This Row],[Jira Story Points]],Tabelle132456[[#This Row],[Carry-over]])-Tabelle132456[[#This Row],[SP Completed (COS &amp; SOS)]]),0)</f>
        <v>0</v>
      </c>
    </row>
    <row r="86" spans="1:17" s="46" customFormat="1" ht="13.5" customHeight="1">
      <c r="A86" s="160" t="s">
        <v>3066</v>
      </c>
      <c r="B86" s="47" t="s">
        <v>3067</v>
      </c>
      <c r="C86" s="76" t="s">
        <v>382</v>
      </c>
      <c r="D86" s="76">
        <v>3</v>
      </c>
      <c r="E86" s="76" t="s">
        <v>324</v>
      </c>
      <c r="F86" s="104"/>
      <c r="G86" s="76" t="s">
        <v>27</v>
      </c>
      <c r="H86" s="76" t="s">
        <v>209</v>
      </c>
      <c r="I86" s="120"/>
      <c r="J86" s="76" t="s">
        <v>125</v>
      </c>
      <c r="K86" s="104"/>
      <c r="L86" s="104"/>
      <c r="M86" s="174">
        <f>IF(Tabelle132456[[#This Row],[Pulled after Start]]="",MIN(Tabelle132456[[#This Row],[Jira Story Points]],Tabelle132456[[#This Row],[Carry-over]]),0)</f>
        <v>0</v>
      </c>
      <c r="N86" s="173">
        <f>MIN(Tabelle132456[[#This Row],[Jira Story Points]],Tabelle132456[[#This Row],[Carry-over]])-Tabelle132456[[#This Row],[SP Initially Planned (COS)]]</f>
        <v>0</v>
      </c>
      <c r="O8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6" s="173">
        <f>IFERROR(IF(Tabelle132456[[#This Row],[Status]]=$I$5,MIN(Tabelle132456[[#This Row],[Jira Story Points]],Tabelle132456[[#This Row],[Carry-over]]),0),0)</f>
        <v>0</v>
      </c>
      <c r="Q86" s="173">
        <f>IFERROR(IF(Tabelle132456[[#This Row],[Status]]=$I$5,0,MIN(Tabelle132456[[#This Row],[Jira Story Points]],Tabelle132456[[#This Row],[Carry-over]])-Tabelle132456[[#This Row],[SP Completed (COS &amp; SOS)]]),0)</f>
        <v>0</v>
      </c>
    </row>
    <row r="87" spans="1:17" s="46" customFormat="1" ht="13.5" customHeight="1">
      <c r="A87" s="168" t="s">
        <v>2871</v>
      </c>
      <c r="B87" s="47" t="s">
        <v>2872</v>
      </c>
      <c r="C87" s="76" t="s">
        <v>372</v>
      </c>
      <c r="D87" s="76">
        <v>3</v>
      </c>
      <c r="E87" s="76" t="s">
        <v>327</v>
      </c>
      <c r="F87" s="76">
        <v>8</v>
      </c>
      <c r="G87" s="76" t="s">
        <v>27</v>
      </c>
      <c r="H87" s="83"/>
      <c r="I87" s="120"/>
      <c r="J87" s="76" t="s">
        <v>127</v>
      </c>
      <c r="K87" s="104"/>
      <c r="L87" s="104"/>
      <c r="M87" s="174">
        <f>IF(Tabelle132456[[#This Row],[Pulled after Start]]="",MIN(Tabelle132456[[#This Row],[Jira Story Points]],Tabelle132456[[#This Row],[Carry-over]]),0)</f>
        <v>8</v>
      </c>
      <c r="N87" s="173">
        <f>MIN(Tabelle132456[[#This Row],[Jira Story Points]],Tabelle132456[[#This Row],[Carry-over]])-Tabelle132456[[#This Row],[SP Initially Planned (COS)]]</f>
        <v>0</v>
      </c>
      <c r="O8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7" s="173">
        <f>IFERROR(IF(Tabelle132456[[#This Row],[Status]]=$I$5,MIN(Tabelle132456[[#This Row],[Jira Story Points]],Tabelle132456[[#This Row],[Carry-over]]),0),0)</f>
        <v>0</v>
      </c>
      <c r="Q87" s="173">
        <f>IFERROR(IF(Tabelle132456[[#This Row],[Status]]=$I$5,0,MIN(Tabelle132456[[#This Row],[Jira Story Points]],Tabelle132456[[#This Row],[Carry-over]])-Tabelle132456[[#This Row],[SP Completed (COS &amp; SOS)]]),0)</f>
        <v>8</v>
      </c>
    </row>
    <row r="88" spans="1:17" s="46" customFormat="1" ht="13.5" customHeight="1">
      <c r="A88" s="166" t="s">
        <v>3068</v>
      </c>
      <c r="B88" s="47" t="s">
        <v>3069</v>
      </c>
      <c r="C88" s="76" t="s">
        <v>372</v>
      </c>
      <c r="D88" s="76">
        <v>2</v>
      </c>
      <c r="E88" s="76" t="s">
        <v>324</v>
      </c>
      <c r="F88" s="76">
        <v>13</v>
      </c>
      <c r="G88" s="76" t="s">
        <v>27</v>
      </c>
      <c r="H88" s="83"/>
      <c r="I88" s="120"/>
      <c r="J88" s="76" t="s">
        <v>125</v>
      </c>
      <c r="K88" s="104"/>
      <c r="L88" s="104"/>
      <c r="M88" s="174">
        <f>IF(Tabelle132456[[#This Row],[Pulled after Start]]="",MIN(Tabelle132456[[#This Row],[Jira Story Points]],Tabelle132456[[#This Row],[Carry-over]]),0)</f>
        <v>13</v>
      </c>
      <c r="N88" s="173">
        <f>MIN(Tabelle132456[[#This Row],[Jira Story Points]],Tabelle132456[[#This Row],[Carry-over]])-Tabelle132456[[#This Row],[SP Initially Planned (COS)]]</f>
        <v>0</v>
      </c>
      <c r="O8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13</v>
      </c>
      <c r="P88" s="173">
        <f>IFERROR(IF(Tabelle132456[[#This Row],[Status]]=$I$5,MIN(Tabelle132456[[#This Row],[Jira Story Points]],Tabelle132456[[#This Row],[Carry-over]]),0),0)</f>
        <v>0</v>
      </c>
      <c r="Q88" s="173">
        <f>IFERROR(IF(Tabelle132456[[#This Row],[Status]]=$I$5,0,MIN(Tabelle132456[[#This Row],[Jira Story Points]],Tabelle132456[[#This Row],[Carry-over]])-Tabelle132456[[#This Row],[SP Completed (COS &amp; SOS)]]),0)</f>
        <v>0</v>
      </c>
    </row>
    <row r="89" spans="1:17" s="46" customFormat="1" ht="13.5" customHeight="1">
      <c r="A89" s="166" t="s">
        <v>3070</v>
      </c>
      <c r="B89" s="47" t="s">
        <v>3071</v>
      </c>
      <c r="C89" s="76" t="s">
        <v>372</v>
      </c>
      <c r="D89" s="76">
        <v>3</v>
      </c>
      <c r="E89" s="76" t="s">
        <v>324</v>
      </c>
      <c r="F89" s="76">
        <v>3</v>
      </c>
      <c r="G89" s="76" t="s">
        <v>27</v>
      </c>
      <c r="H89" s="76" t="s">
        <v>209</v>
      </c>
      <c r="I89" s="120"/>
      <c r="J89" s="76" t="s">
        <v>125</v>
      </c>
      <c r="K89" s="104"/>
      <c r="L89" s="104"/>
      <c r="M89" s="174">
        <f>IF(Tabelle132456[[#This Row],[Pulled after Start]]="",MIN(Tabelle132456[[#This Row],[Jira Story Points]],Tabelle132456[[#This Row],[Carry-over]]),0)</f>
        <v>0</v>
      </c>
      <c r="N89" s="173">
        <f>MIN(Tabelle132456[[#This Row],[Jira Story Points]],Tabelle132456[[#This Row],[Carry-over]])-Tabelle132456[[#This Row],[SP Initially Planned (COS)]]</f>
        <v>3</v>
      </c>
      <c r="O8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89" s="173">
        <f>IFERROR(IF(Tabelle132456[[#This Row],[Status]]=$I$5,MIN(Tabelle132456[[#This Row],[Jira Story Points]],Tabelle132456[[#This Row],[Carry-over]]),0),0)</f>
        <v>0</v>
      </c>
      <c r="Q89" s="173">
        <f>IFERROR(IF(Tabelle132456[[#This Row],[Status]]=$I$5,0,MIN(Tabelle132456[[#This Row],[Jira Story Points]],Tabelle132456[[#This Row],[Carry-over]])-Tabelle132456[[#This Row],[SP Completed (COS &amp; SOS)]]),0)</f>
        <v>0</v>
      </c>
    </row>
    <row r="90" spans="1:17" s="46" customFormat="1" ht="13.5" customHeight="1">
      <c r="A90" s="166" t="s">
        <v>3072</v>
      </c>
      <c r="B90" s="47" t="s">
        <v>3073</v>
      </c>
      <c r="C90" s="76" t="s">
        <v>372</v>
      </c>
      <c r="D90" s="76">
        <v>2</v>
      </c>
      <c r="E90" s="76" t="s">
        <v>324</v>
      </c>
      <c r="F90" s="76">
        <v>5</v>
      </c>
      <c r="G90" s="76" t="s">
        <v>27</v>
      </c>
      <c r="H90" s="83"/>
      <c r="I90" s="120"/>
      <c r="J90" s="76" t="s">
        <v>125</v>
      </c>
      <c r="K90" s="104"/>
      <c r="L90" s="104"/>
      <c r="M90" s="174">
        <f>IF(Tabelle132456[[#This Row],[Pulled after Start]]="",MIN(Tabelle132456[[#This Row],[Jira Story Points]],Tabelle132456[[#This Row],[Carry-over]]),0)</f>
        <v>5</v>
      </c>
      <c r="N90" s="173">
        <f>MIN(Tabelle132456[[#This Row],[Jira Story Points]],Tabelle132456[[#This Row],[Carry-over]])-Tabelle132456[[#This Row],[SP Initially Planned (COS)]]</f>
        <v>0</v>
      </c>
      <c r="O9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5</v>
      </c>
      <c r="P90" s="173">
        <f>IFERROR(IF(Tabelle132456[[#This Row],[Status]]=$I$5,MIN(Tabelle132456[[#This Row],[Jira Story Points]],Tabelle132456[[#This Row],[Carry-over]]),0),0)</f>
        <v>0</v>
      </c>
      <c r="Q90" s="173">
        <f>IFERROR(IF(Tabelle132456[[#This Row],[Status]]=$I$5,0,MIN(Tabelle132456[[#This Row],[Jira Story Points]],Tabelle132456[[#This Row],[Carry-over]])-Tabelle132456[[#This Row],[SP Completed (COS &amp; SOS)]]),0)</f>
        <v>0</v>
      </c>
    </row>
    <row r="91" spans="1:17" s="46" customFormat="1" ht="13.5" customHeight="1">
      <c r="A91" s="166" t="s">
        <v>3074</v>
      </c>
      <c r="B91" s="49" t="s">
        <v>3075</v>
      </c>
      <c r="C91" s="76" t="s">
        <v>372</v>
      </c>
      <c r="D91" s="76">
        <v>3</v>
      </c>
      <c r="E91" s="76" t="s">
        <v>324</v>
      </c>
      <c r="F91" s="76">
        <v>3</v>
      </c>
      <c r="G91" s="76" t="s">
        <v>27</v>
      </c>
      <c r="H91" s="83"/>
      <c r="I91" s="103"/>
      <c r="J91" s="76" t="s">
        <v>125</v>
      </c>
      <c r="K91" s="104"/>
      <c r="L91" s="104"/>
      <c r="M91" s="174">
        <f>IF(Tabelle132456[[#This Row],[Pulled after Start]]="",MIN(Tabelle132456[[#This Row],[Jira Story Points]],Tabelle132456[[#This Row],[Carry-over]]),0)</f>
        <v>3</v>
      </c>
      <c r="N91" s="173">
        <f>MIN(Tabelle132456[[#This Row],[Jira Story Points]],Tabelle132456[[#This Row],[Carry-over]])-Tabelle132456[[#This Row],[SP Initially Planned (COS)]]</f>
        <v>0</v>
      </c>
      <c r="O9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91" s="173">
        <f>IFERROR(IF(Tabelle132456[[#This Row],[Status]]=$I$5,MIN(Tabelle132456[[#This Row],[Jira Story Points]],Tabelle132456[[#This Row],[Carry-over]]),0),0)</f>
        <v>0</v>
      </c>
      <c r="Q91" s="173">
        <f>IFERROR(IF(Tabelle132456[[#This Row],[Status]]=$I$5,0,MIN(Tabelle132456[[#This Row],[Jira Story Points]],Tabelle132456[[#This Row],[Carry-over]])-Tabelle132456[[#This Row],[SP Completed (COS &amp; SOS)]]),0)</f>
        <v>0</v>
      </c>
    </row>
    <row r="92" spans="1:17" s="46" customFormat="1" ht="13.5" customHeight="1">
      <c r="A92" s="118" t="s">
        <v>3076</v>
      </c>
      <c r="B92" s="47" t="s">
        <v>3077</v>
      </c>
      <c r="C92" s="76" t="s">
        <v>375</v>
      </c>
      <c r="D92" s="76">
        <v>2</v>
      </c>
      <c r="E92" s="76" t="s">
        <v>324</v>
      </c>
      <c r="F92" s="104">
        <v>1</v>
      </c>
      <c r="G92" s="76" t="s">
        <v>21</v>
      </c>
      <c r="H92" s="76"/>
      <c r="I92" s="103"/>
      <c r="J92" s="76" t="s">
        <v>125</v>
      </c>
      <c r="K92" s="76"/>
      <c r="L92" s="76"/>
      <c r="M92" s="174">
        <f>IF(Tabelle132456[[#This Row],[Pulled after Start]]="",MIN(Tabelle132456[[#This Row],[Jira Story Points]],Tabelle132456[[#This Row],[Carry-over]]),0)</f>
        <v>1</v>
      </c>
      <c r="N92" s="173">
        <f>MIN(Tabelle132456[[#This Row],[Jira Story Points]],Tabelle132456[[#This Row],[Carry-over]])-Tabelle132456[[#This Row],[SP Initially Planned (COS)]]</f>
        <v>0</v>
      </c>
      <c r="O9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1</v>
      </c>
      <c r="P92" s="173">
        <f>IFERROR(IF(Tabelle132456[[#This Row],[Status]]=$I$5,MIN(Tabelle132456[[#This Row],[Jira Story Points]],Tabelle132456[[#This Row],[Carry-over]]),0),0)</f>
        <v>0</v>
      </c>
      <c r="Q92" s="173">
        <f>IFERROR(IF(Tabelle132456[[#This Row],[Status]]=$I$5,0,MIN(Tabelle132456[[#This Row],[Jira Story Points]],Tabelle132456[[#This Row],[Carry-over]])-Tabelle132456[[#This Row],[SP Completed (COS &amp; SOS)]]),0)</f>
        <v>0</v>
      </c>
    </row>
    <row r="93" spans="1:17" s="46" customFormat="1" ht="13.5" customHeight="1">
      <c r="A93" s="118" t="s">
        <v>3078</v>
      </c>
      <c r="B93" s="47" t="s">
        <v>3079</v>
      </c>
      <c r="C93" s="76" t="s">
        <v>372</v>
      </c>
      <c r="D93" s="76">
        <v>3</v>
      </c>
      <c r="E93" s="76" t="s">
        <v>324</v>
      </c>
      <c r="F93" s="104">
        <v>1</v>
      </c>
      <c r="G93" s="76" t="s">
        <v>21</v>
      </c>
      <c r="H93" s="76"/>
      <c r="J93" s="76" t="s">
        <v>125</v>
      </c>
      <c r="K93" s="76"/>
      <c r="L93" s="76"/>
      <c r="M93" s="174">
        <f>IF(Tabelle132456[[#This Row],[Pulled after Start]]="",MIN(Tabelle132456[[#This Row],[Jira Story Points]],Tabelle132456[[#This Row],[Carry-over]]),0)</f>
        <v>1</v>
      </c>
      <c r="N93" s="173">
        <f>MIN(Tabelle132456[[#This Row],[Jira Story Points]],Tabelle132456[[#This Row],[Carry-over]])-Tabelle132456[[#This Row],[SP Initially Planned (COS)]]</f>
        <v>0</v>
      </c>
      <c r="O9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1</v>
      </c>
      <c r="P93" s="173">
        <f>IFERROR(IF(Tabelle132456[[#This Row],[Status]]=$I$5,MIN(Tabelle132456[[#This Row],[Jira Story Points]],Tabelle132456[[#This Row],[Carry-over]]),0),0)</f>
        <v>0</v>
      </c>
      <c r="Q93" s="173">
        <f>IFERROR(IF(Tabelle132456[[#This Row],[Status]]=$I$5,0,MIN(Tabelle132456[[#This Row],[Jira Story Points]],Tabelle132456[[#This Row],[Carry-over]])-Tabelle132456[[#This Row],[SP Completed (COS &amp; SOS)]]),0)</f>
        <v>0</v>
      </c>
    </row>
    <row r="94" spans="1:17" s="46" customFormat="1" ht="13.5" customHeight="1">
      <c r="A94" s="118" t="s">
        <v>3080</v>
      </c>
      <c r="B94" s="47" t="s">
        <v>3081</v>
      </c>
      <c r="C94" s="76" t="s">
        <v>372</v>
      </c>
      <c r="D94" s="76">
        <v>3</v>
      </c>
      <c r="E94" s="76" t="s">
        <v>324</v>
      </c>
      <c r="F94" s="104">
        <v>2</v>
      </c>
      <c r="G94" s="76" t="s">
        <v>21</v>
      </c>
      <c r="H94" s="83"/>
      <c r="I94" s="103" t="s">
        <v>3082</v>
      </c>
      <c r="J94" s="76" t="s">
        <v>125</v>
      </c>
      <c r="K94" s="104"/>
      <c r="L94" s="104"/>
      <c r="M94" s="174">
        <f>IF(Tabelle132456[[#This Row],[Pulled after Start]]="",MIN(Tabelle132456[[#This Row],[Jira Story Points]],Tabelle132456[[#This Row],[Carry-over]]),0)</f>
        <v>2</v>
      </c>
      <c r="N94" s="173">
        <f>MIN(Tabelle132456[[#This Row],[Jira Story Points]],Tabelle132456[[#This Row],[Carry-over]])-Tabelle132456[[#This Row],[SP Initially Planned (COS)]]</f>
        <v>0</v>
      </c>
      <c r="O9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2</v>
      </c>
      <c r="P94" s="173">
        <f>IFERROR(IF(Tabelle132456[[#This Row],[Status]]=$I$5,MIN(Tabelle132456[[#This Row],[Jira Story Points]],Tabelle132456[[#This Row],[Carry-over]]),0),0)</f>
        <v>0</v>
      </c>
      <c r="Q94" s="173">
        <f>IFERROR(IF(Tabelle132456[[#This Row],[Status]]=$I$5,0,MIN(Tabelle132456[[#This Row],[Jira Story Points]],Tabelle132456[[#This Row],[Carry-over]])-Tabelle132456[[#This Row],[SP Completed (COS &amp; SOS)]]),0)</f>
        <v>0</v>
      </c>
    </row>
    <row r="95" spans="1:17" s="46" customFormat="1" ht="13.5" customHeight="1">
      <c r="A95" s="118" t="s">
        <v>3083</v>
      </c>
      <c r="B95" s="47" t="s">
        <v>3084</v>
      </c>
      <c r="C95" s="76" t="s">
        <v>372</v>
      </c>
      <c r="D95" s="76">
        <v>3</v>
      </c>
      <c r="E95" s="76" t="s">
        <v>324</v>
      </c>
      <c r="F95" s="104">
        <v>5</v>
      </c>
      <c r="G95" s="76" t="s">
        <v>21</v>
      </c>
      <c r="H95" s="83"/>
      <c r="I95" s="103"/>
      <c r="J95" s="76" t="s">
        <v>125</v>
      </c>
      <c r="K95" s="104"/>
      <c r="L95" s="104"/>
      <c r="M95" s="174">
        <f>IF(Tabelle132456[[#This Row],[Pulled after Start]]="",MIN(Tabelle132456[[#This Row],[Jira Story Points]],Tabelle132456[[#This Row],[Carry-over]]),0)</f>
        <v>5</v>
      </c>
      <c r="N95" s="173">
        <f>MIN(Tabelle132456[[#This Row],[Jira Story Points]],Tabelle132456[[#This Row],[Carry-over]])-Tabelle132456[[#This Row],[SP Initially Planned (COS)]]</f>
        <v>0</v>
      </c>
      <c r="O9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5</v>
      </c>
      <c r="P95" s="173">
        <f>IFERROR(IF(Tabelle132456[[#This Row],[Status]]=$I$5,MIN(Tabelle132456[[#This Row],[Jira Story Points]],Tabelle132456[[#This Row],[Carry-over]]),0),0)</f>
        <v>0</v>
      </c>
      <c r="Q95" s="173">
        <f>IFERROR(IF(Tabelle132456[[#This Row],[Status]]=$I$5,0,MIN(Tabelle132456[[#This Row],[Jira Story Points]],Tabelle132456[[#This Row],[Carry-over]])-Tabelle132456[[#This Row],[SP Completed (COS &amp; SOS)]]),0)</f>
        <v>0</v>
      </c>
    </row>
    <row r="96" spans="1:17" s="46" customFormat="1" ht="13.5" customHeight="1">
      <c r="A96" s="118" t="s">
        <v>3085</v>
      </c>
      <c r="B96" s="47" t="s">
        <v>3086</v>
      </c>
      <c r="C96" s="76" t="s">
        <v>372</v>
      </c>
      <c r="D96" s="76">
        <v>3</v>
      </c>
      <c r="E96" s="76" t="s">
        <v>637</v>
      </c>
      <c r="F96" s="104">
        <v>3</v>
      </c>
      <c r="G96" s="76" t="s">
        <v>21</v>
      </c>
      <c r="H96" s="76"/>
      <c r="J96" s="76" t="s">
        <v>127</v>
      </c>
      <c r="K96" s="76"/>
      <c r="L96" s="76">
        <v>2</v>
      </c>
      <c r="M96" s="174">
        <f>IF(Tabelle132456[[#This Row],[Pulled after Start]]="",MIN(Tabelle132456[[#This Row],[Jira Story Points]],Tabelle132456[[#This Row],[Carry-over]]),0)</f>
        <v>3</v>
      </c>
      <c r="N96" s="173">
        <f>MIN(Tabelle132456[[#This Row],[Jira Story Points]],Tabelle132456[[#This Row],[Carry-over]])-Tabelle132456[[#This Row],[SP Initially Planned (COS)]]</f>
        <v>0</v>
      </c>
      <c r="O9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1</v>
      </c>
      <c r="P96" s="173">
        <f>IFERROR(IF(Tabelle132456[[#This Row],[Status]]=$I$5,MIN(Tabelle132456[[#This Row],[Jira Story Points]],Tabelle132456[[#This Row],[Carry-over]]),0),0)</f>
        <v>0</v>
      </c>
      <c r="Q96" s="173">
        <f>IFERROR(IF(Tabelle132456[[#This Row],[Status]]=$I$5,0,MIN(Tabelle132456[[#This Row],[Jira Story Points]],Tabelle132456[[#This Row],[Carry-over]])-Tabelle132456[[#This Row],[SP Completed (COS &amp; SOS)]]),0)</f>
        <v>2</v>
      </c>
    </row>
    <row r="97" spans="1:17" s="46" customFormat="1" ht="13.5" customHeight="1">
      <c r="A97" s="118" t="s">
        <v>2526</v>
      </c>
      <c r="B97" s="47" t="s">
        <v>2527</v>
      </c>
      <c r="C97" s="76" t="s">
        <v>372</v>
      </c>
      <c r="D97" s="76">
        <v>3</v>
      </c>
      <c r="E97" s="76" t="s">
        <v>637</v>
      </c>
      <c r="F97" s="104">
        <v>2</v>
      </c>
      <c r="G97" s="76" t="s">
        <v>21</v>
      </c>
      <c r="H97" s="76"/>
      <c r="I97" s="103" t="s">
        <v>3082</v>
      </c>
      <c r="J97" s="76" t="s">
        <v>127</v>
      </c>
      <c r="K97" s="76"/>
      <c r="L97" s="76">
        <v>1</v>
      </c>
      <c r="M97" s="174">
        <f>IF(Tabelle132456[[#This Row],[Pulled after Start]]="",MIN(Tabelle132456[[#This Row],[Jira Story Points]],Tabelle132456[[#This Row],[Carry-over]]),0)</f>
        <v>2</v>
      </c>
      <c r="N97" s="173">
        <f>MIN(Tabelle132456[[#This Row],[Jira Story Points]],Tabelle132456[[#This Row],[Carry-over]])-Tabelle132456[[#This Row],[SP Initially Planned (COS)]]</f>
        <v>0</v>
      </c>
      <c r="O9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1</v>
      </c>
      <c r="P97" s="173">
        <f>IFERROR(IF(Tabelle132456[[#This Row],[Status]]=$I$5,MIN(Tabelle132456[[#This Row],[Jira Story Points]],Tabelle132456[[#This Row],[Carry-over]]),0),0)</f>
        <v>0</v>
      </c>
      <c r="Q97" s="173">
        <f>IFERROR(IF(Tabelle132456[[#This Row],[Status]]=$I$5,0,MIN(Tabelle132456[[#This Row],[Jira Story Points]],Tabelle132456[[#This Row],[Carry-over]])-Tabelle132456[[#This Row],[SP Completed (COS &amp; SOS)]]),0)</f>
        <v>1</v>
      </c>
    </row>
    <row r="98" spans="1:17" s="46" customFormat="1" ht="13.5" customHeight="1">
      <c r="A98" s="118" t="s">
        <v>3087</v>
      </c>
      <c r="B98" s="47" t="s">
        <v>3088</v>
      </c>
      <c r="C98" s="76" t="s">
        <v>372</v>
      </c>
      <c r="D98" s="76">
        <v>3</v>
      </c>
      <c r="E98" s="76" t="s">
        <v>637</v>
      </c>
      <c r="F98" s="104">
        <v>3</v>
      </c>
      <c r="G98" s="76" t="s">
        <v>21</v>
      </c>
      <c r="H98" s="76"/>
      <c r="I98" s="79" t="s">
        <v>3089</v>
      </c>
      <c r="J98" s="76" t="s">
        <v>127</v>
      </c>
      <c r="K98" s="104"/>
      <c r="L98" s="104">
        <v>1</v>
      </c>
      <c r="M98" s="174">
        <f>IF(Tabelle132456[[#This Row],[Pulled after Start]]="",MIN(Tabelle132456[[#This Row],[Jira Story Points]],Tabelle132456[[#This Row],[Carry-over]]),0)</f>
        <v>3</v>
      </c>
      <c r="N98" s="173">
        <f>MIN(Tabelle132456[[#This Row],[Jira Story Points]],Tabelle132456[[#This Row],[Carry-over]])-Tabelle132456[[#This Row],[SP Initially Planned (COS)]]</f>
        <v>0</v>
      </c>
      <c r="O9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2</v>
      </c>
      <c r="P98" s="173">
        <f>IFERROR(IF(Tabelle132456[[#This Row],[Status]]=$I$5,MIN(Tabelle132456[[#This Row],[Jira Story Points]],Tabelle132456[[#This Row],[Carry-over]]),0),0)</f>
        <v>0</v>
      </c>
      <c r="Q98" s="173">
        <f>IFERROR(IF(Tabelle132456[[#This Row],[Status]]=$I$5,0,MIN(Tabelle132456[[#This Row],[Jira Story Points]],Tabelle132456[[#This Row],[Carry-over]])-Tabelle132456[[#This Row],[SP Completed (COS &amp; SOS)]]),0)</f>
        <v>1</v>
      </c>
    </row>
    <row r="99" spans="1:17" s="46" customFormat="1" ht="13.5" customHeight="1">
      <c r="A99" s="118" t="s">
        <v>2631</v>
      </c>
      <c r="B99" s="47" t="s">
        <v>2632</v>
      </c>
      <c r="C99" s="76" t="s">
        <v>372</v>
      </c>
      <c r="D99" s="76">
        <v>2</v>
      </c>
      <c r="E99" s="76" t="s">
        <v>327</v>
      </c>
      <c r="F99" s="104">
        <v>8</v>
      </c>
      <c r="G99" s="76" t="s">
        <v>21</v>
      </c>
      <c r="H99" s="76"/>
      <c r="I99" s="103" t="s">
        <v>3082</v>
      </c>
      <c r="J99" s="76" t="s">
        <v>127</v>
      </c>
      <c r="K99" s="104"/>
      <c r="L99" s="104">
        <v>8</v>
      </c>
      <c r="M99" s="174">
        <f>IF(Tabelle132456[[#This Row],[Pulled after Start]]="",MIN(Tabelle132456[[#This Row],[Jira Story Points]],Tabelle132456[[#This Row],[Carry-over]]),0)</f>
        <v>8</v>
      </c>
      <c r="N99" s="173">
        <f>MIN(Tabelle132456[[#This Row],[Jira Story Points]],Tabelle132456[[#This Row],[Carry-over]])-Tabelle132456[[#This Row],[SP Initially Planned (COS)]]</f>
        <v>0</v>
      </c>
      <c r="O9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99" s="173">
        <f>IFERROR(IF(Tabelle132456[[#This Row],[Status]]=$I$5,MIN(Tabelle132456[[#This Row],[Jira Story Points]],Tabelle132456[[#This Row],[Carry-over]]),0),0)</f>
        <v>0</v>
      </c>
      <c r="Q99" s="173">
        <f>IFERROR(IF(Tabelle132456[[#This Row],[Status]]=$I$5,0,MIN(Tabelle132456[[#This Row],[Jira Story Points]],Tabelle132456[[#This Row],[Carry-over]])-Tabelle132456[[#This Row],[SP Completed (COS &amp; SOS)]]),0)</f>
        <v>8</v>
      </c>
    </row>
    <row r="100" spans="1:17" s="46" customFormat="1" ht="13.5" customHeight="1">
      <c r="A100" s="118" t="s">
        <v>2633</v>
      </c>
      <c r="B100" s="47" t="s">
        <v>2634</v>
      </c>
      <c r="C100" s="76" t="s">
        <v>372</v>
      </c>
      <c r="D100" s="76">
        <v>2</v>
      </c>
      <c r="E100" s="76" t="s">
        <v>448</v>
      </c>
      <c r="F100" s="104">
        <v>5</v>
      </c>
      <c r="G100" s="76" t="s">
        <v>21</v>
      </c>
      <c r="H100" s="76"/>
      <c r="I100" s="103"/>
      <c r="J100" s="76" t="s">
        <v>127</v>
      </c>
      <c r="K100" s="104"/>
      <c r="L100" s="104">
        <v>5</v>
      </c>
      <c r="M100" s="174">
        <f>IF(Tabelle132456[[#This Row],[Pulled after Start]]="",MIN(Tabelle132456[[#This Row],[Jira Story Points]],Tabelle132456[[#This Row],[Carry-over]]),0)</f>
        <v>5</v>
      </c>
      <c r="N100" s="173">
        <f>MIN(Tabelle132456[[#This Row],[Jira Story Points]],Tabelle132456[[#This Row],[Carry-over]])-Tabelle132456[[#This Row],[SP Initially Planned (COS)]]</f>
        <v>0</v>
      </c>
      <c r="O10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00" s="173">
        <f>IFERROR(IF(Tabelle132456[[#This Row],[Status]]=$I$5,MIN(Tabelle132456[[#This Row],[Jira Story Points]],Tabelle132456[[#This Row],[Carry-over]]),0),0)</f>
        <v>0</v>
      </c>
      <c r="Q100" s="173">
        <f>IFERROR(IF(Tabelle132456[[#This Row],[Status]]=$I$5,0,MIN(Tabelle132456[[#This Row],[Jira Story Points]],Tabelle132456[[#This Row],[Carry-over]])-Tabelle132456[[#This Row],[SP Completed (COS &amp; SOS)]]),0)</f>
        <v>5</v>
      </c>
    </row>
    <row r="101" spans="1:17" s="46" customFormat="1" ht="13.5" customHeight="1">
      <c r="A101" s="118" t="s">
        <v>3090</v>
      </c>
      <c r="B101" s="47" t="s">
        <v>3091</v>
      </c>
      <c r="C101" s="76" t="s">
        <v>372</v>
      </c>
      <c r="D101" s="76">
        <v>3</v>
      </c>
      <c r="E101" s="76" t="s">
        <v>324</v>
      </c>
      <c r="F101" s="104">
        <v>3</v>
      </c>
      <c r="G101" s="76" t="s">
        <v>21</v>
      </c>
      <c r="H101" s="76"/>
      <c r="I101" s="79"/>
      <c r="J101" s="76" t="s">
        <v>125</v>
      </c>
      <c r="K101" s="104"/>
      <c r="L101" s="104"/>
      <c r="M101" s="174">
        <f>IF(Tabelle132456[[#This Row],[Pulled after Start]]="",MIN(Tabelle132456[[#This Row],[Jira Story Points]],Tabelle132456[[#This Row],[Carry-over]]),0)</f>
        <v>3</v>
      </c>
      <c r="N101" s="173">
        <f>MIN(Tabelle132456[[#This Row],[Jira Story Points]],Tabelle132456[[#This Row],[Carry-over]])-Tabelle132456[[#This Row],[SP Initially Planned (COS)]]</f>
        <v>0</v>
      </c>
      <c r="O10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01" s="173">
        <f>IFERROR(IF(Tabelle132456[[#This Row],[Status]]=$I$5,MIN(Tabelle132456[[#This Row],[Jira Story Points]],Tabelle132456[[#This Row],[Carry-over]]),0),0)</f>
        <v>0</v>
      </c>
      <c r="Q101" s="173">
        <f>IFERROR(IF(Tabelle132456[[#This Row],[Status]]=$I$5,0,MIN(Tabelle132456[[#This Row],[Jira Story Points]],Tabelle132456[[#This Row],[Carry-over]])-Tabelle132456[[#This Row],[SP Completed (COS &amp; SOS)]]),0)</f>
        <v>0</v>
      </c>
    </row>
    <row r="102" spans="1:17" s="46" customFormat="1" ht="13.5" customHeight="1">
      <c r="A102" s="118" t="s">
        <v>2876</v>
      </c>
      <c r="B102" s="47" t="s">
        <v>2877</v>
      </c>
      <c r="C102" s="76" t="s">
        <v>372</v>
      </c>
      <c r="D102" s="76">
        <v>3</v>
      </c>
      <c r="E102" s="76" t="s">
        <v>327</v>
      </c>
      <c r="F102" s="104">
        <v>2</v>
      </c>
      <c r="G102" s="76" t="s">
        <v>21</v>
      </c>
      <c r="H102" s="76"/>
      <c r="I102" s="103"/>
      <c r="J102" s="76" t="s">
        <v>127</v>
      </c>
      <c r="K102" s="76"/>
      <c r="L102" s="76">
        <v>1</v>
      </c>
      <c r="M102" s="174">
        <f>IF(Tabelle132456[[#This Row],[Pulled after Start]]="",MIN(Tabelle132456[[#This Row],[Jira Story Points]],Tabelle132456[[#This Row],[Carry-over]]),0)</f>
        <v>2</v>
      </c>
      <c r="N102" s="173">
        <f>MIN(Tabelle132456[[#This Row],[Jira Story Points]],Tabelle132456[[#This Row],[Carry-over]])-Tabelle132456[[#This Row],[SP Initially Planned (COS)]]</f>
        <v>0</v>
      </c>
      <c r="O10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1</v>
      </c>
      <c r="P102" s="173">
        <f>IFERROR(IF(Tabelle132456[[#This Row],[Status]]=$I$5,MIN(Tabelle132456[[#This Row],[Jira Story Points]],Tabelle132456[[#This Row],[Carry-over]]),0),0)</f>
        <v>0</v>
      </c>
      <c r="Q102" s="173">
        <f>IFERROR(IF(Tabelle132456[[#This Row],[Status]]=$I$5,0,MIN(Tabelle132456[[#This Row],[Jira Story Points]],Tabelle132456[[#This Row],[Carry-over]])-Tabelle132456[[#This Row],[SP Completed (COS &amp; SOS)]]),0)</f>
        <v>1</v>
      </c>
    </row>
    <row r="103" spans="1:17" s="46" customFormat="1" ht="13.5" customHeight="1">
      <c r="A103" s="118" t="s">
        <v>3092</v>
      </c>
      <c r="B103" s="47" t="s">
        <v>3093</v>
      </c>
      <c r="C103" s="76" t="s">
        <v>372</v>
      </c>
      <c r="D103" s="76">
        <v>2</v>
      </c>
      <c r="E103" s="76" t="s">
        <v>324</v>
      </c>
      <c r="F103" s="104">
        <v>8</v>
      </c>
      <c r="G103" s="76" t="s">
        <v>21</v>
      </c>
      <c r="H103" s="83"/>
      <c r="I103" s="103"/>
      <c r="J103" s="76" t="s">
        <v>125</v>
      </c>
      <c r="K103" s="104"/>
      <c r="L103" s="104"/>
      <c r="M103" s="174">
        <f>IF(Tabelle132456[[#This Row],[Pulled after Start]]="",MIN(Tabelle132456[[#This Row],[Jira Story Points]],Tabelle132456[[#This Row],[Carry-over]]),0)</f>
        <v>8</v>
      </c>
      <c r="N103" s="173">
        <f>MIN(Tabelle132456[[#This Row],[Jira Story Points]],Tabelle132456[[#This Row],[Carry-over]])-Tabelle132456[[#This Row],[SP Initially Planned (COS)]]</f>
        <v>0</v>
      </c>
      <c r="O10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8</v>
      </c>
      <c r="P103" s="173">
        <f>IFERROR(IF(Tabelle132456[[#This Row],[Status]]=$I$5,MIN(Tabelle132456[[#This Row],[Jira Story Points]],Tabelle132456[[#This Row],[Carry-over]]),0),0)</f>
        <v>0</v>
      </c>
      <c r="Q103" s="173">
        <f>IFERROR(IF(Tabelle132456[[#This Row],[Status]]=$I$5,0,MIN(Tabelle132456[[#This Row],[Jira Story Points]],Tabelle132456[[#This Row],[Carry-over]])-Tabelle132456[[#This Row],[SP Completed (COS &amp; SOS)]]),0)</f>
        <v>0</v>
      </c>
    </row>
    <row r="104" spans="1:17" s="46" customFormat="1" ht="13.5" customHeight="1">
      <c r="A104" s="118" t="s">
        <v>2528</v>
      </c>
      <c r="B104" s="47" t="s">
        <v>2529</v>
      </c>
      <c r="C104" s="76" t="s">
        <v>372</v>
      </c>
      <c r="D104" s="76">
        <v>2</v>
      </c>
      <c r="E104" s="76" t="s">
        <v>327</v>
      </c>
      <c r="F104" s="104">
        <v>8</v>
      </c>
      <c r="G104" s="76" t="s">
        <v>21</v>
      </c>
      <c r="H104" s="76"/>
      <c r="I104" s="103" t="s">
        <v>3082</v>
      </c>
      <c r="J104" s="76" t="s">
        <v>127</v>
      </c>
      <c r="K104" s="76"/>
      <c r="L104" s="76">
        <v>2</v>
      </c>
      <c r="M104" s="174">
        <f>IF(Tabelle132456[[#This Row],[Pulled after Start]]="",MIN(Tabelle132456[[#This Row],[Jira Story Points]],Tabelle132456[[#This Row],[Carry-over]]),0)</f>
        <v>8</v>
      </c>
      <c r="N104" s="173">
        <f>MIN(Tabelle132456[[#This Row],[Jira Story Points]],Tabelle132456[[#This Row],[Carry-over]])-Tabelle132456[[#This Row],[SP Initially Planned (COS)]]</f>
        <v>0</v>
      </c>
      <c r="O10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6</v>
      </c>
      <c r="P104" s="173">
        <f>IFERROR(IF(Tabelle132456[[#This Row],[Status]]=$I$5,MIN(Tabelle132456[[#This Row],[Jira Story Points]],Tabelle132456[[#This Row],[Carry-over]]),0),0)</f>
        <v>0</v>
      </c>
      <c r="Q104" s="173">
        <f>IFERROR(IF(Tabelle132456[[#This Row],[Status]]=$I$5,0,MIN(Tabelle132456[[#This Row],[Jira Story Points]],Tabelle132456[[#This Row],[Carry-over]])-Tabelle132456[[#This Row],[SP Completed (COS &amp; SOS)]]),0)</f>
        <v>2</v>
      </c>
    </row>
    <row r="105" spans="1:17" s="46" customFormat="1" ht="13.5" customHeight="1">
      <c r="A105" s="118" t="s">
        <v>3094</v>
      </c>
      <c r="B105" s="47" t="s">
        <v>3095</v>
      </c>
      <c r="C105" s="76" t="s">
        <v>372</v>
      </c>
      <c r="D105" s="76">
        <v>3</v>
      </c>
      <c r="E105" s="76" t="s">
        <v>324</v>
      </c>
      <c r="F105" s="104">
        <v>2</v>
      </c>
      <c r="G105" s="76" t="s">
        <v>21</v>
      </c>
      <c r="H105" s="83"/>
      <c r="I105" s="103" t="s">
        <v>3082</v>
      </c>
      <c r="J105" s="76" t="s">
        <v>125</v>
      </c>
      <c r="K105" s="104"/>
      <c r="L105" s="104"/>
      <c r="M105" s="174">
        <f>IF(Tabelle132456[[#This Row],[Pulled after Start]]="",MIN(Tabelle132456[[#This Row],[Jira Story Points]],Tabelle132456[[#This Row],[Carry-over]]),0)</f>
        <v>2</v>
      </c>
      <c r="N105" s="173">
        <f>MIN(Tabelle132456[[#This Row],[Jira Story Points]],Tabelle132456[[#This Row],[Carry-over]])-Tabelle132456[[#This Row],[SP Initially Planned (COS)]]</f>
        <v>0</v>
      </c>
      <c r="O10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2</v>
      </c>
      <c r="P105" s="173">
        <f>IFERROR(IF(Tabelle132456[[#This Row],[Status]]=$I$5,MIN(Tabelle132456[[#This Row],[Jira Story Points]],Tabelle132456[[#This Row],[Carry-over]]),0),0)</f>
        <v>0</v>
      </c>
      <c r="Q105" s="173">
        <f>IFERROR(IF(Tabelle132456[[#This Row],[Status]]=$I$5,0,MIN(Tabelle132456[[#This Row],[Jira Story Points]],Tabelle132456[[#This Row],[Carry-over]])-Tabelle132456[[#This Row],[SP Completed (COS &amp; SOS)]]),0)</f>
        <v>0</v>
      </c>
    </row>
    <row r="106" spans="1:17" s="46" customFormat="1" ht="13.5" customHeight="1">
      <c r="A106" s="118" t="s">
        <v>3096</v>
      </c>
      <c r="B106" s="47" t="s">
        <v>3097</v>
      </c>
      <c r="C106" s="76" t="s">
        <v>372</v>
      </c>
      <c r="D106" s="76">
        <v>3</v>
      </c>
      <c r="E106" s="76" t="s">
        <v>324</v>
      </c>
      <c r="F106" s="104">
        <v>1</v>
      </c>
      <c r="G106" s="76" t="s">
        <v>21</v>
      </c>
      <c r="H106" s="76" t="s">
        <v>209</v>
      </c>
      <c r="I106" s="103"/>
      <c r="J106" s="76" t="s">
        <v>125</v>
      </c>
      <c r="K106" s="104"/>
      <c r="L106" s="104"/>
      <c r="M106" s="174">
        <f>IF(Tabelle132456[[#This Row],[Pulled after Start]]="",MIN(Tabelle132456[[#This Row],[Jira Story Points]],Tabelle132456[[#This Row],[Carry-over]]),0)</f>
        <v>0</v>
      </c>
      <c r="N106" s="173">
        <f>MIN(Tabelle132456[[#This Row],[Jira Story Points]],Tabelle132456[[#This Row],[Carry-over]])-Tabelle132456[[#This Row],[SP Initially Planned (COS)]]</f>
        <v>1</v>
      </c>
      <c r="O10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1</v>
      </c>
      <c r="P106" s="173">
        <f>IFERROR(IF(Tabelle132456[[#This Row],[Status]]=$I$5,MIN(Tabelle132456[[#This Row],[Jira Story Points]],Tabelle132456[[#This Row],[Carry-over]]),0),0)</f>
        <v>0</v>
      </c>
      <c r="Q106" s="173">
        <f>IFERROR(IF(Tabelle132456[[#This Row],[Status]]=$I$5,0,MIN(Tabelle132456[[#This Row],[Jira Story Points]],Tabelle132456[[#This Row],[Carry-over]])-Tabelle132456[[#This Row],[SP Completed (COS &amp; SOS)]]),0)</f>
        <v>0</v>
      </c>
    </row>
    <row r="107" spans="1:17" s="46" customFormat="1" ht="13.5" customHeight="1">
      <c r="A107" s="117" t="s">
        <v>2599</v>
      </c>
      <c r="B107" s="110" t="s">
        <v>2600</v>
      </c>
      <c r="C107" s="76" t="s">
        <v>372</v>
      </c>
      <c r="D107" s="76">
        <v>3</v>
      </c>
      <c r="E107" s="76" t="s">
        <v>327</v>
      </c>
      <c r="F107" s="104">
        <v>8</v>
      </c>
      <c r="G107" s="76" t="s">
        <v>17</v>
      </c>
      <c r="H107" s="83"/>
      <c r="I107" s="103"/>
      <c r="J107" s="76" t="s">
        <v>127</v>
      </c>
      <c r="K107" s="104">
        <v>3</v>
      </c>
      <c r="L107" s="104">
        <v>3</v>
      </c>
      <c r="M107" s="174">
        <f>IF(Tabelle132456[[#This Row],[Pulled after Start]]="",MIN(Tabelle132456[[#This Row],[Jira Story Points]],Tabelle132456[[#This Row],[Carry-over]]),0)</f>
        <v>3</v>
      </c>
      <c r="N107" s="173">
        <f>MIN(Tabelle132456[[#This Row],[Jira Story Points]],Tabelle132456[[#This Row],[Carry-over]])-Tabelle132456[[#This Row],[SP Initially Planned (COS)]]</f>
        <v>0</v>
      </c>
      <c r="O10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07" s="173">
        <f>IFERROR(IF(Tabelle132456[[#This Row],[Status]]=$I$5,MIN(Tabelle132456[[#This Row],[Jira Story Points]],Tabelle132456[[#This Row],[Carry-over]]),0),0)</f>
        <v>0</v>
      </c>
      <c r="Q107" s="173">
        <f>IFERROR(IF(Tabelle132456[[#This Row],[Status]]=$I$5,0,MIN(Tabelle132456[[#This Row],[Jira Story Points]],Tabelle132456[[#This Row],[Carry-over]])-Tabelle132456[[#This Row],[SP Completed (COS &amp; SOS)]]),0)</f>
        <v>3</v>
      </c>
    </row>
    <row r="108" spans="1:17" s="46" customFormat="1" ht="13.5" customHeight="1">
      <c r="A108" s="88" t="s">
        <v>3098</v>
      </c>
      <c r="B108" s="46" t="s">
        <v>3099</v>
      </c>
      <c r="C108" s="76" t="s">
        <v>375</v>
      </c>
      <c r="D108" s="76">
        <v>2</v>
      </c>
      <c r="E108" s="76" t="s">
        <v>324</v>
      </c>
      <c r="F108" s="76">
        <v>3</v>
      </c>
      <c r="G108" s="76" t="s">
        <v>17</v>
      </c>
      <c r="H108" s="76"/>
      <c r="I108" s="103"/>
      <c r="J108" s="76" t="s">
        <v>125</v>
      </c>
      <c r="K108" s="104"/>
      <c r="L108" s="104"/>
      <c r="M108" s="174">
        <f>IF(Tabelle132456[[#This Row],[Pulled after Start]]="",MIN(Tabelle132456[[#This Row],[Jira Story Points]],Tabelle132456[[#This Row],[Carry-over]]),0)</f>
        <v>3</v>
      </c>
      <c r="N108" s="173">
        <f>MIN(Tabelle132456[[#This Row],[Jira Story Points]],Tabelle132456[[#This Row],[Carry-over]])-Tabelle132456[[#This Row],[SP Initially Planned (COS)]]</f>
        <v>0</v>
      </c>
      <c r="O10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08" s="173">
        <f>IFERROR(IF(Tabelle132456[[#This Row],[Status]]=$I$5,MIN(Tabelle132456[[#This Row],[Jira Story Points]],Tabelle132456[[#This Row],[Carry-over]]),0),0)</f>
        <v>0</v>
      </c>
      <c r="Q108" s="173">
        <f>IFERROR(IF(Tabelle132456[[#This Row],[Status]]=$I$5,0,MIN(Tabelle132456[[#This Row],[Jira Story Points]],Tabelle132456[[#This Row],[Carry-over]])-Tabelle132456[[#This Row],[SP Completed (COS &amp; SOS)]]),0)</f>
        <v>0</v>
      </c>
    </row>
    <row r="109" spans="1:17" s="46" customFormat="1" ht="13.5" customHeight="1">
      <c r="A109" s="88" t="s">
        <v>3100</v>
      </c>
      <c r="B109" s="46" t="s">
        <v>3101</v>
      </c>
      <c r="C109" s="76" t="s">
        <v>375</v>
      </c>
      <c r="D109" s="76">
        <v>3</v>
      </c>
      <c r="E109" s="76" t="s">
        <v>324</v>
      </c>
      <c r="F109" s="76">
        <v>1</v>
      </c>
      <c r="G109" s="76" t="s">
        <v>17</v>
      </c>
      <c r="H109" s="76"/>
      <c r="I109" s="103"/>
      <c r="J109" s="76" t="s">
        <v>125</v>
      </c>
      <c r="K109" s="104"/>
      <c r="L109" s="104"/>
      <c r="M109" s="174">
        <f>IF(Tabelle132456[[#This Row],[Pulled after Start]]="",MIN(Tabelle132456[[#This Row],[Jira Story Points]],Tabelle132456[[#This Row],[Carry-over]]),0)</f>
        <v>1</v>
      </c>
      <c r="N109" s="173">
        <f>MIN(Tabelle132456[[#This Row],[Jira Story Points]],Tabelle132456[[#This Row],[Carry-over]])-Tabelle132456[[#This Row],[SP Initially Planned (COS)]]</f>
        <v>0</v>
      </c>
      <c r="O10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1</v>
      </c>
      <c r="P109" s="173">
        <f>IFERROR(IF(Tabelle132456[[#This Row],[Status]]=$I$5,MIN(Tabelle132456[[#This Row],[Jira Story Points]],Tabelle132456[[#This Row],[Carry-over]]),0),0)</f>
        <v>0</v>
      </c>
      <c r="Q109" s="173">
        <f>IFERROR(IF(Tabelle132456[[#This Row],[Status]]=$I$5,0,MIN(Tabelle132456[[#This Row],[Jira Story Points]],Tabelle132456[[#This Row],[Carry-over]])-Tabelle132456[[#This Row],[SP Completed (COS &amp; SOS)]]),0)</f>
        <v>0</v>
      </c>
    </row>
    <row r="110" spans="1:17" s="46" customFormat="1" ht="13.5" customHeight="1">
      <c r="A110" s="117" t="s">
        <v>3102</v>
      </c>
      <c r="B110" s="110" t="s">
        <v>3103</v>
      </c>
      <c r="C110" s="76" t="s">
        <v>372</v>
      </c>
      <c r="D110" s="76">
        <v>3</v>
      </c>
      <c r="E110" s="76" t="s">
        <v>324</v>
      </c>
      <c r="F110" s="104">
        <v>3</v>
      </c>
      <c r="G110" s="76" t="s">
        <v>17</v>
      </c>
      <c r="H110" s="83"/>
      <c r="I110" s="103"/>
      <c r="J110" s="76" t="s">
        <v>125</v>
      </c>
      <c r="K110" s="104"/>
      <c r="L110" s="104"/>
      <c r="M110" s="174">
        <f>IF(Tabelle132456[[#This Row],[Pulled after Start]]="",MIN(Tabelle132456[[#This Row],[Jira Story Points]],Tabelle132456[[#This Row],[Carry-over]]),0)</f>
        <v>3</v>
      </c>
      <c r="N110" s="173">
        <f>MIN(Tabelle132456[[#This Row],[Jira Story Points]],Tabelle132456[[#This Row],[Carry-over]])-Tabelle132456[[#This Row],[SP Initially Planned (COS)]]</f>
        <v>0</v>
      </c>
      <c r="O11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10" s="173">
        <f>IFERROR(IF(Tabelle132456[[#This Row],[Status]]=$I$5,MIN(Tabelle132456[[#This Row],[Jira Story Points]],Tabelle132456[[#This Row],[Carry-over]]),0),0)</f>
        <v>0</v>
      </c>
      <c r="Q110" s="173">
        <f>IFERROR(IF(Tabelle132456[[#This Row],[Status]]=$I$5,0,MIN(Tabelle132456[[#This Row],[Jira Story Points]],Tabelle132456[[#This Row],[Carry-over]])-Tabelle132456[[#This Row],[SP Completed (COS &amp; SOS)]]),0)</f>
        <v>0</v>
      </c>
    </row>
    <row r="111" spans="1:17" s="46" customFormat="1" ht="13.5" customHeight="1">
      <c r="A111" s="88" t="s">
        <v>3104</v>
      </c>
      <c r="B111" s="46" t="s">
        <v>3105</v>
      </c>
      <c r="C111" s="76" t="s">
        <v>382</v>
      </c>
      <c r="D111" s="76">
        <v>3</v>
      </c>
      <c r="E111" s="76" t="s">
        <v>324</v>
      </c>
      <c r="F111" s="76">
        <v>3</v>
      </c>
      <c r="G111" s="76" t="s">
        <v>17</v>
      </c>
      <c r="H111" s="76"/>
      <c r="J111" s="76" t="s">
        <v>125</v>
      </c>
      <c r="K111" s="76"/>
      <c r="L111" s="76"/>
      <c r="M111" s="174">
        <f>IF(Tabelle132456[[#This Row],[Pulled after Start]]="",MIN(Tabelle132456[[#This Row],[Jira Story Points]],Tabelle132456[[#This Row],[Carry-over]]),0)</f>
        <v>3</v>
      </c>
      <c r="N111" s="173">
        <f>MIN(Tabelle132456[[#This Row],[Jira Story Points]],Tabelle132456[[#This Row],[Carry-over]])-Tabelle132456[[#This Row],[SP Initially Planned (COS)]]</f>
        <v>0</v>
      </c>
      <c r="O11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11" s="173">
        <f>IFERROR(IF(Tabelle132456[[#This Row],[Status]]=$I$5,MIN(Tabelle132456[[#This Row],[Jira Story Points]],Tabelle132456[[#This Row],[Carry-over]]),0),0)</f>
        <v>0</v>
      </c>
      <c r="Q111" s="173">
        <f>IFERROR(IF(Tabelle132456[[#This Row],[Status]]=$I$5,0,MIN(Tabelle132456[[#This Row],[Jira Story Points]],Tabelle132456[[#This Row],[Carry-over]])-Tabelle132456[[#This Row],[SP Completed (COS &amp; SOS)]]),0)</f>
        <v>0</v>
      </c>
    </row>
    <row r="112" spans="1:17" s="46" customFormat="1" ht="13.5" customHeight="1">
      <c r="A112" s="117" t="s">
        <v>3106</v>
      </c>
      <c r="B112" s="110" t="s">
        <v>3107</v>
      </c>
      <c r="C112" s="76" t="s">
        <v>375</v>
      </c>
      <c r="D112" s="76">
        <v>3</v>
      </c>
      <c r="E112" s="76" t="s">
        <v>324</v>
      </c>
      <c r="F112" s="104">
        <v>1</v>
      </c>
      <c r="G112" s="76" t="s">
        <v>17</v>
      </c>
      <c r="H112" s="83"/>
      <c r="I112" s="103"/>
      <c r="J112" s="76" t="s">
        <v>125</v>
      </c>
      <c r="K112" s="104"/>
      <c r="L112" s="104"/>
      <c r="M112" s="174">
        <f>IF(Tabelle132456[[#This Row],[Pulled after Start]]="",MIN(Tabelle132456[[#This Row],[Jira Story Points]],Tabelle132456[[#This Row],[Carry-over]]),0)</f>
        <v>1</v>
      </c>
      <c r="N112" s="173">
        <f>MIN(Tabelle132456[[#This Row],[Jira Story Points]],Tabelle132456[[#This Row],[Carry-over]])-Tabelle132456[[#This Row],[SP Initially Planned (COS)]]</f>
        <v>0</v>
      </c>
      <c r="O11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1</v>
      </c>
      <c r="P112" s="173">
        <f>IFERROR(IF(Tabelle132456[[#This Row],[Status]]=$I$5,MIN(Tabelle132456[[#This Row],[Jira Story Points]],Tabelle132456[[#This Row],[Carry-over]]),0),0)</f>
        <v>0</v>
      </c>
      <c r="Q112" s="173">
        <f>IFERROR(IF(Tabelle132456[[#This Row],[Status]]=$I$5,0,MIN(Tabelle132456[[#This Row],[Jira Story Points]],Tabelle132456[[#This Row],[Carry-over]])-Tabelle132456[[#This Row],[SP Completed (COS &amp; SOS)]]),0)</f>
        <v>0</v>
      </c>
    </row>
    <row r="113" spans="1:17" s="46" customFormat="1" ht="13.5" customHeight="1">
      <c r="A113" s="88" t="s">
        <v>3108</v>
      </c>
      <c r="B113" s="47" t="s">
        <v>3109</v>
      </c>
      <c r="C113" s="76" t="s">
        <v>382</v>
      </c>
      <c r="D113" s="76">
        <v>3</v>
      </c>
      <c r="E113" s="76" t="s">
        <v>324</v>
      </c>
      <c r="F113" s="104"/>
      <c r="G113" s="76" t="s">
        <v>17</v>
      </c>
      <c r="H113" s="76"/>
      <c r="I113" s="103"/>
      <c r="J113" s="76" t="s">
        <v>125</v>
      </c>
      <c r="K113" s="76"/>
      <c r="L113" s="76"/>
      <c r="M113" s="174">
        <f>IF(Tabelle132456[[#This Row],[Pulled after Start]]="",MIN(Tabelle132456[[#This Row],[Jira Story Points]],Tabelle132456[[#This Row],[Carry-over]]),0)</f>
        <v>0</v>
      </c>
      <c r="N113" s="173">
        <f>MIN(Tabelle132456[[#This Row],[Jira Story Points]],Tabelle132456[[#This Row],[Carry-over]])-Tabelle132456[[#This Row],[SP Initially Planned (COS)]]</f>
        <v>0</v>
      </c>
      <c r="O11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13" s="173">
        <f>IFERROR(IF(Tabelle132456[[#This Row],[Status]]=$I$5,MIN(Tabelle132456[[#This Row],[Jira Story Points]],Tabelle132456[[#This Row],[Carry-over]]),0),0)</f>
        <v>0</v>
      </c>
      <c r="Q113" s="173">
        <f>IFERROR(IF(Tabelle132456[[#This Row],[Status]]=$I$5,0,MIN(Tabelle132456[[#This Row],[Jira Story Points]],Tabelle132456[[#This Row],[Carry-over]])-Tabelle132456[[#This Row],[SP Completed (COS &amp; SOS)]]),0)</f>
        <v>0</v>
      </c>
    </row>
    <row r="114" spans="1:17" s="46" customFormat="1" ht="13.5" customHeight="1">
      <c r="A114" s="88" t="s">
        <v>3110</v>
      </c>
      <c r="B114" s="47" t="s">
        <v>3111</v>
      </c>
      <c r="C114" s="76" t="s">
        <v>382</v>
      </c>
      <c r="D114" s="76">
        <v>3</v>
      </c>
      <c r="E114" s="76" t="s">
        <v>324</v>
      </c>
      <c r="F114" s="76">
        <v>3</v>
      </c>
      <c r="G114" s="76" t="s">
        <v>17</v>
      </c>
      <c r="H114" s="76"/>
      <c r="I114" s="103"/>
      <c r="J114" s="76" t="s">
        <v>125</v>
      </c>
      <c r="K114" s="76"/>
      <c r="L114" s="76"/>
      <c r="M114" s="174">
        <f>IF(Tabelle132456[[#This Row],[Pulled after Start]]="",MIN(Tabelle132456[[#This Row],[Jira Story Points]],Tabelle132456[[#This Row],[Carry-over]]),0)</f>
        <v>3</v>
      </c>
      <c r="N114" s="173">
        <f>MIN(Tabelle132456[[#This Row],[Jira Story Points]],Tabelle132456[[#This Row],[Carry-over]])-Tabelle132456[[#This Row],[SP Initially Planned (COS)]]</f>
        <v>0</v>
      </c>
      <c r="O11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14" s="173">
        <f>IFERROR(IF(Tabelle132456[[#This Row],[Status]]=$I$5,MIN(Tabelle132456[[#This Row],[Jira Story Points]],Tabelle132456[[#This Row],[Carry-over]]),0),0)</f>
        <v>0</v>
      </c>
      <c r="Q114" s="173">
        <f>IFERROR(IF(Tabelle132456[[#This Row],[Status]]=$I$5,0,MIN(Tabelle132456[[#This Row],[Jira Story Points]],Tabelle132456[[#This Row],[Carry-over]])-Tabelle132456[[#This Row],[SP Completed (COS &amp; SOS)]]),0)</f>
        <v>0</v>
      </c>
    </row>
    <row r="115" spans="1:17" s="46" customFormat="1" ht="13.5" customHeight="1">
      <c r="A115" s="117" t="s">
        <v>3112</v>
      </c>
      <c r="B115" s="47" t="s">
        <v>3113</v>
      </c>
      <c r="C115" s="76" t="s">
        <v>382</v>
      </c>
      <c r="D115" s="76">
        <v>3</v>
      </c>
      <c r="E115" s="76" t="s">
        <v>324</v>
      </c>
      <c r="F115" s="104">
        <v>2</v>
      </c>
      <c r="G115" s="76" t="s">
        <v>17</v>
      </c>
      <c r="H115" s="76" t="s">
        <v>209</v>
      </c>
      <c r="I115" s="103"/>
      <c r="J115" s="76" t="s">
        <v>125</v>
      </c>
      <c r="K115" s="104"/>
      <c r="L115" s="104"/>
      <c r="M115" s="174">
        <f>IF(Tabelle132456[[#This Row],[Pulled after Start]]="",MIN(Tabelle132456[[#This Row],[Jira Story Points]],Tabelle132456[[#This Row],[Carry-over]]),0)</f>
        <v>0</v>
      </c>
      <c r="N115" s="173">
        <f>MIN(Tabelle132456[[#This Row],[Jira Story Points]],Tabelle132456[[#This Row],[Carry-over]])-Tabelle132456[[#This Row],[SP Initially Planned (COS)]]</f>
        <v>2</v>
      </c>
      <c r="O11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2</v>
      </c>
      <c r="P115" s="173">
        <f>IFERROR(IF(Tabelle132456[[#This Row],[Status]]=$I$5,MIN(Tabelle132456[[#This Row],[Jira Story Points]],Tabelle132456[[#This Row],[Carry-over]]),0),0)</f>
        <v>0</v>
      </c>
      <c r="Q115" s="173">
        <f>IFERROR(IF(Tabelle132456[[#This Row],[Status]]=$I$5,0,MIN(Tabelle132456[[#This Row],[Jira Story Points]],Tabelle132456[[#This Row],[Carry-over]])-Tabelle132456[[#This Row],[SP Completed (COS &amp; SOS)]]),0)</f>
        <v>0</v>
      </c>
    </row>
    <row r="116" spans="1:17" s="46" customFormat="1" ht="13.5" customHeight="1">
      <c r="A116" s="159" t="s">
        <v>3114</v>
      </c>
      <c r="B116" s="47" t="s">
        <v>3115</v>
      </c>
      <c r="C116" s="76" t="s">
        <v>375</v>
      </c>
      <c r="D116" s="76">
        <v>3</v>
      </c>
      <c r="E116" s="76" t="s">
        <v>324</v>
      </c>
      <c r="F116" s="104">
        <v>2</v>
      </c>
      <c r="G116" s="76" t="s">
        <v>17</v>
      </c>
      <c r="H116" s="83" t="s">
        <v>209</v>
      </c>
      <c r="I116" s="103"/>
      <c r="J116" s="76" t="s">
        <v>125</v>
      </c>
      <c r="K116" s="104"/>
      <c r="L116" s="104"/>
      <c r="M116" s="174">
        <f>IF(Tabelle132456[[#This Row],[Pulled after Start]]="",MIN(Tabelle132456[[#This Row],[Jira Story Points]],Tabelle132456[[#This Row],[Carry-over]]),0)</f>
        <v>0</v>
      </c>
      <c r="N116" s="173">
        <f>MIN(Tabelle132456[[#This Row],[Jira Story Points]],Tabelle132456[[#This Row],[Carry-over]])-Tabelle132456[[#This Row],[SP Initially Planned (COS)]]</f>
        <v>2</v>
      </c>
      <c r="O11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2</v>
      </c>
      <c r="P116" s="173">
        <f>IFERROR(IF(Tabelle132456[[#This Row],[Status]]=$I$5,MIN(Tabelle132456[[#This Row],[Jira Story Points]],Tabelle132456[[#This Row],[Carry-over]]),0),0)</f>
        <v>0</v>
      </c>
      <c r="Q116" s="173">
        <f>IFERROR(IF(Tabelle132456[[#This Row],[Status]]=$I$5,0,MIN(Tabelle132456[[#This Row],[Jira Story Points]],Tabelle132456[[#This Row],[Carry-over]])-Tabelle132456[[#This Row],[SP Completed (COS &amp; SOS)]]),0)</f>
        <v>0</v>
      </c>
    </row>
    <row r="117" spans="1:17" s="46" customFormat="1" ht="13.5" customHeight="1">
      <c r="A117" s="88" t="s">
        <v>2906</v>
      </c>
      <c r="B117" s="47" t="s">
        <v>2907</v>
      </c>
      <c r="C117" s="76" t="s">
        <v>372</v>
      </c>
      <c r="D117" s="76">
        <v>3</v>
      </c>
      <c r="E117" s="76" t="s">
        <v>351</v>
      </c>
      <c r="F117" s="76">
        <v>3</v>
      </c>
      <c r="G117" s="76" t="s">
        <v>24</v>
      </c>
      <c r="H117" s="76"/>
      <c r="I117" s="103"/>
      <c r="J117" s="76" t="s">
        <v>127</v>
      </c>
      <c r="K117" s="76"/>
      <c r="L117" s="76">
        <v>3</v>
      </c>
      <c r="M117" s="174">
        <f>IF(Tabelle132456[[#This Row],[Pulled after Start]]="",MIN(Tabelle132456[[#This Row],[Jira Story Points]],Tabelle132456[[#This Row],[Carry-over]]),0)</f>
        <v>3</v>
      </c>
      <c r="N117" s="173">
        <f>MIN(Tabelle132456[[#This Row],[Jira Story Points]],Tabelle132456[[#This Row],[Carry-over]])-Tabelle132456[[#This Row],[SP Initially Planned (COS)]]</f>
        <v>0</v>
      </c>
      <c r="O11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17" s="173">
        <f>IFERROR(IF(Tabelle132456[[#This Row],[Status]]=$I$5,MIN(Tabelle132456[[#This Row],[Jira Story Points]],Tabelle132456[[#This Row],[Carry-over]]),0),0)</f>
        <v>0</v>
      </c>
      <c r="Q117" s="173">
        <f>IFERROR(IF(Tabelle132456[[#This Row],[Status]]=$I$5,0,MIN(Tabelle132456[[#This Row],[Jira Story Points]],Tabelle132456[[#This Row],[Carry-over]])-Tabelle132456[[#This Row],[SP Completed (COS &amp; SOS)]]),0)</f>
        <v>3</v>
      </c>
    </row>
    <row r="118" spans="1:17" s="46" customFormat="1" ht="13.5" customHeight="1">
      <c r="A118" s="117" t="s">
        <v>3116</v>
      </c>
      <c r="B118" s="47" t="s">
        <v>3117</v>
      </c>
      <c r="C118" s="76" t="s">
        <v>382</v>
      </c>
      <c r="D118" s="76">
        <v>3</v>
      </c>
      <c r="E118" s="76" t="s">
        <v>330</v>
      </c>
      <c r="F118" s="104">
        <v>5</v>
      </c>
      <c r="G118" s="76" t="s">
        <v>24</v>
      </c>
      <c r="H118" s="76"/>
      <c r="I118" s="103"/>
      <c r="J118" s="76" t="s">
        <v>125</v>
      </c>
      <c r="K118" s="104"/>
      <c r="L118" s="104"/>
      <c r="M118" s="174">
        <f>IF(Tabelle132456[[#This Row],[Pulled after Start]]="",MIN(Tabelle132456[[#This Row],[Jira Story Points]],Tabelle132456[[#This Row],[Carry-over]]),0)</f>
        <v>5</v>
      </c>
      <c r="N118" s="173">
        <f>MIN(Tabelle132456[[#This Row],[Jira Story Points]],Tabelle132456[[#This Row],[Carry-over]])-Tabelle132456[[#This Row],[SP Initially Planned (COS)]]</f>
        <v>0</v>
      </c>
      <c r="O11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5</v>
      </c>
      <c r="P118" s="173">
        <f>IFERROR(IF(Tabelle132456[[#This Row],[Status]]=$I$5,MIN(Tabelle132456[[#This Row],[Jira Story Points]],Tabelle132456[[#This Row],[Carry-over]]),0),0)</f>
        <v>0</v>
      </c>
      <c r="Q118" s="173">
        <f>IFERROR(IF(Tabelle132456[[#This Row],[Status]]=$I$5,0,MIN(Tabelle132456[[#This Row],[Jira Story Points]],Tabelle132456[[#This Row],[Carry-over]])-Tabelle132456[[#This Row],[SP Completed (COS &amp; SOS)]]),0)</f>
        <v>0</v>
      </c>
    </row>
    <row r="119" spans="1:17" s="46" customFormat="1" ht="13.5" customHeight="1">
      <c r="A119" s="88" t="s">
        <v>3118</v>
      </c>
      <c r="B119" s="47" t="s">
        <v>3119</v>
      </c>
      <c r="C119" s="76" t="s">
        <v>382</v>
      </c>
      <c r="D119" s="76">
        <v>3</v>
      </c>
      <c r="E119" s="76" t="s">
        <v>330</v>
      </c>
      <c r="F119" s="76">
        <v>3</v>
      </c>
      <c r="G119" s="76" t="s">
        <v>24</v>
      </c>
      <c r="H119" s="76"/>
      <c r="I119" s="103"/>
      <c r="J119" s="76" t="s">
        <v>125</v>
      </c>
      <c r="K119" s="76"/>
      <c r="L119" s="76"/>
      <c r="M119" s="174">
        <f>IF(Tabelle132456[[#This Row],[Pulled after Start]]="",MIN(Tabelle132456[[#This Row],[Jira Story Points]],Tabelle132456[[#This Row],[Carry-over]]),0)</f>
        <v>3</v>
      </c>
      <c r="N119" s="173">
        <f>MIN(Tabelle132456[[#This Row],[Jira Story Points]],Tabelle132456[[#This Row],[Carry-over]])-Tabelle132456[[#This Row],[SP Initially Planned (COS)]]</f>
        <v>0</v>
      </c>
      <c r="O11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19" s="173">
        <f>IFERROR(IF(Tabelle132456[[#This Row],[Status]]=$I$5,MIN(Tabelle132456[[#This Row],[Jira Story Points]],Tabelle132456[[#This Row],[Carry-over]]),0),0)</f>
        <v>0</v>
      </c>
      <c r="Q119" s="173">
        <f>IFERROR(IF(Tabelle132456[[#This Row],[Status]]=$I$5,0,MIN(Tabelle132456[[#This Row],[Jira Story Points]],Tabelle132456[[#This Row],[Carry-over]])-Tabelle132456[[#This Row],[SP Completed (COS &amp; SOS)]]),0)</f>
        <v>0</v>
      </c>
    </row>
    <row r="120" spans="1:17" s="46" customFormat="1" ht="13.5" customHeight="1">
      <c r="A120" s="88" t="s">
        <v>3120</v>
      </c>
      <c r="B120" s="47" t="s">
        <v>3121</v>
      </c>
      <c r="C120" s="76" t="s">
        <v>372</v>
      </c>
      <c r="D120" s="76">
        <v>3</v>
      </c>
      <c r="E120" s="76" t="s">
        <v>327</v>
      </c>
      <c r="F120" s="76">
        <v>3</v>
      </c>
      <c r="G120" s="76" t="s">
        <v>24</v>
      </c>
      <c r="H120" s="76"/>
      <c r="I120" s="103"/>
      <c r="J120" s="76" t="s">
        <v>125</v>
      </c>
      <c r="K120" s="76"/>
      <c r="L120" s="76"/>
      <c r="M120" s="174">
        <f>IF(Tabelle132456[[#This Row],[Pulled after Start]]="",MIN(Tabelle132456[[#This Row],[Jira Story Points]],Tabelle132456[[#This Row],[Carry-over]]),0)</f>
        <v>3</v>
      </c>
      <c r="N120" s="173">
        <f>MIN(Tabelle132456[[#This Row],[Jira Story Points]],Tabelle132456[[#This Row],[Carry-over]])-Tabelle132456[[#This Row],[SP Initially Planned (COS)]]</f>
        <v>0</v>
      </c>
      <c r="O12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20" s="173">
        <f>IFERROR(IF(Tabelle132456[[#This Row],[Status]]=$I$5,MIN(Tabelle132456[[#This Row],[Jira Story Points]],Tabelle132456[[#This Row],[Carry-over]]),0),0)</f>
        <v>0</v>
      </c>
      <c r="Q120" s="173">
        <f>IFERROR(IF(Tabelle132456[[#This Row],[Status]]=$I$5,0,MIN(Tabelle132456[[#This Row],[Jira Story Points]],Tabelle132456[[#This Row],[Carry-over]])-Tabelle132456[[#This Row],[SP Completed (COS &amp; SOS)]]),0)</f>
        <v>0</v>
      </c>
    </row>
    <row r="121" spans="1:17" s="46" customFormat="1" ht="13.5" customHeight="1">
      <c r="A121" s="88" t="s">
        <v>1606</v>
      </c>
      <c r="B121" s="46" t="s">
        <v>1607</v>
      </c>
      <c r="C121" s="76" t="s">
        <v>375</v>
      </c>
      <c r="D121" s="76">
        <v>2</v>
      </c>
      <c r="E121" s="76" t="s">
        <v>327</v>
      </c>
      <c r="F121" s="76">
        <v>3</v>
      </c>
      <c r="G121" s="76" t="s">
        <v>24</v>
      </c>
      <c r="H121" s="76"/>
      <c r="I121" s="103"/>
      <c r="J121" s="76" t="s">
        <v>125</v>
      </c>
      <c r="K121" s="76"/>
      <c r="L121" s="76"/>
      <c r="M121" s="174">
        <f>IF(Tabelle132456[[#This Row],[Pulled after Start]]="",MIN(Tabelle132456[[#This Row],[Jira Story Points]],Tabelle132456[[#This Row],[Carry-over]]),0)</f>
        <v>3</v>
      </c>
      <c r="N121" s="173">
        <f>MIN(Tabelle132456[[#This Row],[Jira Story Points]],Tabelle132456[[#This Row],[Carry-over]])-Tabelle132456[[#This Row],[SP Initially Planned (COS)]]</f>
        <v>0</v>
      </c>
      <c r="O12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21" s="173">
        <f>IFERROR(IF(Tabelle132456[[#This Row],[Status]]=$I$5,MIN(Tabelle132456[[#This Row],[Jira Story Points]],Tabelle132456[[#This Row],[Carry-over]]),0),0)</f>
        <v>0</v>
      </c>
      <c r="Q121" s="173">
        <f>IFERROR(IF(Tabelle132456[[#This Row],[Status]]=$I$5,0,MIN(Tabelle132456[[#This Row],[Jira Story Points]],Tabelle132456[[#This Row],[Carry-over]])-Tabelle132456[[#This Row],[SP Completed (COS &amp; SOS)]]),0)</f>
        <v>0</v>
      </c>
    </row>
    <row r="122" spans="1:17" s="46" customFormat="1" ht="13.5" customHeight="1">
      <c r="A122" s="88" t="s">
        <v>3122</v>
      </c>
      <c r="B122" s="47" t="s">
        <v>3123</v>
      </c>
      <c r="C122" s="76" t="s">
        <v>382</v>
      </c>
      <c r="D122" s="76">
        <v>3</v>
      </c>
      <c r="E122" s="76" t="s">
        <v>642</v>
      </c>
      <c r="F122" s="76">
        <v>3</v>
      </c>
      <c r="G122" s="76" t="s">
        <v>24</v>
      </c>
      <c r="H122" s="76"/>
      <c r="I122" s="120"/>
      <c r="J122" s="76" t="s">
        <v>125</v>
      </c>
      <c r="K122" s="76"/>
      <c r="L122" s="76"/>
      <c r="M122" s="174">
        <f>IF(Tabelle132456[[#This Row],[Pulled after Start]]="",MIN(Tabelle132456[[#This Row],[Jira Story Points]],Tabelle132456[[#This Row],[Carry-over]]),0)</f>
        <v>3</v>
      </c>
      <c r="N122" s="173">
        <f>MIN(Tabelle132456[[#This Row],[Jira Story Points]],Tabelle132456[[#This Row],[Carry-over]])-Tabelle132456[[#This Row],[SP Initially Planned (COS)]]</f>
        <v>0</v>
      </c>
      <c r="O12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22" s="173">
        <f>IFERROR(IF(Tabelle132456[[#This Row],[Status]]=$I$5,MIN(Tabelle132456[[#This Row],[Jira Story Points]],Tabelle132456[[#This Row],[Carry-over]]),0),0)</f>
        <v>0</v>
      </c>
      <c r="Q122" s="173">
        <f>IFERROR(IF(Tabelle132456[[#This Row],[Status]]=$I$5,0,MIN(Tabelle132456[[#This Row],[Jira Story Points]],Tabelle132456[[#This Row],[Carry-over]])-Tabelle132456[[#This Row],[SP Completed (COS &amp; SOS)]]),0)</f>
        <v>0</v>
      </c>
    </row>
    <row r="123" spans="1:17" s="46" customFormat="1" ht="13.5" customHeight="1">
      <c r="A123" s="88" t="s">
        <v>2910</v>
      </c>
      <c r="B123" s="46" t="s">
        <v>2911</v>
      </c>
      <c r="C123" s="76" t="s">
        <v>372</v>
      </c>
      <c r="D123" s="76">
        <v>3</v>
      </c>
      <c r="E123" s="76" t="s">
        <v>327</v>
      </c>
      <c r="F123" s="76">
        <v>5</v>
      </c>
      <c r="G123" s="76" t="s">
        <v>24</v>
      </c>
      <c r="H123" s="76"/>
      <c r="I123" s="103"/>
      <c r="J123" s="76" t="s">
        <v>125</v>
      </c>
      <c r="K123" s="76"/>
      <c r="L123" s="76"/>
      <c r="M123" s="174">
        <f>IF(Tabelle132456[[#This Row],[Pulled after Start]]="",MIN(Tabelle132456[[#This Row],[Jira Story Points]],Tabelle132456[[#This Row],[Carry-over]]),0)</f>
        <v>5</v>
      </c>
      <c r="N123" s="173">
        <f>MIN(Tabelle132456[[#This Row],[Jira Story Points]],Tabelle132456[[#This Row],[Carry-over]])-Tabelle132456[[#This Row],[SP Initially Planned (COS)]]</f>
        <v>0</v>
      </c>
      <c r="O12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5</v>
      </c>
      <c r="P123" s="173">
        <f>IFERROR(IF(Tabelle132456[[#This Row],[Status]]=$I$5,MIN(Tabelle132456[[#This Row],[Jira Story Points]],Tabelle132456[[#This Row],[Carry-over]]),0),0)</f>
        <v>0</v>
      </c>
      <c r="Q123" s="173">
        <f>IFERROR(IF(Tabelle132456[[#This Row],[Status]]=$I$5,0,MIN(Tabelle132456[[#This Row],[Jira Story Points]],Tabelle132456[[#This Row],[Carry-over]])-Tabelle132456[[#This Row],[SP Completed (COS &amp; SOS)]]),0)</f>
        <v>0</v>
      </c>
    </row>
    <row r="124" spans="1:17" s="46" customFormat="1" ht="13.5" customHeight="1">
      <c r="A124" s="117" t="s">
        <v>3124</v>
      </c>
      <c r="B124" s="110" t="s">
        <v>3125</v>
      </c>
      <c r="C124" s="76" t="s">
        <v>372</v>
      </c>
      <c r="D124" s="76">
        <v>3</v>
      </c>
      <c r="E124" s="76" t="s">
        <v>642</v>
      </c>
      <c r="F124" s="104">
        <v>2</v>
      </c>
      <c r="G124" s="76" t="s">
        <v>24</v>
      </c>
      <c r="H124" s="83" t="s">
        <v>209</v>
      </c>
      <c r="I124" s="103"/>
      <c r="J124" s="76" t="s">
        <v>125</v>
      </c>
      <c r="K124" s="104"/>
      <c r="L124" s="104"/>
      <c r="M124" s="174">
        <f>IF(Tabelle132456[[#This Row],[Pulled after Start]]="",MIN(Tabelle132456[[#This Row],[Jira Story Points]],Tabelle132456[[#This Row],[Carry-over]]),0)</f>
        <v>0</v>
      </c>
      <c r="N124" s="173">
        <f>MIN(Tabelle132456[[#This Row],[Jira Story Points]],Tabelle132456[[#This Row],[Carry-over]])-Tabelle132456[[#This Row],[SP Initially Planned (COS)]]</f>
        <v>2</v>
      </c>
      <c r="O12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2</v>
      </c>
      <c r="P124" s="173">
        <f>IFERROR(IF(Tabelle132456[[#This Row],[Status]]=$I$5,MIN(Tabelle132456[[#This Row],[Jira Story Points]],Tabelle132456[[#This Row],[Carry-over]]),0),0)</f>
        <v>0</v>
      </c>
      <c r="Q124" s="173">
        <f>IFERROR(IF(Tabelle132456[[#This Row],[Status]]=$I$5,0,MIN(Tabelle132456[[#This Row],[Jira Story Points]],Tabelle132456[[#This Row],[Carry-over]])-Tabelle132456[[#This Row],[SP Completed (COS &amp; SOS)]]),0)</f>
        <v>0</v>
      </c>
    </row>
    <row r="125" spans="1:17" s="46" customFormat="1" ht="13.5" customHeight="1">
      <c r="A125" s="88" t="s">
        <v>3126</v>
      </c>
      <c r="B125" s="46" t="s">
        <v>3127</v>
      </c>
      <c r="C125" s="76" t="s">
        <v>375</v>
      </c>
      <c r="D125" s="76">
        <v>3</v>
      </c>
      <c r="E125" s="76" t="s">
        <v>642</v>
      </c>
      <c r="F125" s="76">
        <v>3</v>
      </c>
      <c r="G125" s="76" t="s">
        <v>24</v>
      </c>
      <c r="H125" s="76"/>
      <c r="I125" s="103"/>
      <c r="J125" s="76" t="s">
        <v>125</v>
      </c>
      <c r="K125" s="76"/>
      <c r="L125" s="76"/>
      <c r="M125" s="174">
        <f>IF(Tabelle132456[[#This Row],[Pulled after Start]]="",MIN(Tabelle132456[[#This Row],[Jira Story Points]],Tabelle132456[[#This Row],[Carry-over]]),0)</f>
        <v>3</v>
      </c>
      <c r="N125" s="173">
        <f>MIN(Tabelle132456[[#This Row],[Jira Story Points]],Tabelle132456[[#This Row],[Carry-over]])-Tabelle132456[[#This Row],[SP Initially Planned (COS)]]</f>
        <v>0</v>
      </c>
      <c r="O12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25" s="173">
        <f>IFERROR(IF(Tabelle132456[[#This Row],[Status]]=$I$5,MIN(Tabelle132456[[#This Row],[Jira Story Points]],Tabelle132456[[#This Row],[Carry-over]]),0),0)</f>
        <v>0</v>
      </c>
      <c r="Q125" s="173">
        <f>IFERROR(IF(Tabelle132456[[#This Row],[Status]]=$I$5,0,MIN(Tabelle132456[[#This Row],[Jira Story Points]],Tabelle132456[[#This Row],[Carry-over]])-Tabelle132456[[#This Row],[SP Completed (COS &amp; SOS)]]),0)</f>
        <v>0</v>
      </c>
    </row>
    <row r="126" spans="1:17" s="46" customFormat="1" ht="13.5" customHeight="1">
      <c r="A126" s="88" t="s">
        <v>3128</v>
      </c>
      <c r="B126" s="46" t="s">
        <v>3129</v>
      </c>
      <c r="C126" s="76" t="s">
        <v>375</v>
      </c>
      <c r="D126" s="76">
        <v>3</v>
      </c>
      <c r="E126" s="76" t="s">
        <v>642</v>
      </c>
      <c r="F126" s="76">
        <v>3</v>
      </c>
      <c r="G126" s="76" t="s">
        <v>24</v>
      </c>
      <c r="H126" s="76"/>
      <c r="I126" s="103"/>
      <c r="J126" s="76" t="s">
        <v>125</v>
      </c>
      <c r="K126" s="76"/>
      <c r="L126" s="76"/>
      <c r="M126" s="174">
        <f>IF(Tabelle132456[[#This Row],[Pulled after Start]]="",MIN(Tabelle132456[[#This Row],[Jira Story Points]],Tabelle132456[[#This Row],[Carry-over]]),0)</f>
        <v>3</v>
      </c>
      <c r="N126" s="173">
        <f>MIN(Tabelle132456[[#This Row],[Jira Story Points]],Tabelle132456[[#This Row],[Carry-over]])-Tabelle132456[[#This Row],[SP Initially Planned (COS)]]</f>
        <v>0</v>
      </c>
      <c r="O12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26" s="173">
        <f>IFERROR(IF(Tabelle132456[[#This Row],[Status]]=$I$5,MIN(Tabelle132456[[#This Row],[Jira Story Points]],Tabelle132456[[#This Row],[Carry-over]]),0),0)</f>
        <v>0</v>
      </c>
      <c r="Q126" s="173">
        <f>IFERROR(IF(Tabelle132456[[#This Row],[Status]]=$I$5,0,MIN(Tabelle132456[[#This Row],[Jira Story Points]],Tabelle132456[[#This Row],[Carry-over]])-Tabelle132456[[#This Row],[SP Completed (COS &amp; SOS)]]),0)</f>
        <v>0</v>
      </c>
    </row>
    <row r="127" spans="1:17" s="46" customFormat="1" ht="13.5" customHeight="1">
      <c r="A127" s="88" t="s">
        <v>3130</v>
      </c>
      <c r="B127" s="46" t="s">
        <v>3131</v>
      </c>
      <c r="C127" s="76" t="s">
        <v>375</v>
      </c>
      <c r="D127" s="76">
        <v>3</v>
      </c>
      <c r="E127" s="76" t="s">
        <v>642</v>
      </c>
      <c r="F127" s="76">
        <v>3</v>
      </c>
      <c r="G127" s="76" t="s">
        <v>24</v>
      </c>
      <c r="H127" s="76"/>
      <c r="I127" s="103"/>
      <c r="J127" s="76" t="s">
        <v>125</v>
      </c>
      <c r="K127" s="104"/>
      <c r="L127" s="104"/>
      <c r="M127" s="174">
        <f>IF(Tabelle132456[[#This Row],[Pulled after Start]]="",MIN(Tabelle132456[[#This Row],[Jira Story Points]],Tabelle132456[[#This Row],[Carry-over]]),0)</f>
        <v>3</v>
      </c>
      <c r="N127" s="173">
        <f>MIN(Tabelle132456[[#This Row],[Jira Story Points]],Tabelle132456[[#This Row],[Carry-over]])-Tabelle132456[[#This Row],[SP Initially Planned (COS)]]</f>
        <v>0</v>
      </c>
      <c r="O12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27" s="173">
        <f>IFERROR(IF(Tabelle132456[[#This Row],[Status]]=$I$5,MIN(Tabelle132456[[#This Row],[Jira Story Points]],Tabelle132456[[#This Row],[Carry-over]]),0),0)</f>
        <v>0</v>
      </c>
      <c r="Q127" s="173">
        <f>IFERROR(IF(Tabelle132456[[#This Row],[Status]]=$I$5,0,MIN(Tabelle132456[[#This Row],[Jira Story Points]],Tabelle132456[[#This Row],[Carry-over]])-Tabelle132456[[#This Row],[SP Completed (COS &amp; SOS)]]),0)</f>
        <v>0</v>
      </c>
    </row>
    <row r="128" spans="1:17" s="46" customFormat="1" ht="13.5" customHeight="1">
      <c r="A128" s="88" t="s">
        <v>3132</v>
      </c>
      <c r="B128" s="47" t="s">
        <v>3133</v>
      </c>
      <c r="C128" s="76" t="s">
        <v>375</v>
      </c>
      <c r="D128" s="76">
        <v>3</v>
      </c>
      <c r="E128" s="76" t="s">
        <v>327</v>
      </c>
      <c r="F128" s="76">
        <v>3</v>
      </c>
      <c r="G128" s="76" t="s">
        <v>24</v>
      </c>
      <c r="H128" s="76"/>
      <c r="I128" s="103"/>
      <c r="J128" s="76" t="s">
        <v>125</v>
      </c>
      <c r="K128" s="76"/>
      <c r="L128" s="76"/>
      <c r="M128" s="174">
        <f>IF(Tabelle132456[[#This Row],[Pulled after Start]]="",MIN(Tabelle132456[[#This Row],[Jira Story Points]],Tabelle132456[[#This Row],[Carry-over]]),0)</f>
        <v>3</v>
      </c>
      <c r="N128" s="173">
        <f>MIN(Tabelle132456[[#This Row],[Jira Story Points]],Tabelle132456[[#This Row],[Carry-over]])-Tabelle132456[[#This Row],[SP Initially Planned (COS)]]</f>
        <v>0</v>
      </c>
      <c r="O12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28" s="173">
        <f>IFERROR(IF(Tabelle132456[[#This Row],[Status]]=$I$5,MIN(Tabelle132456[[#This Row],[Jira Story Points]],Tabelle132456[[#This Row],[Carry-over]]),0),0)</f>
        <v>0</v>
      </c>
      <c r="Q128" s="173">
        <f>IFERROR(IF(Tabelle132456[[#This Row],[Status]]=$I$5,0,MIN(Tabelle132456[[#This Row],[Jira Story Points]],Tabelle132456[[#This Row],[Carry-over]])-Tabelle132456[[#This Row],[SP Completed (COS &amp; SOS)]]),0)</f>
        <v>0</v>
      </c>
    </row>
    <row r="129" spans="1:17" s="46" customFormat="1" ht="13.5" customHeight="1">
      <c r="A129" s="88" t="s">
        <v>3134</v>
      </c>
      <c r="B129" s="46" t="s">
        <v>3135</v>
      </c>
      <c r="C129" s="76" t="s">
        <v>375</v>
      </c>
      <c r="D129" s="76">
        <v>3</v>
      </c>
      <c r="E129" s="76" t="s">
        <v>327</v>
      </c>
      <c r="F129" s="76">
        <v>3</v>
      </c>
      <c r="G129" s="76" t="s">
        <v>24</v>
      </c>
      <c r="H129" s="76"/>
      <c r="I129" s="103"/>
      <c r="J129" s="76" t="s">
        <v>125</v>
      </c>
      <c r="K129" s="76"/>
      <c r="L129" s="76"/>
      <c r="M129" s="174">
        <f>IF(Tabelle132456[[#This Row],[Pulled after Start]]="",MIN(Tabelle132456[[#This Row],[Jira Story Points]],Tabelle132456[[#This Row],[Carry-over]]),0)</f>
        <v>3</v>
      </c>
      <c r="N129" s="173">
        <f>MIN(Tabelle132456[[#This Row],[Jira Story Points]],Tabelle132456[[#This Row],[Carry-over]])-Tabelle132456[[#This Row],[SP Initially Planned (COS)]]</f>
        <v>0</v>
      </c>
      <c r="O12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29" s="173">
        <f>IFERROR(IF(Tabelle132456[[#This Row],[Status]]=$I$5,MIN(Tabelle132456[[#This Row],[Jira Story Points]],Tabelle132456[[#This Row],[Carry-over]]),0),0)</f>
        <v>0</v>
      </c>
      <c r="Q129" s="173">
        <f>IFERROR(IF(Tabelle132456[[#This Row],[Status]]=$I$5,0,MIN(Tabelle132456[[#This Row],[Jira Story Points]],Tabelle132456[[#This Row],[Carry-over]])-Tabelle132456[[#This Row],[SP Completed (COS &amp; SOS)]]),0)</f>
        <v>0</v>
      </c>
    </row>
    <row r="130" spans="1:17" s="46" customFormat="1" ht="13.5" customHeight="1">
      <c r="A130" s="117" t="s">
        <v>3136</v>
      </c>
      <c r="B130" s="47" t="s">
        <v>3137</v>
      </c>
      <c r="C130" s="76" t="s">
        <v>382</v>
      </c>
      <c r="D130" s="76">
        <v>3</v>
      </c>
      <c r="E130" s="76" t="s">
        <v>330</v>
      </c>
      <c r="F130" s="104">
        <v>2</v>
      </c>
      <c r="G130" s="76" t="s">
        <v>24</v>
      </c>
      <c r="H130" s="83"/>
      <c r="I130" s="103"/>
      <c r="J130" s="76" t="s">
        <v>125</v>
      </c>
      <c r="K130" s="104"/>
      <c r="L130" s="104"/>
      <c r="M130" s="174">
        <f>IF(Tabelle132456[[#This Row],[Pulled after Start]]="",MIN(Tabelle132456[[#This Row],[Jira Story Points]],Tabelle132456[[#This Row],[Carry-over]]),0)</f>
        <v>2</v>
      </c>
      <c r="N130" s="173">
        <f>MIN(Tabelle132456[[#This Row],[Jira Story Points]],Tabelle132456[[#This Row],[Carry-over]])-Tabelle132456[[#This Row],[SP Initially Planned (COS)]]</f>
        <v>0</v>
      </c>
      <c r="O13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2</v>
      </c>
      <c r="P130" s="173">
        <f>IFERROR(IF(Tabelle132456[[#This Row],[Status]]=$I$5,MIN(Tabelle132456[[#This Row],[Jira Story Points]],Tabelle132456[[#This Row],[Carry-over]]),0),0)</f>
        <v>0</v>
      </c>
      <c r="Q130" s="173">
        <f>IFERROR(IF(Tabelle132456[[#This Row],[Status]]=$I$5,0,MIN(Tabelle132456[[#This Row],[Jira Story Points]],Tabelle132456[[#This Row],[Carry-over]])-Tabelle132456[[#This Row],[SP Completed (COS &amp; SOS)]]),0)</f>
        <v>0</v>
      </c>
    </row>
    <row r="131" spans="1:17" s="46" customFormat="1" ht="13.5" customHeight="1">
      <c r="A131" s="115" t="s">
        <v>3138</v>
      </c>
      <c r="B131" s="47" t="s">
        <v>3139</v>
      </c>
      <c r="C131" s="76" t="s">
        <v>375</v>
      </c>
      <c r="D131" s="76">
        <v>3</v>
      </c>
      <c r="E131" s="76" t="s">
        <v>324</v>
      </c>
      <c r="F131" s="104">
        <v>3</v>
      </c>
      <c r="G131" s="76" t="s">
        <v>24</v>
      </c>
      <c r="H131" s="83" t="s">
        <v>209</v>
      </c>
      <c r="I131" s="103"/>
      <c r="J131" s="76" t="s">
        <v>125</v>
      </c>
      <c r="K131" s="104"/>
      <c r="L131" s="104"/>
      <c r="M131" s="174">
        <f>IF(Tabelle132456[[#This Row],[Pulled after Start]]="",MIN(Tabelle132456[[#This Row],[Jira Story Points]],Tabelle132456[[#This Row],[Carry-over]]),0)</f>
        <v>0</v>
      </c>
      <c r="N131" s="173">
        <f>MIN(Tabelle132456[[#This Row],[Jira Story Points]],Tabelle132456[[#This Row],[Carry-over]])-Tabelle132456[[#This Row],[SP Initially Planned (COS)]]</f>
        <v>3</v>
      </c>
      <c r="O13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31" s="173">
        <f>IFERROR(IF(Tabelle132456[[#This Row],[Status]]=$I$5,MIN(Tabelle132456[[#This Row],[Jira Story Points]],Tabelle132456[[#This Row],[Carry-over]]),0),0)</f>
        <v>0</v>
      </c>
      <c r="Q131" s="173">
        <f>IFERROR(IF(Tabelle132456[[#This Row],[Status]]=$I$5,0,MIN(Tabelle132456[[#This Row],[Jira Story Points]],Tabelle132456[[#This Row],[Carry-over]])-Tabelle132456[[#This Row],[SP Completed (COS &amp; SOS)]]),0)</f>
        <v>0</v>
      </c>
    </row>
    <row r="132" spans="1:17" s="46" customFormat="1" ht="13.5" customHeight="1">
      <c r="A132" s="115" t="s">
        <v>3140</v>
      </c>
      <c r="B132" s="47" t="s">
        <v>3141</v>
      </c>
      <c r="C132" s="76" t="s">
        <v>375</v>
      </c>
      <c r="D132" s="76">
        <v>3</v>
      </c>
      <c r="E132" s="76" t="s">
        <v>324</v>
      </c>
      <c r="F132" s="104">
        <v>3</v>
      </c>
      <c r="G132" s="76" t="s">
        <v>24</v>
      </c>
      <c r="H132" s="83" t="s">
        <v>209</v>
      </c>
      <c r="I132" s="103"/>
      <c r="J132" s="76" t="s">
        <v>125</v>
      </c>
      <c r="K132" s="104"/>
      <c r="L132" s="104"/>
      <c r="M132" s="174">
        <f>IF(Tabelle132456[[#This Row],[Pulled after Start]]="",MIN(Tabelle132456[[#This Row],[Jira Story Points]],Tabelle132456[[#This Row],[Carry-over]]),0)</f>
        <v>0</v>
      </c>
      <c r="N132" s="173">
        <f>MIN(Tabelle132456[[#This Row],[Jira Story Points]],Tabelle132456[[#This Row],[Carry-over]])-Tabelle132456[[#This Row],[SP Initially Planned (COS)]]</f>
        <v>3</v>
      </c>
      <c r="O13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32" s="173">
        <f>IFERROR(IF(Tabelle132456[[#This Row],[Status]]=$I$5,MIN(Tabelle132456[[#This Row],[Jira Story Points]],Tabelle132456[[#This Row],[Carry-over]]),0),0)</f>
        <v>0</v>
      </c>
      <c r="Q132" s="173">
        <f>IFERROR(IF(Tabelle132456[[#This Row],[Status]]=$I$5,0,MIN(Tabelle132456[[#This Row],[Jira Story Points]],Tabelle132456[[#This Row],[Carry-over]])-Tabelle132456[[#This Row],[SP Completed (COS &amp; SOS)]]),0)</f>
        <v>0</v>
      </c>
    </row>
    <row r="133" spans="1:17" s="46" customFormat="1" ht="13.5" customHeight="1">
      <c r="A133" s="115" t="s">
        <v>2912</v>
      </c>
      <c r="B133" s="47" t="s">
        <v>2913</v>
      </c>
      <c r="C133" s="76" t="s">
        <v>382</v>
      </c>
      <c r="D133" s="76">
        <v>3</v>
      </c>
      <c r="E133" s="76" t="s">
        <v>330</v>
      </c>
      <c r="F133" s="104">
        <v>2</v>
      </c>
      <c r="G133" s="76" t="s">
        <v>24</v>
      </c>
      <c r="H133" s="83" t="s">
        <v>209</v>
      </c>
      <c r="I133" s="103"/>
      <c r="J133" s="76" t="s">
        <v>127</v>
      </c>
      <c r="K133" s="104"/>
      <c r="L133" s="104">
        <v>2</v>
      </c>
      <c r="M133" s="174">
        <f>IF(Tabelle132456[[#This Row],[Pulled after Start]]="",MIN(Tabelle132456[[#This Row],[Jira Story Points]],Tabelle132456[[#This Row],[Carry-over]]),0)</f>
        <v>0</v>
      </c>
      <c r="N133" s="173">
        <f>MIN(Tabelle132456[[#This Row],[Jira Story Points]],Tabelle132456[[#This Row],[Carry-over]])-Tabelle132456[[#This Row],[SP Initially Planned (COS)]]</f>
        <v>2</v>
      </c>
      <c r="O13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33" s="173">
        <f>IFERROR(IF(Tabelle132456[[#This Row],[Status]]=$I$5,MIN(Tabelle132456[[#This Row],[Jira Story Points]],Tabelle132456[[#This Row],[Carry-over]]),0),0)</f>
        <v>0</v>
      </c>
      <c r="Q133" s="173">
        <f>IFERROR(IF(Tabelle132456[[#This Row],[Status]]=$I$5,0,MIN(Tabelle132456[[#This Row],[Jira Story Points]],Tabelle132456[[#This Row],[Carry-over]])-Tabelle132456[[#This Row],[SP Completed (COS &amp; SOS)]]),0)</f>
        <v>2</v>
      </c>
    </row>
    <row r="134" spans="1:17" s="46" customFormat="1" ht="13.5" customHeight="1">
      <c r="A134" s="166" t="s">
        <v>3142</v>
      </c>
      <c r="B134" s="47" t="s">
        <v>3143</v>
      </c>
      <c r="C134" s="76" t="s">
        <v>375</v>
      </c>
      <c r="D134" s="76">
        <v>3</v>
      </c>
      <c r="E134" s="76" t="s">
        <v>324</v>
      </c>
      <c r="F134" s="104">
        <v>2</v>
      </c>
      <c r="G134" s="76" t="s">
        <v>24</v>
      </c>
      <c r="H134" s="83" t="s">
        <v>209</v>
      </c>
      <c r="I134" s="103"/>
      <c r="J134" s="76" t="s">
        <v>125</v>
      </c>
      <c r="K134" s="104"/>
      <c r="L134" s="104"/>
      <c r="M134" s="174">
        <f>IF(Tabelle132456[[#This Row],[Pulled after Start]]="",MIN(Tabelle132456[[#This Row],[Jira Story Points]],Tabelle132456[[#This Row],[Carry-over]]),0)</f>
        <v>0</v>
      </c>
      <c r="N134" s="173">
        <f>MIN(Tabelle132456[[#This Row],[Jira Story Points]],Tabelle132456[[#This Row],[Carry-over]])-Tabelle132456[[#This Row],[SP Initially Planned (COS)]]</f>
        <v>2</v>
      </c>
      <c r="O13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2</v>
      </c>
      <c r="P134" s="173">
        <f>IFERROR(IF(Tabelle132456[[#This Row],[Status]]=$I$5,MIN(Tabelle132456[[#This Row],[Jira Story Points]],Tabelle132456[[#This Row],[Carry-over]]),0),0)</f>
        <v>0</v>
      </c>
      <c r="Q134" s="173">
        <f>IFERROR(IF(Tabelle132456[[#This Row],[Status]]=$I$5,0,MIN(Tabelle132456[[#This Row],[Jira Story Points]],Tabelle132456[[#This Row],[Carry-over]])-Tabelle132456[[#This Row],[SP Completed (COS &amp; SOS)]]),0)</f>
        <v>0</v>
      </c>
    </row>
    <row r="135" spans="1:17" s="46" customFormat="1" ht="13.5" customHeight="1">
      <c r="A135" s="157" t="s">
        <v>3144</v>
      </c>
      <c r="B135" s="47" t="s">
        <v>3145</v>
      </c>
      <c r="C135" s="76" t="s">
        <v>382</v>
      </c>
      <c r="D135" s="76">
        <v>3</v>
      </c>
      <c r="E135" s="76" t="s">
        <v>330</v>
      </c>
      <c r="F135" s="104">
        <v>3</v>
      </c>
      <c r="G135" s="76" t="s">
        <v>24</v>
      </c>
      <c r="H135" s="83" t="s">
        <v>209</v>
      </c>
      <c r="I135" s="103"/>
      <c r="J135" s="76" t="s">
        <v>125</v>
      </c>
      <c r="K135" s="104"/>
      <c r="L135" s="104"/>
      <c r="M135" s="174">
        <f>IF(Tabelle132456[[#This Row],[Pulled after Start]]="",MIN(Tabelle132456[[#This Row],[Jira Story Points]],Tabelle132456[[#This Row],[Carry-over]]),0)</f>
        <v>0</v>
      </c>
      <c r="N135" s="173">
        <f>MIN(Tabelle132456[[#This Row],[Jira Story Points]],Tabelle132456[[#This Row],[Carry-over]])-Tabelle132456[[#This Row],[SP Initially Planned (COS)]]</f>
        <v>3</v>
      </c>
      <c r="O13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35" s="173">
        <f>IFERROR(IF(Tabelle132456[[#This Row],[Status]]=$I$5,MIN(Tabelle132456[[#This Row],[Jira Story Points]],Tabelle132456[[#This Row],[Carry-over]]),0),0)</f>
        <v>0</v>
      </c>
      <c r="Q135" s="173">
        <f>IFERROR(IF(Tabelle132456[[#This Row],[Status]]=$I$5,0,MIN(Tabelle132456[[#This Row],[Jira Story Points]],Tabelle132456[[#This Row],[Carry-over]])-Tabelle132456[[#This Row],[SP Completed (COS &amp; SOS)]]),0)</f>
        <v>0</v>
      </c>
    </row>
    <row r="136" spans="1:17" s="46" customFormat="1" ht="13.5" customHeight="1">
      <c r="A136" s="88" t="s">
        <v>3146</v>
      </c>
      <c r="B136" s="46" t="s">
        <v>3147</v>
      </c>
      <c r="C136" s="76" t="s">
        <v>382</v>
      </c>
      <c r="D136" s="76">
        <v>3</v>
      </c>
      <c r="E136" s="76" t="s">
        <v>324</v>
      </c>
      <c r="F136" s="76">
        <v>3</v>
      </c>
      <c r="G136" s="112" t="s">
        <v>32</v>
      </c>
      <c r="H136" s="76"/>
      <c r="I136" s="103"/>
      <c r="J136" s="76" t="s">
        <v>125</v>
      </c>
      <c r="K136" s="104"/>
      <c r="L136" s="104"/>
      <c r="M136" s="174">
        <f>IF(Tabelle132456[[#This Row],[Pulled after Start]]="",MIN(Tabelle132456[[#This Row],[Jira Story Points]],Tabelle132456[[#This Row],[Carry-over]]),0)</f>
        <v>3</v>
      </c>
      <c r="N136" s="173">
        <f>MIN(Tabelle132456[[#This Row],[Jira Story Points]],Tabelle132456[[#This Row],[Carry-over]])-Tabelle132456[[#This Row],[SP Initially Planned (COS)]]</f>
        <v>0</v>
      </c>
      <c r="O13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36" s="173">
        <f>IFERROR(IF(Tabelle132456[[#This Row],[Status]]=$I$5,MIN(Tabelle132456[[#This Row],[Jira Story Points]],Tabelle132456[[#This Row],[Carry-over]]),0),0)</f>
        <v>0</v>
      </c>
      <c r="Q136" s="173">
        <f>IFERROR(IF(Tabelle132456[[#This Row],[Status]]=$I$5,0,MIN(Tabelle132456[[#This Row],[Jira Story Points]],Tabelle132456[[#This Row],[Carry-over]])-Tabelle132456[[#This Row],[SP Completed (COS &amp; SOS)]]),0)</f>
        <v>0</v>
      </c>
    </row>
    <row r="137" spans="1:17" s="46" customFormat="1" ht="13.5" customHeight="1">
      <c r="A137" s="88" t="s">
        <v>3148</v>
      </c>
      <c r="B137" s="46" t="s">
        <v>3149</v>
      </c>
      <c r="C137" s="76" t="s">
        <v>372</v>
      </c>
      <c r="D137" s="76">
        <v>3</v>
      </c>
      <c r="E137" s="76" t="s">
        <v>324</v>
      </c>
      <c r="F137" s="76">
        <v>5</v>
      </c>
      <c r="G137" s="76" t="s">
        <v>32</v>
      </c>
      <c r="H137" s="76"/>
      <c r="I137" s="103"/>
      <c r="J137" s="76" t="s">
        <v>125</v>
      </c>
      <c r="K137" s="104"/>
      <c r="L137" s="104"/>
      <c r="M137" s="174">
        <f>IF(Tabelle132456[[#This Row],[Pulled after Start]]="",MIN(Tabelle132456[[#This Row],[Jira Story Points]],Tabelle132456[[#This Row],[Carry-over]]),0)</f>
        <v>5</v>
      </c>
      <c r="N137" s="173">
        <f>MIN(Tabelle132456[[#This Row],[Jira Story Points]],Tabelle132456[[#This Row],[Carry-over]])-Tabelle132456[[#This Row],[SP Initially Planned (COS)]]</f>
        <v>0</v>
      </c>
      <c r="O13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5</v>
      </c>
      <c r="P137" s="173">
        <f>IFERROR(IF(Tabelle132456[[#This Row],[Status]]=$I$5,MIN(Tabelle132456[[#This Row],[Jira Story Points]],Tabelle132456[[#This Row],[Carry-over]]),0),0)</f>
        <v>0</v>
      </c>
      <c r="Q137" s="173">
        <f>IFERROR(IF(Tabelle132456[[#This Row],[Status]]=$I$5,0,MIN(Tabelle132456[[#This Row],[Jira Story Points]],Tabelle132456[[#This Row],[Carry-over]])-Tabelle132456[[#This Row],[SP Completed (COS &amp; SOS)]]),0)</f>
        <v>0</v>
      </c>
    </row>
    <row r="138" spans="1:17" s="46" customFormat="1" ht="13.5" customHeight="1">
      <c r="A138" s="88" t="s">
        <v>3150</v>
      </c>
      <c r="B138" s="46" t="s">
        <v>3151</v>
      </c>
      <c r="C138" s="76" t="s">
        <v>382</v>
      </c>
      <c r="D138" s="76">
        <v>3</v>
      </c>
      <c r="E138" s="76" t="s">
        <v>324</v>
      </c>
      <c r="F138" s="76">
        <v>5</v>
      </c>
      <c r="G138" s="76" t="s">
        <v>32</v>
      </c>
      <c r="H138" s="76"/>
      <c r="I138" s="103"/>
      <c r="J138" s="76" t="s">
        <v>125</v>
      </c>
      <c r="K138" s="104"/>
      <c r="L138" s="104"/>
      <c r="M138" s="174">
        <f>IF(Tabelle132456[[#This Row],[Pulled after Start]]="",MIN(Tabelle132456[[#This Row],[Jira Story Points]],Tabelle132456[[#This Row],[Carry-over]]),0)</f>
        <v>5</v>
      </c>
      <c r="N138" s="173">
        <f>MIN(Tabelle132456[[#This Row],[Jira Story Points]],Tabelle132456[[#This Row],[Carry-over]])-Tabelle132456[[#This Row],[SP Initially Planned (COS)]]</f>
        <v>0</v>
      </c>
      <c r="O13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5</v>
      </c>
      <c r="P138" s="173">
        <f>IFERROR(IF(Tabelle132456[[#This Row],[Status]]=$I$5,MIN(Tabelle132456[[#This Row],[Jira Story Points]],Tabelle132456[[#This Row],[Carry-over]]),0),0)</f>
        <v>0</v>
      </c>
      <c r="Q138" s="173">
        <f>IFERROR(IF(Tabelle132456[[#This Row],[Status]]=$I$5,0,MIN(Tabelle132456[[#This Row],[Jira Story Points]],Tabelle132456[[#This Row],[Carry-over]])-Tabelle132456[[#This Row],[SP Completed (COS &amp; SOS)]]),0)</f>
        <v>0</v>
      </c>
    </row>
    <row r="139" spans="1:17" s="46" customFormat="1" ht="13.5" customHeight="1">
      <c r="A139" s="88" t="s">
        <v>3152</v>
      </c>
      <c r="B139" s="46" t="s">
        <v>3153</v>
      </c>
      <c r="C139" s="76" t="s">
        <v>382</v>
      </c>
      <c r="D139" s="76">
        <v>3</v>
      </c>
      <c r="E139" s="76" t="s">
        <v>324</v>
      </c>
      <c r="F139" s="76">
        <v>5</v>
      </c>
      <c r="G139" s="76" t="s">
        <v>32</v>
      </c>
      <c r="H139" s="76"/>
      <c r="I139" s="103"/>
      <c r="J139" s="76" t="s">
        <v>125</v>
      </c>
      <c r="K139" s="104"/>
      <c r="L139" s="104"/>
      <c r="M139" s="174">
        <f>IF(Tabelle132456[[#This Row],[Pulled after Start]]="",MIN(Tabelle132456[[#This Row],[Jira Story Points]],Tabelle132456[[#This Row],[Carry-over]]),0)</f>
        <v>5</v>
      </c>
      <c r="N139" s="173">
        <f>MIN(Tabelle132456[[#This Row],[Jira Story Points]],Tabelle132456[[#This Row],[Carry-over]])-Tabelle132456[[#This Row],[SP Initially Planned (COS)]]</f>
        <v>0</v>
      </c>
      <c r="O13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5</v>
      </c>
      <c r="P139" s="173">
        <f>IFERROR(IF(Tabelle132456[[#This Row],[Status]]=$I$5,MIN(Tabelle132456[[#This Row],[Jira Story Points]],Tabelle132456[[#This Row],[Carry-over]]),0),0)</f>
        <v>0</v>
      </c>
      <c r="Q139" s="173">
        <f>IFERROR(IF(Tabelle132456[[#This Row],[Status]]=$I$5,0,MIN(Tabelle132456[[#This Row],[Jira Story Points]],Tabelle132456[[#This Row],[Carry-over]])-Tabelle132456[[#This Row],[SP Completed (COS &amp; SOS)]]),0)</f>
        <v>0</v>
      </c>
    </row>
    <row r="140" spans="1:17" s="46" customFormat="1" ht="13.5" customHeight="1">
      <c r="A140" s="88" t="s">
        <v>3154</v>
      </c>
      <c r="B140" s="46" t="s">
        <v>3155</v>
      </c>
      <c r="C140" s="76" t="s">
        <v>382</v>
      </c>
      <c r="D140" s="76">
        <v>3</v>
      </c>
      <c r="E140" s="76" t="s">
        <v>324</v>
      </c>
      <c r="F140" s="76">
        <v>5</v>
      </c>
      <c r="G140" s="76" t="s">
        <v>32</v>
      </c>
      <c r="H140" s="76"/>
      <c r="I140" s="103"/>
      <c r="J140" s="76" t="s">
        <v>125</v>
      </c>
      <c r="K140" s="104"/>
      <c r="L140" s="104"/>
      <c r="M140" s="174">
        <f>IF(Tabelle132456[[#This Row],[Pulled after Start]]="",MIN(Tabelle132456[[#This Row],[Jira Story Points]],Tabelle132456[[#This Row],[Carry-over]]),0)</f>
        <v>5</v>
      </c>
      <c r="N140" s="173">
        <f>MIN(Tabelle132456[[#This Row],[Jira Story Points]],Tabelle132456[[#This Row],[Carry-over]])-Tabelle132456[[#This Row],[SP Initially Planned (COS)]]</f>
        <v>0</v>
      </c>
      <c r="O14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5</v>
      </c>
      <c r="P140" s="173">
        <f>IFERROR(IF(Tabelle132456[[#This Row],[Status]]=$I$5,MIN(Tabelle132456[[#This Row],[Jira Story Points]],Tabelle132456[[#This Row],[Carry-over]]),0),0)</f>
        <v>0</v>
      </c>
      <c r="Q140" s="173">
        <f>IFERROR(IF(Tabelle132456[[#This Row],[Status]]=$I$5,0,MIN(Tabelle132456[[#This Row],[Jira Story Points]],Tabelle132456[[#This Row],[Carry-over]])-Tabelle132456[[#This Row],[SP Completed (COS &amp; SOS)]]),0)</f>
        <v>0</v>
      </c>
    </row>
    <row r="141" spans="1:17" s="46" customFormat="1" ht="13.5" customHeight="1">
      <c r="A141" s="88" t="s">
        <v>2391</v>
      </c>
      <c r="B141" s="46" t="s">
        <v>2939</v>
      </c>
      <c r="C141" s="76" t="s">
        <v>372</v>
      </c>
      <c r="D141" s="76">
        <v>3</v>
      </c>
      <c r="E141" s="76" t="s">
        <v>628</v>
      </c>
      <c r="F141" s="76">
        <v>3</v>
      </c>
      <c r="G141" s="76" t="s">
        <v>32</v>
      </c>
      <c r="H141" s="76"/>
      <c r="I141" s="103"/>
      <c r="J141" s="76" t="s">
        <v>127</v>
      </c>
      <c r="K141" s="104">
        <v>2</v>
      </c>
      <c r="L141" s="104">
        <v>1</v>
      </c>
      <c r="M141" s="174">
        <f>IF(Tabelle132456[[#This Row],[Pulled after Start]]="",MIN(Tabelle132456[[#This Row],[Jira Story Points]],Tabelle132456[[#This Row],[Carry-over]]),0)</f>
        <v>2</v>
      </c>
      <c r="N141" s="173">
        <f>MIN(Tabelle132456[[#This Row],[Jira Story Points]],Tabelle132456[[#This Row],[Carry-over]])-Tabelle132456[[#This Row],[SP Initially Planned (COS)]]</f>
        <v>0</v>
      </c>
      <c r="O14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1</v>
      </c>
      <c r="P141" s="173">
        <f>IFERROR(IF(Tabelle132456[[#This Row],[Status]]=$I$5,MIN(Tabelle132456[[#This Row],[Jira Story Points]],Tabelle132456[[#This Row],[Carry-over]]),0),0)</f>
        <v>0</v>
      </c>
      <c r="Q141" s="173">
        <f>IFERROR(IF(Tabelle132456[[#This Row],[Status]]=$I$5,0,MIN(Tabelle132456[[#This Row],[Jira Story Points]],Tabelle132456[[#This Row],[Carry-over]])-Tabelle132456[[#This Row],[SP Completed (COS &amp; SOS)]]),0)</f>
        <v>1</v>
      </c>
    </row>
    <row r="142" spans="1:17" s="46" customFormat="1" ht="13.5" customHeight="1">
      <c r="A142" s="88" t="s">
        <v>3156</v>
      </c>
      <c r="B142" s="46" t="s">
        <v>3157</v>
      </c>
      <c r="C142" s="76" t="s">
        <v>375</v>
      </c>
      <c r="D142" s="76">
        <v>2</v>
      </c>
      <c r="E142" s="76" t="s">
        <v>324</v>
      </c>
      <c r="F142" s="76">
        <v>3</v>
      </c>
      <c r="G142" s="76" t="s">
        <v>32</v>
      </c>
      <c r="H142" s="76"/>
      <c r="I142" s="103"/>
      <c r="J142" s="76" t="s">
        <v>125</v>
      </c>
      <c r="K142" s="104"/>
      <c r="L142" s="104"/>
      <c r="M142" s="174">
        <f>IF(Tabelle132456[[#This Row],[Pulled after Start]]="",MIN(Tabelle132456[[#This Row],[Jira Story Points]],Tabelle132456[[#This Row],[Carry-over]]),0)</f>
        <v>3</v>
      </c>
      <c r="N142" s="173">
        <f>MIN(Tabelle132456[[#This Row],[Jira Story Points]],Tabelle132456[[#This Row],[Carry-over]])-Tabelle132456[[#This Row],[SP Initially Planned (COS)]]</f>
        <v>0</v>
      </c>
      <c r="O14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42" s="173">
        <f>IFERROR(IF(Tabelle132456[[#This Row],[Status]]=$I$5,MIN(Tabelle132456[[#This Row],[Jira Story Points]],Tabelle132456[[#This Row],[Carry-over]]),0),0)</f>
        <v>0</v>
      </c>
      <c r="Q142" s="173">
        <f>IFERROR(IF(Tabelle132456[[#This Row],[Status]]=$I$5,0,MIN(Tabelle132456[[#This Row],[Jira Story Points]],Tabelle132456[[#This Row],[Carry-over]])-Tabelle132456[[#This Row],[SP Completed (COS &amp; SOS)]]),0)</f>
        <v>0</v>
      </c>
    </row>
    <row r="143" spans="1:17" s="46" customFormat="1" ht="13.5" customHeight="1">
      <c r="A143" s="88" t="s">
        <v>3158</v>
      </c>
      <c r="B143" s="46" t="s">
        <v>3159</v>
      </c>
      <c r="C143" s="76" t="s">
        <v>375</v>
      </c>
      <c r="D143" s="76">
        <v>3</v>
      </c>
      <c r="E143" s="76" t="s">
        <v>324</v>
      </c>
      <c r="F143" s="76">
        <v>3</v>
      </c>
      <c r="G143" s="76" t="s">
        <v>32</v>
      </c>
      <c r="H143" s="76"/>
      <c r="I143" s="103"/>
      <c r="J143" s="76" t="s">
        <v>125</v>
      </c>
      <c r="K143" s="76"/>
      <c r="L143" s="76"/>
      <c r="M143" s="174">
        <f>IF(Tabelle132456[[#This Row],[Pulled after Start]]="",MIN(Tabelle132456[[#This Row],[Jira Story Points]],Tabelle132456[[#This Row],[Carry-over]]),0)</f>
        <v>3</v>
      </c>
      <c r="N143" s="173">
        <f>MIN(Tabelle132456[[#This Row],[Jira Story Points]],Tabelle132456[[#This Row],[Carry-over]])-Tabelle132456[[#This Row],[SP Initially Planned (COS)]]</f>
        <v>0</v>
      </c>
      <c r="O14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43" s="173">
        <f>IFERROR(IF(Tabelle132456[[#This Row],[Status]]=$I$5,MIN(Tabelle132456[[#This Row],[Jira Story Points]],Tabelle132456[[#This Row],[Carry-over]]),0),0)</f>
        <v>0</v>
      </c>
      <c r="Q143" s="173">
        <f>IFERROR(IF(Tabelle132456[[#This Row],[Status]]=$I$5,0,MIN(Tabelle132456[[#This Row],[Jira Story Points]],Tabelle132456[[#This Row],[Carry-over]])-Tabelle132456[[#This Row],[SP Completed (COS &amp; SOS)]]),0)</f>
        <v>0</v>
      </c>
    </row>
    <row r="144" spans="1:17" s="46" customFormat="1" ht="13.5" customHeight="1">
      <c r="A144" s="88" t="s">
        <v>2940</v>
      </c>
      <c r="B144" s="46" t="s">
        <v>3160</v>
      </c>
      <c r="C144" s="76" t="s">
        <v>375</v>
      </c>
      <c r="D144" s="76">
        <v>3</v>
      </c>
      <c r="E144" s="76" t="s">
        <v>327</v>
      </c>
      <c r="F144" s="76">
        <v>3</v>
      </c>
      <c r="G144" s="76" t="s">
        <v>32</v>
      </c>
      <c r="H144" s="76"/>
      <c r="I144" s="120"/>
      <c r="J144" s="76" t="s">
        <v>127</v>
      </c>
      <c r="K144" s="104">
        <v>2</v>
      </c>
      <c r="L144" s="104">
        <v>1</v>
      </c>
      <c r="M144" s="174">
        <f>IF(Tabelle132456[[#This Row],[Pulled after Start]]="",MIN(Tabelle132456[[#This Row],[Jira Story Points]],Tabelle132456[[#This Row],[Carry-over]]),0)</f>
        <v>2</v>
      </c>
      <c r="N144" s="173">
        <f>MIN(Tabelle132456[[#This Row],[Jira Story Points]],Tabelle132456[[#This Row],[Carry-over]])-Tabelle132456[[#This Row],[SP Initially Planned (COS)]]</f>
        <v>0</v>
      </c>
      <c r="O14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1</v>
      </c>
      <c r="P144" s="173">
        <f>IFERROR(IF(Tabelle132456[[#This Row],[Status]]=$I$5,MIN(Tabelle132456[[#This Row],[Jira Story Points]],Tabelle132456[[#This Row],[Carry-over]]),0),0)</f>
        <v>0</v>
      </c>
      <c r="Q144" s="173">
        <f>IFERROR(IF(Tabelle132456[[#This Row],[Status]]=$I$5,0,MIN(Tabelle132456[[#This Row],[Jira Story Points]],Tabelle132456[[#This Row],[Carry-over]])-Tabelle132456[[#This Row],[SP Completed (COS &amp; SOS)]]),0)</f>
        <v>1</v>
      </c>
    </row>
    <row r="145" spans="1:17" s="46" customFormat="1" ht="13.5" customHeight="1">
      <c r="A145" s="88" t="s">
        <v>2951</v>
      </c>
      <c r="B145" s="46" t="s">
        <v>2952</v>
      </c>
      <c r="C145" s="76" t="s">
        <v>375</v>
      </c>
      <c r="D145" s="76">
        <v>2</v>
      </c>
      <c r="E145" s="76" t="s">
        <v>637</v>
      </c>
      <c r="F145" s="76">
        <v>5</v>
      </c>
      <c r="G145" s="76" t="s">
        <v>32</v>
      </c>
      <c r="H145" s="76"/>
      <c r="I145" s="103"/>
      <c r="J145" s="76" t="s">
        <v>127</v>
      </c>
      <c r="K145" s="76">
        <v>0</v>
      </c>
      <c r="L145" s="76">
        <v>5</v>
      </c>
      <c r="M145" s="174">
        <f>IF(Tabelle132456[[#This Row],[Pulled after Start]]="",MIN(Tabelle132456[[#This Row],[Jira Story Points]],Tabelle132456[[#This Row],[Carry-over]]),0)</f>
        <v>0</v>
      </c>
      <c r="N145" s="173">
        <f>MIN(Tabelle132456[[#This Row],[Jira Story Points]],Tabelle132456[[#This Row],[Carry-over]])-Tabelle132456[[#This Row],[SP Initially Planned (COS)]]</f>
        <v>0</v>
      </c>
      <c r="O14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45" s="173">
        <f>IFERROR(IF(Tabelle132456[[#This Row],[Status]]=$I$5,MIN(Tabelle132456[[#This Row],[Jira Story Points]],Tabelle132456[[#This Row],[Carry-over]]),0),0)</f>
        <v>0</v>
      </c>
      <c r="Q145" s="173">
        <f>IFERROR(IF(Tabelle132456[[#This Row],[Status]]=$I$5,0,MIN(Tabelle132456[[#This Row],[Jira Story Points]],Tabelle132456[[#This Row],[Carry-over]])-Tabelle132456[[#This Row],[SP Completed (COS &amp; SOS)]]),0)</f>
        <v>0</v>
      </c>
    </row>
    <row r="146" spans="1:17" s="46" customFormat="1" ht="13.5" customHeight="1">
      <c r="A146" s="184" t="s">
        <v>2956</v>
      </c>
      <c r="B146" s="185" t="s">
        <v>2957</v>
      </c>
      <c r="C146" s="138" t="s">
        <v>382</v>
      </c>
      <c r="D146" s="138">
        <v>3</v>
      </c>
      <c r="E146" s="138" t="s">
        <v>330</v>
      </c>
      <c r="F146" s="138" t="s">
        <v>2958</v>
      </c>
      <c r="G146" s="138" t="s">
        <v>32</v>
      </c>
      <c r="H146" s="138"/>
      <c r="I146" s="141"/>
      <c r="J146" s="138" t="s">
        <v>127</v>
      </c>
      <c r="K146" s="139"/>
      <c r="L146" s="139"/>
      <c r="M146" s="174">
        <f>IF(Tabelle132456[[#This Row],[Pulled after Start]]="",MIN(Tabelle132456[[#This Row],[Jira Story Points]],Tabelle132456[[#This Row],[Carry-over]]),0)</f>
        <v>0</v>
      </c>
      <c r="N146" s="173">
        <f>MIN(Tabelle132456[[#This Row],[Jira Story Points]],Tabelle132456[[#This Row],[Carry-over]])-Tabelle132456[[#This Row],[SP Initially Planned (COS)]]</f>
        <v>0</v>
      </c>
      <c r="O14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46" s="173">
        <f>IFERROR(IF(Tabelle132456[[#This Row],[Status]]=$I$5,MIN(Tabelle132456[[#This Row],[Jira Story Points]],Tabelle132456[[#This Row],[Carry-over]]),0),0)</f>
        <v>0</v>
      </c>
      <c r="Q146" s="173">
        <f>IFERROR(IF(Tabelle132456[[#This Row],[Status]]=$I$5,0,MIN(Tabelle132456[[#This Row],[Jira Story Points]],Tabelle132456[[#This Row],[Carry-over]])-Tabelle132456[[#This Row],[SP Completed (COS &amp; SOS)]]),0)</f>
        <v>0</v>
      </c>
    </row>
    <row r="147" spans="1:17" s="46" customFormat="1" ht="13.5" customHeight="1">
      <c r="A147" s="184" t="s">
        <v>2959</v>
      </c>
      <c r="B147" s="185" t="s">
        <v>2960</v>
      </c>
      <c r="C147" s="138" t="s">
        <v>382</v>
      </c>
      <c r="D147" s="138">
        <v>3</v>
      </c>
      <c r="E147" s="138" t="s">
        <v>330</v>
      </c>
      <c r="F147" s="138" t="s">
        <v>2958</v>
      </c>
      <c r="G147" s="138" t="s">
        <v>32</v>
      </c>
      <c r="H147" s="138"/>
      <c r="I147" s="141"/>
      <c r="J147" s="138" t="s">
        <v>127</v>
      </c>
      <c r="K147" s="139"/>
      <c r="L147" s="139"/>
      <c r="M147" s="174">
        <f>IF(Tabelle132456[[#This Row],[Pulled after Start]]="",MIN(Tabelle132456[[#This Row],[Jira Story Points]],Tabelle132456[[#This Row],[Carry-over]]),0)</f>
        <v>0</v>
      </c>
      <c r="N147" s="173">
        <f>MIN(Tabelle132456[[#This Row],[Jira Story Points]],Tabelle132456[[#This Row],[Carry-over]])-Tabelle132456[[#This Row],[SP Initially Planned (COS)]]</f>
        <v>0</v>
      </c>
      <c r="O14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47" s="173">
        <f>IFERROR(IF(Tabelle132456[[#This Row],[Status]]=$I$5,MIN(Tabelle132456[[#This Row],[Jira Story Points]],Tabelle132456[[#This Row],[Carry-over]]),0),0)</f>
        <v>0</v>
      </c>
      <c r="Q147" s="173">
        <f>IFERROR(IF(Tabelle132456[[#This Row],[Status]]=$I$5,0,MIN(Tabelle132456[[#This Row],[Jira Story Points]],Tabelle132456[[#This Row],[Carry-over]])-Tabelle132456[[#This Row],[SP Completed (COS &amp; SOS)]]),0)</f>
        <v>0</v>
      </c>
    </row>
    <row r="148" spans="1:17" s="46" customFormat="1" ht="13.5" customHeight="1">
      <c r="A148" s="184" t="s">
        <v>3161</v>
      </c>
      <c r="B148" s="185" t="s">
        <v>3162</v>
      </c>
      <c r="C148" s="138" t="s">
        <v>382</v>
      </c>
      <c r="D148" s="138">
        <v>3</v>
      </c>
      <c r="E148" s="138" t="s">
        <v>324</v>
      </c>
      <c r="F148" s="138">
        <v>3</v>
      </c>
      <c r="G148" s="138" t="s">
        <v>32</v>
      </c>
      <c r="H148" s="138"/>
      <c r="I148" s="141"/>
      <c r="J148" s="138" t="s">
        <v>125</v>
      </c>
      <c r="K148" s="139"/>
      <c r="L148" s="139"/>
      <c r="M148" s="174">
        <f>IF(Tabelle132456[[#This Row],[Pulled after Start]]="",MIN(Tabelle132456[[#This Row],[Jira Story Points]],Tabelle132456[[#This Row],[Carry-over]]),0)</f>
        <v>3</v>
      </c>
      <c r="N148" s="173">
        <f>MIN(Tabelle132456[[#This Row],[Jira Story Points]],Tabelle132456[[#This Row],[Carry-over]])-Tabelle132456[[#This Row],[SP Initially Planned (COS)]]</f>
        <v>0</v>
      </c>
      <c r="O14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48" s="173">
        <f>IFERROR(IF(Tabelle132456[[#This Row],[Status]]=$I$5,MIN(Tabelle132456[[#This Row],[Jira Story Points]],Tabelle132456[[#This Row],[Carry-over]]),0),0)</f>
        <v>0</v>
      </c>
      <c r="Q148" s="173">
        <f>IFERROR(IF(Tabelle132456[[#This Row],[Status]]=$I$5,0,MIN(Tabelle132456[[#This Row],[Jira Story Points]],Tabelle132456[[#This Row],[Carry-over]])-Tabelle132456[[#This Row],[SP Completed (COS &amp; SOS)]]),0)</f>
        <v>0</v>
      </c>
    </row>
    <row r="149" spans="1:17" s="46" customFormat="1" ht="13.5" customHeight="1">
      <c r="A149" s="184" t="s">
        <v>3163</v>
      </c>
      <c r="B149" s="185" t="s">
        <v>3164</v>
      </c>
      <c r="C149" s="138" t="s">
        <v>382</v>
      </c>
      <c r="D149" s="138">
        <v>3</v>
      </c>
      <c r="E149" s="138" t="s">
        <v>324</v>
      </c>
      <c r="F149" s="138">
        <v>3</v>
      </c>
      <c r="G149" s="138" t="s">
        <v>32</v>
      </c>
      <c r="H149" s="138"/>
      <c r="I149" s="141"/>
      <c r="J149" s="138" t="s">
        <v>125</v>
      </c>
      <c r="K149" s="139"/>
      <c r="L149" s="139"/>
      <c r="M149" s="174">
        <f>IF(Tabelle132456[[#This Row],[Pulled after Start]]="",MIN(Tabelle132456[[#This Row],[Jira Story Points]],Tabelle132456[[#This Row],[Carry-over]]),0)</f>
        <v>3</v>
      </c>
      <c r="N149" s="173">
        <f>MIN(Tabelle132456[[#This Row],[Jira Story Points]],Tabelle132456[[#This Row],[Carry-over]])-Tabelle132456[[#This Row],[SP Initially Planned (COS)]]</f>
        <v>0</v>
      </c>
      <c r="O14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49" s="173">
        <f>IFERROR(IF(Tabelle132456[[#This Row],[Status]]=$I$5,MIN(Tabelle132456[[#This Row],[Jira Story Points]],Tabelle132456[[#This Row],[Carry-over]]),0),0)</f>
        <v>0</v>
      </c>
      <c r="Q149" s="173">
        <f>IFERROR(IF(Tabelle132456[[#This Row],[Status]]=$I$5,0,MIN(Tabelle132456[[#This Row],[Jira Story Points]],Tabelle132456[[#This Row],[Carry-over]])-Tabelle132456[[#This Row],[SP Completed (COS &amp; SOS)]]),0)</f>
        <v>0</v>
      </c>
    </row>
    <row r="150" spans="1:17" s="46" customFormat="1" ht="13.5" customHeight="1">
      <c r="A150" s="184" t="s">
        <v>3165</v>
      </c>
      <c r="B150" s="185" t="s">
        <v>3166</v>
      </c>
      <c r="C150" s="138" t="s">
        <v>382</v>
      </c>
      <c r="D150" s="138">
        <v>3</v>
      </c>
      <c r="E150" s="138" t="s">
        <v>324</v>
      </c>
      <c r="F150" s="138">
        <v>3</v>
      </c>
      <c r="G150" s="138" t="s">
        <v>32</v>
      </c>
      <c r="H150" s="138"/>
      <c r="I150" s="141"/>
      <c r="J150" s="138" t="s">
        <v>125</v>
      </c>
      <c r="K150" s="139"/>
      <c r="L150" s="139"/>
      <c r="M150" s="174">
        <f>IF(Tabelle132456[[#This Row],[Pulled after Start]]="",MIN(Tabelle132456[[#This Row],[Jira Story Points]],Tabelle132456[[#This Row],[Carry-over]]),0)</f>
        <v>3</v>
      </c>
      <c r="N150" s="173">
        <f>MIN(Tabelle132456[[#This Row],[Jira Story Points]],Tabelle132456[[#This Row],[Carry-over]])-Tabelle132456[[#This Row],[SP Initially Planned (COS)]]</f>
        <v>0</v>
      </c>
      <c r="O15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50" s="173">
        <f>IFERROR(IF(Tabelle132456[[#This Row],[Status]]=$I$5,MIN(Tabelle132456[[#This Row],[Jira Story Points]],Tabelle132456[[#This Row],[Carry-over]]),0),0)</f>
        <v>0</v>
      </c>
      <c r="Q150" s="173">
        <f>IFERROR(IF(Tabelle132456[[#This Row],[Status]]=$I$5,0,MIN(Tabelle132456[[#This Row],[Jira Story Points]],Tabelle132456[[#This Row],[Carry-over]])-Tabelle132456[[#This Row],[SP Completed (COS &amp; SOS)]]),0)</f>
        <v>0</v>
      </c>
    </row>
    <row r="151" spans="1:17" s="46" customFormat="1" ht="13.5" customHeight="1">
      <c r="A151" s="184" t="s">
        <v>3167</v>
      </c>
      <c r="B151" s="185" t="s">
        <v>3168</v>
      </c>
      <c r="C151" s="138" t="s">
        <v>382</v>
      </c>
      <c r="D151" s="138">
        <v>3</v>
      </c>
      <c r="E151" s="138" t="s">
        <v>324</v>
      </c>
      <c r="F151" s="138" t="s">
        <v>210</v>
      </c>
      <c r="G151" s="138" t="s">
        <v>5</v>
      </c>
      <c r="H151" s="138" t="s">
        <v>209</v>
      </c>
      <c r="I151" s="141"/>
      <c r="J151" s="138" t="s">
        <v>125</v>
      </c>
      <c r="K151" s="139"/>
      <c r="L151" s="139"/>
      <c r="M151" s="174">
        <f>IF(Tabelle132456[[#This Row],[Pulled after Start]]="",MIN(Tabelle132456[[#This Row],[Jira Story Points]],Tabelle132456[[#This Row],[Carry-over]]),0)</f>
        <v>0</v>
      </c>
      <c r="N151" s="173">
        <f>MIN(Tabelle132456[[#This Row],[Jira Story Points]],Tabelle132456[[#This Row],[Carry-over]])-Tabelle132456[[#This Row],[SP Initially Planned (COS)]]</f>
        <v>0</v>
      </c>
      <c r="O151" s="172" t="str">
        <f>IFERROR(IF(Tabelle132456[[#This Row],[Status]]=$I$5,0,IF(AND(Tabelle132456[[#This Row],[Status]]=$H$5,Tabelle132456[[#This Row],[Spill-over]]=0),0,IF(Tabelle132456[[#This Row],[Carry-over]]&lt;&gt;0,Tabelle132456[[#This Row],[Carry-over]]-Tabelle132456[[#This Row],[Spill-over]],Tabelle132456[[#This Row],[Jira Story Points]]-Tabelle132456[[#This Row],[Spill-over]]))),"-")</f>
        <v>-</v>
      </c>
      <c r="P151" s="173">
        <f>IFERROR(IF(Tabelle132456[[#This Row],[Status]]=$I$5,MIN(Tabelle132456[[#This Row],[Jira Story Points]],Tabelle132456[[#This Row],[Carry-over]]),0),0)</f>
        <v>0</v>
      </c>
      <c r="Q151" s="173">
        <f>IFERROR(IF(Tabelle132456[[#This Row],[Status]]=$I$5,0,MIN(Tabelle132456[[#This Row],[Jira Story Points]],Tabelle132456[[#This Row],[Carry-over]])-Tabelle132456[[#This Row],[SP Completed (COS &amp; SOS)]]),0)</f>
        <v>0</v>
      </c>
    </row>
    <row r="152" spans="1:17" s="46" customFormat="1" ht="13.5" customHeight="1">
      <c r="A152" s="184" t="s">
        <v>3169</v>
      </c>
      <c r="B152" s="185" t="s">
        <v>3170</v>
      </c>
      <c r="C152" s="138" t="s">
        <v>372</v>
      </c>
      <c r="D152" s="138">
        <v>3</v>
      </c>
      <c r="E152" s="138" t="s">
        <v>324</v>
      </c>
      <c r="F152" s="138">
        <v>8</v>
      </c>
      <c r="G152" s="138" t="s">
        <v>5</v>
      </c>
      <c r="H152" s="138"/>
      <c r="I152" s="193"/>
      <c r="J152" s="138" t="s">
        <v>125</v>
      </c>
      <c r="K152" s="139">
        <v>2</v>
      </c>
      <c r="L152" s="139"/>
      <c r="M152" s="174">
        <f>IF(Tabelle132456[[#This Row],[Pulled after Start]]="",MIN(Tabelle132456[[#This Row],[Jira Story Points]],Tabelle132456[[#This Row],[Carry-over]]),0)</f>
        <v>2</v>
      </c>
      <c r="N152" s="173">
        <f>MIN(Tabelle132456[[#This Row],[Jira Story Points]],Tabelle132456[[#This Row],[Carry-over]])-Tabelle132456[[#This Row],[SP Initially Planned (COS)]]</f>
        <v>0</v>
      </c>
      <c r="O15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2</v>
      </c>
      <c r="P152" s="173">
        <f>IFERROR(IF(Tabelle132456[[#This Row],[Status]]=$I$5,MIN(Tabelle132456[[#This Row],[Jira Story Points]],Tabelle132456[[#This Row],[Carry-over]]),0),0)</f>
        <v>0</v>
      </c>
      <c r="Q152" s="173">
        <f>IFERROR(IF(Tabelle132456[[#This Row],[Status]]=$I$5,0,MIN(Tabelle132456[[#This Row],[Jira Story Points]],Tabelle132456[[#This Row],[Carry-over]])-Tabelle132456[[#This Row],[SP Completed (COS &amp; SOS)]]),0)</f>
        <v>0</v>
      </c>
    </row>
    <row r="153" spans="1:17" s="46" customFormat="1" ht="13.5" customHeight="1">
      <c r="A153" s="144" t="s">
        <v>3171</v>
      </c>
      <c r="B153" s="185" t="s">
        <v>3172</v>
      </c>
      <c r="C153" s="138" t="s">
        <v>372</v>
      </c>
      <c r="D153" s="138">
        <v>3</v>
      </c>
      <c r="E153" s="138" t="s">
        <v>324</v>
      </c>
      <c r="F153" s="138">
        <v>5</v>
      </c>
      <c r="G153" s="138" t="s">
        <v>5</v>
      </c>
      <c r="H153" s="138"/>
      <c r="I153" s="141"/>
      <c r="J153" s="138" t="s">
        <v>125</v>
      </c>
      <c r="K153" s="138">
        <v>5</v>
      </c>
      <c r="L153" s="138"/>
      <c r="M153" s="174">
        <f>IF(Tabelle132456[[#This Row],[Pulled after Start]]="",MIN(Tabelle132456[[#This Row],[Jira Story Points]],Tabelle132456[[#This Row],[Carry-over]]),0)</f>
        <v>5</v>
      </c>
      <c r="N153" s="173">
        <f>MIN(Tabelle132456[[#This Row],[Jira Story Points]],Tabelle132456[[#This Row],[Carry-over]])-Tabelle132456[[#This Row],[SP Initially Planned (COS)]]</f>
        <v>0</v>
      </c>
      <c r="O15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5</v>
      </c>
      <c r="P153" s="173">
        <f>IFERROR(IF(Tabelle132456[[#This Row],[Status]]=$I$5,MIN(Tabelle132456[[#This Row],[Jira Story Points]],Tabelle132456[[#This Row],[Carry-over]]),0),0)</f>
        <v>0</v>
      </c>
      <c r="Q153" s="173">
        <f>IFERROR(IF(Tabelle132456[[#This Row],[Status]]=$I$5,0,MIN(Tabelle132456[[#This Row],[Jira Story Points]],Tabelle132456[[#This Row],[Carry-over]])-Tabelle132456[[#This Row],[SP Completed (COS &amp; SOS)]]),0)</f>
        <v>0</v>
      </c>
    </row>
    <row r="154" spans="1:17" s="46" customFormat="1" ht="13.5" customHeight="1">
      <c r="A154" s="144" t="s">
        <v>2965</v>
      </c>
      <c r="B154" s="185" t="s">
        <v>2966</v>
      </c>
      <c r="C154" s="138" t="s">
        <v>372</v>
      </c>
      <c r="D154" s="138">
        <v>3</v>
      </c>
      <c r="E154" s="138" t="s">
        <v>327</v>
      </c>
      <c r="F154" s="138">
        <v>8</v>
      </c>
      <c r="G154" s="138" t="s">
        <v>5</v>
      </c>
      <c r="H154" s="138"/>
      <c r="I154" s="141"/>
      <c r="J154" s="138" t="s">
        <v>127</v>
      </c>
      <c r="K154" s="138"/>
      <c r="L154" s="138">
        <v>0.5</v>
      </c>
      <c r="M154" s="174">
        <f>IF(Tabelle132456[[#This Row],[Pulled after Start]]="",MIN(Tabelle132456[[#This Row],[Jira Story Points]],Tabelle132456[[#This Row],[Carry-over]]),0)</f>
        <v>8</v>
      </c>
      <c r="N154" s="173">
        <f>MIN(Tabelle132456[[#This Row],[Jira Story Points]],Tabelle132456[[#This Row],[Carry-over]])-Tabelle132456[[#This Row],[SP Initially Planned (COS)]]</f>
        <v>0</v>
      </c>
      <c r="O15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7.5</v>
      </c>
      <c r="P154" s="173">
        <f>IFERROR(IF(Tabelle132456[[#This Row],[Status]]=$I$5,MIN(Tabelle132456[[#This Row],[Jira Story Points]],Tabelle132456[[#This Row],[Carry-over]]),0),0)</f>
        <v>0</v>
      </c>
      <c r="Q154" s="173">
        <f>IFERROR(IF(Tabelle132456[[#This Row],[Status]]=$I$5,0,MIN(Tabelle132456[[#This Row],[Jira Story Points]],Tabelle132456[[#This Row],[Carry-over]])-Tabelle132456[[#This Row],[SP Completed (COS &amp; SOS)]]),0)</f>
        <v>0.5</v>
      </c>
    </row>
    <row r="155" spans="1:17" s="46" customFormat="1" ht="13.5" customHeight="1">
      <c r="A155" s="144" t="s">
        <v>2967</v>
      </c>
      <c r="B155" s="185" t="s">
        <v>2968</v>
      </c>
      <c r="C155" s="138" t="s">
        <v>372</v>
      </c>
      <c r="D155" s="138">
        <v>3</v>
      </c>
      <c r="E155" s="138" t="s">
        <v>327</v>
      </c>
      <c r="F155" s="138">
        <v>3</v>
      </c>
      <c r="G155" s="138" t="s">
        <v>5</v>
      </c>
      <c r="H155" s="138"/>
      <c r="I155" s="141"/>
      <c r="J155" s="138" t="s">
        <v>127</v>
      </c>
      <c r="K155" s="138">
        <v>3</v>
      </c>
      <c r="L155" s="138">
        <v>0.5</v>
      </c>
      <c r="M155" s="174">
        <f>IF(Tabelle132456[[#This Row],[Pulled after Start]]="",MIN(Tabelle132456[[#This Row],[Jira Story Points]],Tabelle132456[[#This Row],[Carry-over]]),0)</f>
        <v>3</v>
      </c>
      <c r="N155" s="173">
        <f>MIN(Tabelle132456[[#This Row],[Jira Story Points]],Tabelle132456[[#This Row],[Carry-over]])-Tabelle132456[[#This Row],[SP Initially Planned (COS)]]</f>
        <v>0</v>
      </c>
      <c r="O15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2.5</v>
      </c>
      <c r="P155" s="173">
        <f>IFERROR(IF(Tabelle132456[[#This Row],[Status]]=$I$5,MIN(Tabelle132456[[#This Row],[Jira Story Points]],Tabelle132456[[#This Row],[Carry-over]]),0),0)</f>
        <v>0</v>
      </c>
      <c r="Q155" s="173">
        <f>IFERROR(IF(Tabelle132456[[#This Row],[Status]]=$I$5,0,MIN(Tabelle132456[[#This Row],[Jira Story Points]],Tabelle132456[[#This Row],[Carry-over]])-Tabelle132456[[#This Row],[SP Completed (COS &amp; SOS)]]),0)</f>
        <v>0.5</v>
      </c>
    </row>
    <row r="156" spans="1:17" s="46" customFormat="1" ht="13.5" customHeight="1">
      <c r="A156" s="144" t="s">
        <v>3173</v>
      </c>
      <c r="B156" s="185" t="s">
        <v>2740</v>
      </c>
      <c r="C156" s="138" t="s">
        <v>372</v>
      </c>
      <c r="D156" s="138">
        <v>3</v>
      </c>
      <c r="E156" s="138" t="s">
        <v>327</v>
      </c>
      <c r="F156" s="138">
        <v>5</v>
      </c>
      <c r="G156" s="138" t="s">
        <v>5</v>
      </c>
      <c r="H156" s="138" t="s">
        <v>209</v>
      </c>
      <c r="I156" s="141"/>
      <c r="J156" s="138" t="s">
        <v>127</v>
      </c>
      <c r="K156" s="138"/>
      <c r="L156" s="138">
        <v>5</v>
      </c>
      <c r="M156" s="174">
        <f>IF(Tabelle132456[[#This Row],[Pulled after Start]]="",MIN(Tabelle132456[[#This Row],[Jira Story Points]],Tabelle132456[[#This Row],[Carry-over]]),0)</f>
        <v>0</v>
      </c>
      <c r="N156" s="173">
        <f>MIN(Tabelle132456[[#This Row],[Jira Story Points]],Tabelle132456[[#This Row],[Carry-over]])-Tabelle132456[[#This Row],[SP Initially Planned (COS)]]</f>
        <v>5</v>
      </c>
      <c r="O15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56" s="173">
        <f>IFERROR(IF(Tabelle132456[[#This Row],[Status]]=$I$5,MIN(Tabelle132456[[#This Row],[Jira Story Points]],Tabelle132456[[#This Row],[Carry-over]]),0),0)</f>
        <v>0</v>
      </c>
      <c r="Q156" s="173">
        <f>IFERROR(IF(Tabelle132456[[#This Row],[Status]]=$I$5,0,MIN(Tabelle132456[[#This Row],[Jira Story Points]],Tabelle132456[[#This Row],[Carry-over]])-Tabelle132456[[#This Row],[SP Completed (COS &amp; SOS)]]),0)</f>
        <v>5</v>
      </c>
    </row>
    <row r="157" spans="1:17" s="46" customFormat="1" ht="13.5" customHeight="1">
      <c r="A157" s="144" t="s">
        <v>3174</v>
      </c>
      <c r="B157" s="185" t="s">
        <v>3175</v>
      </c>
      <c r="C157" s="138" t="s">
        <v>372</v>
      </c>
      <c r="D157" s="138">
        <v>3</v>
      </c>
      <c r="E157" s="138" t="s">
        <v>324</v>
      </c>
      <c r="F157" s="138">
        <v>5</v>
      </c>
      <c r="G157" s="138" t="s">
        <v>5</v>
      </c>
      <c r="H157" s="138"/>
      <c r="I157" s="141"/>
      <c r="J157" s="138" t="s">
        <v>125</v>
      </c>
      <c r="K157" s="138">
        <v>5</v>
      </c>
      <c r="L157" s="138"/>
      <c r="M157" s="174">
        <f>IF(Tabelle132456[[#This Row],[Pulled after Start]]="",MIN(Tabelle132456[[#This Row],[Jira Story Points]],Tabelle132456[[#This Row],[Carry-over]]),0)</f>
        <v>5</v>
      </c>
      <c r="N157" s="173">
        <f>MIN(Tabelle132456[[#This Row],[Jira Story Points]],Tabelle132456[[#This Row],[Carry-over]])-Tabelle132456[[#This Row],[SP Initially Planned (COS)]]</f>
        <v>0</v>
      </c>
      <c r="O15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5</v>
      </c>
      <c r="P157" s="173">
        <f>IFERROR(IF(Tabelle132456[[#This Row],[Status]]=$I$5,MIN(Tabelle132456[[#This Row],[Jira Story Points]],Tabelle132456[[#This Row],[Carry-over]]),0),0)</f>
        <v>0</v>
      </c>
      <c r="Q157" s="173">
        <f>IFERROR(IF(Tabelle132456[[#This Row],[Status]]=$I$5,0,MIN(Tabelle132456[[#This Row],[Jira Story Points]],Tabelle132456[[#This Row],[Carry-over]])-Tabelle132456[[#This Row],[SP Completed (COS &amp; SOS)]]),0)</f>
        <v>0</v>
      </c>
    </row>
    <row r="158" spans="1:17" s="46" customFormat="1" ht="13.5" customHeight="1">
      <c r="A158" s="117" t="s">
        <v>2757</v>
      </c>
      <c r="B158" s="46" t="s">
        <v>2758</v>
      </c>
      <c r="C158" s="76" t="s">
        <v>382</v>
      </c>
      <c r="D158" s="76">
        <v>3</v>
      </c>
      <c r="E158" s="76" t="s">
        <v>448</v>
      </c>
      <c r="F158" s="76" t="s">
        <v>210</v>
      </c>
      <c r="G158" s="76" t="s">
        <v>5</v>
      </c>
      <c r="H158" s="76"/>
      <c r="I158" s="103"/>
      <c r="J158" s="76" t="s">
        <v>127</v>
      </c>
      <c r="K158" s="76"/>
      <c r="L158" s="76"/>
      <c r="M158" s="174">
        <f>IF(Tabelle132456[[#This Row],[Pulled after Start]]="",MIN(Tabelle132456[[#This Row],[Jira Story Points]],Tabelle132456[[#This Row],[Carry-over]]),0)</f>
        <v>0</v>
      </c>
      <c r="N158" s="173">
        <f>MIN(Tabelle132456[[#This Row],[Jira Story Points]],Tabelle132456[[#This Row],[Carry-over]])-Tabelle132456[[#This Row],[SP Initially Planned (COS)]]</f>
        <v>0</v>
      </c>
      <c r="O15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58" s="173">
        <f>IFERROR(IF(Tabelle132456[[#This Row],[Status]]=$I$5,MIN(Tabelle132456[[#This Row],[Jira Story Points]],Tabelle132456[[#This Row],[Carry-over]]),0),0)</f>
        <v>0</v>
      </c>
      <c r="Q158" s="173">
        <f>IFERROR(IF(Tabelle132456[[#This Row],[Status]]=$I$5,0,MIN(Tabelle132456[[#This Row],[Jira Story Points]],Tabelle132456[[#This Row],[Carry-over]])-Tabelle132456[[#This Row],[SP Completed (COS &amp; SOS)]]),0)</f>
        <v>0</v>
      </c>
    </row>
    <row r="159" spans="1:17" s="46" customFormat="1" ht="13.5" customHeight="1">
      <c r="A159" s="117" t="s">
        <v>2741</v>
      </c>
      <c r="B159" s="46" t="s">
        <v>2742</v>
      </c>
      <c r="C159" s="76" t="s">
        <v>382</v>
      </c>
      <c r="D159" s="76">
        <v>3</v>
      </c>
      <c r="E159" s="76" t="s">
        <v>330</v>
      </c>
      <c r="F159" s="76" t="s">
        <v>210</v>
      </c>
      <c r="G159" s="76" t="s">
        <v>5</v>
      </c>
      <c r="H159" s="76"/>
      <c r="I159" s="103"/>
      <c r="J159" s="76" t="s">
        <v>127</v>
      </c>
      <c r="K159" s="76"/>
      <c r="L159" s="76"/>
      <c r="M159" s="174">
        <f>IF(Tabelle132456[[#This Row],[Pulled after Start]]="",MIN(Tabelle132456[[#This Row],[Jira Story Points]],Tabelle132456[[#This Row],[Carry-over]]),0)</f>
        <v>0</v>
      </c>
      <c r="N159" s="173">
        <f>MIN(Tabelle132456[[#This Row],[Jira Story Points]],Tabelle132456[[#This Row],[Carry-over]])-Tabelle132456[[#This Row],[SP Initially Planned (COS)]]</f>
        <v>0</v>
      </c>
      <c r="O15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59" s="173">
        <f>IFERROR(IF(Tabelle132456[[#This Row],[Status]]=$I$5,MIN(Tabelle132456[[#This Row],[Jira Story Points]],Tabelle132456[[#This Row],[Carry-over]]),0),0)</f>
        <v>0</v>
      </c>
      <c r="Q159" s="173">
        <f>IFERROR(IF(Tabelle132456[[#This Row],[Status]]=$I$5,0,MIN(Tabelle132456[[#This Row],[Jira Story Points]],Tabelle132456[[#This Row],[Carry-over]])-Tabelle132456[[#This Row],[SP Completed (COS &amp; SOS)]]),0)</f>
        <v>0</v>
      </c>
    </row>
    <row r="160" spans="1:17" s="46" customFormat="1" ht="13.5" customHeight="1">
      <c r="A160" s="117" t="s">
        <v>3176</v>
      </c>
      <c r="B160" s="46" t="s">
        <v>3177</v>
      </c>
      <c r="C160" s="76" t="s">
        <v>372</v>
      </c>
      <c r="D160" s="76">
        <v>3</v>
      </c>
      <c r="E160" s="76" t="s">
        <v>324</v>
      </c>
      <c r="F160" s="76">
        <v>5</v>
      </c>
      <c r="G160" s="76" t="s">
        <v>5</v>
      </c>
      <c r="H160" s="76"/>
      <c r="I160" s="79"/>
      <c r="J160" s="76" t="s">
        <v>125</v>
      </c>
      <c r="K160" s="76"/>
      <c r="L160" s="76"/>
      <c r="M160" s="174">
        <f>IF(Tabelle132456[[#This Row],[Pulled after Start]]="",MIN(Tabelle132456[[#This Row],[Jira Story Points]],Tabelle132456[[#This Row],[Carry-over]]),0)</f>
        <v>5</v>
      </c>
      <c r="N160" s="173">
        <f>MIN(Tabelle132456[[#This Row],[Jira Story Points]],Tabelle132456[[#This Row],[Carry-over]])-Tabelle132456[[#This Row],[SP Initially Planned (COS)]]</f>
        <v>0</v>
      </c>
      <c r="O16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5</v>
      </c>
      <c r="P160" s="173">
        <f>IFERROR(IF(Tabelle132456[[#This Row],[Status]]=$I$5,MIN(Tabelle132456[[#This Row],[Jira Story Points]],Tabelle132456[[#This Row],[Carry-over]]),0),0)</f>
        <v>0</v>
      </c>
      <c r="Q160" s="173">
        <f>IFERROR(IF(Tabelle132456[[#This Row],[Status]]=$I$5,0,MIN(Tabelle132456[[#This Row],[Jira Story Points]],Tabelle132456[[#This Row],[Carry-over]])-Tabelle132456[[#This Row],[SP Completed (COS &amp; SOS)]]),0)</f>
        <v>0</v>
      </c>
    </row>
    <row r="161" spans="1:17" s="46" customFormat="1" ht="13.5" customHeight="1">
      <c r="A161" s="117" t="s">
        <v>3178</v>
      </c>
      <c r="B161" s="46" t="s">
        <v>3179</v>
      </c>
      <c r="C161" s="76" t="s">
        <v>372</v>
      </c>
      <c r="D161" s="76">
        <v>3</v>
      </c>
      <c r="E161" s="76" t="s">
        <v>324</v>
      </c>
      <c r="F161" s="76">
        <v>3</v>
      </c>
      <c r="G161" s="76" t="s">
        <v>5</v>
      </c>
      <c r="H161" s="76" t="s">
        <v>209</v>
      </c>
      <c r="I161" s="79"/>
      <c r="J161" s="76" t="s">
        <v>125</v>
      </c>
      <c r="K161" s="76"/>
      <c r="L161" s="76"/>
      <c r="M161" s="174">
        <f>IF(Tabelle132456[[#This Row],[Pulled after Start]]="",MIN(Tabelle132456[[#This Row],[Jira Story Points]],Tabelle132456[[#This Row],[Carry-over]]),0)</f>
        <v>0</v>
      </c>
      <c r="N161" s="173">
        <f>MIN(Tabelle132456[[#This Row],[Jira Story Points]],Tabelle132456[[#This Row],[Carry-over]])-Tabelle132456[[#This Row],[SP Initially Planned (COS)]]</f>
        <v>3</v>
      </c>
      <c r="O16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61" s="173">
        <f>IFERROR(IF(Tabelle132456[[#This Row],[Status]]=$I$5,MIN(Tabelle132456[[#This Row],[Jira Story Points]],Tabelle132456[[#This Row],[Carry-over]]),0),0)</f>
        <v>0</v>
      </c>
      <c r="Q161" s="173">
        <f>IFERROR(IF(Tabelle132456[[#This Row],[Status]]=$I$5,0,MIN(Tabelle132456[[#This Row],[Jira Story Points]],Tabelle132456[[#This Row],[Carry-over]])-Tabelle132456[[#This Row],[SP Completed (COS &amp; SOS)]]),0)</f>
        <v>0</v>
      </c>
    </row>
    <row r="162" spans="1:17" s="46" customFormat="1" ht="13.5" customHeight="1">
      <c r="A162" s="117" t="s">
        <v>3180</v>
      </c>
      <c r="B162" s="46" t="s">
        <v>3181</v>
      </c>
      <c r="C162" s="76" t="s">
        <v>375</v>
      </c>
      <c r="D162" s="76">
        <v>1</v>
      </c>
      <c r="E162" s="76" t="s">
        <v>324</v>
      </c>
      <c r="F162" s="76">
        <v>3</v>
      </c>
      <c r="G162" s="76" t="s">
        <v>5</v>
      </c>
      <c r="H162" s="76" t="s">
        <v>209</v>
      </c>
      <c r="I162" s="79" t="s">
        <v>3182</v>
      </c>
      <c r="J162" s="76" t="s">
        <v>125</v>
      </c>
      <c r="K162" s="76"/>
      <c r="L162" s="76"/>
      <c r="M162" s="174">
        <f>IF(Tabelle132456[[#This Row],[Pulled after Start]]="",MIN(Tabelle132456[[#This Row],[Jira Story Points]],Tabelle132456[[#This Row],[Carry-over]]),0)</f>
        <v>0</v>
      </c>
      <c r="N162" s="173">
        <f>MIN(Tabelle132456[[#This Row],[Jira Story Points]],Tabelle132456[[#This Row],[Carry-over]])-Tabelle132456[[#This Row],[SP Initially Planned (COS)]]</f>
        <v>3</v>
      </c>
      <c r="O16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3</v>
      </c>
      <c r="P162" s="173">
        <f>IFERROR(IF(Tabelle132456[[#This Row],[Status]]=$I$5,MIN(Tabelle132456[[#This Row],[Jira Story Points]],Tabelle132456[[#This Row],[Carry-over]]),0),0)</f>
        <v>0</v>
      </c>
      <c r="Q162" s="173">
        <f>IFERROR(IF(Tabelle132456[[#This Row],[Status]]=$I$5,0,MIN(Tabelle132456[[#This Row],[Jira Story Points]],Tabelle132456[[#This Row],[Carry-over]])-Tabelle132456[[#This Row],[SP Completed (COS &amp; SOS)]]),0)</f>
        <v>0</v>
      </c>
    </row>
    <row r="163" spans="1:17" s="46" customFormat="1" ht="13.5" customHeight="1">
      <c r="A163" s="117" t="s">
        <v>3183</v>
      </c>
      <c r="B163" s="46" t="s">
        <v>2970</v>
      </c>
      <c r="C163" s="76" t="s">
        <v>375</v>
      </c>
      <c r="D163" s="76">
        <v>3</v>
      </c>
      <c r="E163" s="76" t="s">
        <v>327</v>
      </c>
      <c r="F163" s="76">
        <v>3</v>
      </c>
      <c r="G163" s="76" t="s">
        <v>5</v>
      </c>
      <c r="H163" s="83" t="s">
        <v>209</v>
      </c>
      <c r="I163" s="103"/>
      <c r="J163" s="76" t="s">
        <v>127</v>
      </c>
      <c r="K163" s="104"/>
      <c r="L163" s="104">
        <v>2</v>
      </c>
      <c r="M163" s="174">
        <f>IF(Tabelle132456[[#This Row],[Pulled after Start]]="",MIN(Tabelle132456[[#This Row],[Jira Story Points]],Tabelle132456[[#This Row],[Carry-over]]),0)</f>
        <v>0</v>
      </c>
      <c r="N163" s="173">
        <f>MIN(Tabelle132456[[#This Row],[Jira Story Points]],Tabelle132456[[#This Row],[Carry-over]])-Tabelle132456[[#This Row],[SP Initially Planned (COS)]]</f>
        <v>3</v>
      </c>
      <c r="O16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1</v>
      </c>
      <c r="P163" s="173">
        <f>IFERROR(IF(Tabelle132456[[#This Row],[Status]]=$I$5,MIN(Tabelle132456[[#This Row],[Jira Story Points]],Tabelle132456[[#This Row],[Carry-over]]),0),0)</f>
        <v>0</v>
      </c>
      <c r="Q163" s="173">
        <f>IFERROR(IF(Tabelle132456[[#This Row],[Status]]=$I$5,0,MIN(Tabelle132456[[#This Row],[Jira Story Points]],Tabelle132456[[#This Row],[Carry-over]])-Tabelle132456[[#This Row],[SP Completed (COS &amp; SOS)]]),0)</f>
        <v>2</v>
      </c>
    </row>
    <row r="164" spans="1:17" s="46" customFormat="1" ht="13.5" customHeight="1">
      <c r="A164" s="166"/>
      <c r="B164" s="159"/>
      <c r="C164" s="76"/>
      <c r="D164" s="76"/>
      <c r="E164" s="76"/>
      <c r="F164" s="104"/>
      <c r="G164" s="76"/>
      <c r="H164" s="83"/>
      <c r="I164" s="103"/>
      <c r="J164" s="76"/>
      <c r="K164" s="104"/>
      <c r="L164" s="104"/>
      <c r="M164" s="174">
        <f>IF(Tabelle132456[[#This Row],[Pulled after Start]]="",MIN(Tabelle132456[[#This Row],[Jira Story Points]],Tabelle132456[[#This Row],[Carry-over]]),0)</f>
        <v>0</v>
      </c>
      <c r="N164" s="173">
        <f>MIN(Tabelle132456[[#This Row],[Jira Story Points]],Tabelle132456[[#This Row],[Carry-over]])-Tabelle132456[[#This Row],[SP Initially Planned (COS)]]</f>
        <v>0</v>
      </c>
      <c r="O16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64" s="173">
        <f>IFERROR(IF(Tabelle132456[[#This Row],[Status]]=$I$5,MIN(Tabelle132456[[#This Row],[Jira Story Points]],Tabelle132456[[#This Row],[Carry-over]]),0),0)</f>
        <v>0</v>
      </c>
      <c r="Q164" s="173">
        <f>IFERROR(IF(Tabelle132456[[#This Row],[Status]]=$I$5,0,MIN(Tabelle132456[[#This Row],[Jira Story Points]],Tabelle132456[[#This Row],[Carry-over]])-Tabelle132456[[#This Row],[SP Completed (COS &amp; SOS)]]),0)</f>
        <v>0</v>
      </c>
    </row>
    <row r="165" spans="1:17" s="46" customFormat="1" ht="13.5" customHeight="1">
      <c r="A165" s="166"/>
      <c r="B165" s="47"/>
      <c r="C165" s="76"/>
      <c r="D165" s="76"/>
      <c r="E165" s="76"/>
      <c r="F165" s="104"/>
      <c r="G165" s="76"/>
      <c r="H165" s="83"/>
      <c r="I165" s="103"/>
      <c r="J165" s="76"/>
      <c r="K165" s="104"/>
      <c r="L165" s="104"/>
      <c r="M165" s="174">
        <f>IF(Tabelle132456[[#This Row],[Pulled after Start]]="",MIN(Tabelle132456[[#This Row],[Jira Story Points]],Tabelle132456[[#This Row],[Carry-over]]),0)</f>
        <v>0</v>
      </c>
      <c r="N165" s="173">
        <f>MIN(Tabelle132456[[#This Row],[Jira Story Points]],Tabelle132456[[#This Row],[Carry-over]])-Tabelle132456[[#This Row],[SP Initially Planned (COS)]]</f>
        <v>0</v>
      </c>
      <c r="O16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65" s="173">
        <f>IFERROR(IF(Tabelle132456[[#This Row],[Status]]=$I$5,MIN(Tabelle132456[[#This Row],[Jira Story Points]],Tabelle132456[[#This Row],[Carry-over]]),0),0)</f>
        <v>0</v>
      </c>
      <c r="Q165" s="173">
        <f>IFERROR(IF(Tabelle132456[[#This Row],[Status]]=$I$5,0,MIN(Tabelle132456[[#This Row],[Jira Story Points]],Tabelle132456[[#This Row],[Carry-over]])-Tabelle132456[[#This Row],[SP Completed (COS &amp; SOS)]]),0)</f>
        <v>0</v>
      </c>
    </row>
    <row r="166" spans="1:17" s="46" customFormat="1" ht="13.5" customHeight="1">
      <c r="A166" s="168"/>
      <c r="B166" s="47"/>
      <c r="C166" s="76"/>
      <c r="D166" s="76"/>
      <c r="E166" s="76"/>
      <c r="F166" s="104"/>
      <c r="G166" s="76"/>
      <c r="H166" s="83"/>
      <c r="I166" s="103"/>
      <c r="J166" s="76"/>
      <c r="K166" s="104"/>
      <c r="L166" s="104"/>
      <c r="M166" s="174">
        <f>IF(Tabelle132456[[#This Row],[Pulled after Start]]="",MIN(Tabelle132456[[#This Row],[Jira Story Points]],Tabelle132456[[#This Row],[Carry-over]]),0)</f>
        <v>0</v>
      </c>
      <c r="N166" s="173">
        <f>MIN(Tabelle132456[[#This Row],[Jira Story Points]],Tabelle132456[[#This Row],[Carry-over]])-Tabelle132456[[#This Row],[SP Initially Planned (COS)]]</f>
        <v>0</v>
      </c>
      <c r="O16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66" s="173">
        <f>IFERROR(IF(Tabelle132456[[#This Row],[Status]]=$I$5,MIN(Tabelle132456[[#This Row],[Jira Story Points]],Tabelle132456[[#This Row],[Carry-over]]),0),0)</f>
        <v>0</v>
      </c>
      <c r="Q166" s="173">
        <f>IFERROR(IF(Tabelle132456[[#This Row],[Status]]=$I$5,0,MIN(Tabelle132456[[#This Row],[Jira Story Points]],Tabelle132456[[#This Row],[Carry-over]])-Tabelle132456[[#This Row],[SP Completed (COS &amp; SOS)]]),0)</f>
        <v>0</v>
      </c>
    </row>
    <row r="167" spans="1:17" s="46" customFormat="1" ht="13.5" customHeight="1">
      <c r="A167" s="159"/>
      <c r="B167" s="47"/>
      <c r="C167" s="76"/>
      <c r="D167" s="76"/>
      <c r="E167" s="76"/>
      <c r="F167" s="104"/>
      <c r="G167" s="76"/>
      <c r="H167" s="83"/>
      <c r="I167" s="103"/>
      <c r="J167" s="76"/>
      <c r="K167" s="104"/>
      <c r="L167" s="104"/>
      <c r="M167" s="174">
        <f>IF(Tabelle132456[[#This Row],[Pulled after Start]]="",MIN(Tabelle132456[[#This Row],[Jira Story Points]],Tabelle132456[[#This Row],[Carry-over]]),0)</f>
        <v>0</v>
      </c>
      <c r="N167" s="173">
        <f>MIN(Tabelle132456[[#This Row],[Jira Story Points]],Tabelle132456[[#This Row],[Carry-over]])-Tabelle132456[[#This Row],[SP Initially Planned (COS)]]</f>
        <v>0</v>
      </c>
      <c r="O16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67" s="173">
        <f>IFERROR(IF(Tabelle132456[[#This Row],[Status]]=$I$5,MIN(Tabelle132456[[#This Row],[Jira Story Points]],Tabelle132456[[#This Row],[Carry-over]]),0),0)</f>
        <v>0</v>
      </c>
      <c r="Q167" s="173">
        <f>IFERROR(IF(Tabelle132456[[#This Row],[Status]]=$I$5,0,MIN(Tabelle132456[[#This Row],[Jira Story Points]],Tabelle132456[[#This Row],[Carry-over]])-Tabelle132456[[#This Row],[SP Completed (COS &amp; SOS)]]),0)</f>
        <v>0</v>
      </c>
    </row>
    <row r="168" spans="1:17" s="46" customFormat="1" ht="13.5" customHeight="1">
      <c r="A168" s="166"/>
      <c r="B168" s="47"/>
      <c r="C168" s="76"/>
      <c r="D168" s="76"/>
      <c r="E168" s="76"/>
      <c r="F168" s="104"/>
      <c r="G168" s="76"/>
      <c r="H168" s="83"/>
      <c r="I168" s="103"/>
      <c r="J168" s="76"/>
      <c r="K168" s="104"/>
      <c r="L168" s="104"/>
      <c r="M168" s="174">
        <f>IF(Tabelle132456[[#This Row],[Pulled after Start]]="",MIN(Tabelle132456[[#This Row],[Jira Story Points]],Tabelle132456[[#This Row],[Carry-over]]),0)</f>
        <v>0</v>
      </c>
      <c r="N168" s="173">
        <f>MIN(Tabelle132456[[#This Row],[Jira Story Points]],Tabelle132456[[#This Row],[Carry-over]])-Tabelle132456[[#This Row],[SP Initially Planned (COS)]]</f>
        <v>0</v>
      </c>
      <c r="O16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68" s="173">
        <f>IFERROR(IF(Tabelle132456[[#This Row],[Status]]=$I$5,MIN(Tabelle132456[[#This Row],[Jira Story Points]],Tabelle132456[[#This Row],[Carry-over]]),0),0)</f>
        <v>0</v>
      </c>
      <c r="Q168" s="173">
        <f>IFERROR(IF(Tabelle132456[[#This Row],[Status]]=$I$5,0,MIN(Tabelle132456[[#This Row],[Jira Story Points]],Tabelle132456[[#This Row],[Carry-over]])-Tabelle132456[[#This Row],[SP Completed (COS &amp; SOS)]]),0)</f>
        <v>0</v>
      </c>
    </row>
    <row r="169" spans="1:17" s="46" customFormat="1" ht="13.5" customHeight="1">
      <c r="A169" s="169"/>
      <c r="B169" s="169"/>
      <c r="C169" s="76"/>
      <c r="D169" s="169"/>
      <c r="E169" s="169"/>
      <c r="F169" s="169"/>
      <c r="G169" s="169"/>
      <c r="H169" s="169"/>
      <c r="I169" s="169"/>
      <c r="J169" s="76"/>
      <c r="K169" s="104"/>
      <c r="L169" s="104"/>
      <c r="M169" s="174">
        <f>IF(Tabelle132456[[#This Row],[Pulled after Start]]="",MIN(Tabelle132456[[#This Row],[Jira Story Points]],Tabelle132456[[#This Row],[Carry-over]]),0)</f>
        <v>0</v>
      </c>
      <c r="N169" s="173">
        <f>MIN(Tabelle132456[[#This Row],[Jira Story Points]],Tabelle132456[[#This Row],[Carry-over]])-Tabelle132456[[#This Row],[SP Initially Planned (COS)]]</f>
        <v>0</v>
      </c>
      <c r="O16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69" s="173">
        <f>IFERROR(IF(Tabelle132456[[#This Row],[Status]]=$I$5,MIN(Tabelle132456[[#This Row],[Jira Story Points]],Tabelle132456[[#This Row],[Carry-over]]),0),0)</f>
        <v>0</v>
      </c>
      <c r="Q169" s="173">
        <f>IFERROR(IF(Tabelle132456[[#This Row],[Status]]=$I$5,0,MIN(Tabelle132456[[#This Row],[Jira Story Points]],Tabelle132456[[#This Row],[Carry-over]])-Tabelle132456[[#This Row],[SP Completed (COS &amp; SOS)]]),0)</f>
        <v>0</v>
      </c>
    </row>
    <row r="170" spans="1:17" s="46" customFormat="1" ht="13.5" customHeight="1">
      <c r="A170" s="117"/>
      <c r="B170" s="47"/>
      <c r="C170" s="76"/>
      <c r="D170" s="76"/>
      <c r="E170" s="76"/>
      <c r="F170" s="104"/>
      <c r="G170" s="76"/>
      <c r="H170" s="83"/>
      <c r="I170" s="103"/>
      <c r="J170" s="76"/>
      <c r="K170" s="104"/>
      <c r="L170" s="104"/>
      <c r="M170" s="174">
        <f>IF(Tabelle132456[[#This Row],[Pulled after Start]]="",MIN(Tabelle132456[[#This Row],[Jira Story Points]],Tabelle132456[[#This Row],[Carry-over]]),0)</f>
        <v>0</v>
      </c>
      <c r="N170" s="173">
        <f>MIN(Tabelle132456[[#This Row],[Jira Story Points]],Tabelle132456[[#This Row],[Carry-over]])-Tabelle132456[[#This Row],[SP Initially Planned (COS)]]</f>
        <v>0</v>
      </c>
      <c r="O17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70" s="173">
        <f>IFERROR(IF(Tabelle132456[[#This Row],[Status]]=$I$5,MIN(Tabelle132456[[#This Row],[Jira Story Points]],Tabelle132456[[#This Row],[Carry-over]]),0),0)</f>
        <v>0</v>
      </c>
      <c r="Q170" s="173">
        <f>IFERROR(IF(Tabelle132456[[#This Row],[Status]]=$I$5,0,MIN(Tabelle132456[[#This Row],[Jira Story Points]],Tabelle132456[[#This Row],[Carry-over]])-Tabelle132456[[#This Row],[SP Completed (COS &amp; SOS)]]),0)</f>
        <v>0</v>
      </c>
    </row>
    <row r="171" spans="1:17" s="46" customFormat="1" ht="13.5" customHeight="1">
      <c r="A171" s="117"/>
      <c r="B171" s="47"/>
      <c r="C171" s="76"/>
      <c r="D171" s="76"/>
      <c r="E171" s="76"/>
      <c r="F171" s="104"/>
      <c r="G171" s="76"/>
      <c r="H171" s="83"/>
      <c r="I171" s="103"/>
      <c r="J171" s="76"/>
      <c r="K171" s="104"/>
      <c r="L171" s="104"/>
      <c r="M171" s="174">
        <f>IF(Tabelle132456[[#This Row],[Pulled after Start]]="",MIN(Tabelle132456[[#This Row],[Jira Story Points]],Tabelle132456[[#This Row],[Carry-over]]),0)</f>
        <v>0</v>
      </c>
      <c r="N171" s="173">
        <f>MIN(Tabelle132456[[#This Row],[Jira Story Points]],Tabelle132456[[#This Row],[Carry-over]])-Tabelle132456[[#This Row],[SP Initially Planned (COS)]]</f>
        <v>0</v>
      </c>
      <c r="O17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71" s="173">
        <f>IFERROR(IF(Tabelle132456[[#This Row],[Status]]=$I$5,MIN(Tabelle132456[[#This Row],[Jira Story Points]],Tabelle132456[[#This Row],[Carry-over]]),0),0)</f>
        <v>0</v>
      </c>
      <c r="Q171" s="173">
        <f>IFERROR(IF(Tabelle132456[[#This Row],[Status]]=$I$5,0,MIN(Tabelle132456[[#This Row],[Jira Story Points]],Tabelle132456[[#This Row],[Carry-over]])-Tabelle132456[[#This Row],[SP Completed (COS &amp; SOS)]]),0)</f>
        <v>0</v>
      </c>
    </row>
    <row r="172" spans="1:17" s="46" customFormat="1" ht="13.5" customHeight="1">
      <c r="A172" s="117"/>
      <c r="B172" s="47"/>
      <c r="C172" s="76"/>
      <c r="D172" s="76"/>
      <c r="E172" s="76"/>
      <c r="F172" s="104"/>
      <c r="G172" s="76"/>
      <c r="H172" s="83"/>
      <c r="I172" s="103"/>
      <c r="J172" s="76"/>
      <c r="K172" s="104"/>
      <c r="L172" s="104"/>
      <c r="M172" s="174">
        <f>IF(Tabelle132456[[#This Row],[Pulled after Start]]="",MIN(Tabelle132456[[#This Row],[Jira Story Points]],Tabelle132456[[#This Row],[Carry-over]]),0)</f>
        <v>0</v>
      </c>
      <c r="N172" s="173">
        <f>MIN(Tabelle132456[[#This Row],[Jira Story Points]],Tabelle132456[[#This Row],[Carry-over]])-Tabelle132456[[#This Row],[SP Initially Planned (COS)]]</f>
        <v>0</v>
      </c>
      <c r="O17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72" s="173">
        <f>IFERROR(IF(Tabelle132456[[#This Row],[Status]]=$I$5,MIN(Tabelle132456[[#This Row],[Jira Story Points]],Tabelle132456[[#This Row],[Carry-over]]),0),0)</f>
        <v>0</v>
      </c>
      <c r="Q172" s="173">
        <f>IFERROR(IF(Tabelle132456[[#This Row],[Status]]=$I$5,0,MIN(Tabelle132456[[#This Row],[Jira Story Points]],Tabelle132456[[#This Row],[Carry-over]])-Tabelle132456[[#This Row],[SP Completed (COS &amp; SOS)]]),0)</f>
        <v>0</v>
      </c>
    </row>
    <row r="173" spans="1:17" s="46" customFormat="1" ht="13.5" customHeight="1">
      <c r="A173" s="117"/>
      <c r="B173" s="47"/>
      <c r="C173" s="76"/>
      <c r="D173" s="76"/>
      <c r="E173" s="76"/>
      <c r="F173" s="104"/>
      <c r="G173" s="76"/>
      <c r="H173" s="83"/>
      <c r="I173" s="103"/>
      <c r="J173" s="76"/>
      <c r="K173" s="104"/>
      <c r="L173" s="104"/>
      <c r="M173" s="174">
        <f>IF(Tabelle132456[[#This Row],[Pulled after Start]]="",MIN(Tabelle132456[[#This Row],[Jira Story Points]],Tabelle132456[[#This Row],[Carry-over]]),0)</f>
        <v>0</v>
      </c>
      <c r="N173" s="173">
        <f>MIN(Tabelle132456[[#This Row],[Jira Story Points]],Tabelle132456[[#This Row],[Carry-over]])-Tabelle132456[[#This Row],[SP Initially Planned (COS)]]</f>
        <v>0</v>
      </c>
      <c r="O17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73" s="173">
        <f>IFERROR(IF(Tabelle132456[[#This Row],[Status]]=$I$5,MIN(Tabelle132456[[#This Row],[Jira Story Points]],Tabelle132456[[#This Row],[Carry-over]]),0),0)</f>
        <v>0</v>
      </c>
      <c r="Q173" s="173">
        <f>IFERROR(IF(Tabelle132456[[#This Row],[Status]]=$I$5,0,MIN(Tabelle132456[[#This Row],[Jira Story Points]],Tabelle132456[[#This Row],[Carry-over]])-Tabelle132456[[#This Row],[SP Completed (COS &amp; SOS)]]),0)</f>
        <v>0</v>
      </c>
    </row>
    <row r="174" spans="1:17" s="46" customFormat="1" ht="13.5" customHeight="1">
      <c r="A174" s="117"/>
      <c r="B174" s="47"/>
      <c r="C174" s="76"/>
      <c r="D174" s="76"/>
      <c r="E174" s="76"/>
      <c r="F174" s="104"/>
      <c r="G174" s="76"/>
      <c r="H174" s="83"/>
      <c r="I174" s="103"/>
      <c r="J174" s="76"/>
      <c r="K174" s="104"/>
      <c r="L174" s="104"/>
      <c r="M174" s="174">
        <f>IF(Tabelle132456[[#This Row],[Pulled after Start]]="",MIN(Tabelle132456[[#This Row],[Jira Story Points]],Tabelle132456[[#This Row],[Carry-over]]),0)</f>
        <v>0</v>
      </c>
      <c r="N174" s="173">
        <f>MIN(Tabelle132456[[#This Row],[Jira Story Points]],Tabelle132456[[#This Row],[Carry-over]])-Tabelle132456[[#This Row],[SP Initially Planned (COS)]]</f>
        <v>0</v>
      </c>
      <c r="O17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74" s="173">
        <f>IFERROR(IF(Tabelle132456[[#This Row],[Status]]=$I$5,MIN(Tabelle132456[[#This Row],[Jira Story Points]],Tabelle132456[[#This Row],[Carry-over]]),0),0)</f>
        <v>0</v>
      </c>
      <c r="Q174" s="173">
        <f>IFERROR(IF(Tabelle132456[[#This Row],[Status]]=$I$5,0,MIN(Tabelle132456[[#This Row],[Jira Story Points]],Tabelle132456[[#This Row],[Carry-over]])-Tabelle132456[[#This Row],[SP Completed (COS &amp; SOS)]]),0)</f>
        <v>0</v>
      </c>
    </row>
    <row r="175" spans="1:17" s="46" customFormat="1" ht="13.5" customHeight="1">
      <c r="A175" s="117"/>
      <c r="B175" s="47"/>
      <c r="C175" s="76"/>
      <c r="D175" s="76"/>
      <c r="E175" s="76"/>
      <c r="F175" s="104"/>
      <c r="G175" s="76"/>
      <c r="H175" s="83"/>
      <c r="I175" s="103"/>
      <c r="J175" s="76"/>
      <c r="K175" s="104"/>
      <c r="L175" s="104"/>
      <c r="M175" s="174">
        <f>IF(Tabelle132456[[#This Row],[Pulled after Start]]="",MIN(Tabelle132456[[#This Row],[Jira Story Points]],Tabelle132456[[#This Row],[Carry-over]]),0)</f>
        <v>0</v>
      </c>
      <c r="N175" s="173">
        <f>MIN(Tabelle132456[[#This Row],[Jira Story Points]],Tabelle132456[[#This Row],[Carry-over]])-Tabelle132456[[#This Row],[SP Initially Planned (COS)]]</f>
        <v>0</v>
      </c>
      <c r="O17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75" s="173">
        <f>IFERROR(IF(Tabelle132456[[#This Row],[Status]]=$I$5,MIN(Tabelle132456[[#This Row],[Jira Story Points]],Tabelle132456[[#This Row],[Carry-over]]),0),0)</f>
        <v>0</v>
      </c>
      <c r="Q175" s="173">
        <f>IFERROR(IF(Tabelle132456[[#This Row],[Status]]=$I$5,0,MIN(Tabelle132456[[#This Row],[Jira Story Points]],Tabelle132456[[#This Row],[Carry-over]])-Tabelle132456[[#This Row],[SP Completed (COS &amp; SOS)]]),0)</f>
        <v>0</v>
      </c>
    </row>
    <row r="176" spans="1:17" s="46" customFormat="1" ht="13.5" customHeight="1">
      <c r="A176" s="117"/>
      <c r="B176" s="47"/>
      <c r="C176" s="76"/>
      <c r="D176" s="76"/>
      <c r="E176" s="76"/>
      <c r="F176" s="104"/>
      <c r="G176" s="76"/>
      <c r="H176" s="83"/>
      <c r="I176" s="103"/>
      <c r="J176" s="76"/>
      <c r="K176" s="104"/>
      <c r="L176" s="104"/>
      <c r="M176" s="174">
        <f>IF(Tabelle132456[[#This Row],[Pulled after Start]]="",MIN(Tabelle132456[[#This Row],[Jira Story Points]],Tabelle132456[[#This Row],[Carry-over]]),0)</f>
        <v>0</v>
      </c>
      <c r="N176" s="173">
        <f>MIN(Tabelle132456[[#This Row],[Jira Story Points]],Tabelle132456[[#This Row],[Carry-over]])-Tabelle132456[[#This Row],[SP Initially Planned (COS)]]</f>
        <v>0</v>
      </c>
      <c r="O17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76" s="173">
        <f>IFERROR(IF(Tabelle132456[[#This Row],[Status]]=$I$5,MIN(Tabelle132456[[#This Row],[Jira Story Points]],Tabelle132456[[#This Row],[Carry-over]]),0),0)</f>
        <v>0</v>
      </c>
      <c r="Q176" s="173">
        <f>IFERROR(IF(Tabelle132456[[#This Row],[Status]]=$I$5,0,MIN(Tabelle132456[[#This Row],[Jira Story Points]],Tabelle132456[[#This Row],[Carry-over]])-Tabelle132456[[#This Row],[SP Completed (COS &amp; SOS)]]),0)</f>
        <v>0</v>
      </c>
    </row>
    <row r="177" spans="1:17" s="46" customFormat="1" ht="13.5" customHeight="1">
      <c r="A177" s="117"/>
      <c r="B177" s="47"/>
      <c r="C177" s="76"/>
      <c r="D177" s="76"/>
      <c r="E177" s="76"/>
      <c r="F177" s="104"/>
      <c r="G177" s="76"/>
      <c r="H177" s="83"/>
      <c r="I177" s="103"/>
      <c r="J177" s="76"/>
      <c r="K177" s="104"/>
      <c r="L177" s="104"/>
      <c r="M177" s="174">
        <f>IF(Tabelle132456[[#This Row],[Pulled after Start]]="",MIN(Tabelle132456[[#This Row],[Jira Story Points]],Tabelle132456[[#This Row],[Carry-over]]),0)</f>
        <v>0</v>
      </c>
      <c r="N177" s="173">
        <f>MIN(Tabelle132456[[#This Row],[Jira Story Points]],Tabelle132456[[#This Row],[Carry-over]])-Tabelle132456[[#This Row],[SP Initially Planned (COS)]]</f>
        <v>0</v>
      </c>
      <c r="O17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77" s="173">
        <f>IFERROR(IF(Tabelle132456[[#This Row],[Status]]=$I$5,MIN(Tabelle132456[[#This Row],[Jira Story Points]],Tabelle132456[[#This Row],[Carry-over]]),0),0)</f>
        <v>0</v>
      </c>
      <c r="Q177" s="173">
        <f>IFERROR(IF(Tabelle132456[[#This Row],[Status]]=$I$5,0,MIN(Tabelle132456[[#This Row],[Jira Story Points]],Tabelle132456[[#This Row],[Carry-over]])-Tabelle132456[[#This Row],[SP Completed (COS &amp; SOS)]]),0)</f>
        <v>0</v>
      </c>
    </row>
    <row r="178" spans="1:17" s="46" customFormat="1" ht="13.5" customHeight="1">
      <c r="A178" s="117"/>
      <c r="B178" s="47"/>
      <c r="C178" s="76"/>
      <c r="D178" s="76"/>
      <c r="E178" s="76"/>
      <c r="F178" s="104"/>
      <c r="G178" s="76"/>
      <c r="H178" s="83"/>
      <c r="I178" s="103"/>
      <c r="J178" s="76"/>
      <c r="K178" s="104"/>
      <c r="L178" s="104"/>
      <c r="M178" s="174">
        <f>IF(Tabelle132456[[#This Row],[Pulled after Start]]="",MIN(Tabelle132456[[#This Row],[Jira Story Points]],Tabelle132456[[#This Row],[Carry-over]]),0)</f>
        <v>0</v>
      </c>
      <c r="N178" s="173">
        <f>MIN(Tabelle132456[[#This Row],[Jira Story Points]],Tabelle132456[[#This Row],[Carry-over]])-Tabelle132456[[#This Row],[SP Initially Planned (COS)]]</f>
        <v>0</v>
      </c>
      <c r="O17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78" s="173">
        <f>IFERROR(IF(Tabelle132456[[#This Row],[Status]]=$I$5,MIN(Tabelle132456[[#This Row],[Jira Story Points]],Tabelle132456[[#This Row],[Carry-over]]),0),0)</f>
        <v>0</v>
      </c>
      <c r="Q178" s="173">
        <f>IFERROR(IF(Tabelle132456[[#This Row],[Status]]=$I$5,0,MIN(Tabelle132456[[#This Row],[Jira Story Points]],Tabelle132456[[#This Row],[Carry-over]])-Tabelle132456[[#This Row],[SP Completed (COS &amp; SOS)]]),0)</f>
        <v>0</v>
      </c>
    </row>
    <row r="179" spans="1:17" s="46" customFormat="1" ht="13.5" customHeight="1">
      <c r="A179" s="117"/>
      <c r="B179" s="47"/>
      <c r="C179" s="76"/>
      <c r="D179" s="76"/>
      <c r="E179" s="76"/>
      <c r="F179" s="104"/>
      <c r="G179" s="76"/>
      <c r="H179" s="83"/>
      <c r="I179" s="103"/>
      <c r="J179" s="76"/>
      <c r="K179" s="104"/>
      <c r="L179" s="104"/>
      <c r="M179" s="174">
        <f>IF(Tabelle132456[[#This Row],[Pulled after Start]]="",MIN(Tabelle132456[[#This Row],[Jira Story Points]],Tabelle132456[[#This Row],[Carry-over]]),0)</f>
        <v>0</v>
      </c>
      <c r="N179" s="173">
        <f>MIN(Tabelle132456[[#This Row],[Jira Story Points]],Tabelle132456[[#This Row],[Carry-over]])-Tabelle132456[[#This Row],[SP Initially Planned (COS)]]</f>
        <v>0</v>
      </c>
      <c r="O17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79" s="173">
        <f>IFERROR(IF(Tabelle132456[[#This Row],[Status]]=$I$5,MIN(Tabelle132456[[#This Row],[Jira Story Points]],Tabelle132456[[#This Row],[Carry-over]]),0),0)</f>
        <v>0</v>
      </c>
      <c r="Q179" s="173">
        <f>IFERROR(IF(Tabelle132456[[#This Row],[Status]]=$I$5,0,MIN(Tabelle132456[[#This Row],[Jira Story Points]],Tabelle132456[[#This Row],[Carry-over]])-Tabelle132456[[#This Row],[SP Completed (COS &amp; SOS)]]),0)</f>
        <v>0</v>
      </c>
    </row>
    <row r="180" spans="1:17" s="46" customFormat="1" ht="13.5" customHeight="1">
      <c r="A180" s="117"/>
      <c r="B180" s="47"/>
      <c r="C180" s="76"/>
      <c r="D180" s="76"/>
      <c r="E180" s="76"/>
      <c r="F180" s="104"/>
      <c r="G180" s="76"/>
      <c r="H180" s="83"/>
      <c r="I180" s="103"/>
      <c r="J180" s="76"/>
      <c r="K180" s="104"/>
      <c r="L180" s="104"/>
      <c r="M180" s="174">
        <f>IF(Tabelle132456[[#This Row],[Pulled after Start]]="",MIN(Tabelle132456[[#This Row],[Jira Story Points]],Tabelle132456[[#This Row],[Carry-over]]),0)</f>
        <v>0</v>
      </c>
      <c r="N180" s="173">
        <f>MIN(Tabelle132456[[#This Row],[Jira Story Points]],Tabelle132456[[#This Row],[Carry-over]])-Tabelle132456[[#This Row],[SP Initially Planned (COS)]]</f>
        <v>0</v>
      </c>
      <c r="O18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80" s="173">
        <f>IFERROR(IF(Tabelle132456[[#This Row],[Status]]=$I$5,MIN(Tabelle132456[[#This Row],[Jira Story Points]],Tabelle132456[[#This Row],[Carry-over]]),0),0)</f>
        <v>0</v>
      </c>
      <c r="Q180" s="173">
        <f>IFERROR(IF(Tabelle132456[[#This Row],[Status]]=$I$5,0,MIN(Tabelle132456[[#This Row],[Jira Story Points]],Tabelle132456[[#This Row],[Carry-over]])-Tabelle132456[[#This Row],[SP Completed (COS &amp; SOS)]]),0)</f>
        <v>0</v>
      </c>
    </row>
    <row r="181" spans="1:17" s="46" customFormat="1" ht="13.5" customHeight="1">
      <c r="A181" s="117"/>
      <c r="B181" s="47"/>
      <c r="C181" s="76"/>
      <c r="D181" s="76"/>
      <c r="E181" s="76"/>
      <c r="F181" s="104"/>
      <c r="G181" s="76"/>
      <c r="H181" s="83"/>
      <c r="I181" s="103"/>
      <c r="J181" s="76"/>
      <c r="K181" s="104"/>
      <c r="L181" s="104"/>
      <c r="M181" s="174">
        <f>IF(Tabelle132456[[#This Row],[Pulled after Start]]="",MIN(Tabelle132456[[#This Row],[Jira Story Points]],Tabelle132456[[#This Row],[Carry-over]]),0)</f>
        <v>0</v>
      </c>
      <c r="N181" s="173">
        <f>MIN(Tabelle132456[[#This Row],[Jira Story Points]],Tabelle132456[[#This Row],[Carry-over]])-Tabelle132456[[#This Row],[SP Initially Planned (COS)]]</f>
        <v>0</v>
      </c>
      <c r="O18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81" s="173">
        <f>IFERROR(IF(Tabelle132456[[#This Row],[Status]]=$I$5,MIN(Tabelle132456[[#This Row],[Jira Story Points]],Tabelle132456[[#This Row],[Carry-over]]),0),0)</f>
        <v>0</v>
      </c>
      <c r="Q181" s="173">
        <f>IFERROR(IF(Tabelle132456[[#This Row],[Status]]=$I$5,0,MIN(Tabelle132456[[#This Row],[Jira Story Points]],Tabelle132456[[#This Row],[Carry-over]])-Tabelle132456[[#This Row],[SP Completed (COS &amp; SOS)]]),0)</f>
        <v>0</v>
      </c>
    </row>
    <row r="182" spans="1:17" s="46" customFormat="1" ht="13.5" customHeight="1">
      <c r="A182" s="117"/>
      <c r="B182" s="47"/>
      <c r="C182" s="76"/>
      <c r="D182" s="76"/>
      <c r="E182" s="76"/>
      <c r="F182" s="104"/>
      <c r="G182" s="76"/>
      <c r="H182" s="83"/>
      <c r="I182" s="103"/>
      <c r="J182" s="76"/>
      <c r="K182" s="104"/>
      <c r="L182" s="104"/>
      <c r="M182" s="174">
        <f>IF(Tabelle132456[[#This Row],[Pulled after Start]]="",MIN(Tabelle132456[[#This Row],[Jira Story Points]],Tabelle132456[[#This Row],[Carry-over]]),0)</f>
        <v>0</v>
      </c>
      <c r="N182" s="173">
        <f>MIN(Tabelle132456[[#This Row],[Jira Story Points]],Tabelle132456[[#This Row],[Carry-over]])-Tabelle132456[[#This Row],[SP Initially Planned (COS)]]</f>
        <v>0</v>
      </c>
      <c r="O18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82" s="173">
        <f>IFERROR(IF(Tabelle132456[[#This Row],[Status]]=$I$5,MIN(Tabelle132456[[#This Row],[Jira Story Points]],Tabelle132456[[#This Row],[Carry-over]]),0),0)</f>
        <v>0</v>
      </c>
      <c r="Q182" s="173">
        <f>IFERROR(IF(Tabelle132456[[#This Row],[Status]]=$I$5,0,MIN(Tabelle132456[[#This Row],[Jira Story Points]],Tabelle132456[[#This Row],[Carry-over]])-Tabelle132456[[#This Row],[SP Completed (COS &amp; SOS)]]),0)</f>
        <v>0</v>
      </c>
    </row>
    <row r="183" spans="1:17" s="46" customFormat="1" ht="13.5" customHeight="1">
      <c r="A183" s="117"/>
      <c r="B183" s="47"/>
      <c r="C183" s="76"/>
      <c r="D183" s="76"/>
      <c r="E183" s="76"/>
      <c r="F183" s="104"/>
      <c r="G183" s="76"/>
      <c r="H183" s="83"/>
      <c r="I183" s="103"/>
      <c r="J183" s="76"/>
      <c r="K183" s="104"/>
      <c r="L183" s="104"/>
      <c r="M183" s="174">
        <f>IF(Tabelle132456[[#This Row],[Pulled after Start]]="",MIN(Tabelle132456[[#This Row],[Jira Story Points]],Tabelle132456[[#This Row],[Carry-over]]),0)</f>
        <v>0</v>
      </c>
      <c r="N183" s="173">
        <f>MIN(Tabelle132456[[#This Row],[Jira Story Points]],Tabelle132456[[#This Row],[Carry-over]])-Tabelle132456[[#This Row],[SP Initially Planned (COS)]]</f>
        <v>0</v>
      </c>
      <c r="O18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83" s="173">
        <f>IFERROR(IF(Tabelle132456[[#This Row],[Status]]=$I$5,MIN(Tabelle132456[[#This Row],[Jira Story Points]],Tabelle132456[[#This Row],[Carry-over]]),0),0)</f>
        <v>0</v>
      </c>
      <c r="Q183" s="173">
        <f>IFERROR(IF(Tabelle132456[[#This Row],[Status]]=$I$5,0,MIN(Tabelle132456[[#This Row],[Jira Story Points]],Tabelle132456[[#This Row],[Carry-over]])-Tabelle132456[[#This Row],[SP Completed (COS &amp; SOS)]]),0)</f>
        <v>0</v>
      </c>
    </row>
    <row r="184" spans="1:17" s="46" customFormat="1" ht="13.5" customHeight="1">
      <c r="A184" s="117"/>
      <c r="B184" s="47"/>
      <c r="C184" s="76"/>
      <c r="D184" s="76"/>
      <c r="E184" s="76"/>
      <c r="F184" s="104"/>
      <c r="G184" s="76"/>
      <c r="H184" s="83"/>
      <c r="I184" s="103"/>
      <c r="J184" s="76"/>
      <c r="K184" s="104"/>
      <c r="L184" s="104"/>
      <c r="M184" s="174">
        <f>IF(Tabelle132456[[#This Row],[Pulled after Start]]="",MIN(Tabelle132456[[#This Row],[Jira Story Points]],Tabelle132456[[#This Row],[Carry-over]]),0)</f>
        <v>0</v>
      </c>
      <c r="N184" s="173">
        <f>MIN(Tabelle132456[[#This Row],[Jira Story Points]],Tabelle132456[[#This Row],[Carry-over]])-Tabelle132456[[#This Row],[SP Initially Planned (COS)]]</f>
        <v>0</v>
      </c>
      <c r="O18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84" s="173">
        <f>IFERROR(IF(Tabelle132456[[#This Row],[Status]]=$I$5,MIN(Tabelle132456[[#This Row],[Jira Story Points]],Tabelle132456[[#This Row],[Carry-over]]),0),0)</f>
        <v>0</v>
      </c>
      <c r="Q184" s="173">
        <f>IFERROR(IF(Tabelle132456[[#This Row],[Status]]=$I$5,0,MIN(Tabelle132456[[#This Row],[Jira Story Points]],Tabelle132456[[#This Row],[Carry-over]])-Tabelle132456[[#This Row],[SP Completed (COS &amp; SOS)]]),0)</f>
        <v>0</v>
      </c>
    </row>
    <row r="185" spans="1:17" s="46" customFormat="1" ht="13.5" customHeight="1">
      <c r="A185" s="117"/>
      <c r="B185" s="47"/>
      <c r="C185" s="76"/>
      <c r="D185" s="76"/>
      <c r="E185" s="76"/>
      <c r="F185" s="104"/>
      <c r="G185" s="76"/>
      <c r="H185" s="83"/>
      <c r="I185" s="103"/>
      <c r="J185" s="76"/>
      <c r="K185" s="104"/>
      <c r="L185" s="104"/>
      <c r="M185" s="174">
        <f>IF(Tabelle132456[[#This Row],[Pulled after Start]]="",MIN(Tabelle132456[[#This Row],[Jira Story Points]],Tabelle132456[[#This Row],[Carry-over]]),0)</f>
        <v>0</v>
      </c>
      <c r="N185" s="173">
        <f>MIN(Tabelle132456[[#This Row],[Jira Story Points]],Tabelle132456[[#This Row],[Carry-over]])-Tabelle132456[[#This Row],[SP Initially Planned (COS)]]</f>
        <v>0</v>
      </c>
      <c r="O18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85" s="173">
        <f>IFERROR(IF(Tabelle132456[[#This Row],[Status]]=$I$5,MIN(Tabelle132456[[#This Row],[Jira Story Points]],Tabelle132456[[#This Row],[Carry-over]]),0),0)</f>
        <v>0</v>
      </c>
      <c r="Q185" s="173">
        <f>IFERROR(IF(Tabelle132456[[#This Row],[Status]]=$I$5,0,MIN(Tabelle132456[[#This Row],[Jira Story Points]],Tabelle132456[[#This Row],[Carry-over]])-Tabelle132456[[#This Row],[SP Completed (COS &amp; SOS)]]),0)</f>
        <v>0</v>
      </c>
    </row>
    <row r="186" spans="1:17" s="46" customFormat="1" ht="13.5" customHeight="1">
      <c r="A186" s="117"/>
      <c r="B186" s="47"/>
      <c r="C186" s="76"/>
      <c r="D186" s="76"/>
      <c r="E186" s="76"/>
      <c r="F186" s="104"/>
      <c r="G186" s="76"/>
      <c r="H186" s="83"/>
      <c r="I186" s="103"/>
      <c r="J186" s="76"/>
      <c r="K186" s="104"/>
      <c r="L186" s="104"/>
      <c r="M186" s="174">
        <f>IF(Tabelle132456[[#This Row],[Pulled after Start]]="",MIN(Tabelle132456[[#This Row],[Jira Story Points]],Tabelle132456[[#This Row],[Carry-over]]),0)</f>
        <v>0</v>
      </c>
      <c r="N186" s="173">
        <f>MIN(Tabelle132456[[#This Row],[Jira Story Points]],Tabelle132456[[#This Row],[Carry-over]])-Tabelle132456[[#This Row],[SP Initially Planned (COS)]]</f>
        <v>0</v>
      </c>
      <c r="O18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86" s="173">
        <f>IFERROR(IF(Tabelle132456[[#This Row],[Status]]=$I$5,MIN(Tabelle132456[[#This Row],[Jira Story Points]],Tabelle132456[[#This Row],[Carry-over]]),0),0)</f>
        <v>0</v>
      </c>
      <c r="Q186" s="173">
        <f>IFERROR(IF(Tabelle132456[[#This Row],[Status]]=$I$5,0,MIN(Tabelle132456[[#This Row],[Jira Story Points]],Tabelle132456[[#This Row],[Carry-over]])-Tabelle132456[[#This Row],[SP Completed (COS &amp; SOS)]]),0)</f>
        <v>0</v>
      </c>
    </row>
    <row r="187" spans="1:17" s="46" customFormat="1" ht="13.5" customHeight="1">
      <c r="A187" s="117"/>
      <c r="B187" s="47"/>
      <c r="C187" s="76"/>
      <c r="D187" s="76"/>
      <c r="E187" s="76"/>
      <c r="F187" s="104"/>
      <c r="G187" s="76"/>
      <c r="H187" s="83"/>
      <c r="I187" s="103"/>
      <c r="J187" s="76"/>
      <c r="K187" s="104"/>
      <c r="L187" s="104"/>
      <c r="M187" s="174">
        <f>IF(Tabelle132456[[#This Row],[Pulled after Start]]="",MIN(Tabelle132456[[#This Row],[Jira Story Points]],Tabelle132456[[#This Row],[Carry-over]]),0)</f>
        <v>0</v>
      </c>
      <c r="N187" s="173">
        <f>MIN(Tabelle132456[[#This Row],[Jira Story Points]],Tabelle132456[[#This Row],[Carry-over]])-Tabelle132456[[#This Row],[SP Initially Planned (COS)]]</f>
        <v>0</v>
      </c>
      <c r="O18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87" s="173">
        <f>IFERROR(IF(Tabelle132456[[#This Row],[Status]]=$I$5,MIN(Tabelle132456[[#This Row],[Jira Story Points]],Tabelle132456[[#This Row],[Carry-over]]),0),0)</f>
        <v>0</v>
      </c>
      <c r="Q187" s="173">
        <f>IFERROR(IF(Tabelle132456[[#This Row],[Status]]=$I$5,0,MIN(Tabelle132456[[#This Row],[Jira Story Points]],Tabelle132456[[#This Row],[Carry-over]])-Tabelle132456[[#This Row],[SP Completed (COS &amp; SOS)]]),0)</f>
        <v>0</v>
      </c>
    </row>
    <row r="188" spans="1:17" s="46" customFormat="1" ht="13.5" customHeight="1">
      <c r="A188" s="117"/>
      <c r="B188" s="47"/>
      <c r="C188" s="76"/>
      <c r="D188" s="76"/>
      <c r="E188" s="76"/>
      <c r="F188" s="104"/>
      <c r="G188" s="76"/>
      <c r="H188" s="83"/>
      <c r="I188" s="103"/>
      <c r="J188" s="76"/>
      <c r="K188" s="104"/>
      <c r="L188" s="104"/>
      <c r="M188" s="174">
        <f>IF(Tabelle132456[[#This Row],[Pulled after Start]]="",MIN(Tabelle132456[[#This Row],[Jira Story Points]],Tabelle132456[[#This Row],[Carry-over]]),0)</f>
        <v>0</v>
      </c>
      <c r="N188" s="173">
        <f>MIN(Tabelle132456[[#This Row],[Jira Story Points]],Tabelle132456[[#This Row],[Carry-over]])-Tabelle132456[[#This Row],[SP Initially Planned (COS)]]</f>
        <v>0</v>
      </c>
      <c r="O18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88" s="173">
        <f>IFERROR(IF(Tabelle132456[[#This Row],[Status]]=$I$5,MIN(Tabelle132456[[#This Row],[Jira Story Points]],Tabelle132456[[#This Row],[Carry-over]]),0),0)</f>
        <v>0</v>
      </c>
      <c r="Q188" s="173">
        <f>IFERROR(IF(Tabelle132456[[#This Row],[Status]]=$I$5,0,MIN(Tabelle132456[[#This Row],[Jira Story Points]],Tabelle132456[[#This Row],[Carry-over]])-Tabelle132456[[#This Row],[SP Completed (COS &amp; SOS)]]),0)</f>
        <v>0</v>
      </c>
    </row>
    <row r="189" spans="1:17" s="46" customFormat="1" ht="13.5" customHeight="1">
      <c r="A189" s="117"/>
      <c r="B189" s="47"/>
      <c r="C189" s="76"/>
      <c r="D189" s="76"/>
      <c r="E189" s="76"/>
      <c r="F189" s="104"/>
      <c r="G189" s="76"/>
      <c r="H189" s="83"/>
      <c r="I189" s="103"/>
      <c r="J189" s="76"/>
      <c r="K189" s="104"/>
      <c r="L189" s="104"/>
      <c r="M189" s="174">
        <f>IF(Tabelle132456[[#This Row],[Pulled after Start]]="",MIN(Tabelle132456[[#This Row],[Jira Story Points]],Tabelle132456[[#This Row],[Carry-over]]),0)</f>
        <v>0</v>
      </c>
      <c r="N189" s="173">
        <f>MIN(Tabelle132456[[#This Row],[Jira Story Points]],Tabelle132456[[#This Row],[Carry-over]])-Tabelle132456[[#This Row],[SP Initially Planned (COS)]]</f>
        <v>0</v>
      </c>
      <c r="O18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89" s="173">
        <f>IFERROR(IF(Tabelle132456[[#This Row],[Status]]=$I$5,MIN(Tabelle132456[[#This Row],[Jira Story Points]],Tabelle132456[[#This Row],[Carry-over]]),0),0)</f>
        <v>0</v>
      </c>
      <c r="Q189" s="173">
        <f>IFERROR(IF(Tabelle132456[[#This Row],[Status]]=$I$5,0,MIN(Tabelle132456[[#This Row],[Jira Story Points]],Tabelle132456[[#This Row],[Carry-over]])-Tabelle132456[[#This Row],[SP Completed (COS &amp; SOS)]]),0)</f>
        <v>0</v>
      </c>
    </row>
    <row r="190" spans="1:17" s="46" customFormat="1" ht="13.5" customHeight="1">
      <c r="A190" s="117"/>
      <c r="B190" s="47"/>
      <c r="C190" s="76"/>
      <c r="D190" s="76"/>
      <c r="E190" s="76"/>
      <c r="F190" s="104"/>
      <c r="G190" s="76"/>
      <c r="H190" s="83"/>
      <c r="I190" s="103"/>
      <c r="J190" s="76"/>
      <c r="K190" s="104"/>
      <c r="L190" s="104"/>
      <c r="M190" s="174">
        <f>IF(Tabelle132456[[#This Row],[Pulled after Start]]="",MIN(Tabelle132456[[#This Row],[Jira Story Points]],Tabelle132456[[#This Row],[Carry-over]]),0)</f>
        <v>0</v>
      </c>
      <c r="N190" s="173">
        <f>MIN(Tabelle132456[[#This Row],[Jira Story Points]],Tabelle132456[[#This Row],[Carry-over]])-Tabelle132456[[#This Row],[SP Initially Planned (COS)]]</f>
        <v>0</v>
      </c>
      <c r="O19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90" s="173">
        <f>IFERROR(IF(Tabelle132456[[#This Row],[Status]]=$I$5,MIN(Tabelle132456[[#This Row],[Jira Story Points]],Tabelle132456[[#This Row],[Carry-over]]),0),0)</f>
        <v>0</v>
      </c>
      <c r="Q190" s="173">
        <f>IFERROR(IF(Tabelle132456[[#This Row],[Status]]=$I$5,0,MIN(Tabelle132456[[#This Row],[Jira Story Points]],Tabelle132456[[#This Row],[Carry-over]])-Tabelle132456[[#This Row],[SP Completed (COS &amp; SOS)]]),0)</f>
        <v>0</v>
      </c>
    </row>
    <row r="191" spans="1:17" s="46" customFormat="1" ht="13.5" customHeight="1">
      <c r="A191" s="117"/>
      <c r="B191" s="47"/>
      <c r="C191" s="76"/>
      <c r="D191" s="76"/>
      <c r="E191" s="76"/>
      <c r="F191" s="104"/>
      <c r="G191" s="76"/>
      <c r="H191" s="83"/>
      <c r="I191" s="103"/>
      <c r="J191" s="76"/>
      <c r="K191" s="104"/>
      <c r="L191" s="104"/>
      <c r="M191" s="174">
        <f>IF(Tabelle132456[[#This Row],[Pulled after Start]]="",MIN(Tabelle132456[[#This Row],[Jira Story Points]],Tabelle132456[[#This Row],[Carry-over]]),0)</f>
        <v>0</v>
      </c>
      <c r="N191" s="173">
        <f>MIN(Tabelle132456[[#This Row],[Jira Story Points]],Tabelle132456[[#This Row],[Carry-over]])-Tabelle132456[[#This Row],[SP Initially Planned (COS)]]</f>
        <v>0</v>
      </c>
      <c r="O19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91" s="173">
        <f>IFERROR(IF(Tabelle132456[[#This Row],[Status]]=$I$5,MIN(Tabelle132456[[#This Row],[Jira Story Points]],Tabelle132456[[#This Row],[Carry-over]]),0),0)</f>
        <v>0</v>
      </c>
      <c r="Q191" s="173">
        <f>IFERROR(IF(Tabelle132456[[#This Row],[Status]]=$I$5,0,MIN(Tabelle132456[[#This Row],[Jira Story Points]],Tabelle132456[[#This Row],[Carry-over]])-Tabelle132456[[#This Row],[SP Completed (COS &amp; SOS)]]),0)</f>
        <v>0</v>
      </c>
    </row>
    <row r="192" spans="1:17" s="46" customFormat="1" ht="13.5" customHeight="1">
      <c r="A192" s="117"/>
      <c r="B192" s="47"/>
      <c r="C192" s="76"/>
      <c r="D192" s="76"/>
      <c r="E192" s="76"/>
      <c r="F192" s="104"/>
      <c r="G192" s="76"/>
      <c r="H192" s="83"/>
      <c r="I192" s="103"/>
      <c r="J192" s="76"/>
      <c r="K192" s="104"/>
      <c r="L192" s="104"/>
      <c r="M192" s="174">
        <f>IF(Tabelle132456[[#This Row],[Pulled after Start]]="",MIN(Tabelle132456[[#This Row],[Jira Story Points]],Tabelle132456[[#This Row],[Carry-over]]),0)</f>
        <v>0</v>
      </c>
      <c r="N192" s="173">
        <f>MIN(Tabelle132456[[#This Row],[Jira Story Points]],Tabelle132456[[#This Row],[Carry-over]])-Tabelle132456[[#This Row],[SP Initially Planned (COS)]]</f>
        <v>0</v>
      </c>
      <c r="O19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92" s="173">
        <f>IFERROR(IF(Tabelle132456[[#This Row],[Status]]=$I$5,MIN(Tabelle132456[[#This Row],[Jira Story Points]],Tabelle132456[[#This Row],[Carry-over]]),0),0)</f>
        <v>0</v>
      </c>
      <c r="Q192" s="173">
        <f>IFERROR(IF(Tabelle132456[[#This Row],[Status]]=$I$5,0,MIN(Tabelle132456[[#This Row],[Jira Story Points]],Tabelle132456[[#This Row],[Carry-over]])-Tabelle132456[[#This Row],[SP Completed (COS &amp; SOS)]]),0)</f>
        <v>0</v>
      </c>
    </row>
    <row r="193" spans="1:17" s="46" customFormat="1" ht="13.5" customHeight="1">
      <c r="A193" s="117"/>
      <c r="B193" s="47"/>
      <c r="C193" s="76"/>
      <c r="D193" s="76"/>
      <c r="E193" s="76"/>
      <c r="F193" s="104"/>
      <c r="G193" s="76"/>
      <c r="H193" s="83"/>
      <c r="I193" s="103"/>
      <c r="J193" s="76"/>
      <c r="K193" s="104"/>
      <c r="L193" s="104"/>
      <c r="M193" s="174">
        <f>IF(Tabelle132456[[#This Row],[Pulled after Start]]="",MIN(Tabelle132456[[#This Row],[Jira Story Points]],Tabelle132456[[#This Row],[Carry-over]]),0)</f>
        <v>0</v>
      </c>
      <c r="N193" s="173">
        <f>MIN(Tabelle132456[[#This Row],[Jira Story Points]],Tabelle132456[[#This Row],[Carry-over]])-Tabelle132456[[#This Row],[SP Initially Planned (COS)]]</f>
        <v>0</v>
      </c>
      <c r="O19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93" s="173">
        <f>IFERROR(IF(Tabelle132456[[#This Row],[Status]]=$I$5,MIN(Tabelle132456[[#This Row],[Jira Story Points]],Tabelle132456[[#This Row],[Carry-over]]),0),0)</f>
        <v>0</v>
      </c>
      <c r="Q193" s="173">
        <f>IFERROR(IF(Tabelle132456[[#This Row],[Status]]=$I$5,0,MIN(Tabelle132456[[#This Row],[Jira Story Points]],Tabelle132456[[#This Row],[Carry-over]])-Tabelle132456[[#This Row],[SP Completed (COS &amp; SOS)]]),0)</f>
        <v>0</v>
      </c>
    </row>
    <row r="194" spans="1:17" s="46" customFormat="1" ht="13.5" customHeight="1">
      <c r="A194" s="117"/>
      <c r="B194" s="47"/>
      <c r="C194" s="76"/>
      <c r="D194" s="76"/>
      <c r="E194" s="76"/>
      <c r="F194" s="104"/>
      <c r="G194" s="76"/>
      <c r="H194" s="83"/>
      <c r="I194" s="103"/>
      <c r="J194" s="76"/>
      <c r="K194" s="104"/>
      <c r="L194" s="104"/>
      <c r="M194" s="174">
        <f>IF(Tabelle132456[[#This Row],[Pulled after Start]]="",MIN(Tabelle132456[[#This Row],[Jira Story Points]],Tabelle132456[[#This Row],[Carry-over]]),0)</f>
        <v>0</v>
      </c>
      <c r="N194" s="173">
        <f>MIN(Tabelle132456[[#This Row],[Jira Story Points]],Tabelle132456[[#This Row],[Carry-over]])-Tabelle132456[[#This Row],[SP Initially Planned (COS)]]</f>
        <v>0</v>
      </c>
      <c r="O19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94" s="173">
        <f>IFERROR(IF(Tabelle132456[[#This Row],[Status]]=$I$5,MIN(Tabelle132456[[#This Row],[Jira Story Points]],Tabelle132456[[#This Row],[Carry-over]]),0),0)</f>
        <v>0</v>
      </c>
      <c r="Q194" s="173">
        <f>IFERROR(IF(Tabelle132456[[#This Row],[Status]]=$I$5,0,MIN(Tabelle132456[[#This Row],[Jira Story Points]],Tabelle132456[[#This Row],[Carry-over]])-Tabelle132456[[#This Row],[SP Completed (COS &amp; SOS)]]),0)</f>
        <v>0</v>
      </c>
    </row>
    <row r="195" spans="1:17" s="46" customFormat="1" ht="13.5" customHeight="1">
      <c r="A195" s="117"/>
      <c r="B195" s="47"/>
      <c r="C195" s="76"/>
      <c r="D195" s="76"/>
      <c r="E195" s="76"/>
      <c r="F195" s="104"/>
      <c r="G195" s="76"/>
      <c r="H195" s="83"/>
      <c r="I195" s="103"/>
      <c r="J195" s="76"/>
      <c r="K195" s="104"/>
      <c r="L195" s="104"/>
      <c r="M195" s="174">
        <f>IF(Tabelle132456[[#This Row],[Pulled after Start]]="",MIN(Tabelle132456[[#This Row],[Jira Story Points]],Tabelle132456[[#This Row],[Carry-over]]),0)</f>
        <v>0</v>
      </c>
      <c r="N195" s="173">
        <f>MIN(Tabelle132456[[#This Row],[Jira Story Points]],Tabelle132456[[#This Row],[Carry-over]])-Tabelle132456[[#This Row],[SP Initially Planned (COS)]]</f>
        <v>0</v>
      </c>
      <c r="O19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95" s="173">
        <f>IFERROR(IF(Tabelle132456[[#This Row],[Status]]=$I$5,MIN(Tabelle132456[[#This Row],[Jira Story Points]],Tabelle132456[[#This Row],[Carry-over]]),0),0)</f>
        <v>0</v>
      </c>
      <c r="Q195" s="173">
        <f>IFERROR(IF(Tabelle132456[[#This Row],[Status]]=$I$5,0,MIN(Tabelle132456[[#This Row],[Jira Story Points]],Tabelle132456[[#This Row],[Carry-over]])-Tabelle132456[[#This Row],[SP Completed (COS &amp; SOS)]]),0)</f>
        <v>0</v>
      </c>
    </row>
    <row r="196" spans="1:17" s="46" customFormat="1" ht="13.5" customHeight="1">
      <c r="A196" s="117"/>
      <c r="B196" s="47"/>
      <c r="C196" s="76"/>
      <c r="D196" s="76"/>
      <c r="E196" s="76"/>
      <c r="F196" s="104"/>
      <c r="G196" s="76"/>
      <c r="H196" s="83"/>
      <c r="I196" s="103"/>
      <c r="J196" s="76"/>
      <c r="K196" s="104"/>
      <c r="L196" s="104"/>
      <c r="M196" s="174">
        <f>IF(Tabelle132456[[#This Row],[Pulled after Start]]="",MIN(Tabelle132456[[#This Row],[Jira Story Points]],Tabelle132456[[#This Row],[Carry-over]]),0)</f>
        <v>0</v>
      </c>
      <c r="N196" s="173">
        <f>MIN(Tabelle132456[[#This Row],[Jira Story Points]],Tabelle132456[[#This Row],[Carry-over]])-Tabelle132456[[#This Row],[SP Initially Planned (COS)]]</f>
        <v>0</v>
      </c>
      <c r="O19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96" s="173">
        <f>IFERROR(IF(Tabelle132456[[#This Row],[Status]]=$I$5,MIN(Tabelle132456[[#This Row],[Jira Story Points]],Tabelle132456[[#This Row],[Carry-over]]),0),0)</f>
        <v>0</v>
      </c>
      <c r="Q196" s="173">
        <f>IFERROR(IF(Tabelle132456[[#This Row],[Status]]=$I$5,0,MIN(Tabelle132456[[#This Row],[Jira Story Points]],Tabelle132456[[#This Row],[Carry-over]])-Tabelle132456[[#This Row],[SP Completed (COS &amp; SOS)]]),0)</f>
        <v>0</v>
      </c>
    </row>
    <row r="197" spans="1:17" s="46" customFormat="1" ht="13.5" customHeight="1">
      <c r="A197" s="117"/>
      <c r="B197" s="47"/>
      <c r="C197" s="76"/>
      <c r="D197" s="76"/>
      <c r="E197" s="76"/>
      <c r="F197" s="104"/>
      <c r="G197" s="76"/>
      <c r="H197" s="83"/>
      <c r="I197" s="103"/>
      <c r="J197" s="76"/>
      <c r="K197" s="104"/>
      <c r="L197" s="104"/>
      <c r="M197" s="174">
        <f>IF(Tabelle132456[[#This Row],[Pulled after Start]]="",MIN(Tabelle132456[[#This Row],[Jira Story Points]],Tabelle132456[[#This Row],[Carry-over]]),0)</f>
        <v>0</v>
      </c>
      <c r="N197" s="173">
        <f>MIN(Tabelle132456[[#This Row],[Jira Story Points]],Tabelle132456[[#This Row],[Carry-over]])-Tabelle132456[[#This Row],[SP Initially Planned (COS)]]</f>
        <v>0</v>
      </c>
      <c r="O19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97" s="173">
        <f>IFERROR(IF(Tabelle132456[[#This Row],[Status]]=$I$5,MIN(Tabelle132456[[#This Row],[Jira Story Points]],Tabelle132456[[#This Row],[Carry-over]]),0),0)</f>
        <v>0</v>
      </c>
      <c r="Q197" s="173">
        <f>IFERROR(IF(Tabelle132456[[#This Row],[Status]]=$I$5,0,MIN(Tabelle132456[[#This Row],[Jira Story Points]],Tabelle132456[[#This Row],[Carry-over]])-Tabelle132456[[#This Row],[SP Completed (COS &amp; SOS)]]),0)</f>
        <v>0</v>
      </c>
    </row>
    <row r="198" spans="1:17" s="46" customFormat="1" ht="13.5" customHeight="1">
      <c r="A198" s="117"/>
      <c r="B198" s="47"/>
      <c r="C198" s="76"/>
      <c r="D198" s="76"/>
      <c r="E198" s="76"/>
      <c r="F198" s="104"/>
      <c r="G198" s="76"/>
      <c r="H198" s="83"/>
      <c r="I198" s="103"/>
      <c r="J198" s="76"/>
      <c r="K198" s="104"/>
      <c r="L198" s="104"/>
      <c r="M198" s="174">
        <f>IF(Tabelle132456[[#This Row],[Pulled after Start]]="",MIN(Tabelle132456[[#This Row],[Jira Story Points]],Tabelle132456[[#This Row],[Carry-over]]),0)</f>
        <v>0</v>
      </c>
      <c r="N198" s="173">
        <f>MIN(Tabelle132456[[#This Row],[Jira Story Points]],Tabelle132456[[#This Row],[Carry-over]])-Tabelle132456[[#This Row],[SP Initially Planned (COS)]]</f>
        <v>0</v>
      </c>
      <c r="O19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98" s="173">
        <f>IFERROR(IF(Tabelle132456[[#This Row],[Status]]=$I$5,MIN(Tabelle132456[[#This Row],[Jira Story Points]],Tabelle132456[[#This Row],[Carry-over]]),0),0)</f>
        <v>0</v>
      </c>
      <c r="Q198" s="173">
        <f>IFERROR(IF(Tabelle132456[[#This Row],[Status]]=$I$5,0,MIN(Tabelle132456[[#This Row],[Jira Story Points]],Tabelle132456[[#This Row],[Carry-over]])-Tabelle132456[[#This Row],[SP Completed (COS &amp; SOS)]]),0)</f>
        <v>0</v>
      </c>
    </row>
    <row r="199" spans="1:17" s="46" customFormat="1" ht="13.5" customHeight="1">
      <c r="A199" s="117"/>
      <c r="B199" s="47"/>
      <c r="C199" s="76"/>
      <c r="D199" s="76"/>
      <c r="E199" s="76"/>
      <c r="F199" s="104"/>
      <c r="G199" s="76"/>
      <c r="H199" s="83"/>
      <c r="I199" s="103"/>
      <c r="J199" s="76"/>
      <c r="K199" s="104"/>
      <c r="L199" s="104"/>
      <c r="M199" s="174">
        <f>IF(Tabelle132456[[#This Row],[Pulled after Start]]="",MIN(Tabelle132456[[#This Row],[Jira Story Points]],Tabelle132456[[#This Row],[Carry-over]]),0)</f>
        <v>0</v>
      </c>
      <c r="N199" s="173">
        <f>MIN(Tabelle132456[[#This Row],[Jira Story Points]],Tabelle132456[[#This Row],[Carry-over]])-Tabelle132456[[#This Row],[SP Initially Planned (COS)]]</f>
        <v>0</v>
      </c>
      <c r="O19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199" s="173">
        <f>IFERROR(IF(Tabelle132456[[#This Row],[Status]]=$I$5,MIN(Tabelle132456[[#This Row],[Jira Story Points]],Tabelle132456[[#This Row],[Carry-over]]),0),0)</f>
        <v>0</v>
      </c>
      <c r="Q199" s="173">
        <f>IFERROR(IF(Tabelle132456[[#This Row],[Status]]=$I$5,0,MIN(Tabelle132456[[#This Row],[Jira Story Points]],Tabelle132456[[#This Row],[Carry-over]])-Tabelle132456[[#This Row],[SP Completed (COS &amp; SOS)]]),0)</f>
        <v>0</v>
      </c>
    </row>
    <row r="200" spans="1:17" s="46" customFormat="1" ht="13.5" customHeight="1">
      <c r="A200" s="117"/>
      <c r="B200" s="47"/>
      <c r="C200" s="76"/>
      <c r="D200" s="76"/>
      <c r="E200" s="76"/>
      <c r="F200" s="104"/>
      <c r="G200" s="76"/>
      <c r="H200" s="83"/>
      <c r="I200" s="103"/>
      <c r="J200" s="76"/>
      <c r="K200" s="104"/>
      <c r="L200" s="104"/>
      <c r="M200" s="174">
        <f>IF(Tabelle132456[[#This Row],[Pulled after Start]]="",MIN(Tabelle132456[[#This Row],[Jira Story Points]],Tabelle132456[[#This Row],[Carry-over]]),0)</f>
        <v>0</v>
      </c>
      <c r="N200" s="173">
        <f>MIN(Tabelle132456[[#This Row],[Jira Story Points]],Tabelle132456[[#This Row],[Carry-over]])-Tabelle132456[[#This Row],[SP Initially Planned (COS)]]</f>
        <v>0</v>
      </c>
      <c r="O20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00" s="173">
        <f>IFERROR(IF(Tabelle132456[[#This Row],[Status]]=$I$5,MIN(Tabelle132456[[#This Row],[Jira Story Points]],Tabelle132456[[#This Row],[Carry-over]]),0),0)</f>
        <v>0</v>
      </c>
      <c r="Q200" s="173">
        <f>IFERROR(IF(Tabelle132456[[#This Row],[Status]]=$I$5,0,MIN(Tabelle132456[[#This Row],[Jira Story Points]],Tabelle132456[[#This Row],[Carry-over]])-Tabelle132456[[#This Row],[SP Completed (COS &amp; SOS)]]),0)</f>
        <v>0</v>
      </c>
    </row>
    <row r="201" spans="1:17" s="46" customFormat="1" ht="13.5" customHeight="1">
      <c r="A201" s="117"/>
      <c r="B201" s="47"/>
      <c r="C201" s="76"/>
      <c r="D201" s="76"/>
      <c r="E201" s="76"/>
      <c r="F201" s="104"/>
      <c r="G201" s="76"/>
      <c r="H201" s="83"/>
      <c r="I201" s="103"/>
      <c r="J201" s="76"/>
      <c r="K201" s="104"/>
      <c r="L201" s="104"/>
      <c r="M201" s="174">
        <f>IF(Tabelle132456[[#This Row],[Pulled after Start]]="",MIN(Tabelle132456[[#This Row],[Jira Story Points]],Tabelle132456[[#This Row],[Carry-over]]),0)</f>
        <v>0</v>
      </c>
      <c r="N201" s="173">
        <f>MIN(Tabelle132456[[#This Row],[Jira Story Points]],Tabelle132456[[#This Row],[Carry-over]])-Tabelle132456[[#This Row],[SP Initially Planned (COS)]]</f>
        <v>0</v>
      </c>
      <c r="O20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01" s="173">
        <f>IFERROR(IF(Tabelle132456[[#This Row],[Status]]=$I$5,MIN(Tabelle132456[[#This Row],[Jira Story Points]],Tabelle132456[[#This Row],[Carry-over]]),0),0)</f>
        <v>0</v>
      </c>
      <c r="Q201" s="173">
        <f>IFERROR(IF(Tabelle132456[[#This Row],[Status]]=$I$5,0,MIN(Tabelle132456[[#This Row],[Jira Story Points]],Tabelle132456[[#This Row],[Carry-over]])-Tabelle132456[[#This Row],[SP Completed (COS &amp; SOS)]]),0)</f>
        <v>0</v>
      </c>
    </row>
    <row r="202" spans="1:17" s="46" customFormat="1" ht="13.5" customHeight="1">
      <c r="A202" s="117"/>
      <c r="B202" s="47"/>
      <c r="C202" s="76"/>
      <c r="D202" s="76"/>
      <c r="E202" s="76"/>
      <c r="F202" s="104"/>
      <c r="G202" s="76"/>
      <c r="H202" s="83"/>
      <c r="I202" s="103"/>
      <c r="J202" s="76"/>
      <c r="K202" s="104"/>
      <c r="L202" s="104"/>
      <c r="M202" s="174">
        <f>IF(Tabelle132456[[#This Row],[Pulled after Start]]="",MIN(Tabelle132456[[#This Row],[Jira Story Points]],Tabelle132456[[#This Row],[Carry-over]]),0)</f>
        <v>0</v>
      </c>
      <c r="N202" s="173">
        <f>MIN(Tabelle132456[[#This Row],[Jira Story Points]],Tabelle132456[[#This Row],[Carry-over]])-Tabelle132456[[#This Row],[SP Initially Planned (COS)]]</f>
        <v>0</v>
      </c>
      <c r="O20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02" s="173">
        <f>IFERROR(IF(Tabelle132456[[#This Row],[Status]]=$I$5,MIN(Tabelle132456[[#This Row],[Jira Story Points]],Tabelle132456[[#This Row],[Carry-over]]),0),0)</f>
        <v>0</v>
      </c>
      <c r="Q202" s="173">
        <f>IFERROR(IF(Tabelle132456[[#This Row],[Status]]=$I$5,0,MIN(Tabelle132456[[#This Row],[Jira Story Points]],Tabelle132456[[#This Row],[Carry-over]])-Tabelle132456[[#This Row],[SP Completed (COS &amp; SOS)]]),0)</f>
        <v>0</v>
      </c>
    </row>
    <row r="203" spans="1:17" s="46" customFormat="1" ht="13.5" customHeight="1">
      <c r="A203" s="117"/>
      <c r="B203" s="47"/>
      <c r="C203" s="76"/>
      <c r="D203" s="76"/>
      <c r="E203" s="76"/>
      <c r="F203" s="104"/>
      <c r="G203" s="76"/>
      <c r="H203" s="83"/>
      <c r="I203" s="103"/>
      <c r="J203" s="76"/>
      <c r="K203" s="104"/>
      <c r="L203" s="104"/>
      <c r="M203" s="174">
        <f>IF(Tabelle132456[[#This Row],[Pulled after Start]]="",MIN(Tabelle132456[[#This Row],[Jira Story Points]],Tabelle132456[[#This Row],[Carry-over]]),0)</f>
        <v>0</v>
      </c>
      <c r="N203" s="173">
        <f>MIN(Tabelle132456[[#This Row],[Jira Story Points]],Tabelle132456[[#This Row],[Carry-over]])-Tabelle132456[[#This Row],[SP Initially Planned (COS)]]</f>
        <v>0</v>
      </c>
      <c r="O20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03" s="173">
        <f>IFERROR(IF(Tabelle132456[[#This Row],[Status]]=$I$5,MIN(Tabelle132456[[#This Row],[Jira Story Points]],Tabelle132456[[#This Row],[Carry-over]]),0),0)</f>
        <v>0</v>
      </c>
      <c r="Q203" s="173">
        <f>IFERROR(IF(Tabelle132456[[#This Row],[Status]]=$I$5,0,MIN(Tabelle132456[[#This Row],[Jira Story Points]],Tabelle132456[[#This Row],[Carry-over]])-Tabelle132456[[#This Row],[SP Completed (COS &amp; SOS)]]),0)</f>
        <v>0</v>
      </c>
    </row>
    <row r="204" spans="1:17" s="46" customFormat="1" ht="13.5" customHeight="1">
      <c r="A204" s="117"/>
      <c r="B204" s="47"/>
      <c r="C204" s="76"/>
      <c r="D204" s="76"/>
      <c r="E204" s="76"/>
      <c r="F204" s="104"/>
      <c r="G204" s="76"/>
      <c r="H204" s="83"/>
      <c r="I204" s="103"/>
      <c r="J204" s="76"/>
      <c r="K204" s="104"/>
      <c r="L204" s="104"/>
      <c r="M204" s="174">
        <f>IF(Tabelle132456[[#This Row],[Pulled after Start]]="",MIN(Tabelle132456[[#This Row],[Jira Story Points]],Tabelle132456[[#This Row],[Carry-over]]),0)</f>
        <v>0</v>
      </c>
      <c r="N204" s="173">
        <f>MIN(Tabelle132456[[#This Row],[Jira Story Points]],Tabelle132456[[#This Row],[Carry-over]])-Tabelle132456[[#This Row],[SP Initially Planned (COS)]]</f>
        <v>0</v>
      </c>
      <c r="O20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04" s="173">
        <f>IFERROR(IF(Tabelle132456[[#This Row],[Status]]=$I$5,MIN(Tabelle132456[[#This Row],[Jira Story Points]],Tabelle132456[[#This Row],[Carry-over]]),0),0)</f>
        <v>0</v>
      </c>
      <c r="Q204" s="173">
        <f>IFERROR(IF(Tabelle132456[[#This Row],[Status]]=$I$5,0,MIN(Tabelle132456[[#This Row],[Jira Story Points]],Tabelle132456[[#This Row],[Carry-over]])-Tabelle132456[[#This Row],[SP Completed (COS &amp; SOS)]]),0)</f>
        <v>0</v>
      </c>
    </row>
    <row r="205" spans="1:17" s="46" customFormat="1" ht="13.5" customHeight="1">
      <c r="A205" s="117"/>
      <c r="B205" s="47"/>
      <c r="C205" s="76"/>
      <c r="D205" s="76"/>
      <c r="E205" s="76"/>
      <c r="F205" s="104"/>
      <c r="G205" s="76"/>
      <c r="H205" s="83"/>
      <c r="I205" s="103"/>
      <c r="J205" s="76"/>
      <c r="K205" s="104"/>
      <c r="L205" s="104"/>
      <c r="M205" s="174">
        <f>IF(Tabelle132456[[#This Row],[Pulled after Start]]="",MIN(Tabelle132456[[#This Row],[Jira Story Points]],Tabelle132456[[#This Row],[Carry-over]]),0)</f>
        <v>0</v>
      </c>
      <c r="N205" s="173">
        <f>MIN(Tabelle132456[[#This Row],[Jira Story Points]],Tabelle132456[[#This Row],[Carry-over]])-Tabelle132456[[#This Row],[SP Initially Planned (COS)]]</f>
        <v>0</v>
      </c>
      <c r="O20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05" s="173">
        <f>IFERROR(IF(Tabelle132456[[#This Row],[Status]]=$I$5,MIN(Tabelle132456[[#This Row],[Jira Story Points]],Tabelle132456[[#This Row],[Carry-over]]),0),0)</f>
        <v>0</v>
      </c>
      <c r="Q205" s="173">
        <f>IFERROR(IF(Tabelle132456[[#This Row],[Status]]=$I$5,0,MIN(Tabelle132456[[#This Row],[Jira Story Points]],Tabelle132456[[#This Row],[Carry-over]])-Tabelle132456[[#This Row],[SP Completed (COS &amp; SOS)]]),0)</f>
        <v>0</v>
      </c>
    </row>
    <row r="206" spans="1:17" s="46" customFormat="1" ht="13.5" customHeight="1">
      <c r="A206" s="117"/>
      <c r="B206" s="47"/>
      <c r="C206" s="76"/>
      <c r="D206" s="76"/>
      <c r="E206" s="76"/>
      <c r="F206" s="104"/>
      <c r="G206" s="76"/>
      <c r="H206" s="83"/>
      <c r="I206" s="103"/>
      <c r="J206" s="76"/>
      <c r="K206" s="104"/>
      <c r="L206" s="104"/>
      <c r="M206" s="174">
        <f>IF(Tabelle132456[[#This Row],[Pulled after Start]]="",MIN(Tabelle132456[[#This Row],[Jira Story Points]],Tabelle132456[[#This Row],[Carry-over]]),0)</f>
        <v>0</v>
      </c>
      <c r="N206" s="173">
        <f>MIN(Tabelle132456[[#This Row],[Jira Story Points]],Tabelle132456[[#This Row],[Carry-over]])-Tabelle132456[[#This Row],[SP Initially Planned (COS)]]</f>
        <v>0</v>
      </c>
      <c r="O20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06" s="173">
        <f>IFERROR(IF(Tabelle132456[[#This Row],[Status]]=$I$5,MIN(Tabelle132456[[#This Row],[Jira Story Points]],Tabelle132456[[#This Row],[Carry-over]]),0),0)</f>
        <v>0</v>
      </c>
      <c r="Q206" s="173">
        <f>IFERROR(IF(Tabelle132456[[#This Row],[Status]]=$I$5,0,MIN(Tabelle132456[[#This Row],[Jira Story Points]],Tabelle132456[[#This Row],[Carry-over]])-Tabelle132456[[#This Row],[SP Completed (COS &amp; SOS)]]),0)</f>
        <v>0</v>
      </c>
    </row>
    <row r="207" spans="1:17" s="46" customFormat="1" ht="13.5" customHeight="1">
      <c r="A207" s="117"/>
      <c r="B207" s="47"/>
      <c r="C207" s="76"/>
      <c r="D207" s="76"/>
      <c r="E207" s="76"/>
      <c r="F207" s="104"/>
      <c r="G207" s="76"/>
      <c r="H207" s="83"/>
      <c r="I207" s="103"/>
      <c r="J207" s="76"/>
      <c r="K207" s="104"/>
      <c r="L207" s="104"/>
      <c r="M207" s="174">
        <f>IF(Tabelle132456[[#This Row],[Pulled after Start]]="",MIN(Tabelle132456[[#This Row],[Jira Story Points]],Tabelle132456[[#This Row],[Carry-over]]),0)</f>
        <v>0</v>
      </c>
      <c r="N207" s="173">
        <f>MIN(Tabelle132456[[#This Row],[Jira Story Points]],Tabelle132456[[#This Row],[Carry-over]])-Tabelle132456[[#This Row],[SP Initially Planned (COS)]]</f>
        <v>0</v>
      </c>
      <c r="O20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07" s="173">
        <f>IFERROR(IF(Tabelle132456[[#This Row],[Status]]=$I$5,MIN(Tabelle132456[[#This Row],[Jira Story Points]],Tabelle132456[[#This Row],[Carry-over]]),0),0)</f>
        <v>0</v>
      </c>
      <c r="Q207" s="173">
        <f>IFERROR(IF(Tabelle132456[[#This Row],[Status]]=$I$5,0,MIN(Tabelle132456[[#This Row],[Jira Story Points]],Tabelle132456[[#This Row],[Carry-over]])-Tabelle132456[[#This Row],[SP Completed (COS &amp; SOS)]]),0)</f>
        <v>0</v>
      </c>
    </row>
    <row r="208" spans="1:17" s="46" customFormat="1" ht="13.5" customHeight="1">
      <c r="A208" s="117"/>
      <c r="B208" s="47"/>
      <c r="C208" s="76"/>
      <c r="D208" s="76"/>
      <c r="E208" s="76"/>
      <c r="F208" s="104"/>
      <c r="G208" s="76"/>
      <c r="H208" s="83"/>
      <c r="I208" s="103"/>
      <c r="J208" s="76"/>
      <c r="K208" s="104"/>
      <c r="L208" s="104"/>
      <c r="M208" s="174">
        <f>IF(Tabelle132456[[#This Row],[Pulled after Start]]="",MIN(Tabelle132456[[#This Row],[Jira Story Points]],Tabelle132456[[#This Row],[Carry-over]]),0)</f>
        <v>0</v>
      </c>
      <c r="N208" s="173">
        <f>MIN(Tabelle132456[[#This Row],[Jira Story Points]],Tabelle132456[[#This Row],[Carry-over]])-Tabelle132456[[#This Row],[SP Initially Planned (COS)]]</f>
        <v>0</v>
      </c>
      <c r="O20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08" s="173">
        <f>IFERROR(IF(Tabelle132456[[#This Row],[Status]]=$I$5,MIN(Tabelle132456[[#This Row],[Jira Story Points]],Tabelle132456[[#This Row],[Carry-over]]),0),0)</f>
        <v>0</v>
      </c>
      <c r="Q208" s="173">
        <f>IFERROR(IF(Tabelle132456[[#This Row],[Status]]=$I$5,0,MIN(Tabelle132456[[#This Row],[Jira Story Points]],Tabelle132456[[#This Row],[Carry-over]])-Tabelle132456[[#This Row],[SP Completed (COS &amp; SOS)]]),0)</f>
        <v>0</v>
      </c>
    </row>
    <row r="209" spans="1:17" s="46" customFormat="1" ht="13.5" customHeight="1">
      <c r="A209" s="117"/>
      <c r="B209" s="47"/>
      <c r="C209" s="76"/>
      <c r="D209" s="76"/>
      <c r="E209" s="76"/>
      <c r="F209" s="104"/>
      <c r="G209" s="76"/>
      <c r="H209" s="83"/>
      <c r="I209" s="103"/>
      <c r="J209" s="76"/>
      <c r="K209" s="104"/>
      <c r="L209" s="104"/>
      <c r="M209" s="174">
        <f>IF(Tabelle132456[[#This Row],[Pulled after Start]]="",MIN(Tabelle132456[[#This Row],[Jira Story Points]],Tabelle132456[[#This Row],[Carry-over]]),0)</f>
        <v>0</v>
      </c>
      <c r="N209" s="173">
        <f>MIN(Tabelle132456[[#This Row],[Jira Story Points]],Tabelle132456[[#This Row],[Carry-over]])-Tabelle132456[[#This Row],[SP Initially Planned (COS)]]</f>
        <v>0</v>
      </c>
      <c r="O20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09" s="173">
        <f>IFERROR(IF(Tabelle132456[[#This Row],[Status]]=$I$5,MIN(Tabelle132456[[#This Row],[Jira Story Points]],Tabelle132456[[#This Row],[Carry-over]]),0),0)</f>
        <v>0</v>
      </c>
      <c r="Q209" s="173">
        <f>IFERROR(IF(Tabelle132456[[#This Row],[Status]]=$I$5,0,MIN(Tabelle132456[[#This Row],[Jira Story Points]],Tabelle132456[[#This Row],[Carry-over]])-Tabelle132456[[#This Row],[SP Completed (COS &amp; SOS)]]),0)</f>
        <v>0</v>
      </c>
    </row>
    <row r="210" spans="1:17" s="46" customFormat="1" ht="13.5" customHeight="1">
      <c r="A210" s="117"/>
      <c r="B210" s="47"/>
      <c r="C210" s="76"/>
      <c r="D210" s="76"/>
      <c r="E210" s="76"/>
      <c r="F210" s="104"/>
      <c r="G210" s="76"/>
      <c r="H210" s="83"/>
      <c r="I210" s="103"/>
      <c r="J210" s="76"/>
      <c r="K210" s="104"/>
      <c r="L210" s="104"/>
      <c r="M210" s="174">
        <f>IF(Tabelle132456[[#This Row],[Pulled after Start]]="",MIN(Tabelle132456[[#This Row],[Jira Story Points]],Tabelle132456[[#This Row],[Carry-over]]),0)</f>
        <v>0</v>
      </c>
      <c r="N210" s="173">
        <f>MIN(Tabelle132456[[#This Row],[Jira Story Points]],Tabelle132456[[#This Row],[Carry-over]])-Tabelle132456[[#This Row],[SP Initially Planned (COS)]]</f>
        <v>0</v>
      </c>
      <c r="O21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10" s="173">
        <f>IFERROR(IF(Tabelle132456[[#This Row],[Status]]=$I$5,MIN(Tabelle132456[[#This Row],[Jira Story Points]],Tabelle132456[[#This Row],[Carry-over]]),0),0)</f>
        <v>0</v>
      </c>
      <c r="Q210" s="173">
        <f>IFERROR(IF(Tabelle132456[[#This Row],[Status]]=$I$5,0,MIN(Tabelle132456[[#This Row],[Jira Story Points]],Tabelle132456[[#This Row],[Carry-over]])-Tabelle132456[[#This Row],[SP Completed (COS &amp; SOS)]]),0)</f>
        <v>0</v>
      </c>
    </row>
    <row r="211" spans="1:17" s="46" customFormat="1" ht="13.5" customHeight="1">
      <c r="A211" s="117"/>
      <c r="B211" s="47"/>
      <c r="C211" s="76"/>
      <c r="D211" s="76"/>
      <c r="E211" s="76"/>
      <c r="F211" s="104"/>
      <c r="G211" s="76"/>
      <c r="H211" s="83"/>
      <c r="I211" s="103"/>
      <c r="J211" s="76"/>
      <c r="K211" s="104"/>
      <c r="L211" s="104"/>
      <c r="M211" s="174">
        <f>IF(Tabelle132456[[#This Row],[Pulled after Start]]="",MIN(Tabelle132456[[#This Row],[Jira Story Points]],Tabelle132456[[#This Row],[Carry-over]]),0)</f>
        <v>0</v>
      </c>
      <c r="N211" s="173">
        <f>MIN(Tabelle132456[[#This Row],[Jira Story Points]],Tabelle132456[[#This Row],[Carry-over]])-Tabelle132456[[#This Row],[SP Initially Planned (COS)]]</f>
        <v>0</v>
      </c>
      <c r="O21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11" s="173">
        <f>IFERROR(IF(Tabelle132456[[#This Row],[Status]]=$I$5,MIN(Tabelle132456[[#This Row],[Jira Story Points]],Tabelle132456[[#This Row],[Carry-over]]),0),0)</f>
        <v>0</v>
      </c>
      <c r="Q211" s="173">
        <f>IFERROR(IF(Tabelle132456[[#This Row],[Status]]=$I$5,0,MIN(Tabelle132456[[#This Row],[Jira Story Points]],Tabelle132456[[#This Row],[Carry-over]])-Tabelle132456[[#This Row],[SP Completed (COS &amp; SOS)]]),0)</f>
        <v>0</v>
      </c>
    </row>
    <row r="212" spans="1:17" s="46" customFormat="1" ht="13.5" customHeight="1">
      <c r="A212" s="117"/>
      <c r="B212" s="47"/>
      <c r="C212" s="76"/>
      <c r="D212" s="76"/>
      <c r="E212" s="76"/>
      <c r="F212" s="104"/>
      <c r="G212" s="76"/>
      <c r="H212" s="83"/>
      <c r="I212" s="103"/>
      <c r="J212" s="76"/>
      <c r="K212" s="104"/>
      <c r="L212" s="104"/>
      <c r="M212" s="174">
        <f>IF(Tabelle132456[[#This Row],[Pulled after Start]]="",MIN(Tabelle132456[[#This Row],[Jira Story Points]],Tabelle132456[[#This Row],[Carry-over]]),0)</f>
        <v>0</v>
      </c>
      <c r="N212" s="173">
        <f>MIN(Tabelle132456[[#This Row],[Jira Story Points]],Tabelle132456[[#This Row],[Carry-over]])-Tabelle132456[[#This Row],[SP Initially Planned (COS)]]</f>
        <v>0</v>
      </c>
      <c r="O21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12" s="173">
        <f>IFERROR(IF(Tabelle132456[[#This Row],[Status]]=$I$5,MIN(Tabelle132456[[#This Row],[Jira Story Points]],Tabelle132456[[#This Row],[Carry-over]]),0),0)</f>
        <v>0</v>
      </c>
      <c r="Q212" s="173">
        <f>IFERROR(IF(Tabelle132456[[#This Row],[Status]]=$I$5,0,MIN(Tabelle132456[[#This Row],[Jira Story Points]],Tabelle132456[[#This Row],[Carry-over]])-Tabelle132456[[#This Row],[SP Completed (COS &amp; SOS)]]),0)</f>
        <v>0</v>
      </c>
    </row>
    <row r="213" spans="1:17" s="46" customFormat="1" ht="13.5" customHeight="1">
      <c r="A213" s="117"/>
      <c r="B213" s="47"/>
      <c r="C213" s="76"/>
      <c r="D213" s="76"/>
      <c r="E213" s="76"/>
      <c r="F213" s="104"/>
      <c r="G213" s="76"/>
      <c r="H213" s="83"/>
      <c r="I213" s="103"/>
      <c r="J213" s="76"/>
      <c r="K213" s="104"/>
      <c r="L213" s="104"/>
      <c r="M213" s="174">
        <f>IF(Tabelle132456[[#This Row],[Pulled after Start]]="",MIN(Tabelle132456[[#This Row],[Jira Story Points]],Tabelle132456[[#This Row],[Carry-over]]),0)</f>
        <v>0</v>
      </c>
      <c r="N213" s="173">
        <f>MIN(Tabelle132456[[#This Row],[Jira Story Points]],Tabelle132456[[#This Row],[Carry-over]])-Tabelle132456[[#This Row],[SP Initially Planned (COS)]]</f>
        <v>0</v>
      </c>
      <c r="O21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13" s="173">
        <f>IFERROR(IF(Tabelle132456[[#This Row],[Status]]=$I$5,MIN(Tabelle132456[[#This Row],[Jira Story Points]],Tabelle132456[[#This Row],[Carry-over]]),0),0)</f>
        <v>0</v>
      </c>
      <c r="Q213" s="173">
        <f>IFERROR(IF(Tabelle132456[[#This Row],[Status]]=$I$5,0,MIN(Tabelle132456[[#This Row],[Jira Story Points]],Tabelle132456[[#This Row],[Carry-over]])-Tabelle132456[[#This Row],[SP Completed (COS &amp; SOS)]]),0)</f>
        <v>0</v>
      </c>
    </row>
    <row r="214" spans="1:17" s="46" customFormat="1" ht="13.5" customHeight="1">
      <c r="A214" s="117"/>
      <c r="B214" s="47"/>
      <c r="C214" s="76"/>
      <c r="D214" s="76"/>
      <c r="E214" s="76"/>
      <c r="F214" s="104"/>
      <c r="G214" s="76"/>
      <c r="H214" s="83"/>
      <c r="I214" s="103"/>
      <c r="J214" s="76"/>
      <c r="K214" s="104"/>
      <c r="L214" s="104"/>
      <c r="M214" s="174">
        <f>IF(Tabelle132456[[#This Row],[Pulled after Start]]="",MIN(Tabelle132456[[#This Row],[Jira Story Points]],Tabelle132456[[#This Row],[Carry-over]]),0)</f>
        <v>0</v>
      </c>
      <c r="N214" s="173">
        <f>MIN(Tabelle132456[[#This Row],[Jira Story Points]],Tabelle132456[[#This Row],[Carry-over]])-Tabelle132456[[#This Row],[SP Initially Planned (COS)]]</f>
        <v>0</v>
      </c>
      <c r="O21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14" s="173">
        <f>IFERROR(IF(Tabelle132456[[#This Row],[Status]]=$I$5,MIN(Tabelle132456[[#This Row],[Jira Story Points]],Tabelle132456[[#This Row],[Carry-over]]),0),0)</f>
        <v>0</v>
      </c>
      <c r="Q214" s="173">
        <f>IFERROR(IF(Tabelle132456[[#This Row],[Status]]=$I$5,0,MIN(Tabelle132456[[#This Row],[Jira Story Points]],Tabelle132456[[#This Row],[Carry-over]])-Tabelle132456[[#This Row],[SP Completed (COS &amp; SOS)]]),0)</f>
        <v>0</v>
      </c>
    </row>
    <row r="215" spans="1:17" s="46" customFormat="1" ht="13.5" customHeight="1">
      <c r="A215" s="117"/>
      <c r="B215" s="47"/>
      <c r="C215" s="76"/>
      <c r="D215" s="76"/>
      <c r="E215" s="76"/>
      <c r="F215" s="104"/>
      <c r="G215" s="76"/>
      <c r="H215" s="83"/>
      <c r="I215" s="103"/>
      <c r="J215" s="76"/>
      <c r="K215" s="104"/>
      <c r="L215" s="104"/>
      <c r="M215" s="174">
        <f>IF(Tabelle132456[[#This Row],[Pulled after Start]]="",MIN(Tabelle132456[[#This Row],[Jira Story Points]],Tabelle132456[[#This Row],[Carry-over]]),0)</f>
        <v>0</v>
      </c>
      <c r="N215" s="173">
        <f>MIN(Tabelle132456[[#This Row],[Jira Story Points]],Tabelle132456[[#This Row],[Carry-over]])-Tabelle132456[[#This Row],[SP Initially Planned (COS)]]</f>
        <v>0</v>
      </c>
      <c r="O21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15" s="173">
        <f>IFERROR(IF(Tabelle132456[[#This Row],[Status]]=$I$5,MIN(Tabelle132456[[#This Row],[Jira Story Points]],Tabelle132456[[#This Row],[Carry-over]]),0),0)</f>
        <v>0</v>
      </c>
      <c r="Q215" s="173">
        <f>IFERROR(IF(Tabelle132456[[#This Row],[Status]]=$I$5,0,MIN(Tabelle132456[[#This Row],[Jira Story Points]],Tabelle132456[[#This Row],[Carry-over]])-Tabelle132456[[#This Row],[SP Completed (COS &amp; SOS)]]),0)</f>
        <v>0</v>
      </c>
    </row>
    <row r="216" spans="1:17" s="46" customFormat="1" ht="13.5" customHeight="1">
      <c r="A216" s="117"/>
      <c r="B216" s="47"/>
      <c r="C216" s="76"/>
      <c r="D216" s="76"/>
      <c r="E216" s="76"/>
      <c r="F216" s="104"/>
      <c r="G216" s="76"/>
      <c r="H216" s="83"/>
      <c r="I216" s="103"/>
      <c r="J216" s="76"/>
      <c r="K216" s="104"/>
      <c r="L216" s="104"/>
      <c r="M216" s="174">
        <f>IF(Tabelle132456[[#This Row],[Pulled after Start]]="",MIN(Tabelle132456[[#This Row],[Jira Story Points]],Tabelle132456[[#This Row],[Carry-over]]),0)</f>
        <v>0</v>
      </c>
      <c r="N216" s="173">
        <f>MIN(Tabelle132456[[#This Row],[Jira Story Points]],Tabelle132456[[#This Row],[Carry-over]])-Tabelle132456[[#This Row],[SP Initially Planned (COS)]]</f>
        <v>0</v>
      </c>
      <c r="O21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16" s="173">
        <f>IFERROR(IF(Tabelle132456[[#This Row],[Status]]=$I$5,MIN(Tabelle132456[[#This Row],[Jira Story Points]],Tabelle132456[[#This Row],[Carry-over]]),0),0)</f>
        <v>0</v>
      </c>
      <c r="Q216" s="173">
        <f>IFERROR(IF(Tabelle132456[[#This Row],[Status]]=$I$5,0,MIN(Tabelle132456[[#This Row],[Jira Story Points]],Tabelle132456[[#This Row],[Carry-over]])-Tabelle132456[[#This Row],[SP Completed (COS &amp; SOS)]]),0)</f>
        <v>0</v>
      </c>
    </row>
    <row r="217" spans="1:17" s="46" customFormat="1" ht="13.5" customHeight="1">
      <c r="A217" s="117"/>
      <c r="B217" s="47"/>
      <c r="C217" s="76"/>
      <c r="D217" s="76"/>
      <c r="E217" s="76"/>
      <c r="F217" s="104"/>
      <c r="G217" s="76"/>
      <c r="H217" s="83"/>
      <c r="I217" s="103"/>
      <c r="J217" s="76"/>
      <c r="K217" s="104"/>
      <c r="L217" s="104"/>
      <c r="M217" s="174">
        <f>IF(Tabelle132456[[#This Row],[Pulled after Start]]="",MIN(Tabelle132456[[#This Row],[Jira Story Points]],Tabelle132456[[#This Row],[Carry-over]]),0)</f>
        <v>0</v>
      </c>
      <c r="N217" s="173">
        <f>MIN(Tabelle132456[[#This Row],[Jira Story Points]],Tabelle132456[[#This Row],[Carry-over]])-Tabelle132456[[#This Row],[SP Initially Planned (COS)]]</f>
        <v>0</v>
      </c>
      <c r="O21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17" s="173">
        <f>IFERROR(IF(Tabelle132456[[#This Row],[Status]]=$I$5,MIN(Tabelle132456[[#This Row],[Jira Story Points]],Tabelle132456[[#This Row],[Carry-over]]),0),0)</f>
        <v>0</v>
      </c>
      <c r="Q217" s="173">
        <f>IFERROR(IF(Tabelle132456[[#This Row],[Status]]=$I$5,0,MIN(Tabelle132456[[#This Row],[Jira Story Points]],Tabelle132456[[#This Row],[Carry-over]])-Tabelle132456[[#This Row],[SP Completed (COS &amp; SOS)]]),0)</f>
        <v>0</v>
      </c>
    </row>
    <row r="218" spans="1:17" s="46" customFormat="1" ht="13.5" customHeight="1">
      <c r="A218" s="117"/>
      <c r="B218" s="47"/>
      <c r="C218" s="76"/>
      <c r="D218" s="76"/>
      <c r="E218" s="76"/>
      <c r="F218" s="104"/>
      <c r="G218" s="76"/>
      <c r="H218" s="83"/>
      <c r="I218" s="103"/>
      <c r="J218" s="76"/>
      <c r="K218" s="104"/>
      <c r="L218" s="104"/>
      <c r="M218" s="174">
        <f>IF(Tabelle132456[[#This Row],[Pulled after Start]]="",MIN(Tabelle132456[[#This Row],[Jira Story Points]],Tabelle132456[[#This Row],[Carry-over]]),0)</f>
        <v>0</v>
      </c>
      <c r="N218" s="173">
        <f>MIN(Tabelle132456[[#This Row],[Jira Story Points]],Tabelle132456[[#This Row],[Carry-over]])-Tabelle132456[[#This Row],[SP Initially Planned (COS)]]</f>
        <v>0</v>
      </c>
      <c r="O21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18" s="173">
        <f>IFERROR(IF(Tabelle132456[[#This Row],[Status]]=$I$5,MIN(Tabelle132456[[#This Row],[Jira Story Points]],Tabelle132456[[#This Row],[Carry-over]]),0),0)</f>
        <v>0</v>
      </c>
      <c r="Q218" s="173">
        <f>IFERROR(IF(Tabelle132456[[#This Row],[Status]]=$I$5,0,MIN(Tabelle132456[[#This Row],[Jira Story Points]],Tabelle132456[[#This Row],[Carry-over]])-Tabelle132456[[#This Row],[SP Completed (COS &amp; SOS)]]),0)</f>
        <v>0</v>
      </c>
    </row>
    <row r="219" spans="1:17" s="46" customFormat="1" ht="13.5" customHeight="1">
      <c r="A219" s="117"/>
      <c r="B219" s="47"/>
      <c r="C219" s="76"/>
      <c r="D219" s="76"/>
      <c r="E219" s="76"/>
      <c r="F219" s="104"/>
      <c r="G219" s="76"/>
      <c r="H219" s="83"/>
      <c r="I219" s="103"/>
      <c r="J219" s="76"/>
      <c r="K219" s="104"/>
      <c r="L219" s="104"/>
      <c r="M219" s="174">
        <f>IF(Tabelle132456[[#This Row],[Pulled after Start]]="",MIN(Tabelle132456[[#This Row],[Jira Story Points]],Tabelle132456[[#This Row],[Carry-over]]),0)</f>
        <v>0</v>
      </c>
      <c r="N219" s="173">
        <f>MIN(Tabelle132456[[#This Row],[Jira Story Points]],Tabelle132456[[#This Row],[Carry-over]])-Tabelle132456[[#This Row],[SP Initially Planned (COS)]]</f>
        <v>0</v>
      </c>
      <c r="O21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19" s="173">
        <f>IFERROR(IF(Tabelle132456[[#This Row],[Status]]=$I$5,MIN(Tabelle132456[[#This Row],[Jira Story Points]],Tabelle132456[[#This Row],[Carry-over]]),0),0)</f>
        <v>0</v>
      </c>
      <c r="Q219" s="173">
        <f>IFERROR(IF(Tabelle132456[[#This Row],[Status]]=$I$5,0,MIN(Tabelle132456[[#This Row],[Jira Story Points]],Tabelle132456[[#This Row],[Carry-over]])-Tabelle132456[[#This Row],[SP Completed (COS &amp; SOS)]]),0)</f>
        <v>0</v>
      </c>
    </row>
    <row r="220" spans="1:17" s="46" customFormat="1" ht="13.5" customHeight="1">
      <c r="A220" s="117"/>
      <c r="B220" s="47"/>
      <c r="C220" s="76"/>
      <c r="D220" s="76"/>
      <c r="E220" s="76"/>
      <c r="F220" s="104"/>
      <c r="G220" s="76"/>
      <c r="H220" s="83"/>
      <c r="I220" s="103"/>
      <c r="J220" s="76"/>
      <c r="K220" s="104"/>
      <c r="L220" s="104"/>
      <c r="M220" s="174">
        <f>IF(Tabelle132456[[#This Row],[Pulled after Start]]="",MIN(Tabelle132456[[#This Row],[Jira Story Points]],Tabelle132456[[#This Row],[Carry-over]]),0)</f>
        <v>0</v>
      </c>
      <c r="N220" s="173">
        <f>MIN(Tabelle132456[[#This Row],[Jira Story Points]],Tabelle132456[[#This Row],[Carry-over]])-Tabelle132456[[#This Row],[SP Initially Planned (COS)]]</f>
        <v>0</v>
      </c>
      <c r="O22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20" s="173">
        <f>IFERROR(IF(Tabelle132456[[#This Row],[Status]]=$I$5,MIN(Tabelle132456[[#This Row],[Jira Story Points]],Tabelle132456[[#This Row],[Carry-over]]),0),0)</f>
        <v>0</v>
      </c>
      <c r="Q220" s="173">
        <f>IFERROR(IF(Tabelle132456[[#This Row],[Status]]=$I$5,0,MIN(Tabelle132456[[#This Row],[Jira Story Points]],Tabelle132456[[#This Row],[Carry-over]])-Tabelle132456[[#This Row],[SP Completed (COS &amp; SOS)]]),0)</f>
        <v>0</v>
      </c>
    </row>
    <row r="221" spans="1:17" s="46" customFormat="1" ht="13.5" customHeight="1">
      <c r="A221" s="117"/>
      <c r="B221" s="47"/>
      <c r="C221" s="76"/>
      <c r="D221" s="76"/>
      <c r="E221" s="76"/>
      <c r="F221" s="104"/>
      <c r="G221" s="76"/>
      <c r="H221" s="83"/>
      <c r="I221" s="103"/>
      <c r="J221" s="76"/>
      <c r="K221" s="104"/>
      <c r="L221" s="104"/>
      <c r="M221" s="174">
        <f>IF(Tabelle132456[[#This Row],[Pulled after Start]]="",MIN(Tabelle132456[[#This Row],[Jira Story Points]],Tabelle132456[[#This Row],[Carry-over]]),0)</f>
        <v>0</v>
      </c>
      <c r="N221" s="173">
        <f>MIN(Tabelle132456[[#This Row],[Jira Story Points]],Tabelle132456[[#This Row],[Carry-over]])-Tabelle132456[[#This Row],[SP Initially Planned (COS)]]</f>
        <v>0</v>
      </c>
      <c r="O22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21" s="173">
        <f>IFERROR(IF(Tabelle132456[[#This Row],[Status]]=$I$5,MIN(Tabelle132456[[#This Row],[Jira Story Points]],Tabelle132456[[#This Row],[Carry-over]]),0),0)</f>
        <v>0</v>
      </c>
      <c r="Q221" s="173">
        <f>IFERROR(IF(Tabelle132456[[#This Row],[Status]]=$I$5,0,MIN(Tabelle132456[[#This Row],[Jira Story Points]],Tabelle132456[[#This Row],[Carry-over]])-Tabelle132456[[#This Row],[SP Completed (COS &amp; SOS)]]),0)</f>
        <v>0</v>
      </c>
    </row>
    <row r="222" spans="1:17" s="46" customFormat="1" ht="13.5" customHeight="1">
      <c r="A222" s="117"/>
      <c r="B222" s="47"/>
      <c r="C222" s="76"/>
      <c r="D222" s="76"/>
      <c r="E222" s="76"/>
      <c r="F222" s="104"/>
      <c r="G222" s="76"/>
      <c r="H222" s="83"/>
      <c r="I222" s="103"/>
      <c r="J222" s="76"/>
      <c r="K222" s="104"/>
      <c r="L222" s="104"/>
      <c r="M222" s="174">
        <f>IF(Tabelle132456[[#This Row],[Pulled after Start]]="",MIN(Tabelle132456[[#This Row],[Jira Story Points]],Tabelle132456[[#This Row],[Carry-over]]),0)</f>
        <v>0</v>
      </c>
      <c r="N222" s="173">
        <f>MIN(Tabelle132456[[#This Row],[Jira Story Points]],Tabelle132456[[#This Row],[Carry-over]])-Tabelle132456[[#This Row],[SP Initially Planned (COS)]]</f>
        <v>0</v>
      </c>
      <c r="O22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22" s="173">
        <f>IFERROR(IF(Tabelle132456[[#This Row],[Status]]=$I$5,MIN(Tabelle132456[[#This Row],[Jira Story Points]],Tabelle132456[[#This Row],[Carry-over]]),0),0)</f>
        <v>0</v>
      </c>
      <c r="Q222" s="173">
        <f>IFERROR(IF(Tabelle132456[[#This Row],[Status]]=$I$5,0,MIN(Tabelle132456[[#This Row],[Jira Story Points]],Tabelle132456[[#This Row],[Carry-over]])-Tabelle132456[[#This Row],[SP Completed (COS &amp; SOS)]]),0)</f>
        <v>0</v>
      </c>
    </row>
    <row r="223" spans="1:17" s="46" customFormat="1" ht="13.5" customHeight="1">
      <c r="A223" s="117"/>
      <c r="B223" s="47"/>
      <c r="C223" s="76"/>
      <c r="D223" s="76"/>
      <c r="E223" s="76"/>
      <c r="F223" s="104"/>
      <c r="G223" s="76"/>
      <c r="H223" s="83"/>
      <c r="I223" s="103"/>
      <c r="J223" s="76"/>
      <c r="K223" s="104"/>
      <c r="L223" s="104"/>
      <c r="M223" s="174">
        <f>IF(Tabelle132456[[#This Row],[Pulled after Start]]="",MIN(Tabelle132456[[#This Row],[Jira Story Points]],Tabelle132456[[#This Row],[Carry-over]]),0)</f>
        <v>0</v>
      </c>
      <c r="N223" s="173">
        <f>MIN(Tabelle132456[[#This Row],[Jira Story Points]],Tabelle132456[[#This Row],[Carry-over]])-Tabelle132456[[#This Row],[SP Initially Planned (COS)]]</f>
        <v>0</v>
      </c>
      <c r="O22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23" s="173">
        <f>IFERROR(IF(Tabelle132456[[#This Row],[Status]]=$I$5,MIN(Tabelle132456[[#This Row],[Jira Story Points]],Tabelle132456[[#This Row],[Carry-over]]),0),0)</f>
        <v>0</v>
      </c>
      <c r="Q223" s="173">
        <f>IFERROR(IF(Tabelle132456[[#This Row],[Status]]=$I$5,0,MIN(Tabelle132456[[#This Row],[Jira Story Points]],Tabelle132456[[#This Row],[Carry-over]])-Tabelle132456[[#This Row],[SP Completed (COS &amp; SOS)]]),0)</f>
        <v>0</v>
      </c>
    </row>
    <row r="224" spans="1:17" s="46" customFormat="1" ht="13.5" customHeight="1">
      <c r="A224" s="117"/>
      <c r="B224" s="47"/>
      <c r="C224" s="76"/>
      <c r="D224" s="76"/>
      <c r="E224" s="76"/>
      <c r="F224" s="104"/>
      <c r="G224" s="76"/>
      <c r="H224" s="83"/>
      <c r="I224" s="103"/>
      <c r="J224" s="76"/>
      <c r="K224" s="104"/>
      <c r="L224" s="104"/>
      <c r="M224" s="174">
        <f>IF(Tabelle132456[[#This Row],[Pulled after Start]]="",MIN(Tabelle132456[[#This Row],[Jira Story Points]],Tabelle132456[[#This Row],[Carry-over]]),0)</f>
        <v>0</v>
      </c>
      <c r="N224" s="173">
        <f>MIN(Tabelle132456[[#This Row],[Jira Story Points]],Tabelle132456[[#This Row],[Carry-over]])-Tabelle132456[[#This Row],[SP Initially Planned (COS)]]</f>
        <v>0</v>
      </c>
      <c r="O22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24" s="173">
        <f>IFERROR(IF(Tabelle132456[[#This Row],[Status]]=$I$5,MIN(Tabelle132456[[#This Row],[Jira Story Points]],Tabelle132456[[#This Row],[Carry-over]]),0),0)</f>
        <v>0</v>
      </c>
      <c r="Q224" s="173">
        <f>IFERROR(IF(Tabelle132456[[#This Row],[Status]]=$I$5,0,MIN(Tabelle132456[[#This Row],[Jira Story Points]],Tabelle132456[[#This Row],[Carry-over]])-Tabelle132456[[#This Row],[SP Completed (COS &amp; SOS)]]),0)</f>
        <v>0</v>
      </c>
    </row>
    <row r="225" spans="1:17" s="46" customFormat="1" ht="13.5" customHeight="1">
      <c r="A225" s="117"/>
      <c r="B225" s="47"/>
      <c r="C225" s="76"/>
      <c r="D225" s="76"/>
      <c r="E225" s="76"/>
      <c r="F225" s="104"/>
      <c r="G225" s="76"/>
      <c r="H225" s="83"/>
      <c r="I225" s="103"/>
      <c r="J225" s="76"/>
      <c r="K225" s="104"/>
      <c r="L225" s="104"/>
      <c r="M225" s="174">
        <f>IF(Tabelle132456[[#This Row],[Pulled after Start]]="",MIN(Tabelle132456[[#This Row],[Jira Story Points]],Tabelle132456[[#This Row],[Carry-over]]),0)</f>
        <v>0</v>
      </c>
      <c r="N225" s="173">
        <f>MIN(Tabelle132456[[#This Row],[Jira Story Points]],Tabelle132456[[#This Row],[Carry-over]])-Tabelle132456[[#This Row],[SP Initially Planned (COS)]]</f>
        <v>0</v>
      </c>
      <c r="O22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25" s="173">
        <f>IFERROR(IF(Tabelle132456[[#This Row],[Status]]=$I$5,MIN(Tabelle132456[[#This Row],[Jira Story Points]],Tabelle132456[[#This Row],[Carry-over]]),0),0)</f>
        <v>0</v>
      </c>
      <c r="Q225" s="173">
        <f>IFERROR(IF(Tabelle132456[[#This Row],[Status]]=$I$5,0,MIN(Tabelle132456[[#This Row],[Jira Story Points]],Tabelle132456[[#This Row],[Carry-over]])-Tabelle132456[[#This Row],[SP Completed (COS &amp; SOS)]]),0)</f>
        <v>0</v>
      </c>
    </row>
    <row r="226" spans="1:17" s="46" customFormat="1" ht="13.5" customHeight="1">
      <c r="A226" s="117"/>
      <c r="B226" s="47"/>
      <c r="C226" s="76"/>
      <c r="D226" s="76"/>
      <c r="E226" s="76"/>
      <c r="F226" s="104"/>
      <c r="G226" s="76"/>
      <c r="H226" s="83"/>
      <c r="I226" s="103"/>
      <c r="J226" s="76"/>
      <c r="K226" s="104"/>
      <c r="L226" s="104"/>
      <c r="M226" s="174">
        <f>IF(Tabelle132456[[#This Row],[Pulled after Start]]="",MIN(Tabelle132456[[#This Row],[Jira Story Points]],Tabelle132456[[#This Row],[Carry-over]]),0)</f>
        <v>0</v>
      </c>
      <c r="N226" s="173">
        <f>MIN(Tabelle132456[[#This Row],[Jira Story Points]],Tabelle132456[[#This Row],[Carry-over]])-Tabelle132456[[#This Row],[SP Initially Planned (COS)]]</f>
        <v>0</v>
      </c>
      <c r="O22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26" s="173">
        <f>IFERROR(IF(Tabelle132456[[#This Row],[Status]]=$I$5,MIN(Tabelle132456[[#This Row],[Jira Story Points]],Tabelle132456[[#This Row],[Carry-over]]),0),0)</f>
        <v>0</v>
      </c>
      <c r="Q226" s="173">
        <f>IFERROR(IF(Tabelle132456[[#This Row],[Status]]=$I$5,0,MIN(Tabelle132456[[#This Row],[Jira Story Points]],Tabelle132456[[#This Row],[Carry-over]])-Tabelle132456[[#This Row],[SP Completed (COS &amp; SOS)]]),0)</f>
        <v>0</v>
      </c>
    </row>
    <row r="227" spans="1:17" s="46" customFormat="1" ht="13.5" customHeight="1">
      <c r="A227" s="117"/>
      <c r="B227" s="47"/>
      <c r="C227" s="76"/>
      <c r="D227" s="76"/>
      <c r="E227" s="76"/>
      <c r="F227" s="104"/>
      <c r="G227" s="76"/>
      <c r="H227" s="83"/>
      <c r="I227" s="103"/>
      <c r="J227" s="76"/>
      <c r="K227" s="104"/>
      <c r="L227" s="104"/>
      <c r="M227" s="174">
        <f>IF(Tabelle132456[[#This Row],[Pulled after Start]]="",MIN(Tabelle132456[[#This Row],[Jira Story Points]],Tabelle132456[[#This Row],[Carry-over]]),0)</f>
        <v>0</v>
      </c>
      <c r="N227" s="173">
        <f>MIN(Tabelle132456[[#This Row],[Jira Story Points]],Tabelle132456[[#This Row],[Carry-over]])-Tabelle132456[[#This Row],[SP Initially Planned (COS)]]</f>
        <v>0</v>
      </c>
      <c r="O22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27" s="173">
        <f>IFERROR(IF(Tabelle132456[[#This Row],[Status]]=$I$5,MIN(Tabelle132456[[#This Row],[Jira Story Points]],Tabelle132456[[#This Row],[Carry-over]]),0),0)</f>
        <v>0</v>
      </c>
      <c r="Q227" s="173">
        <f>IFERROR(IF(Tabelle132456[[#This Row],[Status]]=$I$5,0,MIN(Tabelle132456[[#This Row],[Jira Story Points]],Tabelle132456[[#This Row],[Carry-over]])-Tabelle132456[[#This Row],[SP Completed (COS &amp; SOS)]]),0)</f>
        <v>0</v>
      </c>
    </row>
    <row r="228" spans="1:17" s="46" customFormat="1" ht="13.5" customHeight="1">
      <c r="A228" s="117"/>
      <c r="B228" s="47"/>
      <c r="C228" s="76"/>
      <c r="D228" s="76"/>
      <c r="E228" s="76"/>
      <c r="F228" s="104"/>
      <c r="G228" s="76"/>
      <c r="H228" s="83"/>
      <c r="I228" s="103"/>
      <c r="J228" s="76"/>
      <c r="K228" s="104"/>
      <c r="L228" s="104"/>
      <c r="M228" s="174">
        <f>IF(Tabelle132456[[#This Row],[Pulled after Start]]="",MIN(Tabelle132456[[#This Row],[Jira Story Points]],Tabelle132456[[#This Row],[Carry-over]]),0)</f>
        <v>0</v>
      </c>
      <c r="N228" s="173">
        <f>MIN(Tabelle132456[[#This Row],[Jira Story Points]],Tabelle132456[[#This Row],[Carry-over]])-Tabelle132456[[#This Row],[SP Initially Planned (COS)]]</f>
        <v>0</v>
      </c>
      <c r="O22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28" s="173">
        <f>IFERROR(IF(Tabelle132456[[#This Row],[Status]]=$I$5,MIN(Tabelle132456[[#This Row],[Jira Story Points]],Tabelle132456[[#This Row],[Carry-over]]),0),0)</f>
        <v>0</v>
      </c>
      <c r="Q228" s="173">
        <f>IFERROR(IF(Tabelle132456[[#This Row],[Status]]=$I$5,0,MIN(Tabelle132456[[#This Row],[Jira Story Points]],Tabelle132456[[#This Row],[Carry-over]])-Tabelle132456[[#This Row],[SP Completed (COS &amp; SOS)]]),0)</f>
        <v>0</v>
      </c>
    </row>
    <row r="229" spans="1:17" s="46" customFormat="1" ht="13.5" customHeight="1">
      <c r="A229" s="117"/>
      <c r="B229" s="47"/>
      <c r="C229" s="76"/>
      <c r="D229" s="76"/>
      <c r="E229" s="76"/>
      <c r="F229" s="104"/>
      <c r="G229" s="76"/>
      <c r="H229" s="83"/>
      <c r="I229" s="103"/>
      <c r="J229" s="76"/>
      <c r="K229" s="104"/>
      <c r="L229" s="104"/>
      <c r="M229" s="174">
        <f>IF(Tabelle132456[[#This Row],[Pulled after Start]]="",MIN(Tabelle132456[[#This Row],[Jira Story Points]],Tabelle132456[[#This Row],[Carry-over]]),0)</f>
        <v>0</v>
      </c>
      <c r="N229" s="173">
        <f>MIN(Tabelle132456[[#This Row],[Jira Story Points]],Tabelle132456[[#This Row],[Carry-over]])-Tabelle132456[[#This Row],[SP Initially Planned (COS)]]</f>
        <v>0</v>
      </c>
      <c r="O22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29" s="173">
        <f>IFERROR(IF(Tabelle132456[[#This Row],[Status]]=$I$5,MIN(Tabelle132456[[#This Row],[Jira Story Points]],Tabelle132456[[#This Row],[Carry-over]]),0),0)</f>
        <v>0</v>
      </c>
      <c r="Q229" s="173">
        <f>IFERROR(IF(Tabelle132456[[#This Row],[Status]]=$I$5,0,MIN(Tabelle132456[[#This Row],[Jira Story Points]],Tabelle132456[[#This Row],[Carry-over]])-Tabelle132456[[#This Row],[SP Completed (COS &amp; SOS)]]),0)</f>
        <v>0</v>
      </c>
    </row>
    <row r="230" spans="1:17" s="46" customFormat="1" ht="13.5" customHeight="1">
      <c r="A230" s="117"/>
      <c r="B230" s="47"/>
      <c r="C230" s="76"/>
      <c r="D230" s="76"/>
      <c r="E230" s="76"/>
      <c r="F230" s="104"/>
      <c r="G230" s="76"/>
      <c r="H230" s="83"/>
      <c r="I230" s="103"/>
      <c r="J230" s="76"/>
      <c r="K230" s="104"/>
      <c r="L230" s="104"/>
      <c r="M230" s="174">
        <f>IF(Tabelle132456[[#This Row],[Pulled after Start]]="",MIN(Tabelle132456[[#This Row],[Jira Story Points]],Tabelle132456[[#This Row],[Carry-over]]),0)</f>
        <v>0</v>
      </c>
      <c r="N230" s="173">
        <f>MIN(Tabelle132456[[#This Row],[Jira Story Points]],Tabelle132456[[#This Row],[Carry-over]])-Tabelle132456[[#This Row],[SP Initially Planned (COS)]]</f>
        <v>0</v>
      </c>
      <c r="O23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30" s="173">
        <f>IFERROR(IF(Tabelle132456[[#This Row],[Status]]=$I$5,MIN(Tabelle132456[[#This Row],[Jira Story Points]],Tabelle132456[[#This Row],[Carry-over]]),0),0)</f>
        <v>0</v>
      </c>
      <c r="Q230" s="173">
        <f>IFERROR(IF(Tabelle132456[[#This Row],[Status]]=$I$5,0,MIN(Tabelle132456[[#This Row],[Jira Story Points]],Tabelle132456[[#This Row],[Carry-over]])-Tabelle132456[[#This Row],[SP Completed (COS &amp; SOS)]]),0)</f>
        <v>0</v>
      </c>
    </row>
    <row r="231" spans="1:17" s="46" customFormat="1" ht="13.5" customHeight="1">
      <c r="A231" s="117"/>
      <c r="B231" s="47"/>
      <c r="C231" s="76"/>
      <c r="D231" s="76"/>
      <c r="E231" s="76"/>
      <c r="F231" s="104"/>
      <c r="G231" s="76"/>
      <c r="H231" s="83"/>
      <c r="I231" s="103"/>
      <c r="J231" s="76"/>
      <c r="K231" s="104"/>
      <c r="L231" s="104"/>
      <c r="M231" s="174">
        <f>IF(Tabelle132456[[#This Row],[Pulled after Start]]="",MIN(Tabelle132456[[#This Row],[Jira Story Points]],Tabelle132456[[#This Row],[Carry-over]]),0)</f>
        <v>0</v>
      </c>
      <c r="N231" s="173">
        <f>MIN(Tabelle132456[[#This Row],[Jira Story Points]],Tabelle132456[[#This Row],[Carry-over]])-Tabelle132456[[#This Row],[SP Initially Planned (COS)]]</f>
        <v>0</v>
      </c>
      <c r="O23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31" s="173">
        <f>IFERROR(IF(Tabelle132456[[#This Row],[Status]]=$I$5,MIN(Tabelle132456[[#This Row],[Jira Story Points]],Tabelle132456[[#This Row],[Carry-over]]),0),0)</f>
        <v>0</v>
      </c>
      <c r="Q231" s="173">
        <f>IFERROR(IF(Tabelle132456[[#This Row],[Status]]=$I$5,0,MIN(Tabelle132456[[#This Row],[Jira Story Points]],Tabelle132456[[#This Row],[Carry-over]])-Tabelle132456[[#This Row],[SP Completed (COS &amp; SOS)]]),0)</f>
        <v>0</v>
      </c>
    </row>
    <row r="232" spans="1:17" s="46" customFormat="1" ht="13.5" customHeight="1">
      <c r="A232" s="117"/>
      <c r="B232" s="47"/>
      <c r="C232" s="76"/>
      <c r="D232" s="76"/>
      <c r="E232" s="76"/>
      <c r="F232" s="104"/>
      <c r="G232" s="76"/>
      <c r="H232" s="83"/>
      <c r="I232" s="103"/>
      <c r="J232" s="76"/>
      <c r="K232" s="104"/>
      <c r="L232" s="104"/>
      <c r="M232" s="174">
        <f>IF(Tabelle132456[[#This Row],[Pulled after Start]]="",MIN(Tabelle132456[[#This Row],[Jira Story Points]],Tabelle132456[[#This Row],[Carry-over]]),0)</f>
        <v>0</v>
      </c>
      <c r="N232" s="173">
        <f>MIN(Tabelle132456[[#This Row],[Jira Story Points]],Tabelle132456[[#This Row],[Carry-over]])-Tabelle132456[[#This Row],[SP Initially Planned (COS)]]</f>
        <v>0</v>
      </c>
      <c r="O23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32" s="173">
        <f>IFERROR(IF(Tabelle132456[[#This Row],[Status]]=$I$5,MIN(Tabelle132456[[#This Row],[Jira Story Points]],Tabelle132456[[#This Row],[Carry-over]]),0),0)</f>
        <v>0</v>
      </c>
      <c r="Q232" s="173">
        <f>IFERROR(IF(Tabelle132456[[#This Row],[Status]]=$I$5,0,MIN(Tabelle132456[[#This Row],[Jira Story Points]],Tabelle132456[[#This Row],[Carry-over]])-Tabelle132456[[#This Row],[SP Completed (COS &amp; SOS)]]),0)</f>
        <v>0</v>
      </c>
    </row>
    <row r="233" spans="1:17" s="46" customFormat="1" ht="13.5" customHeight="1">
      <c r="A233" s="117"/>
      <c r="B233" s="47"/>
      <c r="C233" s="76"/>
      <c r="D233" s="76"/>
      <c r="E233" s="76"/>
      <c r="F233" s="104"/>
      <c r="G233" s="76"/>
      <c r="H233" s="83"/>
      <c r="I233" s="103"/>
      <c r="J233" s="76"/>
      <c r="K233" s="104"/>
      <c r="L233" s="104"/>
      <c r="M233" s="174">
        <f>IF(Tabelle132456[[#This Row],[Pulled after Start]]="",MIN(Tabelle132456[[#This Row],[Jira Story Points]],Tabelle132456[[#This Row],[Carry-over]]),0)</f>
        <v>0</v>
      </c>
      <c r="N233" s="173">
        <f>MIN(Tabelle132456[[#This Row],[Jira Story Points]],Tabelle132456[[#This Row],[Carry-over]])-Tabelle132456[[#This Row],[SP Initially Planned (COS)]]</f>
        <v>0</v>
      </c>
      <c r="O23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33" s="173">
        <f>IFERROR(IF(Tabelle132456[[#This Row],[Status]]=$I$5,MIN(Tabelle132456[[#This Row],[Jira Story Points]],Tabelle132456[[#This Row],[Carry-over]]),0),0)</f>
        <v>0</v>
      </c>
      <c r="Q233" s="173">
        <f>IFERROR(IF(Tabelle132456[[#This Row],[Status]]=$I$5,0,MIN(Tabelle132456[[#This Row],[Jira Story Points]],Tabelle132456[[#This Row],[Carry-over]])-Tabelle132456[[#This Row],[SP Completed (COS &amp; SOS)]]),0)</f>
        <v>0</v>
      </c>
    </row>
    <row r="234" spans="1:17" s="46" customFormat="1" ht="13.5" customHeight="1">
      <c r="A234" s="117"/>
      <c r="B234" s="47"/>
      <c r="C234" s="76"/>
      <c r="D234" s="76"/>
      <c r="E234" s="76"/>
      <c r="F234" s="104"/>
      <c r="G234" s="76"/>
      <c r="H234" s="83"/>
      <c r="I234" s="103"/>
      <c r="J234" s="76"/>
      <c r="K234" s="104"/>
      <c r="L234" s="104"/>
      <c r="M234" s="174">
        <f>IF(Tabelle132456[[#This Row],[Pulled after Start]]="",MIN(Tabelle132456[[#This Row],[Jira Story Points]],Tabelle132456[[#This Row],[Carry-over]]),0)</f>
        <v>0</v>
      </c>
      <c r="N234" s="173">
        <f>MIN(Tabelle132456[[#This Row],[Jira Story Points]],Tabelle132456[[#This Row],[Carry-over]])-Tabelle132456[[#This Row],[SP Initially Planned (COS)]]</f>
        <v>0</v>
      </c>
      <c r="O23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34" s="173">
        <f>IFERROR(IF(Tabelle132456[[#This Row],[Status]]=$I$5,MIN(Tabelle132456[[#This Row],[Jira Story Points]],Tabelle132456[[#This Row],[Carry-over]]),0),0)</f>
        <v>0</v>
      </c>
      <c r="Q234" s="173">
        <f>IFERROR(IF(Tabelle132456[[#This Row],[Status]]=$I$5,0,MIN(Tabelle132456[[#This Row],[Jira Story Points]],Tabelle132456[[#This Row],[Carry-over]])-Tabelle132456[[#This Row],[SP Completed (COS &amp; SOS)]]),0)</f>
        <v>0</v>
      </c>
    </row>
    <row r="235" spans="1:17" s="46" customFormat="1" ht="13.5" customHeight="1">
      <c r="A235" s="117"/>
      <c r="B235" s="47"/>
      <c r="C235" s="76"/>
      <c r="D235" s="76"/>
      <c r="E235" s="76"/>
      <c r="F235" s="104"/>
      <c r="G235" s="76"/>
      <c r="H235" s="83"/>
      <c r="I235" s="103"/>
      <c r="J235" s="76"/>
      <c r="K235" s="104"/>
      <c r="L235" s="104"/>
      <c r="M235" s="174">
        <f>IF(Tabelle132456[[#This Row],[Pulled after Start]]="",MIN(Tabelle132456[[#This Row],[Jira Story Points]],Tabelle132456[[#This Row],[Carry-over]]),0)</f>
        <v>0</v>
      </c>
      <c r="N235" s="173">
        <f>MIN(Tabelle132456[[#This Row],[Jira Story Points]],Tabelle132456[[#This Row],[Carry-over]])-Tabelle132456[[#This Row],[SP Initially Planned (COS)]]</f>
        <v>0</v>
      </c>
      <c r="O23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35" s="173">
        <f>IFERROR(IF(Tabelle132456[[#This Row],[Status]]=$I$5,MIN(Tabelle132456[[#This Row],[Jira Story Points]],Tabelle132456[[#This Row],[Carry-over]]),0),0)</f>
        <v>0</v>
      </c>
      <c r="Q235" s="173">
        <f>IFERROR(IF(Tabelle132456[[#This Row],[Status]]=$I$5,0,MIN(Tabelle132456[[#This Row],[Jira Story Points]],Tabelle132456[[#This Row],[Carry-over]])-Tabelle132456[[#This Row],[SP Completed (COS &amp; SOS)]]),0)</f>
        <v>0</v>
      </c>
    </row>
    <row r="236" spans="1:17" s="46" customFormat="1" ht="13.5" customHeight="1">
      <c r="A236" s="117"/>
      <c r="B236" s="47"/>
      <c r="C236" s="76"/>
      <c r="D236" s="76"/>
      <c r="E236" s="76"/>
      <c r="F236" s="104"/>
      <c r="G236" s="76"/>
      <c r="H236" s="83"/>
      <c r="I236" s="103"/>
      <c r="J236" s="76"/>
      <c r="K236" s="104"/>
      <c r="L236" s="104"/>
      <c r="M236" s="174">
        <f>IF(Tabelle132456[[#This Row],[Pulled after Start]]="",MIN(Tabelle132456[[#This Row],[Jira Story Points]],Tabelle132456[[#This Row],[Carry-over]]),0)</f>
        <v>0</v>
      </c>
      <c r="N236" s="173">
        <f>MIN(Tabelle132456[[#This Row],[Jira Story Points]],Tabelle132456[[#This Row],[Carry-over]])-Tabelle132456[[#This Row],[SP Initially Planned (COS)]]</f>
        <v>0</v>
      </c>
      <c r="O23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36" s="173">
        <f>IFERROR(IF(Tabelle132456[[#This Row],[Status]]=$I$5,MIN(Tabelle132456[[#This Row],[Jira Story Points]],Tabelle132456[[#This Row],[Carry-over]]),0),0)</f>
        <v>0</v>
      </c>
      <c r="Q236" s="173">
        <f>IFERROR(IF(Tabelle132456[[#This Row],[Status]]=$I$5,0,MIN(Tabelle132456[[#This Row],[Jira Story Points]],Tabelle132456[[#This Row],[Carry-over]])-Tabelle132456[[#This Row],[SP Completed (COS &amp; SOS)]]),0)</f>
        <v>0</v>
      </c>
    </row>
    <row r="237" spans="1:17" s="46" customFormat="1" ht="13.5" customHeight="1">
      <c r="A237" s="117"/>
      <c r="B237" s="47"/>
      <c r="C237" s="76"/>
      <c r="D237" s="76"/>
      <c r="E237" s="76"/>
      <c r="F237" s="104"/>
      <c r="G237" s="76"/>
      <c r="H237" s="83"/>
      <c r="I237" s="103"/>
      <c r="J237" s="76"/>
      <c r="K237" s="104"/>
      <c r="L237" s="104"/>
      <c r="M237" s="174">
        <f>IF(Tabelle132456[[#This Row],[Pulled after Start]]="",MIN(Tabelle132456[[#This Row],[Jira Story Points]],Tabelle132456[[#This Row],[Carry-over]]),0)</f>
        <v>0</v>
      </c>
      <c r="N237" s="173">
        <f>MIN(Tabelle132456[[#This Row],[Jira Story Points]],Tabelle132456[[#This Row],[Carry-over]])-Tabelle132456[[#This Row],[SP Initially Planned (COS)]]</f>
        <v>0</v>
      </c>
      <c r="O23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37" s="173">
        <f>IFERROR(IF(Tabelle132456[[#This Row],[Status]]=$I$5,MIN(Tabelle132456[[#This Row],[Jira Story Points]],Tabelle132456[[#This Row],[Carry-over]]),0),0)</f>
        <v>0</v>
      </c>
      <c r="Q237" s="173">
        <f>IFERROR(IF(Tabelle132456[[#This Row],[Status]]=$I$5,0,MIN(Tabelle132456[[#This Row],[Jira Story Points]],Tabelle132456[[#This Row],[Carry-over]])-Tabelle132456[[#This Row],[SP Completed (COS &amp; SOS)]]),0)</f>
        <v>0</v>
      </c>
    </row>
    <row r="238" spans="1:17" s="46" customFormat="1" ht="13.5" customHeight="1">
      <c r="A238" s="117"/>
      <c r="B238" s="47"/>
      <c r="C238" s="76"/>
      <c r="D238" s="76"/>
      <c r="E238" s="76"/>
      <c r="F238" s="104"/>
      <c r="G238" s="76"/>
      <c r="H238" s="83"/>
      <c r="I238" s="103"/>
      <c r="J238" s="76"/>
      <c r="K238" s="104"/>
      <c r="L238" s="104"/>
      <c r="M238" s="174">
        <f>IF(Tabelle132456[[#This Row],[Pulled after Start]]="",MIN(Tabelle132456[[#This Row],[Jira Story Points]],Tabelle132456[[#This Row],[Carry-over]]),0)</f>
        <v>0</v>
      </c>
      <c r="N238" s="173">
        <f>MIN(Tabelle132456[[#This Row],[Jira Story Points]],Tabelle132456[[#This Row],[Carry-over]])-Tabelle132456[[#This Row],[SP Initially Planned (COS)]]</f>
        <v>0</v>
      </c>
      <c r="O23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38" s="173">
        <f>IFERROR(IF(Tabelle132456[[#This Row],[Status]]=$I$5,MIN(Tabelle132456[[#This Row],[Jira Story Points]],Tabelle132456[[#This Row],[Carry-over]]),0),0)</f>
        <v>0</v>
      </c>
      <c r="Q238" s="173">
        <f>IFERROR(IF(Tabelle132456[[#This Row],[Status]]=$I$5,0,MIN(Tabelle132456[[#This Row],[Jira Story Points]],Tabelle132456[[#This Row],[Carry-over]])-Tabelle132456[[#This Row],[SP Completed (COS &amp; SOS)]]),0)</f>
        <v>0</v>
      </c>
    </row>
    <row r="239" spans="1:17" s="46" customFormat="1" ht="13.5" customHeight="1">
      <c r="A239" s="117"/>
      <c r="B239" s="47"/>
      <c r="C239" s="76"/>
      <c r="D239" s="76"/>
      <c r="E239" s="76"/>
      <c r="F239" s="104"/>
      <c r="G239" s="76"/>
      <c r="H239" s="83"/>
      <c r="I239" s="103"/>
      <c r="J239" s="76"/>
      <c r="K239" s="104"/>
      <c r="L239" s="104"/>
      <c r="M239" s="174">
        <f>IF(Tabelle132456[[#This Row],[Pulled after Start]]="",MIN(Tabelle132456[[#This Row],[Jira Story Points]],Tabelle132456[[#This Row],[Carry-over]]),0)</f>
        <v>0</v>
      </c>
      <c r="N239" s="173">
        <f>MIN(Tabelle132456[[#This Row],[Jira Story Points]],Tabelle132456[[#This Row],[Carry-over]])-Tabelle132456[[#This Row],[SP Initially Planned (COS)]]</f>
        <v>0</v>
      </c>
      <c r="O23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39" s="173">
        <f>IFERROR(IF(Tabelle132456[[#This Row],[Status]]=$I$5,MIN(Tabelle132456[[#This Row],[Jira Story Points]],Tabelle132456[[#This Row],[Carry-over]]),0),0)</f>
        <v>0</v>
      </c>
      <c r="Q239" s="173">
        <f>IFERROR(IF(Tabelle132456[[#This Row],[Status]]=$I$5,0,MIN(Tabelle132456[[#This Row],[Jira Story Points]],Tabelle132456[[#This Row],[Carry-over]])-Tabelle132456[[#This Row],[SP Completed (COS &amp; SOS)]]),0)</f>
        <v>0</v>
      </c>
    </row>
    <row r="240" spans="1:17" s="46" customFormat="1" ht="13.5" customHeight="1">
      <c r="A240" s="117"/>
      <c r="B240" s="47"/>
      <c r="C240" s="76"/>
      <c r="D240" s="76"/>
      <c r="E240" s="76"/>
      <c r="F240" s="104"/>
      <c r="G240" s="76"/>
      <c r="H240" s="83"/>
      <c r="I240" s="103"/>
      <c r="J240" s="76"/>
      <c r="K240" s="104"/>
      <c r="L240" s="104"/>
      <c r="M240" s="174">
        <f>IF(Tabelle132456[[#This Row],[Pulled after Start]]="",MIN(Tabelle132456[[#This Row],[Jira Story Points]],Tabelle132456[[#This Row],[Carry-over]]),0)</f>
        <v>0</v>
      </c>
      <c r="N240" s="173">
        <f>MIN(Tabelle132456[[#This Row],[Jira Story Points]],Tabelle132456[[#This Row],[Carry-over]])-Tabelle132456[[#This Row],[SP Initially Planned (COS)]]</f>
        <v>0</v>
      </c>
      <c r="O24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40" s="173">
        <f>IFERROR(IF(Tabelle132456[[#This Row],[Status]]=$I$5,MIN(Tabelle132456[[#This Row],[Jira Story Points]],Tabelle132456[[#This Row],[Carry-over]]),0),0)</f>
        <v>0</v>
      </c>
      <c r="Q240" s="173">
        <f>IFERROR(IF(Tabelle132456[[#This Row],[Status]]=$I$5,0,MIN(Tabelle132456[[#This Row],[Jira Story Points]],Tabelle132456[[#This Row],[Carry-over]])-Tabelle132456[[#This Row],[SP Completed (COS &amp; SOS)]]),0)</f>
        <v>0</v>
      </c>
    </row>
    <row r="241" spans="1:17" s="46" customFormat="1" ht="13.5" customHeight="1">
      <c r="A241" s="117"/>
      <c r="B241" s="47"/>
      <c r="C241" s="76"/>
      <c r="D241" s="76"/>
      <c r="E241" s="76"/>
      <c r="F241" s="104"/>
      <c r="G241" s="76"/>
      <c r="H241" s="83"/>
      <c r="I241" s="103"/>
      <c r="J241" s="76"/>
      <c r="K241" s="104"/>
      <c r="L241" s="104"/>
      <c r="M241" s="174">
        <f>IF(Tabelle132456[[#This Row],[Pulled after Start]]="",MIN(Tabelle132456[[#This Row],[Jira Story Points]],Tabelle132456[[#This Row],[Carry-over]]),0)</f>
        <v>0</v>
      </c>
      <c r="N241" s="173">
        <f>MIN(Tabelle132456[[#This Row],[Jira Story Points]],Tabelle132456[[#This Row],[Carry-over]])-Tabelle132456[[#This Row],[SP Initially Planned (COS)]]</f>
        <v>0</v>
      </c>
      <c r="O24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41" s="173">
        <f>IFERROR(IF(Tabelle132456[[#This Row],[Status]]=$I$5,MIN(Tabelle132456[[#This Row],[Jira Story Points]],Tabelle132456[[#This Row],[Carry-over]]),0),0)</f>
        <v>0</v>
      </c>
      <c r="Q241" s="173">
        <f>IFERROR(IF(Tabelle132456[[#This Row],[Status]]=$I$5,0,MIN(Tabelle132456[[#This Row],[Jira Story Points]],Tabelle132456[[#This Row],[Carry-over]])-Tabelle132456[[#This Row],[SP Completed (COS &amp; SOS)]]),0)</f>
        <v>0</v>
      </c>
    </row>
    <row r="242" spans="1:17" s="46" customFormat="1" ht="13.5" customHeight="1">
      <c r="A242" s="117"/>
      <c r="B242" s="47"/>
      <c r="C242" s="76"/>
      <c r="D242" s="76"/>
      <c r="E242" s="76"/>
      <c r="F242" s="104"/>
      <c r="G242" s="76"/>
      <c r="H242" s="83"/>
      <c r="I242" s="103"/>
      <c r="J242" s="76"/>
      <c r="K242" s="104"/>
      <c r="L242" s="104"/>
      <c r="M242" s="174">
        <f>IF(Tabelle132456[[#This Row],[Pulled after Start]]="",MIN(Tabelle132456[[#This Row],[Jira Story Points]],Tabelle132456[[#This Row],[Carry-over]]),0)</f>
        <v>0</v>
      </c>
      <c r="N242" s="173">
        <f>MIN(Tabelle132456[[#This Row],[Jira Story Points]],Tabelle132456[[#This Row],[Carry-over]])-Tabelle132456[[#This Row],[SP Initially Planned (COS)]]</f>
        <v>0</v>
      </c>
      <c r="O24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42" s="173">
        <f>IFERROR(IF(Tabelle132456[[#This Row],[Status]]=$I$5,MIN(Tabelle132456[[#This Row],[Jira Story Points]],Tabelle132456[[#This Row],[Carry-over]]),0),0)</f>
        <v>0</v>
      </c>
      <c r="Q242" s="173">
        <f>IFERROR(IF(Tabelle132456[[#This Row],[Status]]=$I$5,0,MIN(Tabelle132456[[#This Row],[Jira Story Points]],Tabelle132456[[#This Row],[Carry-over]])-Tabelle132456[[#This Row],[SP Completed (COS &amp; SOS)]]),0)</f>
        <v>0</v>
      </c>
    </row>
    <row r="243" spans="1:17" s="46" customFormat="1" ht="13.5" customHeight="1">
      <c r="A243" s="117"/>
      <c r="B243" s="47"/>
      <c r="C243" s="76"/>
      <c r="D243" s="76"/>
      <c r="E243" s="76"/>
      <c r="F243" s="104"/>
      <c r="G243" s="76"/>
      <c r="H243" s="83"/>
      <c r="I243" s="103"/>
      <c r="J243" s="76"/>
      <c r="K243" s="104"/>
      <c r="L243" s="104"/>
      <c r="M243" s="174">
        <f>IF(Tabelle132456[[#This Row],[Pulled after Start]]="",MIN(Tabelle132456[[#This Row],[Jira Story Points]],Tabelle132456[[#This Row],[Carry-over]]),0)</f>
        <v>0</v>
      </c>
      <c r="N243" s="173">
        <f>MIN(Tabelle132456[[#This Row],[Jira Story Points]],Tabelle132456[[#This Row],[Carry-over]])-Tabelle132456[[#This Row],[SP Initially Planned (COS)]]</f>
        <v>0</v>
      </c>
      <c r="O24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43" s="173">
        <f>IFERROR(IF(Tabelle132456[[#This Row],[Status]]=$I$5,MIN(Tabelle132456[[#This Row],[Jira Story Points]],Tabelle132456[[#This Row],[Carry-over]]),0),0)</f>
        <v>0</v>
      </c>
      <c r="Q243" s="173">
        <f>IFERROR(IF(Tabelle132456[[#This Row],[Status]]=$I$5,0,MIN(Tabelle132456[[#This Row],[Jira Story Points]],Tabelle132456[[#This Row],[Carry-over]])-Tabelle132456[[#This Row],[SP Completed (COS &amp; SOS)]]),0)</f>
        <v>0</v>
      </c>
    </row>
    <row r="244" spans="1:17" s="46" customFormat="1" ht="13.5" customHeight="1">
      <c r="A244" s="117"/>
      <c r="B244" s="47"/>
      <c r="C244" s="76"/>
      <c r="D244" s="76"/>
      <c r="E244" s="76"/>
      <c r="F244" s="104"/>
      <c r="G244" s="76"/>
      <c r="H244" s="83"/>
      <c r="I244" s="103"/>
      <c r="J244" s="76"/>
      <c r="K244" s="104"/>
      <c r="L244" s="104"/>
      <c r="M244" s="174">
        <f>IF(Tabelle132456[[#This Row],[Pulled after Start]]="",MIN(Tabelle132456[[#This Row],[Jira Story Points]],Tabelle132456[[#This Row],[Carry-over]]),0)</f>
        <v>0</v>
      </c>
      <c r="N244" s="173">
        <f>MIN(Tabelle132456[[#This Row],[Jira Story Points]],Tabelle132456[[#This Row],[Carry-over]])-Tabelle132456[[#This Row],[SP Initially Planned (COS)]]</f>
        <v>0</v>
      </c>
      <c r="O24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44" s="173">
        <f>IFERROR(IF(Tabelle132456[[#This Row],[Status]]=$I$5,MIN(Tabelle132456[[#This Row],[Jira Story Points]],Tabelle132456[[#This Row],[Carry-over]]),0),0)</f>
        <v>0</v>
      </c>
      <c r="Q244" s="173">
        <f>IFERROR(IF(Tabelle132456[[#This Row],[Status]]=$I$5,0,MIN(Tabelle132456[[#This Row],[Jira Story Points]],Tabelle132456[[#This Row],[Carry-over]])-Tabelle132456[[#This Row],[SP Completed (COS &amp; SOS)]]),0)</f>
        <v>0</v>
      </c>
    </row>
    <row r="245" spans="1:17" s="46" customFormat="1" ht="13.5" customHeight="1">
      <c r="A245" s="117"/>
      <c r="B245" s="47"/>
      <c r="C245" s="76"/>
      <c r="D245" s="76"/>
      <c r="E245" s="76"/>
      <c r="F245" s="104"/>
      <c r="G245" s="76"/>
      <c r="H245" s="83"/>
      <c r="I245" s="103"/>
      <c r="J245" s="76"/>
      <c r="K245" s="104"/>
      <c r="L245" s="104"/>
      <c r="M245" s="174">
        <f>IF(Tabelle132456[[#This Row],[Pulled after Start]]="",MIN(Tabelle132456[[#This Row],[Jira Story Points]],Tabelle132456[[#This Row],[Carry-over]]),0)</f>
        <v>0</v>
      </c>
      <c r="N245" s="173">
        <f>MIN(Tabelle132456[[#This Row],[Jira Story Points]],Tabelle132456[[#This Row],[Carry-over]])-Tabelle132456[[#This Row],[SP Initially Planned (COS)]]</f>
        <v>0</v>
      </c>
      <c r="O24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45" s="173">
        <f>IFERROR(IF(Tabelle132456[[#This Row],[Status]]=$I$5,MIN(Tabelle132456[[#This Row],[Jira Story Points]],Tabelle132456[[#This Row],[Carry-over]]),0),0)</f>
        <v>0</v>
      </c>
      <c r="Q245" s="173">
        <f>IFERROR(IF(Tabelle132456[[#This Row],[Status]]=$I$5,0,MIN(Tabelle132456[[#This Row],[Jira Story Points]],Tabelle132456[[#This Row],[Carry-over]])-Tabelle132456[[#This Row],[SP Completed (COS &amp; SOS)]]),0)</f>
        <v>0</v>
      </c>
    </row>
    <row r="246" spans="1:17" s="46" customFormat="1" ht="13.5" customHeight="1">
      <c r="A246" s="117"/>
      <c r="B246" s="47"/>
      <c r="C246" s="76"/>
      <c r="D246" s="76"/>
      <c r="E246" s="76"/>
      <c r="F246" s="104"/>
      <c r="G246" s="76"/>
      <c r="H246" s="83"/>
      <c r="I246" s="103"/>
      <c r="J246" s="76"/>
      <c r="K246" s="104"/>
      <c r="L246" s="104"/>
      <c r="M246" s="174">
        <f>IF(Tabelle132456[[#This Row],[Pulled after Start]]="",MIN(Tabelle132456[[#This Row],[Jira Story Points]],Tabelle132456[[#This Row],[Carry-over]]),0)</f>
        <v>0</v>
      </c>
      <c r="N246" s="173">
        <f>MIN(Tabelle132456[[#This Row],[Jira Story Points]],Tabelle132456[[#This Row],[Carry-over]])-Tabelle132456[[#This Row],[SP Initially Planned (COS)]]</f>
        <v>0</v>
      </c>
      <c r="O24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46" s="173">
        <f>IFERROR(IF(Tabelle132456[[#This Row],[Status]]=$I$5,MIN(Tabelle132456[[#This Row],[Jira Story Points]],Tabelle132456[[#This Row],[Carry-over]]),0),0)</f>
        <v>0</v>
      </c>
      <c r="Q246" s="173">
        <f>IFERROR(IF(Tabelle132456[[#This Row],[Status]]=$I$5,0,MIN(Tabelle132456[[#This Row],[Jira Story Points]],Tabelle132456[[#This Row],[Carry-over]])-Tabelle132456[[#This Row],[SP Completed (COS &amp; SOS)]]),0)</f>
        <v>0</v>
      </c>
    </row>
    <row r="247" spans="1:17" s="46" customFormat="1" ht="13.5" customHeight="1">
      <c r="A247" s="117"/>
      <c r="B247" s="47"/>
      <c r="C247" s="76"/>
      <c r="D247" s="76"/>
      <c r="E247" s="76"/>
      <c r="F247" s="104"/>
      <c r="G247" s="76"/>
      <c r="H247" s="83"/>
      <c r="I247" s="103"/>
      <c r="J247" s="76"/>
      <c r="K247" s="104"/>
      <c r="L247" s="104"/>
      <c r="M247" s="174">
        <f>IF(Tabelle132456[[#This Row],[Pulled after Start]]="",MIN(Tabelle132456[[#This Row],[Jira Story Points]],Tabelle132456[[#This Row],[Carry-over]]),0)</f>
        <v>0</v>
      </c>
      <c r="N247" s="173">
        <f>MIN(Tabelle132456[[#This Row],[Jira Story Points]],Tabelle132456[[#This Row],[Carry-over]])-Tabelle132456[[#This Row],[SP Initially Planned (COS)]]</f>
        <v>0</v>
      </c>
      <c r="O24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47" s="173">
        <f>IFERROR(IF(Tabelle132456[[#This Row],[Status]]=$I$5,MIN(Tabelle132456[[#This Row],[Jira Story Points]],Tabelle132456[[#This Row],[Carry-over]]),0),0)</f>
        <v>0</v>
      </c>
      <c r="Q247" s="173">
        <f>IFERROR(IF(Tabelle132456[[#This Row],[Status]]=$I$5,0,MIN(Tabelle132456[[#This Row],[Jira Story Points]],Tabelle132456[[#This Row],[Carry-over]])-Tabelle132456[[#This Row],[SP Completed (COS &amp; SOS)]]),0)</f>
        <v>0</v>
      </c>
    </row>
    <row r="248" spans="1:17" s="46" customFormat="1" ht="13.5" customHeight="1">
      <c r="A248" s="117"/>
      <c r="B248" s="47"/>
      <c r="C248" s="76"/>
      <c r="D248" s="76"/>
      <c r="E248" s="76"/>
      <c r="F248" s="104"/>
      <c r="G248" s="76"/>
      <c r="H248" s="83"/>
      <c r="I248" s="103"/>
      <c r="J248" s="76"/>
      <c r="K248" s="104"/>
      <c r="L248" s="104"/>
      <c r="M248" s="174">
        <f>IF(Tabelle132456[[#This Row],[Pulled after Start]]="",MIN(Tabelle132456[[#This Row],[Jira Story Points]],Tabelle132456[[#This Row],[Carry-over]]),0)</f>
        <v>0</v>
      </c>
      <c r="N248" s="173">
        <f>MIN(Tabelle132456[[#This Row],[Jira Story Points]],Tabelle132456[[#This Row],[Carry-over]])-Tabelle132456[[#This Row],[SP Initially Planned (COS)]]</f>
        <v>0</v>
      </c>
      <c r="O24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48" s="173">
        <f>IFERROR(IF(Tabelle132456[[#This Row],[Status]]=$I$5,MIN(Tabelle132456[[#This Row],[Jira Story Points]],Tabelle132456[[#This Row],[Carry-over]]),0),0)</f>
        <v>0</v>
      </c>
      <c r="Q248" s="173">
        <f>IFERROR(IF(Tabelle132456[[#This Row],[Status]]=$I$5,0,MIN(Tabelle132456[[#This Row],[Jira Story Points]],Tabelle132456[[#This Row],[Carry-over]])-Tabelle132456[[#This Row],[SP Completed (COS &amp; SOS)]]),0)</f>
        <v>0</v>
      </c>
    </row>
    <row r="249" spans="1:17" s="46" customFormat="1" ht="13.5" customHeight="1">
      <c r="A249" s="117"/>
      <c r="B249" s="47"/>
      <c r="C249" s="76"/>
      <c r="D249" s="76"/>
      <c r="E249" s="76"/>
      <c r="F249" s="104"/>
      <c r="G249" s="76"/>
      <c r="H249" s="83"/>
      <c r="I249" s="103"/>
      <c r="J249" s="76"/>
      <c r="K249" s="104"/>
      <c r="L249" s="104"/>
      <c r="M249" s="174">
        <f>IF(Tabelle132456[[#This Row],[Pulled after Start]]="",MIN(Tabelle132456[[#This Row],[Jira Story Points]],Tabelle132456[[#This Row],[Carry-over]]),0)</f>
        <v>0</v>
      </c>
      <c r="N249" s="173">
        <f>MIN(Tabelle132456[[#This Row],[Jira Story Points]],Tabelle132456[[#This Row],[Carry-over]])-Tabelle132456[[#This Row],[SP Initially Planned (COS)]]</f>
        <v>0</v>
      </c>
      <c r="O24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49" s="173">
        <f>IFERROR(IF(Tabelle132456[[#This Row],[Status]]=$I$5,MIN(Tabelle132456[[#This Row],[Jira Story Points]],Tabelle132456[[#This Row],[Carry-over]]),0),0)</f>
        <v>0</v>
      </c>
      <c r="Q249" s="173">
        <f>IFERROR(IF(Tabelle132456[[#This Row],[Status]]=$I$5,0,MIN(Tabelle132456[[#This Row],[Jira Story Points]],Tabelle132456[[#This Row],[Carry-over]])-Tabelle132456[[#This Row],[SP Completed (COS &amp; SOS)]]),0)</f>
        <v>0</v>
      </c>
    </row>
    <row r="250" spans="1:17" s="46" customFormat="1" ht="13.5" customHeight="1">
      <c r="A250" s="117"/>
      <c r="B250" s="47"/>
      <c r="C250" s="76"/>
      <c r="D250" s="76"/>
      <c r="E250" s="76"/>
      <c r="F250" s="104"/>
      <c r="G250" s="76"/>
      <c r="H250" s="83"/>
      <c r="I250" s="103"/>
      <c r="J250" s="76"/>
      <c r="K250" s="104"/>
      <c r="L250" s="104"/>
      <c r="M250" s="174">
        <f>IF(Tabelle132456[[#This Row],[Pulled after Start]]="",MIN(Tabelle132456[[#This Row],[Jira Story Points]],Tabelle132456[[#This Row],[Carry-over]]),0)</f>
        <v>0</v>
      </c>
      <c r="N250" s="173">
        <f>MIN(Tabelle132456[[#This Row],[Jira Story Points]],Tabelle132456[[#This Row],[Carry-over]])-Tabelle132456[[#This Row],[SP Initially Planned (COS)]]</f>
        <v>0</v>
      </c>
      <c r="O25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50" s="173">
        <f>IFERROR(IF(Tabelle132456[[#This Row],[Status]]=$I$5,MIN(Tabelle132456[[#This Row],[Jira Story Points]],Tabelle132456[[#This Row],[Carry-over]]),0),0)</f>
        <v>0</v>
      </c>
      <c r="Q250" s="173">
        <f>IFERROR(IF(Tabelle132456[[#This Row],[Status]]=$I$5,0,MIN(Tabelle132456[[#This Row],[Jira Story Points]],Tabelle132456[[#This Row],[Carry-over]])-Tabelle132456[[#This Row],[SP Completed (COS &amp; SOS)]]),0)</f>
        <v>0</v>
      </c>
    </row>
    <row r="251" spans="1:17" s="46" customFormat="1" ht="13.5" customHeight="1">
      <c r="A251" s="117"/>
      <c r="B251" s="47"/>
      <c r="C251" s="76"/>
      <c r="D251" s="76"/>
      <c r="E251" s="76"/>
      <c r="F251" s="104"/>
      <c r="G251" s="76"/>
      <c r="H251" s="83"/>
      <c r="I251" s="103"/>
      <c r="J251" s="76"/>
      <c r="K251" s="104"/>
      <c r="L251" s="104"/>
      <c r="M251" s="174">
        <f>IF(Tabelle132456[[#This Row],[Pulled after Start]]="",MIN(Tabelle132456[[#This Row],[Jira Story Points]],Tabelle132456[[#This Row],[Carry-over]]),0)</f>
        <v>0</v>
      </c>
      <c r="N251" s="173">
        <f>MIN(Tabelle132456[[#This Row],[Jira Story Points]],Tabelle132456[[#This Row],[Carry-over]])-Tabelle132456[[#This Row],[SP Initially Planned (COS)]]</f>
        <v>0</v>
      </c>
      <c r="O25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51" s="173">
        <f>IFERROR(IF(Tabelle132456[[#This Row],[Status]]=$I$5,MIN(Tabelle132456[[#This Row],[Jira Story Points]],Tabelle132456[[#This Row],[Carry-over]]),0),0)</f>
        <v>0</v>
      </c>
      <c r="Q251" s="173">
        <f>IFERROR(IF(Tabelle132456[[#This Row],[Status]]=$I$5,0,MIN(Tabelle132456[[#This Row],[Jira Story Points]],Tabelle132456[[#This Row],[Carry-over]])-Tabelle132456[[#This Row],[SP Completed (COS &amp; SOS)]]),0)</f>
        <v>0</v>
      </c>
    </row>
    <row r="252" spans="1:17" s="46" customFormat="1" ht="13.5" customHeight="1">
      <c r="A252" s="117"/>
      <c r="B252" s="47"/>
      <c r="C252" s="76"/>
      <c r="D252" s="76"/>
      <c r="E252" s="76"/>
      <c r="F252" s="104"/>
      <c r="G252" s="76"/>
      <c r="H252" s="83"/>
      <c r="I252" s="103"/>
      <c r="J252" s="76"/>
      <c r="K252" s="104"/>
      <c r="L252" s="104"/>
      <c r="M252" s="174">
        <f>IF(Tabelle132456[[#This Row],[Pulled after Start]]="",MIN(Tabelle132456[[#This Row],[Jira Story Points]],Tabelle132456[[#This Row],[Carry-over]]),0)</f>
        <v>0</v>
      </c>
      <c r="N252" s="173">
        <f>MIN(Tabelle132456[[#This Row],[Jira Story Points]],Tabelle132456[[#This Row],[Carry-over]])-Tabelle132456[[#This Row],[SP Initially Planned (COS)]]</f>
        <v>0</v>
      </c>
      <c r="O25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52" s="173">
        <f>IFERROR(IF(Tabelle132456[[#This Row],[Status]]=$I$5,MIN(Tabelle132456[[#This Row],[Jira Story Points]],Tabelle132456[[#This Row],[Carry-over]]),0),0)</f>
        <v>0</v>
      </c>
      <c r="Q252" s="173">
        <f>IFERROR(IF(Tabelle132456[[#This Row],[Status]]=$I$5,0,MIN(Tabelle132456[[#This Row],[Jira Story Points]],Tabelle132456[[#This Row],[Carry-over]])-Tabelle132456[[#This Row],[SP Completed (COS &amp; SOS)]]),0)</f>
        <v>0</v>
      </c>
    </row>
    <row r="253" spans="1:17" s="46" customFormat="1" ht="13.5" customHeight="1">
      <c r="A253" s="117"/>
      <c r="B253" s="47"/>
      <c r="C253" s="76"/>
      <c r="D253" s="76"/>
      <c r="E253" s="76"/>
      <c r="F253" s="104"/>
      <c r="G253" s="76"/>
      <c r="H253" s="83"/>
      <c r="I253" s="103"/>
      <c r="J253" s="76"/>
      <c r="K253" s="104"/>
      <c r="L253" s="104"/>
      <c r="M253" s="174">
        <f>IF(Tabelle132456[[#This Row],[Pulled after Start]]="",MIN(Tabelle132456[[#This Row],[Jira Story Points]],Tabelle132456[[#This Row],[Carry-over]]),0)</f>
        <v>0</v>
      </c>
      <c r="N253" s="173">
        <f>MIN(Tabelle132456[[#This Row],[Jira Story Points]],Tabelle132456[[#This Row],[Carry-over]])-Tabelle132456[[#This Row],[SP Initially Planned (COS)]]</f>
        <v>0</v>
      </c>
      <c r="O25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53" s="173">
        <f>IFERROR(IF(Tabelle132456[[#This Row],[Status]]=$I$5,MIN(Tabelle132456[[#This Row],[Jira Story Points]],Tabelle132456[[#This Row],[Carry-over]]),0),0)</f>
        <v>0</v>
      </c>
      <c r="Q253" s="173">
        <f>IFERROR(IF(Tabelle132456[[#This Row],[Status]]=$I$5,0,MIN(Tabelle132456[[#This Row],[Jira Story Points]],Tabelle132456[[#This Row],[Carry-over]])-Tabelle132456[[#This Row],[SP Completed (COS &amp; SOS)]]),0)</f>
        <v>0</v>
      </c>
    </row>
    <row r="254" spans="1:17" s="46" customFormat="1" ht="13.5" customHeight="1">
      <c r="A254" s="117"/>
      <c r="B254" s="47"/>
      <c r="C254" s="76"/>
      <c r="D254" s="76"/>
      <c r="E254" s="76"/>
      <c r="F254" s="104"/>
      <c r="G254" s="76"/>
      <c r="H254" s="83"/>
      <c r="I254" s="103"/>
      <c r="J254" s="76"/>
      <c r="K254" s="104"/>
      <c r="L254" s="104"/>
      <c r="M254" s="174">
        <f>IF(Tabelle132456[[#This Row],[Pulled after Start]]="",MIN(Tabelle132456[[#This Row],[Jira Story Points]],Tabelle132456[[#This Row],[Carry-over]]),0)</f>
        <v>0</v>
      </c>
      <c r="N254" s="173">
        <f>MIN(Tabelle132456[[#This Row],[Jira Story Points]],Tabelle132456[[#This Row],[Carry-over]])-Tabelle132456[[#This Row],[SP Initially Planned (COS)]]</f>
        <v>0</v>
      </c>
      <c r="O25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54" s="173">
        <f>IFERROR(IF(Tabelle132456[[#This Row],[Status]]=$I$5,MIN(Tabelle132456[[#This Row],[Jira Story Points]],Tabelle132456[[#This Row],[Carry-over]]),0),0)</f>
        <v>0</v>
      </c>
      <c r="Q254" s="173">
        <f>IFERROR(IF(Tabelle132456[[#This Row],[Status]]=$I$5,0,MIN(Tabelle132456[[#This Row],[Jira Story Points]],Tabelle132456[[#This Row],[Carry-over]])-Tabelle132456[[#This Row],[SP Completed (COS &amp; SOS)]]),0)</f>
        <v>0</v>
      </c>
    </row>
    <row r="255" spans="1:17" s="46" customFormat="1" ht="13.5" customHeight="1">
      <c r="A255" s="117"/>
      <c r="B255" s="47"/>
      <c r="C255" s="76"/>
      <c r="D255" s="76"/>
      <c r="E255" s="76"/>
      <c r="F255" s="104"/>
      <c r="G255" s="76"/>
      <c r="H255" s="83"/>
      <c r="I255" s="103"/>
      <c r="J255" s="76"/>
      <c r="K255" s="104"/>
      <c r="L255" s="104"/>
      <c r="M255" s="174">
        <f>IF(Tabelle132456[[#This Row],[Pulled after Start]]="",MIN(Tabelle132456[[#This Row],[Jira Story Points]],Tabelle132456[[#This Row],[Carry-over]]),0)</f>
        <v>0</v>
      </c>
      <c r="N255" s="173">
        <f>MIN(Tabelle132456[[#This Row],[Jira Story Points]],Tabelle132456[[#This Row],[Carry-over]])-Tabelle132456[[#This Row],[SP Initially Planned (COS)]]</f>
        <v>0</v>
      </c>
      <c r="O25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55" s="173">
        <f>IFERROR(IF(Tabelle132456[[#This Row],[Status]]=$I$5,MIN(Tabelle132456[[#This Row],[Jira Story Points]],Tabelle132456[[#This Row],[Carry-over]]),0),0)</f>
        <v>0</v>
      </c>
      <c r="Q255" s="173">
        <f>IFERROR(IF(Tabelle132456[[#This Row],[Status]]=$I$5,0,MIN(Tabelle132456[[#This Row],[Jira Story Points]],Tabelle132456[[#This Row],[Carry-over]])-Tabelle132456[[#This Row],[SP Completed (COS &amp; SOS)]]),0)</f>
        <v>0</v>
      </c>
    </row>
    <row r="256" spans="1:17" s="46" customFormat="1" ht="13.5" customHeight="1">
      <c r="A256" s="117"/>
      <c r="B256" s="47"/>
      <c r="C256" s="76"/>
      <c r="D256" s="76"/>
      <c r="E256" s="76"/>
      <c r="F256" s="104"/>
      <c r="G256" s="76"/>
      <c r="H256" s="83"/>
      <c r="I256" s="103"/>
      <c r="J256" s="76"/>
      <c r="K256" s="104"/>
      <c r="L256" s="104"/>
      <c r="M256" s="174">
        <f>IF(Tabelle132456[[#This Row],[Pulled after Start]]="",MIN(Tabelle132456[[#This Row],[Jira Story Points]],Tabelle132456[[#This Row],[Carry-over]]),0)</f>
        <v>0</v>
      </c>
      <c r="N256" s="173">
        <f>MIN(Tabelle132456[[#This Row],[Jira Story Points]],Tabelle132456[[#This Row],[Carry-over]])-Tabelle132456[[#This Row],[SP Initially Planned (COS)]]</f>
        <v>0</v>
      </c>
      <c r="O25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56" s="173">
        <f>IFERROR(IF(Tabelle132456[[#This Row],[Status]]=$I$5,MIN(Tabelle132456[[#This Row],[Jira Story Points]],Tabelle132456[[#This Row],[Carry-over]]),0),0)</f>
        <v>0</v>
      </c>
      <c r="Q256" s="173">
        <f>IFERROR(IF(Tabelle132456[[#This Row],[Status]]=$I$5,0,MIN(Tabelle132456[[#This Row],[Jira Story Points]],Tabelle132456[[#This Row],[Carry-over]])-Tabelle132456[[#This Row],[SP Completed (COS &amp; SOS)]]),0)</f>
        <v>0</v>
      </c>
    </row>
    <row r="257" spans="1:17" s="46" customFormat="1" ht="13.5" customHeight="1">
      <c r="A257" s="117"/>
      <c r="B257" s="47"/>
      <c r="C257" s="76"/>
      <c r="D257" s="76"/>
      <c r="E257" s="76"/>
      <c r="F257" s="104"/>
      <c r="G257" s="76"/>
      <c r="H257" s="83"/>
      <c r="I257" s="103"/>
      <c r="J257" s="76"/>
      <c r="K257" s="104"/>
      <c r="L257" s="104"/>
      <c r="M257" s="174">
        <f>IF(Tabelle132456[[#This Row],[Pulled after Start]]="",MIN(Tabelle132456[[#This Row],[Jira Story Points]],Tabelle132456[[#This Row],[Carry-over]]),0)</f>
        <v>0</v>
      </c>
      <c r="N257" s="173">
        <f>MIN(Tabelle132456[[#This Row],[Jira Story Points]],Tabelle132456[[#This Row],[Carry-over]])-Tabelle132456[[#This Row],[SP Initially Planned (COS)]]</f>
        <v>0</v>
      </c>
      <c r="O25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57" s="173">
        <f>IFERROR(IF(Tabelle132456[[#This Row],[Status]]=$I$5,MIN(Tabelle132456[[#This Row],[Jira Story Points]],Tabelle132456[[#This Row],[Carry-over]]),0),0)</f>
        <v>0</v>
      </c>
      <c r="Q257" s="173">
        <f>IFERROR(IF(Tabelle132456[[#This Row],[Status]]=$I$5,0,MIN(Tabelle132456[[#This Row],[Jira Story Points]],Tabelle132456[[#This Row],[Carry-over]])-Tabelle132456[[#This Row],[SP Completed (COS &amp; SOS)]]),0)</f>
        <v>0</v>
      </c>
    </row>
    <row r="258" spans="1:17" s="46" customFormat="1" ht="13.5" customHeight="1">
      <c r="A258" s="117"/>
      <c r="B258" s="47"/>
      <c r="C258" s="76"/>
      <c r="D258" s="76"/>
      <c r="E258" s="76"/>
      <c r="F258" s="104"/>
      <c r="G258" s="76"/>
      <c r="H258" s="83"/>
      <c r="I258" s="103"/>
      <c r="J258" s="76"/>
      <c r="K258" s="104"/>
      <c r="L258" s="104"/>
      <c r="M258" s="174">
        <f>IF(Tabelle132456[[#This Row],[Pulled after Start]]="",MIN(Tabelle132456[[#This Row],[Jira Story Points]],Tabelle132456[[#This Row],[Carry-over]]),0)</f>
        <v>0</v>
      </c>
      <c r="N258" s="173">
        <f>MIN(Tabelle132456[[#This Row],[Jira Story Points]],Tabelle132456[[#This Row],[Carry-over]])-Tabelle132456[[#This Row],[SP Initially Planned (COS)]]</f>
        <v>0</v>
      </c>
      <c r="O25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58" s="173">
        <f>IFERROR(IF(Tabelle132456[[#This Row],[Status]]=$I$5,MIN(Tabelle132456[[#This Row],[Jira Story Points]],Tabelle132456[[#This Row],[Carry-over]]),0),0)</f>
        <v>0</v>
      </c>
      <c r="Q258" s="173">
        <f>IFERROR(IF(Tabelle132456[[#This Row],[Status]]=$I$5,0,MIN(Tabelle132456[[#This Row],[Jira Story Points]],Tabelle132456[[#This Row],[Carry-over]])-Tabelle132456[[#This Row],[SP Completed (COS &amp; SOS)]]),0)</f>
        <v>0</v>
      </c>
    </row>
    <row r="259" spans="1:17" s="46" customFormat="1" ht="13.5" customHeight="1">
      <c r="A259" s="117"/>
      <c r="B259" s="47"/>
      <c r="C259" s="76"/>
      <c r="D259" s="76"/>
      <c r="E259" s="76"/>
      <c r="F259" s="104"/>
      <c r="G259" s="76"/>
      <c r="H259" s="83"/>
      <c r="I259" s="103"/>
      <c r="J259" s="76"/>
      <c r="K259" s="104"/>
      <c r="L259" s="104"/>
      <c r="M259" s="174">
        <f>IF(Tabelle132456[[#This Row],[Pulled after Start]]="",MIN(Tabelle132456[[#This Row],[Jira Story Points]],Tabelle132456[[#This Row],[Carry-over]]),0)</f>
        <v>0</v>
      </c>
      <c r="N259" s="173">
        <f>MIN(Tabelle132456[[#This Row],[Jira Story Points]],Tabelle132456[[#This Row],[Carry-over]])-Tabelle132456[[#This Row],[SP Initially Planned (COS)]]</f>
        <v>0</v>
      </c>
      <c r="O25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59" s="173">
        <f>IFERROR(IF(Tabelle132456[[#This Row],[Status]]=$I$5,MIN(Tabelle132456[[#This Row],[Jira Story Points]],Tabelle132456[[#This Row],[Carry-over]]),0),0)</f>
        <v>0</v>
      </c>
      <c r="Q259" s="173">
        <f>IFERROR(IF(Tabelle132456[[#This Row],[Status]]=$I$5,0,MIN(Tabelle132456[[#This Row],[Jira Story Points]],Tabelle132456[[#This Row],[Carry-over]])-Tabelle132456[[#This Row],[SP Completed (COS &amp; SOS)]]),0)</f>
        <v>0</v>
      </c>
    </row>
    <row r="260" spans="1:17" s="46" customFormat="1" ht="13.5" customHeight="1">
      <c r="A260" s="117"/>
      <c r="B260" s="47"/>
      <c r="C260" s="76"/>
      <c r="D260" s="76"/>
      <c r="E260" s="76"/>
      <c r="F260" s="104"/>
      <c r="G260" s="76"/>
      <c r="H260" s="83"/>
      <c r="I260" s="103"/>
      <c r="J260" s="76"/>
      <c r="K260" s="104"/>
      <c r="L260" s="104"/>
      <c r="M260" s="174">
        <f>IF(Tabelle132456[[#This Row],[Pulled after Start]]="",MIN(Tabelle132456[[#This Row],[Jira Story Points]],Tabelle132456[[#This Row],[Carry-over]]),0)</f>
        <v>0</v>
      </c>
      <c r="N260" s="173">
        <f>MIN(Tabelle132456[[#This Row],[Jira Story Points]],Tabelle132456[[#This Row],[Carry-over]])-Tabelle132456[[#This Row],[SP Initially Planned (COS)]]</f>
        <v>0</v>
      </c>
      <c r="O26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60" s="173">
        <f>IFERROR(IF(Tabelle132456[[#This Row],[Status]]=$I$5,MIN(Tabelle132456[[#This Row],[Jira Story Points]],Tabelle132456[[#This Row],[Carry-over]]),0),0)</f>
        <v>0</v>
      </c>
      <c r="Q260" s="173">
        <f>IFERROR(IF(Tabelle132456[[#This Row],[Status]]=$I$5,0,MIN(Tabelle132456[[#This Row],[Jira Story Points]],Tabelle132456[[#This Row],[Carry-over]])-Tabelle132456[[#This Row],[SP Completed (COS &amp; SOS)]]),0)</f>
        <v>0</v>
      </c>
    </row>
    <row r="261" spans="1:17" s="46" customFormat="1" ht="13.5" customHeight="1">
      <c r="A261" s="117"/>
      <c r="B261" s="47"/>
      <c r="C261" s="76"/>
      <c r="D261" s="76"/>
      <c r="E261" s="76"/>
      <c r="F261" s="104"/>
      <c r="G261" s="76"/>
      <c r="H261" s="83"/>
      <c r="I261" s="103"/>
      <c r="J261" s="76"/>
      <c r="K261" s="104"/>
      <c r="L261" s="104"/>
      <c r="M261" s="174">
        <f>IF(Tabelle132456[[#This Row],[Pulled after Start]]="",MIN(Tabelle132456[[#This Row],[Jira Story Points]],Tabelle132456[[#This Row],[Carry-over]]),0)</f>
        <v>0</v>
      </c>
      <c r="N261" s="173">
        <f>MIN(Tabelle132456[[#This Row],[Jira Story Points]],Tabelle132456[[#This Row],[Carry-over]])-Tabelle132456[[#This Row],[SP Initially Planned (COS)]]</f>
        <v>0</v>
      </c>
      <c r="O26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61" s="173">
        <f>IFERROR(IF(Tabelle132456[[#This Row],[Status]]=$I$5,MIN(Tabelle132456[[#This Row],[Jira Story Points]],Tabelle132456[[#This Row],[Carry-over]]),0),0)</f>
        <v>0</v>
      </c>
      <c r="Q261" s="173">
        <f>IFERROR(IF(Tabelle132456[[#This Row],[Status]]=$I$5,0,MIN(Tabelle132456[[#This Row],[Jira Story Points]],Tabelle132456[[#This Row],[Carry-over]])-Tabelle132456[[#This Row],[SP Completed (COS &amp; SOS)]]),0)</f>
        <v>0</v>
      </c>
    </row>
    <row r="262" spans="1:17" s="46" customFormat="1" ht="13.5" customHeight="1">
      <c r="A262" s="117"/>
      <c r="B262" s="47"/>
      <c r="C262" s="76"/>
      <c r="D262" s="76"/>
      <c r="E262" s="76"/>
      <c r="F262" s="104"/>
      <c r="G262" s="76"/>
      <c r="H262" s="83"/>
      <c r="I262" s="103"/>
      <c r="J262" s="76"/>
      <c r="K262" s="104"/>
      <c r="L262" s="104"/>
      <c r="M262" s="174">
        <f>IF(Tabelle132456[[#This Row],[Pulled after Start]]="",MIN(Tabelle132456[[#This Row],[Jira Story Points]],Tabelle132456[[#This Row],[Carry-over]]),0)</f>
        <v>0</v>
      </c>
      <c r="N262" s="173">
        <f>MIN(Tabelle132456[[#This Row],[Jira Story Points]],Tabelle132456[[#This Row],[Carry-over]])-Tabelle132456[[#This Row],[SP Initially Planned (COS)]]</f>
        <v>0</v>
      </c>
      <c r="O26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62" s="173">
        <f>IFERROR(IF(Tabelle132456[[#This Row],[Status]]=$I$5,MIN(Tabelle132456[[#This Row],[Jira Story Points]],Tabelle132456[[#This Row],[Carry-over]]),0),0)</f>
        <v>0</v>
      </c>
      <c r="Q262" s="173">
        <f>IFERROR(IF(Tabelle132456[[#This Row],[Status]]=$I$5,0,MIN(Tabelle132456[[#This Row],[Jira Story Points]],Tabelle132456[[#This Row],[Carry-over]])-Tabelle132456[[#This Row],[SP Completed (COS &amp; SOS)]]),0)</f>
        <v>0</v>
      </c>
    </row>
    <row r="263" spans="1:17" s="46" customFormat="1" ht="13.5" customHeight="1">
      <c r="A263" s="117"/>
      <c r="B263" s="47"/>
      <c r="C263" s="76"/>
      <c r="D263" s="76"/>
      <c r="E263" s="76"/>
      <c r="F263" s="104"/>
      <c r="G263" s="76"/>
      <c r="H263" s="83"/>
      <c r="I263" s="103"/>
      <c r="J263" s="76"/>
      <c r="K263" s="104"/>
      <c r="L263" s="104"/>
      <c r="M263" s="174">
        <f>IF(Tabelle132456[[#This Row],[Pulled after Start]]="",MIN(Tabelle132456[[#This Row],[Jira Story Points]],Tabelle132456[[#This Row],[Carry-over]]),0)</f>
        <v>0</v>
      </c>
      <c r="N263" s="173">
        <f>MIN(Tabelle132456[[#This Row],[Jira Story Points]],Tabelle132456[[#This Row],[Carry-over]])-Tabelle132456[[#This Row],[SP Initially Planned (COS)]]</f>
        <v>0</v>
      </c>
      <c r="O26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63" s="173">
        <f>IFERROR(IF(Tabelle132456[[#This Row],[Status]]=$I$5,MIN(Tabelle132456[[#This Row],[Jira Story Points]],Tabelle132456[[#This Row],[Carry-over]]),0),0)</f>
        <v>0</v>
      </c>
      <c r="Q263" s="173">
        <f>IFERROR(IF(Tabelle132456[[#This Row],[Status]]=$I$5,0,MIN(Tabelle132456[[#This Row],[Jira Story Points]],Tabelle132456[[#This Row],[Carry-over]])-Tabelle132456[[#This Row],[SP Completed (COS &amp; SOS)]]),0)</f>
        <v>0</v>
      </c>
    </row>
    <row r="264" spans="1:17" s="46" customFormat="1" ht="13.5" customHeight="1">
      <c r="A264" s="117"/>
      <c r="B264" s="47"/>
      <c r="C264" s="76"/>
      <c r="D264" s="76"/>
      <c r="E264" s="76"/>
      <c r="F264" s="104"/>
      <c r="G264" s="76"/>
      <c r="H264" s="83"/>
      <c r="I264" s="103"/>
      <c r="J264" s="76"/>
      <c r="K264" s="104"/>
      <c r="L264" s="104"/>
      <c r="M264" s="174">
        <f>IF(Tabelle132456[[#This Row],[Pulled after Start]]="",MIN(Tabelle132456[[#This Row],[Jira Story Points]],Tabelle132456[[#This Row],[Carry-over]]),0)</f>
        <v>0</v>
      </c>
      <c r="N264" s="173">
        <f>MIN(Tabelle132456[[#This Row],[Jira Story Points]],Tabelle132456[[#This Row],[Carry-over]])-Tabelle132456[[#This Row],[SP Initially Planned (COS)]]</f>
        <v>0</v>
      </c>
      <c r="O26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64" s="173">
        <f>IFERROR(IF(Tabelle132456[[#This Row],[Status]]=$I$5,MIN(Tabelle132456[[#This Row],[Jira Story Points]],Tabelle132456[[#This Row],[Carry-over]]),0),0)</f>
        <v>0</v>
      </c>
      <c r="Q264" s="173">
        <f>IFERROR(IF(Tabelle132456[[#This Row],[Status]]=$I$5,0,MIN(Tabelle132456[[#This Row],[Jira Story Points]],Tabelle132456[[#This Row],[Carry-over]])-Tabelle132456[[#This Row],[SP Completed (COS &amp; SOS)]]),0)</f>
        <v>0</v>
      </c>
    </row>
    <row r="265" spans="1:17" s="46" customFormat="1" ht="13.5" customHeight="1">
      <c r="A265" s="117"/>
      <c r="B265" s="47"/>
      <c r="C265" s="76"/>
      <c r="D265" s="76"/>
      <c r="E265" s="76"/>
      <c r="F265" s="104"/>
      <c r="G265" s="76"/>
      <c r="H265" s="83"/>
      <c r="I265" s="103"/>
      <c r="J265" s="76"/>
      <c r="K265" s="104"/>
      <c r="L265" s="104"/>
      <c r="M265" s="174">
        <f>IF(Tabelle132456[[#This Row],[Pulled after Start]]="",MIN(Tabelle132456[[#This Row],[Jira Story Points]],Tabelle132456[[#This Row],[Carry-over]]),0)</f>
        <v>0</v>
      </c>
      <c r="N265" s="173">
        <f>MIN(Tabelle132456[[#This Row],[Jira Story Points]],Tabelle132456[[#This Row],[Carry-over]])-Tabelle132456[[#This Row],[SP Initially Planned (COS)]]</f>
        <v>0</v>
      </c>
      <c r="O26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65" s="173">
        <f>IFERROR(IF(Tabelle132456[[#This Row],[Status]]=$I$5,MIN(Tabelle132456[[#This Row],[Jira Story Points]],Tabelle132456[[#This Row],[Carry-over]]),0),0)</f>
        <v>0</v>
      </c>
      <c r="Q265" s="173">
        <f>IFERROR(IF(Tabelle132456[[#This Row],[Status]]=$I$5,0,MIN(Tabelle132456[[#This Row],[Jira Story Points]],Tabelle132456[[#This Row],[Carry-over]])-Tabelle132456[[#This Row],[SP Completed (COS &amp; SOS)]]),0)</f>
        <v>0</v>
      </c>
    </row>
    <row r="266" spans="1:17" s="46" customFormat="1" ht="13.5" customHeight="1">
      <c r="A266" s="117"/>
      <c r="B266" s="47"/>
      <c r="C266" s="76"/>
      <c r="D266" s="76"/>
      <c r="E266" s="76"/>
      <c r="F266" s="104"/>
      <c r="G266" s="76"/>
      <c r="H266" s="83"/>
      <c r="I266" s="103"/>
      <c r="J266" s="76"/>
      <c r="K266" s="104"/>
      <c r="L266" s="104"/>
      <c r="M266" s="174">
        <f>IF(Tabelle132456[[#This Row],[Pulled after Start]]="",MIN(Tabelle132456[[#This Row],[Jira Story Points]],Tabelle132456[[#This Row],[Carry-over]]),0)</f>
        <v>0</v>
      </c>
      <c r="N266" s="173">
        <f>MIN(Tabelle132456[[#This Row],[Jira Story Points]],Tabelle132456[[#This Row],[Carry-over]])-Tabelle132456[[#This Row],[SP Initially Planned (COS)]]</f>
        <v>0</v>
      </c>
      <c r="O26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66" s="173">
        <f>IFERROR(IF(Tabelle132456[[#This Row],[Status]]=$I$5,MIN(Tabelle132456[[#This Row],[Jira Story Points]],Tabelle132456[[#This Row],[Carry-over]]),0),0)</f>
        <v>0</v>
      </c>
      <c r="Q266" s="173">
        <f>IFERROR(IF(Tabelle132456[[#This Row],[Status]]=$I$5,0,MIN(Tabelle132456[[#This Row],[Jira Story Points]],Tabelle132456[[#This Row],[Carry-over]])-Tabelle132456[[#This Row],[SP Completed (COS &amp; SOS)]]),0)</f>
        <v>0</v>
      </c>
    </row>
    <row r="267" spans="1:17" s="46" customFormat="1" ht="13.5" customHeight="1">
      <c r="A267" s="117"/>
      <c r="B267" s="47"/>
      <c r="C267" s="76"/>
      <c r="D267" s="76"/>
      <c r="E267" s="76"/>
      <c r="F267" s="104"/>
      <c r="G267" s="76"/>
      <c r="H267" s="83"/>
      <c r="I267" s="103"/>
      <c r="J267" s="76"/>
      <c r="K267" s="104"/>
      <c r="L267" s="104"/>
      <c r="M267" s="174">
        <f>IF(Tabelle132456[[#This Row],[Pulled after Start]]="",MIN(Tabelle132456[[#This Row],[Jira Story Points]],Tabelle132456[[#This Row],[Carry-over]]),0)</f>
        <v>0</v>
      </c>
      <c r="N267" s="173">
        <f>MIN(Tabelle132456[[#This Row],[Jira Story Points]],Tabelle132456[[#This Row],[Carry-over]])-Tabelle132456[[#This Row],[SP Initially Planned (COS)]]</f>
        <v>0</v>
      </c>
      <c r="O26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67" s="173">
        <f>IFERROR(IF(Tabelle132456[[#This Row],[Status]]=$I$5,MIN(Tabelle132456[[#This Row],[Jira Story Points]],Tabelle132456[[#This Row],[Carry-over]]),0),0)</f>
        <v>0</v>
      </c>
      <c r="Q267" s="173">
        <f>IFERROR(IF(Tabelle132456[[#This Row],[Status]]=$I$5,0,MIN(Tabelle132456[[#This Row],[Jira Story Points]],Tabelle132456[[#This Row],[Carry-over]])-Tabelle132456[[#This Row],[SP Completed (COS &amp; SOS)]]),0)</f>
        <v>0</v>
      </c>
    </row>
    <row r="268" spans="1:17" s="46" customFormat="1" ht="13.5" customHeight="1">
      <c r="A268" s="117"/>
      <c r="B268" s="47"/>
      <c r="C268" s="76"/>
      <c r="D268" s="76"/>
      <c r="E268" s="76"/>
      <c r="F268" s="104"/>
      <c r="G268" s="76"/>
      <c r="H268" s="83"/>
      <c r="I268" s="103"/>
      <c r="J268" s="76"/>
      <c r="K268" s="104"/>
      <c r="L268" s="104"/>
      <c r="M268" s="174">
        <f>IF(Tabelle132456[[#This Row],[Pulled after Start]]="",MIN(Tabelle132456[[#This Row],[Jira Story Points]],Tabelle132456[[#This Row],[Carry-over]]),0)</f>
        <v>0</v>
      </c>
      <c r="N268" s="173">
        <f>MIN(Tabelle132456[[#This Row],[Jira Story Points]],Tabelle132456[[#This Row],[Carry-over]])-Tabelle132456[[#This Row],[SP Initially Planned (COS)]]</f>
        <v>0</v>
      </c>
      <c r="O26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68" s="173">
        <f>IFERROR(IF(Tabelle132456[[#This Row],[Status]]=$I$5,MIN(Tabelle132456[[#This Row],[Jira Story Points]],Tabelle132456[[#This Row],[Carry-over]]),0),0)</f>
        <v>0</v>
      </c>
      <c r="Q268" s="173">
        <f>IFERROR(IF(Tabelle132456[[#This Row],[Status]]=$I$5,0,MIN(Tabelle132456[[#This Row],[Jira Story Points]],Tabelle132456[[#This Row],[Carry-over]])-Tabelle132456[[#This Row],[SP Completed (COS &amp; SOS)]]),0)</f>
        <v>0</v>
      </c>
    </row>
    <row r="269" spans="1:17" s="46" customFormat="1" ht="13.5" customHeight="1">
      <c r="A269" s="117"/>
      <c r="B269" s="47"/>
      <c r="C269" s="76"/>
      <c r="D269" s="76"/>
      <c r="E269" s="76"/>
      <c r="F269" s="104"/>
      <c r="G269" s="76"/>
      <c r="H269" s="83"/>
      <c r="I269" s="103"/>
      <c r="J269" s="76"/>
      <c r="K269" s="104"/>
      <c r="L269" s="104"/>
      <c r="M269" s="174">
        <f>IF(Tabelle132456[[#This Row],[Pulled after Start]]="",MIN(Tabelle132456[[#This Row],[Jira Story Points]],Tabelle132456[[#This Row],[Carry-over]]),0)</f>
        <v>0</v>
      </c>
      <c r="N269" s="173">
        <f>MIN(Tabelle132456[[#This Row],[Jira Story Points]],Tabelle132456[[#This Row],[Carry-over]])-Tabelle132456[[#This Row],[SP Initially Planned (COS)]]</f>
        <v>0</v>
      </c>
      <c r="O26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69" s="173">
        <f>IFERROR(IF(Tabelle132456[[#This Row],[Status]]=$I$5,MIN(Tabelle132456[[#This Row],[Jira Story Points]],Tabelle132456[[#This Row],[Carry-over]]),0),0)</f>
        <v>0</v>
      </c>
      <c r="Q269" s="173">
        <f>IFERROR(IF(Tabelle132456[[#This Row],[Status]]=$I$5,0,MIN(Tabelle132456[[#This Row],[Jira Story Points]],Tabelle132456[[#This Row],[Carry-over]])-Tabelle132456[[#This Row],[SP Completed (COS &amp; SOS)]]),0)</f>
        <v>0</v>
      </c>
    </row>
    <row r="270" spans="1:17" s="46" customFormat="1" ht="13.5" customHeight="1">
      <c r="A270" s="117"/>
      <c r="B270" s="47"/>
      <c r="C270" s="76"/>
      <c r="D270" s="76"/>
      <c r="E270" s="76"/>
      <c r="F270" s="104"/>
      <c r="G270" s="76"/>
      <c r="H270" s="83"/>
      <c r="I270" s="103"/>
      <c r="J270" s="76"/>
      <c r="K270" s="104"/>
      <c r="L270" s="104"/>
      <c r="M270" s="174">
        <f>IF(Tabelle132456[[#This Row],[Pulled after Start]]="",MIN(Tabelle132456[[#This Row],[Jira Story Points]],Tabelle132456[[#This Row],[Carry-over]]),0)</f>
        <v>0</v>
      </c>
      <c r="N270" s="173">
        <f>MIN(Tabelle132456[[#This Row],[Jira Story Points]],Tabelle132456[[#This Row],[Carry-over]])-Tabelle132456[[#This Row],[SP Initially Planned (COS)]]</f>
        <v>0</v>
      </c>
      <c r="O27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70" s="173">
        <f>IFERROR(IF(Tabelle132456[[#This Row],[Status]]=$I$5,MIN(Tabelle132456[[#This Row],[Jira Story Points]],Tabelle132456[[#This Row],[Carry-over]]),0),0)</f>
        <v>0</v>
      </c>
      <c r="Q270" s="173">
        <f>IFERROR(IF(Tabelle132456[[#This Row],[Status]]=$I$5,0,MIN(Tabelle132456[[#This Row],[Jira Story Points]],Tabelle132456[[#This Row],[Carry-over]])-Tabelle132456[[#This Row],[SP Completed (COS &amp; SOS)]]),0)</f>
        <v>0</v>
      </c>
    </row>
    <row r="271" spans="1:17" s="46" customFormat="1" ht="13.5" customHeight="1">
      <c r="A271" s="117"/>
      <c r="B271" s="47"/>
      <c r="C271" s="76"/>
      <c r="D271" s="76"/>
      <c r="E271" s="76"/>
      <c r="F271" s="104"/>
      <c r="G271" s="76"/>
      <c r="H271" s="83"/>
      <c r="I271" s="103"/>
      <c r="J271" s="76"/>
      <c r="K271" s="104"/>
      <c r="L271" s="104"/>
      <c r="M271" s="174">
        <f>IF(Tabelle132456[[#This Row],[Pulled after Start]]="",MIN(Tabelle132456[[#This Row],[Jira Story Points]],Tabelle132456[[#This Row],[Carry-over]]),0)</f>
        <v>0</v>
      </c>
      <c r="N271" s="173">
        <f>MIN(Tabelle132456[[#This Row],[Jira Story Points]],Tabelle132456[[#This Row],[Carry-over]])-Tabelle132456[[#This Row],[SP Initially Planned (COS)]]</f>
        <v>0</v>
      </c>
      <c r="O27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71" s="173">
        <f>IFERROR(IF(Tabelle132456[[#This Row],[Status]]=$I$5,MIN(Tabelle132456[[#This Row],[Jira Story Points]],Tabelle132456[[#This Row],[Carry-over]]),0),0)</f>
        <v>0</v>
      </c>
      <c r="Q271" s="173">
        <f>IFERROR(IF(Tabelle132456[[#This Row],[Status]]=$I$5,0,MIN(Tabelle132456[[#This Row],[Jira Story Points]],Tabelle132456[[#This Row],[Carry-over]])-Tabelle132456[[#This Row],[SP Completed (COS &amp; SOS)]]),0)</f>
        <v>0</v>
      </c>
    </row>
    <row r="272" spans="1:17" s="46" customFormat="1" ht="13.5" customHeight="1">
      <c r="A272" s="117"/>
      <c r="B272" s="47"/>
      <c r="C272" s="76"/>
      <c r="D272" s="76"/>
      <c r="E272" s="76"/>
      <c r="F272" s="104"/>
      <c r="G272" s="76"/>
      <c r="H272" s="83"/>
      <c r="I272" s="103"/>
      <c r="J272" s="76"/>
      <c r="K272" s="104"/>
      <c r="L272" s="104"/>
      <c r="M272" s="174">
        <f>IF(Tabelle132456[[#This Row],[Pulled after Start]]="",MIN(Tabelle132456[[#This Row],[Jira Story Points]],Tabelle132456[[#This Row],[Carry-over]]),0)</f>
        <v>0</v>
      </c>
      <c r="N272" s="173">
        <f>MIN(Tabelle132456[[#This Row],[Jira Story Points]],Tabelle132456[[#This Row],[Carry-over]])-Tabelle132456[[#This Row],[SP Initially Planned (COS)]]</f>
        <v>0</v>
      </c>
      <c r="O27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72" s="173">
        <f>IFERROR(IF(Tabelle132456[[#This Row],[Status]]=$I$5,MIN(Tabelle132456[[#This Row],[Jira Story Points]],Tabelle132456[[#This Row],[Carry-over]]),0),0)</f>
        <v>0</v>
      </c>
      <c r="Q272" s="173">
        <f>IFERROR(IF(Tabelle132456[[#This Row],[Status]]=$I$5,0,MIN(Tabelle132456[[#This Row],[Jira Story Points]],Tabelle132456[[#This Row],[Carry-over]])-Tabelle132456[[#This Row],[SP Completed (COS &amp; SOS)]]),0)</f>
        <v>0</v>
      </c>
    </row>
    <row r="273" spans="1:17" s="46" customFormat="1" ht="13.5" customHeight="1">
      <c r="A273" s="117"/>
      <c r="B273" s="47"/>
      <c r="C273" s="76"/>
      <c r="D273" s="76"/>
      <c r="E273" s="76"/>
      <c r="F273" s="104"/>
      <c r="G273" s="76"/>
      <c r="H273" s="83"/>
      <c r="I273" s="103"/>
      <c r="J273" s="76"/>
      <c r="K273" s="104"/>
      <c r="L273" s="104"/>
      <c r="M273" s="174">
        <f>IF(Tabelle132456[[#This Row],[Pulled after Start]]="",MIN(Tabelle132456[[#This Row],[Jira Story Points]],Tabelle132456[[#This Row],[Carry-over]]),0)</f>
        <v>0</v>
      </c>
      <c r="N273" s="173">
        <f>MIN(Tabelle132456[[#This Row],[Jira Story Points]],Tabelle132456[[#This Row],[Carry-over]])-Tabelle132456[[#This Row],[SP Initially Planned (COS)]]</f>
        <v>0</v>
      </c>
      <c r="O27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73" s="173">
        <f>IFERROR(IF(Tabelle132456[[#This Row],[Status]]=$I$5,MIN(Tabelle132456[[#This Row],[Jira Story Points]],Tabelle132456[[#This Row],[Carry-over]]),0),0)</f>
        <v>0</v>
      </c>
      <c r="Q273" s="173">
        <f>IFERROR(IF(Tabelle132456[[#This Row],[Status]]=$I$5,0,MIN(Tabelle132456[[#This Row],[Jira Story Points]],Tabelle132456[[#This Row],[Carry-over]])-Tabelle132456[[#This Row],[SP Completed (COS &amp; SOS)]]),0)</f>
        <v>0</v>
      </c>
    </row>
    <row r="274" spans="1:17" s="46" customFormat="1" ht="13.5" customHeight="1">
      <c r="A274" s="117"/>
      <c r="B274" s="47"/>
      <c r="C274" s="76"/>
      <c r="D274" s="76"/>
      <c r="E274" s="76"/>
      <c r="F274" s="104"/>
      <c r="G274" s="76"/>
      <c r="H274" s="83"/>
      <c r="I274" s="103"/>
      <c r="J274" s="76"/>
      <c r="K274" s="104"/>
      <c r="L274" s="104"/>
      <c r="M274" s="174">
        <f>IF(Tabelle132456[[#This Row],[Pulled after Start]]="",MIN(Tabelle132456[[#This Row],[Jira Story Points]],Tabelle132456[[#This Row],[Carry-over]]),0)</f>
        <v>0</v>
      </c>
      <c r="N274" s="173">
        <f>MIN(Tabelle132456[[#This Row],[Jira Story Points]],Tabelle132456[[#This Row],[Carry-over]])-Tabelle132456[[#This Row],[SP Initially Planned (COS)]]</f>
        <v>0</v>
      </c>
      <c r="O27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74" s="173">
        <f>IFERROR(IF(Tabelle132456[[#This Row],[Status]]=$I$5,MIN(Tabelle132456[[#This Row],[Jira Story Points]],Tabelle132456[[#This Row],[Carry-over]]),0),0)</f>
        <v>0</v>
      </c>
      <c r="Q274" s="173">
        <f>IFERROR(IF(Tabelle132456[[#This Row],[Status]]=$I$5,0,MIN(Tabelle132456[[#This Row],[Jira Story Points]],Tabelle132456[[#This Row],[Carry-over]])-Tabelle132456[[#This Row],[SP Completed (COS &amp; SOS)]]),0)</f>
        <v>0</v>
      </c>
    </row>
    <row r="275" spans="1:17" s="46" customFormat="1" ht="13.5" customHeight="1">
      <c r="A275" s="117"/>
      <c r="B275" s="47"/>
      <c r="C275" s="76"/>
      <c r="D275" s="76"/>
      <c r="E275" s="76"/>
      <c r="F275" s="104"/>
      <c r="G275" s="76"/>
      <c r="H275" s="83"/>
      <c r="I275" s="103"/>
      <c r="J275" s="76"/>
      <c r="K275" s="104"/>
      <c r="L275" s="104"/>
      <c r="M275" s="174">
        <f>IF(Tabelle132456[[#This Row],[Pulled after Start]]="",MIN(Tabelle132456[[#This Row],[Jira Story Points]],Tabelle132456[[#This Row],[Carry-over]]),0)</f>
        <v>0</v>
      </c>
      <c r="N275" s="173">
        <f>MIN(Tabelle132456[[#This Row],[Jira Story Points]],Tabelle132456[[#This Row],[Carry-over]])-Tabelle132456[[#This Row],[SP Initially Planned (COS)]]</f>
        <v>0</v>
      </c>
      <c r="O27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75" s="173">
        <f>IFERROR(IF(Tabelle132456[[#This Row],[Status]]=$I$5,MIN(Tabelle132456[[#This Row],[Jira Story Points]],Tabelle132456[[#This Row],[Carry-over]]),0),0)</f>
        <v>0</v>
      </c>
      <c r="Q275" s="173">
        <f>IFERROR(IF(Tabelle132456[[#This Row],[Status]]=$I$5,0,MIN(Tabelle132456[[#This Row],[Jira Story Points]],Tabelle132456[[#This Row],[Carry-over]])-Tabelle132456[[#This Row],[SP Completed (COS &amp; SOS)]]),0)</f>
        <v>0</v>
      </c>
    </row>
    <row r="276" spans="1:17" s="46" customFormat="1" ht="13.5" customHeight="1">
      <c r="A276" s="117"/>
      <c r="B276" s="47"/>
      <c r="C276" s="76"/>
      <c r="D276" s="76"/>
      <c r="E276" s="76"/>
      <c r="F276" s="104"/>
      <c r="G276" s="76"/>
      <c r="H276" s="83"/>
      <c r="I276" s="103"/>
      <c r="J276" s="76"/>
      <c r="K276" s="104"/>
      <c r="L276" s="104"/>
      <c r="M276" s="174">
        <f>IF(Tabelle132456[[#This Row],[Pulled after Start]]="",MIN(Tabelle132456[[#This Row],[Jira Story Points]],Tabelle132456[[#This Row],[Carry-over]]),0)</f>
        <v>0</v>
      </c>
      <c r="N276" s="173">
        <f>MIN(Tabelle132456[[#This Row],[Jira Story Points]],Tabelle132456[[#This Row],[Carry-over]])-Tabelle132456[[#This Row],[SP Initially Planned (COS)]]</f>
        <v>0</v>
      </c>
      <c r="O27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76" s="173">
        <f>IFERROR(IF(Tabelle132456[[#This Row],[Status]]=$I$5,MIN(Tabelle132456[[#This Row],[Jira Story Points]],Tabelle132456[[#This Row],[Carry-over]]),0),0)</f>
        <v>0</v>
      </c>
      <c r="Q276" s="173">
        <f>IFERROR(IF(Tabelle132456[[#This Row],[Status]]=$I$5,0,MIN(Tabelle132456[[#This Row],[Jira Story Points]],Tabelle132456[[#This Row],[Carry-over]])-Tabelle132456[[#This Row],[SP Completed (COS &amp; SOS)]]),0)</f>
        <v>0</v>
      </c>
    </row>
    <row r="277" spans="1:17" s="46" customFormat="1" ht="13.5" customHeight="1">
      <c r="A277" s="117"/>
      <c r="B277" s="47"/>
      <c r="C277" s="76"/>
      <c r="D277" s="76"/>
      <c r="E277" s="76"/>
      <c r="F277" s="104"/>
      <c r="G277" s="76"/>
      <c r="H277" s="83"/>
      <c r="I277" s="103"/>
      <c r="J277" s="76"/>
      <c r="K277" s="104"/>
      <c r="L277" s="104"/>
      <c r="M277" s="174">
        <f>IF(Tabelle132456[[#This Row],[Pulled after Start]]="",MIN(Tabelle132456[[#This Row],[Jira Story Points]],Tabelle132456[[#This Row],[Carry-over]]),0)</f>
        <v>0</v>
      </c>
      <c r="N277" s="173">
        <f>MIN(Tabelle132456[[#This Row],[Jira Story Points]],Tabelle132456[[#This Row],[Carry-over]])-Tabelle132456[[#This Row],[SP Initially Planned (COS)]]</f>
        <v>0</v>
      </c>
      <c r="O27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77" s="173">
        <f>IFERROR(IF(Tabelle132456[[#This Row],[Status]]=$I$5,MIN(Tabelle132456[[#This Row],[Jira Story Points]],Tabelle132456[[#This Row],[Carry-over]]),0),0)</f>
        <v>0</v>
      </c>
      <c r="Q277" s="173">
        <f>IFERROR(IF(Tabelle132456[[#This Row],[Status]]=$I$5,0,MIN(Tabelle132456[[#This Row],[Jira Story Points]],Tabelle132456[[#This Row],[Carry-over]])-Tabelle132456[[#This Row],[SP Completed (COS &amp; SOS)]]),0)</f>
        <v>0</v>
      </c>
    </row>
    <row r="278" spans="1:17" s="46" customFormat="1" ht="13.5" customHeight="1">
      <c r="A278" s="117"/>
      <c r="B278" s="47"/>
      <c r="C278" s="76"/>
      <c r="D278" s="76"/>
      <c r="E278" s="76"/>
      <c r="F278" s="104"/>
      <c r="G278" s="76"/>
      <c r="H278" s="83"/>
      <c r="I278" s="103"/>
      <c r="J278" s="76"/>
      <c r="K278" s="104"/>
      <c r="L278" s="104"/>
      <c r="M278" s="174">
        <f>IF(Tabelle132456[[#This Row],[Pulled after Start]]="",MIN(Tabelle132456[[#This Row],[Jira Story Points]],Tabelle132456[[#This Row],[Carry-over]]),0)</f>
        <v>0</v>
      </c>
      <c r="N278" s="173">
        <f>MIN(Tabelle132456[[#This Row],[Jira Story Points]],Tabelle132456[[#This Row],[Carry-over]])-Tabelle132456[[#This Row],[SP Initially Planned (COS)]]</f>
        <v>0</v>
      </c>
      <c r="O27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78" s="173">
        <f>IFERROR(IF(Tabelle132456[[#This Row],[Status]]=$I$5,MIN(Tabelle132456[[#This Row],[Jira Story Points]],Tabelle132456[[#This Row],[Carry-over]]),0),0)</f>
        <v>0</v>
      </c>
      <c r="Q278" s="173">
        <f>IFERROR(IF(Tabelle132456[[#This Row],[Status]]=$I$5,0,MIN(Tabelle132456[[#This Row],[Jira Story Points]],Tabelle132456[[#This Row],[Carry-over]])-Tabelle132456[[#This Row],[SP Completed (COS &amp; SOS)]]),0)</f>
        <v>0</v>
      </c>
    </row>
    <row r="279" spans="1:17" s="46" customFormat="1" ht="13.5" customHeight="1">
      <c r="A279" s="117"/>
      <c r="B279" s="47"/>
      <c r="C279" s="76"/>
      <c r="D279" s="76"/>
      <c r="E279" s="76"/>
      <c r="F279" s="104"/>
      <c r="G279" s="76"/>
      <c r="H279" s="83"/>
      <c r="I279" s="103"/>
      <c r="J279" s="76"/>
      <c r="K279" s="104"/>
      <c r="L279" s="104"/>
      <c r="M279" s="174">
        <f>IF(Tabelle132456[[#This Row],[Pulled after Start]]="",MIN(Tabelle132456[[#This Row],[Jira Story Points]],Tabelle132456[[#This Row],[Carry-over]]),0)</f>
        <v>0</v>
      </c>
      <c r="N279" s="173">
        <f>MIN(Tabelle132456[[#This Row],[Jira Story Points]],Tabelle132456[[#This Row],[Carry-over]])-Tabelle132456[[#This Row],[SP Initially Planned (COS)]]</f>
        <v>0</v>
      </c>
      <c r="O27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79" s="173">
        <f>IFERROR(IF(Tabelle132456[[#This Row],[Status]]=$I$5,MIN(Tabelle132456[[#This Row],[Jira Story Points]],Tabelle132456[[#This Row],[Carry-over]]),0),0)</f>
        <v>0</v>
      </c>
      <c r="Q279" s="173">
        <f>IFERROR(IF(Tabelle132456[[#This Row],[Status]]=$I$5,0,MIN(Tabelle132456[[#This Row],[Jira Story Points]],Tabelle132456[[#This Row],[Carry-over]])-Tabelle132456[[#This Row],[SP Completed (COS &amp; SOS)]]),0)</f>
        <v>0</v>
      </c>
    </row>
    <row r="280" spans="1:17" s="46" customFormat="1" ht="13.5" customHeight="1">
      <c r="A280" s="117"/>
      <c r="B280" s="47"/>
      <c r="C280" s="76"/>
      <c r="D280" s="76"/>
      <c r="E280" s="76"/>
      <c r="F280" s="104"/>
      <c r="G280" s="76"/>
      <c r="H280" s="83"/>
      <c r="I280" s="103"/>
      <c r="J280" s="76"/>
      <c r="K280" s="104"/>
      <c r="L280" s="104"/>
      <c r="M280" s="174">
        <f>IF(Tabelle132456[[#This Row],[Pulled after Start]]="",MIN(Tabelle132456[[#This Row],[Jira Story Points]],Tabelle132456[[#This Row],[Carry-over]]),0)</f>
        <v>0</v>
      </c>
      <c r="N280" s="173">
        <f>MIN(Tabelle132456[[#This Row],[Jira Story Points]],Tabelle132456[[#This Row],[Carry-over]])-Tabelle132456[[#This Row],[SP Initially Planned (COS)]]</f>
        <v>0</v>
      </c>
      <c r="O28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80" s="173">
        <f>IFERROR(IF(Tabelle132456[[#This Row],[Status]]=$I$5,MIN(Tabelle132456[[#This Row],[Jira Story Points]],Tabelle132456[[#This Row],[Carry-over]]),0),0)</f>
        <v>0</v>
      </c>
      <c r="Q280" s="173">
        <f>IFERROR(IF(Tabelle132456[[#This Row],[Status]]=$I$5,0,MIN(Tabelle132456[[#This Row],[Jira Story Points]],Tabelle132456[[#This Row],[Carry-over]])-Tabelle132456[[#This Row],[SP Completed (COS &amp; SOS)]]),0)</f>
        <v>0</v>
      </c>
    </row>
    <row r="281" spans="1:17" s="46" customFormat="1" ht="13.5" customHeight="1">
      <c r="A281" s="117"/>
      <c r="B281" s="47"/>
      <c r="C281" s="76"/>
      <c r="D281" s="76"/>
      <c r="E281" s="76"/>
      <c r="F281" s="104"/>
      <c r="G281" s="76"/>
      <c r="H281" s="83"/>
      <c r="I281" s="103"/>
      <c r="J281" s="76"/>
      <c r="K281" s="104"/>
      <c r="L281" s="104"/>
      <c r="M281" s="174">
        <f>IF(Tabelle132456[[#This Row],[Pulled after Start]]="",MIN(Tabelle132456[[#This Row],[Jira Story Points]],Tabelle132456[[#This Row],[Carry-over]]),0)</f>
        <v>0</v>
      </c>
      <c r="N281" s="173">
        <f>MIN(Tabelle132456[[#This Row],[Jira Story Points]],Tabelle132456[[#This Row],[Carry-over]])-Tabelle132456[[#This Row],[SP Initially Planned (COS)]]</f>
        <v>0</v>
      </c>
      <c r="O28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81" s="173">
        <f>IFERROR(IF(Tabelle132456[[#This Row],[Status]]=$I$5,MIN(Tabelle132456[[#This Row],[Jira Story Points]],Tabelle132456[[#This Row],[Carry-over]]),0),0)</f>
        <v>0</v>
      </c>
      <c r="Q281" s="173">
        <f>IFERROR(IF(Tabelle132456[[#This Row],[Status]]=$I$5,0,MIN(Tabelle132456[[#This Row],[Jira Story Points]],Tabelle132456[[#This Row],[Carry-over]])-Tabelle132456[[#This Row],[SP Completed (COS &amp; SOS)]]),0)</f>
        <v>0</v>
      </c>
    </row>
    <row r="282" spans="1:17" s="46" customFormat="1" ht="13.5" customHeight="1">
      <c r="A282" s="117"/>
      <c r="B282" s="47"/>
      <c r="C282" s="76"/>
      <c r="D282" s="76"/>
      <c r="E282" s="76"/>
      <c r="F282" s="104"/>
      <c r="G282" s="76"/>
      <c r="H282" s="83"/>
      <c r="I282" s="103"/>
      <c r="J282" s="76"/>
      <c r="K282" s="104"/>
      <c r="L282" s="104"/>
      <c r="M282" s="174">
        <f>IF(Tabelle132456[[#This Row],[Pulled after Start]]="",MIN(Tabelle132456[[#This Row],[Jira Story Points]],Tabelle132456[[#This Row],[Carry-over]]),0)</f>
        <v>0</v>
      </c>
      <c r="N282" s="173">
        <f>MIN(Tabelle132456[[#This Row],[Jira Story Points]],Tabelle132456[[#This Row],[Carry-over]])-Tabelle132456[[#This Row],[SP Initially Planned (COS)]]</f>
        <v>0</v>
      </c>
      <c r="O28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82" s="173">
        <f>IFERROR(IF(Tabelle132456[[#This Row],[Status]]=$I$5,MIN(Tabelle132456[[#This Row],[Jira Story Points]],Tabelle132456[[#This Row],[Carry-over]]),0),0)</f>
        <v>0</v>
      </c>
      <c r="Q282" s="173">
        <f>IFERROR(IF(Tabelle132456[[#This Row],[Status]]=$I$5,0,MIN(Tabelle132456[[#This Row],[Jira Story Points]],Tabelle132456[[#This Row],[Carry-over]])-Tabelle132456[[#This Row],[SP Completed (COS &amp; SOS)]]),0)</f>
        <v>0</v>
      </c>
    </row>
    <row r="283" spans="1:17" s="46" customFormat="1" ht="13.5" customHeight="1">
      <c r="A283" s="117"/>
      <c r="B283" s="47"/>
      <c r="C283" s="76"/>
      <c r="D283" s="76"/>
      <c r="E283" s="76"/>
      <c r="F283" s="104"/>
      <c r="G283" s="76"/>
      <c r="H283" s="83"/>
      <c r="I283" s="103"/>
      <c r="J283" s="76"/>
      <c r="K283" s="104"/>
      <c r="L283" s="104"/>
      <c r="M283" s="174">
        <f>IF(Tabelle132456[[#This Row],[Pulled after Start]]="",MIN(Tabelle132456[[#This Row],[Jira Story Points]],Tabelle132456[[#This Row],[Carry-over]]),0)</f>
        <v>0</v>
      </c>
      <c r="N283" s="173">
        <f>MIN(Tabelle132456[[#This Row],[Jira Story Points]],Tabelle132456[[#This Row],[Carry-over]])-Tabelle132456[[#This Row],[SP Initially Planned (COS)]]</f>
        <v>0</v>
      </c>
      <c r="O28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83" s="173">
        <f>IFERROR(IF(Tabelle132456[[#This Row],[Status]]=$I$5,MIN(Tabelle132456[[#This Row],[Jira Story Points]],Tabelle132456[[#This Row],[Carry-over]]),0),0)</f>
        <v>0</v>
      </c>
      <c r="Q283" s="173">
        <f>IFERROR(IF(Tabelle132456[[#This Row],[Status]]=$I$5,0,MIN(Tabelle132456[[#This Row],[Jira Story Points]],Tabelle132456[[#This Row],[Carry-over]])-Tabelle132456[[#This Row],[SP Completed (COS &amp; SOS)]]),0)</f>
        <v>0</v>
      </c>
    </row>
    <row r="284" spans="1:17" s="46" customFormat="1" ht="13.5" customHeight="1">
      <c r="A284" s="117"/>
      <c r="B284" s="47"/>
      <c r="C284" s="76"/>
      <c r="D284" s="76"/>
      <c r="E284" s="76"/>
      <c r="F284" s="104"/>
      <c r="G284" s="76"/>
      <c r="H284" s="83"/>
      <c r="I284" s="103"/>
      <c r="J284" s="76"/>
      <c r="K284" s="104"/>
      <c r="L284" s="104"/>
      <c r="M284" s="174">
        <f>IF(Tabelle132456[[#This Row],[Pulled after Start]]="",MIN(Tabelle132456[[#This Row],[Jira Story Points]],Tabelle132456[[#This Row],[Carry-over]]),0)</f>
        <v>0</v>
      </c>
      <c r="N284" s="173">
        <f>MIN(Tabelle132456[[#This Row],[Jira Story Points]],Tabelle132456[[#This Row],[Carry-over]])-Tabelle132456[[#This Row],[SP Initially Planned (COS)]]</f>
        <v>0</v>
      </c>
      <c r="O28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84" s="173">
        <f>IFERROR(IF(Tabelle132456[[#This Row],[Status]]=$I$5,MIN(Tabelle132456[[#This Row],[Jira Story Points]],Tabelle132456[[#This Row],[Carry-over]]),0),0)</f>
        <v>0</v>
      </c>
      <c r="Q284" s="173">
        <f>IFERROR(IF(Tabelle132456[[#This Row],[Status]]=$I$5,0,MIN(Tabelle132456[[#This Row],[Jira Story Points]],Tabelle132456[[#This Row],[Carry-over]])-Tabelle132456[[#This Row],[SP Completed (COS &amp; SOS)]]),0)</f>
        <v>0</v>
      </c>
    </row>
    <row r="285" spans="1:17" s="46" customFormat="1" ht="13.5" customHeight="1">
      <c r="A285" s="117"/>
      <c r="B285" s="47"/>
      <c r="C285" s="76"/>
      <c r="D285" s="76"/>
      <c r="E285" s="76"/>
      <c r="F285" s="104"/>
      <c r="G285" s="76"/>
      <c r="H285" s="83"/>
      <c r="I285" s="103"/>
      <c r="J285" s="76"/>
      <c r="K285" s="104"/>
      <c r="L285" s="104"/>
      <c r="M285" s="174">
        <f>IF(Tabelle132456[[#This Row],[Pulled after Start]]="",MIN(Tabelle132456[[#This Row],[Jira Story Points]],Tabelle132456[[#This Row],[Carry-over]]),0)</f>
        <v>0</v>
      </c>
      <c r="N285" s="173">
        <f>MIN(Tabelle132456[[#This Row],[Jira Story Points]],Tabelle132456[[#This Row],[Carry-over]])-Tabelle132456[[#This Row],[SP Initially Planned (COS)]]</f>
        <v>0</v>
      </c>
      <c r="O28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85" s="173">
        <f>IFERROR(IF(Tabelle132456[[#This Row],[Status]]=$I$5,MIN(Tabelle132456[[#This Row],[Jira Story Points]],Tabelle132456[[#This Row],[Carry-over]]),0),0)</f>
        <v>0</v>
      </c>
      <c r="Q285" s="173">
        <f>IFERROR(IF(Tabelle132456[[#This Row],[Status]]=$I$5,0,MIN(Tabelle132456[[#This Row],[Jira Story Points]],Tabelle132456[[#This Row],[Carry-over]])-Tabelle132456[[#This Row],[SP Completed (COS &amp; SOS)]]),0)</f>
        <v>0</v>
      </c>
    </row>
    <row r="286" spans="1:17" s="46" customFormat="1" ht="13.5" customHeight="1">
      <c r="A286" s="117"/>
      <c r="B286" s="47"/>
      <c r="C286" s="76"/>
      <c r="D286" s="76"/>
      <c r="E286" s="76"/>
      <c r="F286" s="104"/>
      <c r="G286" s="76"/>
      <c r="H286" s="83"/>
      <c r="I286" s="103"/>
      <c r="J286" s="76"/>
      <c r="K286" s="104"/>
      <c r="L286" s="104"/>
      <c r="M286" s="174">
        <f>IF(Tabelle132456[[#This Row],[Pulled after Start]]="",MIN(Tabelle132456[[#This Row],[Jira Story Points]],Tabelle132456[[#This Row],[Carry-over]]),0)</f>
        <v>0</v>
      </c>
      <c r="N286" s="173">
        <f>MIN(Tabelle132456[[#This Row],[Jira Story Points]],Tabelle132456[[#This Row],[Carry-over]])-Tabelle132456[[#This Row],[SP Initially Planned (COS)]]</f>
        <v>0</v>
      </c>
      <c r="O28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86" s="173">
        <f>IFERROR(IF(Tabelle132456[[#This Row],[Status]]=$I$5,MIN(Tabelle132456[[#This Row],[Jira Story Points]],Tabelle132456[[#This Row],[Carry-over]]),0),0)</f>
        <v>0</v>
      </c>
      <c r="Q286" s="173">
        <f>IFERROR(IF(Tabelle132456[[#This Row],[Status]]=$I$5,0,MIN(Tabelle132456[[#This Row],[Jira Story Points]],Tabelle132456[[#This Row],[Carry-over]])-Tabelle132456[[#This Row],[SP Completed (COS &amp; SOS)]]),0)</f>
        <v>0</v>
      </c>
    </row>
    <row r="287" spans="1:17" s="46" customFormat="1" ht="13.5" customHeight="1">
      <c r="A287" s="117"/>
      <c r="B287" s="47"/>
      <c r="C287" s="76"/>
      <c r="D287" s="76"/>
      <c r="E287" s="76"/>
      <c r="F287" s="104"/>
      <c r="G287" s="76"/>
      <c r="H287" s="83"/>
      <c r="I287" s="103"/>
      <c r="J287" s="76"/>
      <c r="K287" s="104"/>
      <c r="L287" s="104"/>
      <c r="M287" s="174">
        <f>IF(Tabelle132456[[#This Row],[Pulled after Start]]="",MIN(Tabelle132456[[#This Row],[Jira Story Points]],Tabelle132456[[#This Row],[Carry-over]]),0)</f>
        <v>0</v>
      </c>
      <c r="N287" s="173">
        <f>MIN(Tabelle132456[[#This Row],[Jira Story Points]],Tabelle132456[[#This Row],[Carry-over]])-Tabelle132456[[#This Row],[SP Initially Planned (COS)]]</f>
        <v>0</v>
      </c>
      <c r="O28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87" s="173">
        <f>IFERROR(IF(Tabelle132456[[#This Row],[Status]]=$I$5,MIN(Tabelle132456[[#This Row],[Jira Story Points]],Tabelle132456[[#This Row],[Carry-over]]),0),0)</f>
        <v>0</v>
      </c>
      <c r="Q287" s="173">
        <f>IFERROR(IF(Tabelle132456[[#This Row],[Status]]=$I$5,0,MIN(Tabelle132456[[#This Row],[Jira Story Points]],Tabelle132456[[#This Row],[Carry-over]])-Tabelle132456[[#This Row],[SP Completed (COS &amp; SOS)]]),0)</f>
        <v>0</v>
      </c>
    </row>
    <row r="288" spans="1:17" s="46" customFormat="1" ht="13.5" customHeight="1">
      <c r="A288" s="117"/>
      <c r="B288" s="47"/>
      <c r="C288" s="76"/>
      <c r="D288" s="76"/>
      <c r="E288" s="76"/>
      <c r="F288" s="104"/>
      <c r="G288" s="76"/>
      <c r="H288" s="83"/>
      <c r="I288" s="103"/>
      <c r="J288" s="76"/>
      <c r="K288" s="104"/>
      <c r="L288" s="104"/>
      <c r="M288" s="174">
        <f>IF(Tabelle132456[[#This Row],[Pulled after Start]]="",MIN(Tabelle132456[[#This Row],[Jira Story Points]],Tabelle132456[[#This Row],[Carry-over]]),0)</f>
        <v>0</v>
      </c>
      <c r="N288" s="173">
        <f>MIN(Tabelle132456[[#This Row],[Jira Story Points]],Tabelle132456[[#This Row],[Carry-over]])-Tabelle132456[[#This Row],[SP Initially Planned (COS)]]</f>
        <v>0</v>
      </c>
      <c r="O28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88" s="173">
        <f>IFERROR(IF(Tabelle132456[[#This Row],[Status]]=$I$5,MIN(Tabelle132456[[#This Row],[Jira Story Points]],Tabelle132456[[#This Row],[Carry-over]]),0),0)</f>
        <v>0</v>
      </c>
      <c r="Q288" s="173">
        <f>IFERROR(IF(Tabelle132456[[#This Row],[Status]]=$I$5,0,MIN(Tabelle132456[[#This Row],[Jira Story Points]],Tabelle132456[[#This Row],[Carry-over]])-Tabelle132456[[#This Row],[SP Completed (COS &amp; SOS)]]),0)</f>
        <v>0</v>
      </c>
    </row>
    <row r="289" spans="1:17" s="46" customFormat="1" ht="13.5" customHeight="1">
      <c r="A289" s="117"/>
      <c r="B289" s="47"/>
      <c r="C289" s="76"/>
      <c r="D289" s="76"/>
      <c r="E289" s="76"/>
      <c r="F289" s="104"/>
      <c r="G289" s="76"/>
      <c r="H289" s="83"/>
      <c r="I289" s="103"/>
      <c r="J289" s="76"/>
      <c r="K289" s="104"/>
      <c r="L289" s="104"/>
      <c r="M289" s="174">
        <f>IF(Tabelle132456[[#This Row],[Pulled after Start]]="",MIN(Tabelle132456[[#This Row],[Jira Story Points]],Tabelle132456[[#This Row],[Carry-over]]),0)</f>
        <v>0</v>
      </c>
      <c r="N289" s="173">
        <f>MIN(Tabelle132456[[#This Row],[Jira Story Points]],Tabelle132456[[#This Row],[Carry-over]])-Tabelle132456[[#This Row],[SP Initially Planned (COS)]]</f>
        <v>0</v>
      </c>
      <c r="O28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89" s="173">
        <f>IFERROR(IF(Tabelle132456[[#This Row],[Status]]=$I$5,MIN(Tabelle132456[[#This Row],[Jira Story Points]],Tabelle132456[[#This Row],[Carry-over]]),0),0)</f>
        <v>0</v>
      </c>
      <c r="Q289" s="173">
        <f>IFERROR(IF(Tabelle132456[[#This Row],[Status]]=$I$5,0,MIN(Tabelle132456[[#This Row],[Jira Story Points]],Tabelle132456[[#This Row],[Carry-over]])-Tabelle132456[[#This Row],[SP Completed (COS &amp; SOS)]]),0)</f>
        <v>0</v>
      </c>
    </row>
    <row r="290" spans="1:17" s="46" customFormat="1" ht="13.5" customHeight="1">
      <c r="A290" s="117"/>
      <c r="B290" s="47"/>
      <c r="C290" s="76"/>
      <c r="D290" s="76"/>
      <c r="E290" s="76"/>
      <c r="F290" s="104"/>
      <c r="G290" s="76"/>
      <c r="H290" s="83"/>
      <c r="I290" s="103"/>
      <c r="J290" s="76"/>
      <c r="K290" s="104"/>
      <c r="L290" s="104"/>
      <c r="M290" s="174">
        <f>IF(Tabelle132456[[#This Row],[Pulled after Start]]="",MIN(Tabelle132456[[#This Row],[Jira Story Points]],Tabelle132456[[#This Row],[Carry-over]]),0)</f>
        <v>0</v>
      </c>
      <c r="N290" s="173">
        <f>MIN(Tabelle132456[[#This Row],[Jira Story Points]],Tabelle132456[[#This Row],[Carry-over]])-Tabelle132456[[#This Row],[SP Initially Planned (COS)]]</f>
        <v>0</v>
      </c>
      <c r="O29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90" s="173">
        <f>IFERROR(IF(Tabelle132456[[#This Row],[Status]]=$I$5,MIN(Tabelle132456[[#This Row],[Jira Story Points]],Tabelle132456[[#This Row],[Carry-over]]),0),0)</f>
        <v>0</v>
      </c>
      <c r="Q290" s="173">
        <f>IFERROR(IF(Tabelle132456[[#This Row],[Status]]=$I$5,0,MIN(Tabelle132456[[#This Row],[Jira Story Points]],Tabelle132456[[#This Row],[Carry-over]])-Tabelle132456[[#This Row],[SP Completed (COS &amp; SOS)]]),0)</f>
        <v>0</v>
      </c>
    </row>
    <row r="291" spans="1:17" s="46" customFormat="1" ht="13.5" customHeight="1">
      <c r="A291" s="117"/>
      <c r="B291" s="47"/>
      <c r="C291" s="76"/>
      <c r="D291" s="76"/>
      <c r="E291" s="76"/>
      <c r="F291" s="104"/>
      <c r="G291" s="76"/>
      <c r="H291" s="83"/>
      <c r="I291" s="103"/>
      <c r="J291" s="76"/>
      <c r="K291" s="104"/>
      <c r="L291" s="104"/>
      <c r="M291" s="174">
        <f>IF(Tabelle132456[[#This Row],[Pulled after Start]]="",MIN(Tabelle132456[[#This Row],[Jira Story Points]],Tabelle132456[[#This Row],[Carry-over]]),0)</f>
        <v>0</v>
      </c>
      <c r="N291" s="173">
        <f>MIN(Tabelle132456[[#This Row],[Jira Story Points]],Tabelle132456[[#This Row],[Carry-over]])-Tabelle132456[[#This Row],[SP Initially Planned (COS)]]</f>
        <v>0</v>
      </c>
      <c r="O29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91" s="173">
        <f>IFERROR(IF(Tabelle132456[[#This Row],[Status]]=$I$5,MIN(Tabelle132456[[#This Row],[Jira Story Points]],Tabelle132456[[#This Row],[Carry-over]]),0),0)</f>
        <v>0</v>
      </c>
      <c r="Q291" s="173">
        <f>IFERROR(IF(Tabelle132456[[#This Row],[Status]]=$I$5,0,MIN(Tabelle132456[[#This Row],[Jira Story Points]],Tabelle132456[[#This Row],[Carry-over]])-Tabelle132456[[#This Row],[SP Completed (COS &amp; SOS)]]),0)</f>
        <v>0</v>
      </c>
    </row>
    <row r="292" spans="1:17" s="46" customFormat="1" ht="13.5" customHeight="1">
      <c r="A292" s="117"/>
      <c r="B292" s="47"/>
      <c r="C292" s="76"/>
      <c r="D292" s="76"/>
      <c r="E292" s="76"/>
      <c r="F292" s="104"/>
      <c r="G292" s="76"/>
      <c r="H292" s="83"/>
      <c r="I292" s="103"/>
      <c r="J292" s="76"/>
      <c r="K292" s="104"/>
      <c r="L292" s="104"/>
      <c r="M292" s="174">
        <f>IF(Tabelle132456[[#This Row],[Pulled after Start]]="",MIN(Tabelle132456[[#This Row],[Jira Story Points]],Tabelle132456[[#This Row],[Carry-over]]),0)</f>
        <v>0</v>
      </c>
      <c r="N292" s="173">
        <f>MIN(Tabelle132456[[#This Row],[Jira Story Points]],Tabelle132456[[#This Row],[Carry-over]])-Tabelle132456[[#This Row],[SP Initially Planned (COS)]]</f>
        <v>0</v>
      </c>
      <c r="O29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92" s="173">
        <f>IFERROR(IF(Tabelle132456[[#This Row],[Status]]=$I$5,MIN(Tabelle132456[[#This Row],[Jira Story Points]],Tabelle132456[[#This Row],[Carry-over]]),0),0)</f>
        <v>0</v>
      </c>
      <c r="Q292" s="173">
        <f>IFERROR(IF(Tabelle132456[[#This Row],[Status]]=$I$5,0,MIN(Tabelle132456[[#This Row],[Jira Story Points]],Tabelle132456[[#This Row],[Carry-over]])-Tabelle132456[[#This Row],[SP Completed (COS &amp; SOS)]]),0)</f>
        <v>0</v>
      </c>
    </row>
    <row r="293" spans="1:17" s="46" customFormat="1" ht="13.5" customHeight="1">
      <c r="A293" s="117"/>
      <c r="B293" s="47"/>
      <c r="C293" s="76"/>
      <c r="D293" s="76"/>
      <c r="E293" s="76"/>
      <c r="F293" s="104"/>
      <c r="G293" s="76"/>
      <c r="H293" s="83"/>
      <c r="I293" s="103"/>
      <c r="J293" s="76"/>
      <c r="K293" s="104"/>
      <c r="L293" s="104"/>
      <c r="M293" s="174">
        <f>IF(Tabelle132456[[#This Row],[Pulled after Start]]="",MIN(Tabelle132456[[#This Row],[Jira Story Points]],Tabelle132456[[#This Row],[Carry-over]]),0)</f>
        <v>0</v>
      </c>
      <c r="N293" s="173">
        <f>MIN(Tabelle132456[[#This Row],[Jira Story Points]],Tabelle132456[[#This Row],[Carry-over]])-Tabelle132456[[#This Row],[SP Initially Planned (COS)]]</f>
        <v>0</v>
      </c>
      <c r="O29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93" s="173">
        <f>IFERROR(IF(Tabelle132456[[#This Row],[Status]]=$I$5,MIN(Tabelle132456[[#This Row],[Jira Story Points]],Tabelle132456[[#This Row],[Carry-over]]),0),0)</f>
        <v>0</v>
      </c>
      <c r="Q293" s="173">
        <f>IFERROR(IF(Tabelle132456[[#This Row],[Status]]=$I$5,0,MIN(Tabelle132456[[#This Row],[Jira Story Points]],Tabelle132456[[#This Row],[Carry-over]])-Tabelle132456[[#This Row],[SP Completed (COS &amp; SOS)]]),0)</f>
        <v>0</v>
      </c>
    </row>
    <row r="294" spans="1:17" s="46" customFormat="1" ht="13.5" customHeight="1">
      <c r="A294" s="117"/>
      <c r="B294" s="47"/>
      <c r="C294" s="76"/>
      <c r="D294" s="76"/>
      <c r="E294" s="76"/>
      <c r="F294" s="104"/>
      <c r="G294" s="76"/>
      <c r="H294" s="83"/>
      <c r="I294" s="103"/>
      <c r="J294" s="76"/>
      <c r="K294" s="104"/>
      <c r="L294" s="104"/>
      <c r="M294" s="174">
        <f>IF(Tabelle132456[[#This Row],[Pulled after Start]]="",MIN(Tabelle132456[[#This Row],[Jira Story Points]],Tabelle132456[[#This Row],[Carry-over]]),0)</f>
        <v>0</v>
      </c>
      <c r="N294" s="173">
        <f>MIN(Tabelle132456[[#This Row],[Jira Story Points]],Tabelle132456[[#This Row],[Carry-over]])-Tabelle132456[[#This Row],[SP Initially Planned (COS)]]</f>
        <v>0</v>
      </c>
      <c r="O29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94" s="173">
        <f>IFERROR(IF(Tabelle132456[[#This Row],[Status]]=$I$5,MIN(Tabelle132456[[#This Row],[Jira Story Points]],Tabelle132456[[#This Row],[Carry-over]]),0),0)</f>
        <v>0</v>
      </c>
      <c r="Q294" s="173">
        <f>IFERROR(IF(Tabelle132456[[#This Row],[Status]]=$I$5,0,MIN(Tabelle132456[[#This Row],[Jira Story Points]],Tabelle132456[[#This Row],[Carry-over]])-Tabelle132456[[#This Row],[SP Completed (COS &amp; SOS)]]),0)</f>
        <v>0</v>
      </c>
    </row>
    <row r="295" spans="1:17" s="46" customFormat="1" ht="13.5" customHeight="1">
      <c r="A295" s="117"/>
      <c r="B295" s="47"/>
      <c r="C295" s="76"/>
      <c r="D295" s="76"/>
      <c r="E295" s="76"/>
      <c r="F295" s="104"/>
      <c r="G295" s="76"/>
      <c r="H295" s="83"/>
      <c r="I295" s="103"/>
      <c r="J295" s="76"/>
      <c r="K295" s="104"/>
      <c r="L295" s="104"/>
      <c r="M295" s="174">
        <f>IF(Tabelle132456[[#This Row],[Pulled after Start]]="",MIN(Tabelle132456[[#This Row],[Jira Story Points]],Tabelle132456[[#This Row],[Carry-over]]),0)</f>
        <v>0</v>
      </c>
      <c r="N295" s="173">
        <f>MIN(Tabelle132456[[#This Row],[Jira Story Points]],Tabelle132456[[#This Row],[Carry-over]])-Tabelle132456[[#This Row],[SP Initially Planned (COS)]]</f>
        <v>0</v>
      </c>
      <c r="O29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95" s="173">
        <f>IFERROR(IF(Tabelle132456[[#This Row],[Status]]=$I$5,MIN(Tabelle132456[[#This Row],[Jira Story Points]],Tabelle132456[[#This Row],[Carry-over]]),0),0)</f>
        <v>0</v>
      </c>
      <c r="Q295" s="173">
        <f>IFERROR(IF(Tabelle132456[[#This Row],[Status]]=$I$5,0,MIN(Tabelle132456[[#This Row],[Jira Story Points]],Tabelle132456[[#This Row],[Carry-over]])-Tabelle132456[[#This Row],[SP Completed (COS &amp; SOS)]]),0)</f>
        <v>0</v>
      </c>
    </row>
    <row r="296" spans="1:17" s="46" customFormat="1" ht="13.5" customHeight="1">
      <c r="A296" s="117"/>
      <c r="B296" s="47"/>
      <c r="C296" s="76"/>
      <c r="D296" s="76"/>
      <c r="E296" s="76"/>
      <c r="F296" s="104"/>
      <c r="G296" s="76"/>
      <c r="H296" s="83"/>
      <c r="I296" s="103"/>
      <c r="J296" s="76"/>
      <c r="K296" s="104"/>
      <c r="L296" s="104"/>
      <c r="M296" s="174">
        <f>IF(Tabelle132456[[#This Row],[Pulled after Start]]="",MIN(Tabelle132456[[#This Row],[Jira Story Points]],Tabelle132456[[#This Row],[Carry-over]]),0)</f>
        <v>0</v>
      </c>
      <c r="N296" s="173">
        <f>MIN(Tabelle132456[[#This Row],[Jira Story Points]],Tabelle132456[[#This Row],[Carry-over]])-Tabelle132456[[#This Row],[SP Initially Planned (COS)]]</f>
        <v>0</v>
      </c>
      <c r="O29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96" s="173">
        <f>IFERROR(IF(Tabelle132456[[#This Row],[Status]]=$I$5,MIN(Tabelle132456[[#This Row],[Jira Story Points]],Tabelle132456[[#This Row],[Carry-over]]),0),0)</f>
        <v>0</v>
      </c>
      <c r="Q296" s="173">
        <f>IFERROR(IF(Tabelle132456[[#This Row],[Status]]=$I$5,0,MIN(Tabelle132456[[#This Row],[Jira Story Points]],Tabelle132456[[#This Row],[Carry-over]])-Tabelle132456[[#This Row],[SP Completed (COS &amp; SOS)]]),0)</f>
        <v>0</v>
      </c>
    </row>
    <row r="297" spans="1:17" s="46" customFormat="1" ht="13.5" customHeight="1">
      <c r="A297" s="117"/>
      <c r="B297" s="47"/>
      <c r="C297" s="76"/>
      <c r="D297" s="76"/>
      <c r="E297" s="76"/>
      <c r="F297" s="104"/>
      <c r="G297" s="76"/>
      <c r="H297" s="83"/>
      <c r="I297" s="103"/>
      <c r="J297" s="76"/>
      <c r="K297" s="104"/>
      <c r="L297" s="104"/>
      <c r="M297" s="174">
        <f>IF(Tabelle132456[[#This Row],[Pulled after Start]]="",MIN(Tabelle132456[[#This Row],[Jira Story Points]],Tabelle132456[[#This Row],[Carry-over]]),0)</f>
        <v>0</v>
      </c>
      <c r="N297" s="173">
        <f>MIN(Tabelle132456[[#This Row],[Jira Story Points]],Tabelle132456[[#This Row],[Carry-over]])-Tabelle132456[[#This Row],[SP Initially Planned (COS)]]</f>
        <v>0</v>
      </c>
      <c r="O29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97" s="173">
        <f>IFERROR(IF(Tabelle132456[[#This Row],[Status]]=$I$5,MIN(Tabelle132456[[#This Row],[Jira Story Points]],Tabelle132456[[#This Row],[Carry-over]]),0),0)</f>
        <v>0</v>
      </c>
      <c r="Q297" s="173">
        <f>IFERROR(IF(Tabelle132456[[#This Row],[Status]]=$I$5,0,MIN(Tabelle132456[[#This Row],[Jira Story Points]],Tabelle132456[[#This Row],[Carry-over]])-Tabelle132456[[#This Row],[SP Completed (COS &amp; SOS)]]),0)</f>
        <v>0</v>
      </c>
    </row>
    <row r="298" spans="1:17" s="46" customFormat="1" ht="13.5" customHeight="1">
      <c r="A298" s="117"/>
      <c r="B298" s="47"/>
      <c r="C298" s="76"/>
      <c r="D298" s="76"/>
      <c r="E298" s="76"/>
      <c r="F298" s="104"/>
      <c r="G298" s="76"/>
      <c r="H298" s="83"/>
      <c r="I298" s="103"/>
      <c r="J298" s="76"/>
      <c r="K298" s="104"/>
      <c r="L298" s="104"/>
      <c r="M298" s="174">
        <f>IF(Tabelle132456[[#This Row],[Pulled after Start]]="",MIN(Tabelle132456[[#This Row],[Jira Story Points]],Tabelle132456[[#This Row],[Carry-over]]),0)</f>
        <v>0</v>
      </c>
      <c r="N298" s="173">
        <f>MIN(Tabelle132456[[#This Row],[Jira Story Points]],Tabelle132456[[#This Row],[Carry-over]])-Tabelle132456[[#This Row],[SP Initially Planned (COS)]]</f>
        <v>0</v>
      </c>
      <c r="O29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98" s="173">
        <f>IFERROR(IF(Tabelle132456[[#This Row],[Status]]=$I$5,MIN(Tabelle132456[[#This Row],[Jira Story Points]],Tabelle132456[[#This Row],[Carry-over]]),0),0)</f>
        <v>0</v>
      </c>
      <c r="Q298" s="173">
        <f>IFERROR(IF(Tabelle132456[[#This Row],[Status]]=$I$5,0,MIN(Tabelle132456[[#This Row],[Jira Story Points]],Tabelle132456[[#This Row],[Carry-over]])-Tabelle132456[[#This Row],[SP Completed (COS &amp; SOS)]]),0)</f>
        <v>0</v>
      </c>
    </row>
    <row r="299" spans="1:17" s="46" customFormat="1" ht="13.5" customHeight="1">
      <c r="A299" s="117"/>
      <c r="B299" s="47"/>
      <c r="C299" s="76"/>
      <c r="D299" s="76"/>
      <c r="E299" s="76"/>
      <c r="F299" s="104"/>
      <c r="G299" s="76"/>
      <c r="H299" s="83"/>
      <c r="I299" s="103"/>
      <c r="J299" s="76"/>
      <c r="K299" s="104"/>
      <c r="L299" s="104"/>
      <c r="M299" s="174">
        <f>IF(Tabelle132456[[#This Row],[Pulled after Start]]="",MIN(Tabelle132456[[#This Row],[Jira Story Points]],Tabelle132456[[#This Row],[Carry-over]]),0)</f>
        <v>0</v>
      </c>
      <c r="N299" s="173">
        <f>MIN(Tabelle132456[[#This Row],[Jira Story Points]],Tabelle132456[[#This Row],[Carry-over]])-Tabelle132456[[#This Row],[SP Initially Planned (COS)]]</f>
        <v>0</v>
      </c>
      <c r="O29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299" s="173">
        <f>IFERROR(IF(Tabelle132456[[#This Row],[Status]]=$I$5,MIN(Tabelle132456[[#This Row],[Jira Story Points]],Tabelle132456[[#This Row],[Carry-over]]),0),0)</f>
        <v>0</v>
      </c>
      <c r="Q299" s="173">
        <f>IFERROR(IF(Tabelle132456[[#This Row],[Status]]=$I$5,0,MIN(Tabelle132456[[#This Row],[Jira Story Points]],Tabelle132456[[#This Row],[Carry-over]])-Tabelle132456[[#This Row],[SP Completed (COS &amp; SOS)]]),0)</f>
        <v>0</v>
      </c>
    </row>
    <row r="300" spans="1:17" s="46" customFormat="1" ht="13.5" customHeight="1">
      <c r="A300" s="117"/>
      <c r="B300" s="47"/>
      <c r="C300" s="76"/>
      <c r="D300" s="76"/>
      <c r="E300" s="76"/>
      <c r="F300" s="104"/>
      <c r="G300" s="76"/>
      <c r="H300" s="83"/>
      <c r="I300" s="103"/>
      <c r="J300" s="76"/>
      <c r="K300" s="104"/>
      <c r="L300" s="104"/>
      <c r="M300" s="174">
        <f>IF(Tabelle132456[[#This Row],[Pulled after Start]]="",MIN(Tabelle132456[[#This Row],[Jira Story Points]],Tabelle132456[[#This Row],[Carry-over]]),0)</f>
        <v>0</v>
      </c>
      <c r="N300" s="173">
        <f>MIN(Tabelle132456[[#This Row],[Jira Story Points]],Tabelle132456[[#This Row],[Carry-over]])-Tabelle132456[[#This Row],[SP Initially Planned (COS)]]</f>
        <v>0</v>
      </c>
      <c r="O30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00" s="173">
        <f>IFERROR(IF(Tabelle132456[[#This Row],[Status]]=$I$5,MIN(Tabelle132456[[#This Row],[Jira Story Points]],Tabelle132456[[#This Row],[Carry-over]]),0),0)</f>
        <v>0</v>
      </c>
      <c r="Q300" s="173">
        <f>IFERROR(IF(Tabelle132456[[#This Row],[Status]]=$I$5,0,MIN(Tabelle132456[[#This Row],[Jira Story Points]],Tabelle132456[[#This Row],[Carry-over]])-Tabelle132456[[#This Row],[SP Completed (COS &amp; SOS)]]),0)</f>
        <v>0</v>
      </c>
    </row>
    <row r="301" spans="1:17" s="46" customFormat="1" ht="13.5" customHeight="1">
      <c r="A301" s="117"/>
      <c r="B301" s="47"/>
      <c r="C301" s="76"/>
      <c r="D301" s="76"/>
      <c r="E301" s="76"/>
      <c r="F301" s="104"/>
      <c r="G301" s="76"/>
      <c r="H301" s="83"/>
      <c r="I301" s="103"/>
      <c r="J301" s="76"/>
      <c r="K301" s="104"/>
      <c r="L301" s="104"/>
      <c r="M301" s="174">
        <f>IF(Tabelle132456[[#This Row],[Pulled after Start]]="",MIN(Tabelle132456[[#This Row],[Jira Story Points]],Tabelle132456[[#This Row],[Carry-over]]),0)</f>
        <v>0</v>
      </c>
      <c r="N301" s="173">
        <f>MIN(Tabelle132456[[#This Row],[Jira Story Points]],Tabelle132456[[#This Row],[Carry-over]])-Tabelle132456[[#This Row],[SP Initially Planned (COS)]]</f>
        <v>0</v>
      </c>
      <c r="O30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01" s="173">
        <f>IFERROR(IF(Tabelle132456[[#This Row],[Status]]=$I$5,MIN(Tabelle132456[[#This Row],[Jira Story Points]],Tabelle132456[[#This Row],[Carry-over]]),0),0)</f>
        <v>0</v>
      </c>
      <c r="Q301" s="173">
        <f>IFERROR(IF(Tabelle132456[[#This Row],[Status]]=$I$5,0,MIN(Tabelle132456[[#This Row],[Jira Story Points]],Tabelle132456[[#This Row],[Carry-over]])-Tabelle132456[[#This Row],[SP Completed (COS &amp; SOS)]]),0)</f>
        <v>0</v>
      </c>
    </row>
    <row r="302" spans="1:17" s="46" customFormat="1" ht="13.5" customHeight="1">
      <c r="A302" s="117"/>
      <c r="B302" s="47"/>
      <c r="C302" s="76"/>
      <c r="D302" s="76"/>
      <c r="E302" s="76"/>
      <c r="F302" s="104"/>
      <c r="G302" s="76"/>
      <c r="H302" s="83"/>
      <c r="I302" s="103"/>
      <c r="J302" s="76"/>
      <c r="K302" s="104"/>
      <c r="L302" s="104"/>
      <c r="M302" s="174">
        <f>IF(Tabelle132456[[#This Row],[Pulled after Start]]="",MIN(Tabelle132456[[#This Row],[Jira Story Points]],Tabelle132456[[#This Row],[Carry-over]]),0)</f>
        <v>0</v>
      </c>
      <c r="N302" s="173">
        <f>MIN(Tabelle132456[[#This Row],[Jira Story Points]],Tabelle132456[[#This Row],[Carry-over]])-Tabelle132456[[#This Row],[SP Initially Planned (COS)]]</f>
        <v>0</v>
      </c>
      <c r="O30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02" s="173">
        <f>IFERROR(IF(Tabelle132456[[#This Row],[Status]]=$I$5,MIN(Tabelle132456[[#This Row],[Jira Story Points]],Tabelle132456[[#This Row],[Carry-over]]),0),0)</f>
        <v>0</v>
      </c>
      <c r="Q302" s="173">
        <f>IFERROR(IF(Tabelle132456[[#This Row],[Status]]=$I$5,0,MIN(Tabelle132456[[#This Row],[Jira Story Points]],Tabelle132456[[#This Row],[Carry-over]])-Tabelle132456[[#This Row],[SP Completed (COS &amp; SOS)]]),0)</f>
        <v>0</v>
      </c>
    </row>
    <row r="303" spans="1:17" s="46" customFormat="1" ht="13.5" customHeight="1">
      <c r="A303" s="117"/>
      <c r="B303" s="47"/>
      <c r="C303" s="76"/>
      <c r="D303" s="76"/>
      <c r="E303" s="76"/>
      <c r="F303" s="104"/>
      <c r="G303" s="76"/>
      <c r="H303" s="83"/>
      <c r="I303" s="103"/>
      <c r="J303" s="76"/>
      <c r="K303" s="104"/>
      <c r="L303" s="104"/>
      <c r="M303" s="174">
        <f>IF(Tabelle132456[[#This Row],[Pulled after Start]]="",MIN(Tabelle132456[[#This Row],[Jira Story Points]],Tabelle132456[[#This Row],[Carry-over]]),0)</f>
        <v>0</v>
      </c>
      <c r="N303" s="173">
        <f>MIN(Tabelle132456[[#This Row],[Jira Story Points]],Tabelle132456[[#This Row],[Carry-over]])-Tabelle132456[[#This Row],[SP Initially Planned (COS)]]</f>
        <v>0</v>
      </c>
      <c r="O30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03" s="173">
        <f>IFERROR(IF(Tabelle132456[[#This Row],[Status]]=$I$5,MIN(Tabelle132456[[#This Row],[Jira Story Points]],Tabelle132456[[#This Row],[Carry-over]]),0),0)</f>
        <v>0</v>
      </c>
      <c r="Q303" s="173">
        <f>IFERROR(IF(Tabelle132456[[#This Row],[Status]]=$I$5,0,MIN(Tabelle132456[[#This Row],[Jira Story Points]],Tabelle132456[[#This Row],[Carry-over]])-Tabelle132456[[#This Row],[SP Completed (COS &amp; SOS)]]),0)</f>
        <v>0</v>
      </c>
    </row>
    <row r="304" spans="1:17" s="46" customFormat="1" ht="13.5" customHeight="1">
      <c r="A304" s="117"/>
      <c r="B304" s="47"/>
      <c r="C304" s="76"/>
      <c r="D304" s="76"/>
      <c r="E304" s="76"/>
      <c r="F304" s="104"/>
      <c r="G304" s="76"/>
      <c r="H304" s="83"/>
      <c r="I304" s="103"/>
      <c r="J304" s="76"/>
      <c r="K304" s="104"/>
      <c r="L304" s="104"/>
      <c r="M304" s="174">
        <f>IF(Tabelle132456[[#This Row],[Pulled after Start]]="",MIN(Tabelle132456[[#This Row],[Jira Story Points]],Tabelle132456[[#This Row],[Carry-over]]),0)</f>
        <v>0</v>
      </c>
      <c r="N304" s="173">
        <f>MIN(Tabelle132456[[#This Row],[Jira Story Points]],Tabelle132456[[#This Row],[Carry-over]])-Tabelle132456[[#This Row],[SP Initially Planned (COS)]]</f>
        <v>0</v>
      </c>
      <c r="O30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04" s="173">
        <f>IFERROR(IF(Tabelle132456[[#This Row],[Status]]=$I$5,MIN(Tabelle132456[[#This Row],[Jira Story Points]],Tabelle132456[[#This Row],[Carry-over]]),0),0)</f>
        <v>0</v>
      </c>
      <c r="Q304" s="173">
        <f>IFERROR(IF(Tabelle132456[[#This Row],[Status]]=$I$5,0,MIN(Tabelle132456[[#This Row],[Jira Story Points]],Tabelle132456[[#This Row],[Carry-over]])-Tabelle132456[[#This Row],[SP Completed (COS &amp; SOS)]]),0)</f>
        <v>0</v>
      </c>
    </row>
    <row r="305" spans="1:17" s="46" customFormat="1" ht="13.5" customHeight="1">
      <c r="A305" s="117"/>
      <c r="B305" s="47"/>
      <c r="C305" s="76"/>
      <c r="D305" s="76"/>
      <c r="E305" s="76"/>
      <c r="F305" s="104"/>
      <c r="G305" s="76"/>
      <c r="H305" s="83"/>
      <c r="I305" s="103"/>
      <c r="J305" s="76"/>
      <c r="K305" s="104"/>
      <c r="L305" s="104"/>
      <c r="M305" s="174">
        <f>IF(Tabelle132456[[#This Row],[Pulled after Start]]="",MIN(Tabelle132456[[#This Row],[Jira Story Points]],Tabelle132456[[#This Row],[Carry-over]]),0)</f>
        <v>0</v>
      </c>
      <c r="N305" s="173">
        <f>MIN(Tabelle132456[[#This Row],[Jira Story Points]],Tabelle132456[[#This Row],[Carry-over]])-Tabelle132456[[#This Row],[SP Initially Planned (COS)]]</f>
        <v>0</v>
      </c>
      <c r="O30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05" s="173">
        <f>IFERROR(IF(Tabelle132456[[#This Row],[Status]]=$I$5,MIN(Tabelle132456[[#This Row],[Jira Story Points]],Tabelle132456[[#This Row],[Carry-over]]),0),0)</f>
        <v>0</v>
      </c>
      <c r="Q305" s="173">
        <f>IFERROR(IF(Tabelle132456[[#This Row],[Status]]=$I$5,0,MIN(Tabelle132456[[#This Row],[Jira Story Points]],Tabelle132456[[#This Row],[Carry-over]])-Tabelle132456[[#This Row],[SP Completed (COS &amp; SOS)]]),0)</f>
        <v>0</v>
      </c>
    </row>
    <row r="306" spans="1:17" s="46" customFormat="1" ht="13.5" customHeight="1">
      <c r="A306" s="117"/>
      <c r="B306" s="47"/>
      <c r="C306" s="76"/>
      <c r="D306" s="76"/>
      <c r="E306" s="76"/>
      <c r="F306" s="104"/>
      <c r="G306" s="76"/>
      <c r="H306" s="83"/>
      <c r="I306" s="103"/>
      <c r="J306" s="76"/>
      <c r="K306" s="104"/>
      <c r="L306" s="104"/>
      <c r="M306" s="174">
        <f>IF(Tabelle132456[[#This Row],[Pulled after Start]]="",MIN(Tabelle132456[[#This Row],[Jira Story Points]],Tabelle132456[[#This Row],[Carry-over]]),0)</f>
        <v>0</v>
      </c>
      <c r="N306" s="173">
        <f>MIN(Tabelle132456[[#This Row],[Jira Story Points]],Tabelle132456[[#This Row],[Carry-over]])-Tabelle132456[[#This Row],[SP Initially Planned (COS)]]</f>
        <v>0</v>
      </c>
      <c r="O30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06" s="173">
        <f>IFERROR(IF(Tabelle132456[[#This Row],[Status]]=$I$5,MIN(Tabelle132456[[#This Row],[Jira Story Points]],Tabelle132456[[#This Row],[Carry-over]]),0),0)</f>
        <v>0</v>
      </c>
      <c r="Q306" s="173">
        <f>IFERROR(IF(Tabelle132456[[#This Row],[Status]]=$I$5,0,MIN(Tabelle132456[[#This Row],[Jira Story Points]],Tabelle132456[[#This Row],[Carry-over]])-Tabelle132456[[#This Row],[SP Completed (COS &amp; SOS)]]),0)</f>
        <v>0</v>
      </c>
    </row>
    <row r="307" spans="1:17" s="46" customFormat="1" ht="13.5" customHeight="1">
      <c r="A307" s="117"/>
      <c r="B307" s="47"/>
      <c r="C307" s="76"/>
      <c r="D307" s="76"/>
      <c r="E307" s="76"/>
      <c r="F307" s="104"/>
      <c r="G307" s="76"/>
      <c r="H307" s="83"/>
      <c r="I307" s="103"/>
      <c r="J307" s="76"/>
      <c r="K307" s="104"/>
      <c r="L307" s="104"/>
      <c r="M307" s="174">
        <f>IF(Tabelle132456[[#This Row],[Pulled after Start]]="",MIN(Tabelle132456[[#This Row],[Jira Story Points]],Tabelle132456[[#This Row],[Carry-over]]),0)</f>
        <v>0</v>
      </c>
      <c r="N307" s="173">
        <f>MIN(Tabelle132456[[#This Row],[Jira Story Points]],Tabelle132456[[#This Row],[Carry-over]])-Tabelle132456[[#This Row],[SP Initially Planned (COS)]]</f>
        <v>0</v>
      </c>
      <c r="O30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07" s="173">
        <f>IFERROR(IF(Tabelle132456[[#This Row],[Status]]=$I$5,MIN(Tabelle132456[[#This Row],[Jira Story Points]],Tabelle132456[[#This Row],[Carry-over]]),0),0)</f>
        <v>0</v>
      </c>
      <c r="Q307" s="173">
        <f>IFERROR(IF(Tabelle132456[[#This Row],[Status]]=$I$5,0,MIN(Tabelle132456[[#This Row],[Jira Story Points]],Tabelle132456[[#This Row],[Carry-over]])-Tabelle132456[[#This Row],[SP Completed (COS &amp; SOS)]]),0)</f>
        <v>0</v>
      </c>
    </row>
    <row r="308" spans="1:17" s="46" customFormat="1" ht="13.5" customHeight="1">
      <c r="A308" s="117"/>
      <c r="B308" s="47"/>
      <c r="C308" s="76"/>
      <c r="D308" s="76"/>
      <c r="E308" s="76"/>
      <c r="F308" s="104"/>
      <c r="G308" s="76"/>
      <c r="H308" s="83"/>
      <c r="I308" s="103"/>
      <c r="J308" s="76"/>
      <c r="K308" s="104"/>
      <c r="L308" s="104"/>
      <c r="M308" s="174">
        <f>IF(Tabelle132456[[#This Row],[Pulled after Start]]="",MIN(Tabelle132456[[#This Row],[Jira Story Points]],Tabelle132456[[#This Row],[Carry-over]]),0)</f>
        <v>0</v>
      </c>
      <c r="N308" s="173">
        <f>MIN(Tabelle132456[[#This Row],[Jira Story Points]],Tabelle132456[[#This Row],[Carry-over]])-Tabelle132456[[#This Row],[SP Initially Planned (COS)]]</f>
        <v>0</v>
      </c>
      <c r="O30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08" s="173">
        <f>IFERROR(IF(Tabelle132456[[#This Row],[Status]]=$I$5,MIN(Tabelle132456[[#This Row],[Jira Story Points]],Tabelle132456[[#This Row],[Carry-over]]),0),0)</f>
        <v>0</v>
      </c>
      <c r="Q308" s="173">
        <f>IFERROR(IF(Tabelle132456[[#This Row],[Status]]=$I$5,0,MIN(Tabelle132456[[#This Row],[Jira Story Points]],Tabelle132456[[#This Row],[Carry-over]])-Tabelle132456[[#This Row],[SP Completed (COS &amp; SOS)]]),0)</f>
        <v>0</v>
      </c>
    </row>
    <row r="309" spans="1:17" s="46" customFormat="1" ht="13.5" customHeight="1">
      <c r="A309" s="117"/>
      <c r="B309" s="47"/>
      <c r="C309" s="76"/>
      <c r="D309" s="76"/>
      <c r="E309" s="76"/>
      <c r="F309" s="104"/>
      <c r="G309" s="76"/>
      <c r="H309" s="83"/>
      <c r="I309" s="103"/>
      <c r="J309" s="76"/>
      <c r="K309" s="104"/>
      <c r="L309" s="104"/>
      <c r="M309" s="174">
        <f>IF(Tabelle132456[[#This Row],[Pulled after Start]]="",MIN(Tabelle132456[[#This Row],[Jira Story Points]],Tabelle132456[[#This Row],[Carry-over]]),0)</f>
        <v>0</v>
      </c>
      <c r="N309" s="173">
        <f>MIN(Tabelle132456[[#This Row],[Jira Story Points]],Tabelle132456[[#This Row],[Carry-over]])-Tabelle132456[[#This Row],[SP Initially Planned (COS)]]</f>
        <v>0</v>
      </c>
      <c r="O30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09" s="173">
        <f>IFERROR(IF(Tabelle132456[[#This Row],[Status]]=$I$5,MIN(Tabelle132456[[#This Row],[Jira Story Points]],Tabelle132456[[#This Row],[Carry-over]]),0),0)</f>
        <v>0</v>
      </c>
      <c r="Q309" s="173">
        <f>IFERROR(IF(Tabelle132456[[#This Row],[Status]]=$I$5,0,MIN(Tabelle132456[[#This Row],[Jira Story Points]],Tabelle132456[[#This Row],[Carry-over]])-Tabelle132456[[#This Row],[SP Completed (COS &amp; SOS)]]),0)</f>
        <v>0</v>
      </c>
    </row>
    <row r="310" spans="1:17" s="46" customFormat="1" ht="13.5" customHeight="1">
      <c r="A310" s="117"/>
      <c r="B310" s="47"/>
      <c r="C310" s="76"/>
      <c r="D310" s="76"/>
      <c r="E310" s="76"/>
      <c r="F310" s="104"/>
      <c r="G310" s="76"/>
      <c r="H310" s="83"/>
      <c r="I310" s="103"/>
      <c r="J310" s="76"/>
      <c r="K310" s="104"/>
      <c r="L310" s="104"/>
      <c r="M310" s="174">
        <f>IF(Tabelle132456[[#This Row],[Pulled after Start]]="",MIN(Tabelle132456[[#This Row],[Jira Story Points]],Tabelle132456[[#This Row],[Carry-over]]),0)</f>
        <v>0</v>
      </c>
      <c r="N310" s="173">
        <f>MIN(Tabelle132456[[#This Row],[Jira Story Points]],Tabelle132456[[#This Row],[Carry-over]])-Tabelle132456[[#This Row],[SP Initially Planned (COS)]]</f>
        <v>0</v>
      </c>
      <c r="O31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10" s="173">
        <f>IFERROR(IF(Tabelle132456[[#This Row],[Status]]=$I$5,MIN(Tabelle132456[[#This Row],[Jira Story Points]],Tabelle132456[[#This Row],[Carry-over]]),0),0)</f>
        <v>0</v>
      </c>
      <c r="Q310" s="173">
        <f>IFERROR(IF(Tabelle132456[[#This Row],[Status]]=$I$5,0,MIN(Tabelle132456[[#This Row],[Jira Story Points]],Tabelle132456[[#This Row],[Carry-over]])-Tabelle132456[[#This Row],[SP Completed (COS &amp; SOS)]]),0)</f>
        <v>0</v>
      </c>
    </row>
    <row r="311" spans="1:17" s="46" customFormat="1" ht="13.5" customHeight="1">
      <c r="A311" s="117"/>
      <c r="B311" s="47"/>
      <c r="C311" s="76"/>
      <c r="D311" s="76"/>
      <c r="E311" s="76"/>
      <c r="F311" s="104"/>
      <c r="G311" s="76"/>
      <c r="H311" s="83"/>
      <c r="I311" s="103"/>
      <c r="J311" s="76"/>
      <c r="K311" s="104"/>
      <c r="L311" s="104"/>
      <c r="M311" s="174">
        <f>IF(Tabelle132456[[#This Row],[Pulled after Start]]="",MIN(Tabelle132456[[#This Row],[Jira Story Points]],Tabelle132456[[#This Row],[Carry-over]]),0)</f>
        <v>0</v>
      </c>
      <c r="N311" s="173">
        <f>MIN(Tabelle132456[[#This Row],[Jira Story Points]],Tabelle132456[[#This Row],[Carry-over]])-Tabelle132456[[#This Row],[SP Initially Planned (COS)]]</f>
        <v>0</v>
      </c>
      <c r="O31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11" s="173">
        <f>IFERROR(IF(Tabelle132456[[#This Row],[Status]]=$I$5,MIN(Tabelle132456[[#This Row],[Jira Story Points]],Tabelle132456[[#This Row],[Carry-over]]),0),0)</f>
        <v>0</v>
      </c>
      <c r="Q311" s="173">
        <f>IFERROR(IF(Tabelle132456[[#This Row],[Status]]=$I$5,0,MIN(Tabelle132456[[#This Row],[Jira Story Points]],Tabelle132456[[#This Row],[Carry-over]])-Tabelle132456[[#This Row],[SP Completed (COS &amp; SOS)]]),0)</f>
        <v>0</v>
      </c>
    </row>
    <row r="312" spans="1:17" s="46" customFormat="1" ht="13.5" customHeight="1">
      <c r="A312" s="117"/>
      <c r="B312" s="47"/>
      <c r="C312" s="76"/>
      <c r="D312" s="76"/>
      <c r="E312" s="76"/>
      <c r="F312" s="104"/>
      <c r="G312" s="76"/>
      <c r="H312" s="83"/>
      <c r="I312" s="103"/>
      <c r="J312" s="76"/>
      <c r="K312" s="104"/>
      <c r="L312" s="104"/>
      <c r="M312" s="174">
        <f>IF(Tabelle132456[[#This Row],[Pulled after Start]]="",MIN(Tabelle132456[[#This Row],[Jira Story Points]],Tabelle132456[[#This Row],[Carry-over]]),0)</f>
        <v>0</v>
      </c>
      <c r="N312" s="173">
        <f>MIN(Tabelle132456[[#This Row],[Jira Story Points]],Tabelle132456[[#This Row],[Carry-over]])-Tabelle132456[[#This Row],[SP Initially Planned (COS)]]</f>
        <v>0</v>
      </c>
      <c r="O31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12" s="173">
        <f>IFERROR(IF(Tabelle132456[[#This Row],[Status]]=$I$5,MIN(Tabelle132456[[#This Row],[Jira Story Points]],Tabelle132456[[#This Row],[Carry-over]]),0),0)</f>
        <v>0</v>
      </c>
      <c r="Q312" s="173">
        <f>IFERROR(IF(Tabelle132456[[#This Row],[Status]]=$I$5,0,MIN(Tabelle132456[[#This Row],[Jira Story Points]],Tabelle132456[[#This Row],[Carry-over]])-Tabelle132456[[#This Row],[SP Completed (COS &amp; SOS)]]),0)</f>
        <v>0</v>
      </c>
    </row>
    <row r="313" spans="1:17" s="46" customFormat="1" ht="13.5" customHeight="1">
      <c r="A313" s="117"/>
      <c r="B313" s="47"/>
      <c r="C313" s="76"/>
      <c r="D313" s="76"/>
      <c r="E313" s="76"/>
      <c r="F313" s="104"/>
      <c r="G313" s="76"/>
      <c r="H313" s="83"/>
      <c r="I313" s="103"/>
      <c r="J313" s="76"/>
      <c r="K313" s="104"/>
      <c r="L313" s="104"/>
      <c r="M313" s="174">
        <f>IF(Tabelle132456[[#This Row],[Pulled after Start]]="",MIN(Tabelle132456[[#This Row],[Jira Story Points]],Tabelle132456[[#This Row],[Carry-over]]),0)</f>
        <v>0</v>
      </c>
      <c r="N313" s="173">
        <f>MIN(Tabelle132456[[#This Row],[Jira Story Points]],Tabelle132456[[#This Row],[Carry-over]])-Tabelle132456[[#This Row],[SP Initially Planned (COS)]]</f>
        <v>0</v>
      </c>
      <c r="O31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13" s="173">
        <f>IFERROR(IF(Tabelle132456[[#This Row],[Status]]=$I$5,MIN(Tabelle132456[[#This Row],[Jira Story Points]],Tabelle132456[[#This Row],[Carry-over]]),0),0)</f>
        <v>0</v>
      </c>
      <c r="Q313" s="173">
        <f>IFERROR(IF(Tabelle132456[[#This Row],[Status]]=$I$5,0,MIN(Tabelle132456[[#This Row],[Jira Story Points]],Tabelle132456[[#This Row],[Carry-over]])-Tabelle132456[[#This Row],[SP Completed (COS &amp; SOS)]]),0)</f>
        <v>0</v>
      </c>
    </row>
    <row r="314" spans="1:17" s="46" customFormat="1" ht="13.5" customHeight="1">
      <c r="A314" s="117"/>
      <c r="B314" s="47"/>
      <c r="C314" s="76"/>
      <c r="D314" s="76"/>
      <c r="E314" s="76"/>
      <c r="F314" s="104"/>
      <c r="G314" s="76"/>
      <c r="H314" s="83"/>
      <c r="I314" s="103"/>
      <c r="J314" s="76"/>
      <c r="K314" s="104"/>
      <c r="L314" s="104"/>
      <c r="M314" s="174">
        <f>IF(Tabelle132456[[#This Row],[Pulled after Start]]="",MIN(Tabelle132456[[#This Row],[Jira Story Points]],Tabelle132456[[#This Row],[Carry-over]]),0)</f>
        <v>0</v>
      </c>
      <c r="N314" s="173">
        <f>MIN(Tabelle132456[[#This Row],[Jira Story Points]],Tabelle132456[[#This Row],[Carry-over]])-Tabelle132456[[#This Row],[SP Initially Planned (COS)]]</f>
        <v>0</v>
      </c>
      <c r="O31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14" s="173">
        <f>IFERROR(IF(Tabelle132456[[#This Row],[Status]]=$I$5,MIN(Tabelle132456[[#This Row],[Jira Story Points]],Tabelle132456[[#This Row],[Carry-over]]),0),0)</f>
        <v>0</v>
      </c>
      <c r="Q314" s="173">
        <f>IFERROR(IF(Tabelle132456[[#This Row],[Status]]=$I$5,0,MIN(Tabelle132456[[#This Row],[Jira Story Points]],Tabelle132456[[#This Row],[Carry-over]])-Tabelle132456[[#This Row],[SP Completed (COS &amp; SOS)]]),0)</f>
        <v>0</v>
      </c>
    </row>
    <row r="315" spans="1:17" s="46" customFormat="1" ht="13.5" customHeight="1">
      <c r="A315" s="117"/>
      <c r="B315" s="47"/>
      <c r="C315" s="76"/>
      <c r="D315" s="76"/>
      <c r="E315" s="76"/>
      <c r="F315" s="104"/>
      <c r="G315" s="76"/>
      <c r="H315" s="83"/>
      <c r="I315" s="103"/>
      <c r="J315" s="76"/>
      <c r="K315" s="104"/>
      <c r="L315" s="104"/>
      <c r="M315" s="174">
        <f>IF(Tabelle132456[[#This Row],[Pulled after Start]]="",MIN(Tabelle132456[[#This Row],[Jira Story Points]],Tabelle132456[[#This Row],[Carry-over]]),0)</f>
        <v>0</v>
      </c>
      <c r="N315" s="173">
        <f>MIN(Tabelle132456[[#This Row],[Jira Story Points]],Tabelle132456[[#This Row],[Carry-over]])-Tabelle132456[[#This Row],[SP Initially Planned (COS)]]</f>
        <v>0</v>
      </c>
      <c r="O31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15" s="173">
        <f>IFERROR(IF(Tabelle132456[[#This Row],[Status]]=$I$5,MIN(Tabelle132456[[#This Row],[Jira Story Points]],Tabelle132456[[#This Row],[Carry-over]]),0),0)</f>
        <v>0</v>
      </c>
      <c r="Q315" s="173">
        <f>IFERROR(IF(Tabelle132456[[#This Row],[Status]]=$I$5,0,MIN(Tabelle132456[[#This Row],[Jira Story Points]],Tabelle132456[[#This Row],[Carry-over]])-Tabelle132456[[#This Row],[SP Completed (COS &amp; SOS)]]),0)</f>
        <v>0</v>
      </c>
    </row>
    <row r="316" spans="1:17" s="46" customFormat="1" ht="13.5" customHeight="1">
      <c r="A316" s="117"/>
      <c r="B316" s="47"/>
      <c r="C316" s="76"/>
      <c r="D316" s="76"/>
      <c r="E316" s="76"/>
      <c r="F316" s="104"/>
      <c r="G316" s="76"/>
      <c r="H316" s="83"/>
      <c r="I316" s="103"/>
      <c r="J316" s="76"/>
      <c r="K316" s="104"/>
      <c r="L316" s="104"/>
      <c r="M316" s="174">
        <f>IF(Tabelle132456[[#This Row],[Pulled after Start]]="",MIN(Tabelle132456[[#This Row],[Jira Story Points]],Tabelle132456[[#This Row],[Carry-over]]),0)</f>
        <v>0</v>
      </c>
      <c r="N316" s="173">
        <f>MIN(Tabelle132456[[#This Row],[Jira Story Points]],Tabelle132456[[#This Row],[Carry-over]])-Tabelle132456[[#This Row],[SP Initially Planned (COS)]]</f>
        <v>0</v>
      </c>
      <c r="O31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16" s="173">
        <f>IFERROR(IF(Tabelle132456[[#This Row],[Status]]=$I$5,MIN(Tabelle132456[[#This Row],[Jira Story Points]],Tabelle132456[[#This Row],[Carry-over]]),0),0)</f>
        <v>0</v>
      </c>
      <c r="Q316" s="173">
        <f>IFERROR(IF(Tabelle132456[[#This Row],[Status]]=$I$5,0,MIN(Tabelle132456[[#This Row],[Jira Story Points]],Tabelle132456[[#This Row],[Carry-over]])-Tabelle132456[[#This Row],[SP Completed (COS &amp; SOS)]]),0)</f>
        <v>0</v>
      </c>
    </row>
    <row r="317" spans="1:17" s="46" customFormat="1" ht="13.5" customHeight="1">
      <c r="A317" s="117"/>
      <c r="B317" s="47"/>
      <c r="C317" s="76"/>
      <c r="D317" s="76"/>
      <c r="E317" s="76"/>
      <c r="F317" s="104"/>
      <c r="G317" s="76"/>
      <c r="H317" s="83"/>
      <c r="I317" s="103"/>
      <c r="J317" s="76"/>
      <c r="K317" s="104"/>
      <c r="L317" s="104"/>
      <c r="M317" s="174">
        <f>IF(Tabelle132456[[#This Row],[Pulled after Start]]="",MIN(Tabelle132456[[#This Row],[Jira Story Points]],Tabelle132456[[#This Row],[Carry-over]]),0)</f>
        <v>0</v>
      </c>
      <c r="N317" s="173">
        <f>MIN(Tabelle132456[[#This Row],[Jira Story Points]],Tabelle132456[[#This Row],[Carry-over]])-Tabelle132456[[#This Row],[SP Initially Planned (COS)]]</f>
        <v>0</v>
      </c>
      <c r="O31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17" s="173">
        <f>IFERROR(IF(Tabelle132456[[#This Row],[Status]]=$I$5,MIN(Tabelle132456[[#This Row],[Jira Story Points]],Tabelle132456[[#This Row],[Carry-over]]),0),0)</f>
        <v>0</v>
      </c>
      <c r="Q317" s="173">
        <f>IFERROR(IF(Tabelle132456[[#This Row],[Status]]=$I$5,0,MIN(Tabelle132456[[#This Row],[Jira Story Points]],Tabelle132456[[#This Row],[Carry-over]])-Tabelle132456[[#This Row],[SP Completed (COS &amp; SOS)]]),0)</f>
        <v>0</v>
      </c>
    </row>
    <row r="318" spans="1:17" s="46" customFormat="1" ht="13.5" customHeight="1">
      <c r="A318" s="117"/>
      <c r="B318" s="47"/>
      <c r="C318" s="76"/>
      <c r="D318" s="76"/>
      <c r="E318" s="76"/>
      <c r="F318" s="104"/>
      <c r="G318" s="76"/>
      <c r="H318" s="83"/>
      <c r="I318" s="103"/>
      <c r="J318" s="76"/>
      <c r="K318" s="104"/>
      <c r="L318" s="104"/>
      <c r="M318" s="174">
        <f>IF(Tabelle132456[[#This Row],[Pulled after Start]]="",MIN(Tabelle132456[[#This Row],[Jira Story Points]],Tabelle132456[[#This Row],[Carry-over]]),0)</f>
        <v>0</v>
      </c>
      <c r="N318" s="173">
        <f>MIN(Tabelle132456[[#This Row],[Jira Story Points]],Tabelle132456[[#This Row],[Carry-over]])-Tabelle132456[[#This Row],[SP Initially Planned (COS)]]</f>
        <v>0</v>
      </c>
      <c r="O31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18" s="173">
        <f>IFERROR(IF(Tabelle132456[[#This Row],[Status]]=$I$5,MIN(Tabelle132456[[#This Row],[Jira Story Points]],Tabelle132456[[#This Row],[Carry-over]]),0),0)</f>
        <v>0</v>
      </c>
      <c r="Q318" s="173">
        <f>IFERROR(IF(Tabelle132456[[#This Row],[Status]]=$I$5,0,MIN(Tabelle132456[[#This Row],[Jira Story Points]],Tabelle132456[[#This Row],[Carry-over]])-Tabelle132456[[#This Row],[SP Completed (COS &amp; SOS)]]),0)</f>
        <v>0</v>
      </c>
    </row>
    <row r="319" spans="1:17" s="46" customFormat="1" ht="13.5" customHeight="1">
      <c r="A319" s="117"/>
      <c r="B319" s="47"/>
      <c r="C319" s="76"/>
      <c r="D319" s="76"/>
      <c r="E319" s="76"/>
      <c r="F319" s="104"/>
      <c r="G319" s="76"/>
      <c r="H319" s="83"/>
      <c r="I319" s="103"/>
      <c r="J319" s="76"/>
      <c r="K319" s="104"/>
      <c r="L319" s="104"/>
      <c r="M319" s="174">
        <f>IF(Tabelle132456[[#This Row],[Pulled after Start]]="",MIN(Tabelle132456[[#This Row],[Jira Story Points]],Tabelle132456[[#This Row],[Carry-over]]),0)</f>
        <v>0</v>
      </c>
      <c r="N319" s="173">
        <f>MIN(Tabelle132456[[#This Row],[Jira Story Points]],Tabelle132456[[#This Row],[Carry-over]])-Tabelle132456[[#This Row],[SP Initially Planned (COS)]]</f>
        <v>0</v>
      </c>
      <c r="O31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19" s="173">
        <f>IFERROR(IF(Tabelle132456[[#This Row],[Status]]=$I$5,MIN(Tabelle132456[[#This Row],[Jira Story Points]],Tabelle132456[[#This Row],[Carry-over]]),0),0)</f>
        <v>0</v>
      </c>
      <c r="Q319" s="173">
        <f>IFERROR(IF(Tabelle132456[[#This Row],[Status]]=$I$5,0,MIN(Tabelle132456[[#This Row],[Jira Story Points]],Tabelle132456[[#This Row],[Carry-over]])-Tabelle132456[[#This Row],[SP Completed (COS &amp; SOS)]]),0)</f>
        <v>0</v>
      </c>
    </row>
    <row r="320" spans="1:17" s="46" customFormat="1" ht="13.5" customHeight="1">
      <c r="A320" s="117"/>
      <c r="B320" s="47"/>
      <c r="C320" s="76"/>
      <c r="D320" s="76"/>
      <c r="E320" s="76"/>
      <c r="F320" s="104"/>
      <c r="G320" s="76"/>
      <c r="H320" s="83"/>
      <c r="I320" s="103"/>
      <c r="J320" s="76"/>
      <c r="K320" s="104"/>
      <c r="L320" s="104"/>
      <c r="M320" s="174">
        <f>IF(Tabelle132456[[#This Row],[Pulled after Start]]="",MIN(Tabelle132456[[#This Row],[Jira Story Points]],Tabelle132456[[#This Row],[Carry-over]]),0)</f>
        <v>0</v>
      </c>
      <c r="N320" s="173">
        <f>MIN(Tabelle132456[[#This Row],[Jira Story Points]],Tabelle132456[[#This Row],[Carry-over]])-Tabelle132456[[#This Row],[SP Initially Planned (COS)]]</f>
        <v>0</v>
      </c>
      <c r="O32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20" s="173">
        <f>IFERROR(IF(Tabelle132456[[#This Row],[Status]]=$I$5,MIN(Tabelle132456[[#This Row],[Jira Story Points]],Tabelle132456[[#This Row],[Carry-over]]),0),0)</f>
        <v>0</v>
      </c>
      <c r="Q320" s="173">
        <f>IFERROR(IF(Tabelle132456[[#This Row],[Status]]=$I$5,0,MIN(Tabelle132456[[#This Row],[Jira Story Points]],Tabelle132456[[#This Row],[Carry-over]])-Tabelle132456[[#This Row],[SP Completed (COS &amp; SOS)]]),0)</f>
        <v>0</v>
      </c>
    </row>
    <row r="321" spans="1:17" s="46" customFormat="1" ht="13.5" customHeight="1">
      <c r="A321" s="117"/>
      <c r="B321" s="47"/>
      <c r="C321" s="76"/>
      <c r="D321" s="76"/>
      <c r="E321" s="76"/>
      <c r="F321" s="104"/>
      <c r="G321" s="76"/>
      <c r="H321" s="83"/>
      <c r="I321" s="103"/>
      <c r="J321" s="76"/>
      <c r="K321" s="104"/>
      <c r="L321" s="104"/>
      <c r="M321" s="174">
        <f>IF(Tabelle132456[[#This Row],[Pulled after Start]]="",MIN(Tabelle132456[[#This Row],[Jira Story Points]],Tabelle132456[[#This Row],[Carry-over]]),0)</f>
        <v>0</v>
      </c>
      <c r="N321" s="173">
        <f>MIN(Tabelle132456[[#This Row],[Jira Story Points]],Tabelle132456[[#This Row],[Carry-over]])-Tabelle132456[[#This Row],[SP Initially Planned (COS)]]</f>
        <v>0</v>
      </c>
      <c r="O32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21" s="173">
        <f>IFERROR(IF(Tabelle132456[[#This Row],[Status]]=$I$5,MIN(Tabelle132456[[#This Row],[Jira Story Points]],Tabelle132456[[#This Row],[Carry-over]]),0),0)</f>
        <v>0</v>
      </c>
      <c r="Q321" s="173">
        <f>IFERROR(IF(Tabelle132456[[#This Row],[Status]]=$I$5,0,MIN(Tabelle132456[[#This Row],[Jira Story Points]],Tabelle132456[[#This Row],[Carry-over]])-Tabelle132456[[#This Row],[SP Completed (COS &amp; SOS)]]),0)</f>
        <v>0</v>
      </c>
    </row>
    <row r="322" spans="1:17" s="46" customFormat="1" ht="13.5" customHeight="1">
      <c r="A322" s="117"/>
      <c r="B322" s="47"/>
      <c r="C322" s="76"/>
      <c r="D322" s="76"/>
      <c r="E322" s="76"/>
      <c r="F322" s="104"/>
      <c r="G322" s="76"/>
      <c r="H322" s="83"/>
      <c r="I322" s="103"/>
      <c r="J322" s="76"/>
      <c r="K322" s="104"/>
      <c r="L322" s="104"/>
      <c r="M322" s="174">
        <f>IF(Tabelle132456[[#This Row],[Pulled after Start]]="",MIN(Tabelle132456[[#This Row],[Jira Story Points]],Tabelle132456[[#This Row],[Carry-over]]),0)</f>
        <v>0</v>
      </c>
      <c r="N322" s="173">
        <f>MIN(Tabelle132456[[#This Row],[Jira Story Points]],Tabelle132456[[#This Row],[Carry-over]])-Tabelle132456[[#This Row],[SP Initially Planned (COS)]]</f>
        <v>0</v>
      </c>
      <c r="O32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22" s="173">
        <f>IFERROR(IF(Tabelle132456[[#This Row],[Status]]=$I$5,MIN(Tabelle132456[[#This Row],[Jira Story Points]],Tabelle132456[[#This Row],[Carry-over]]),0),0)</f>
        <v>0</v>
      </c>
      <c r="Q322" s="173">
        <f>IFERROR(IF(Tabelle132456[[#This Row],[Status]]=$I$5,0,MIN(Tabelle132456[[#This Row],[Jira Story Points]],Tabelle132456[[#This Row],[Carry-over]])-Tabelle132456[[#This Row],[SP Completed (COS &amp; SOS)]]),0)</f>
        <v>0</v>
      </c>
    </row>
    <row r="323" spans="1:17" s="46" customFormat="1" ht="13.5" customHeight="1">
      <c r="A323" s="117"/>
      <c r="B323" s="47"/>
      <c r="C323" s="76"/>
      <c r="D323" s="76"/>
      <c r="E323" s="76"/>
      <c r="F323" s="104"/>
      <c r="G323" s="76"/>
      <c r="H323" s="83"/>
      <c r="I323" s="103"/>
      <c r="J323" s="76"/>
      <c r="K323" s="104"/>
      <c r="L323" s="104"/>
      <c r="M323" s="174">
        <f>IF(Tabelle132456[[#This Row],[Pulled after Start]]="",MIN(Tabelle132456[[#This Row],[Jira Story Points]],Tabelle132456[[#This Row],[Carry-over]]),0)</f>
        <v>0</v>
      </c>
      <c r="N323" s="173">
        <f>MIN(Tabelle132456[[#This Row],[Jira Story Points]],Tabelle132456[[#This Row],[Carry-over]])-Tabelle132456[[#This Row],[SP Initially Planned (COS)]]</f>
        <v>0</v>
      </c>
      <c r="O32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23" s="173">
        <f>IFERROR(IF(Tabelle132456[[#This Row],[Status]]=$I$5,MIN(Tabelle132456[[#This Row],[Jira Story Points]],Tabelle132456[[#This Row],[Carry-over]]),0),0)</f>
        <v>0</v>
      </c>
      <c r="Q323" s="173">
        <f>IFERROR(IF(Tabelle132456[[#This Row],[Status]]=$I$5,0,MIN(Tabelle132456[[#This Row],[Jira Story Points]],Tabelle132456[[#This Row],[Carry-over]])-Tabelle132456[[#This Row],[SP Completed (COS &amp; SOS)]]),0)</f>
        <v>0</v>
      </c>
    </row>
    <row r="324" spans="1:17" s="46" customFormat="1" ht="13.5" customHeight="1">
      <c r="A324" s="117"/>
      <c r="B324" s="47"/>
      <c r="C324" s="76"/>
      <c r="D324" s="76"/>
      <c r="E324" s="76"/>
      <c r="F324" s="104"/>
      <c r="G324" s="76"/>
      <c r="H324" s="83"/>
      <c r="I324" s="103"/>
      <c r="J324" s="76"/>
      <c r="K324" s="104"/>
      <c r="L324" s="104"/>
      <c r="M324" s="174">
        <f>IF(Tabelle132456[[#This Row],[Pulled after Start]]="",MIN(Tabelle132456[[#This Row],[Jira Story Points]],Tabelle132456[[#This Row],[Carry-over]]),0)</f>
        <v>0</v>
      </c>
      <c r="N324" s="173">
        <f>MIN(Tabelle132456[[#This Row],[Jira Story Points]],Tabelle132456[[#This Row],[Carry-over]])-Tabelle132456[[#This Row],[SP Initially Planned (COS)]]</f>
        <v>0</v>
      </c>
      <c r="O32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24" s="173">
        <f>IFERROR(IF(Tabelle132456[[#This Row],[Status]]=$I$5,MIN(Tabelle132456[[#This Row],[Jira Story Points]],Tabelle132456[[#This Row],[Carry-over]]),0),0)</f>
        <v>0</v>
      </c>
      <c r="Q324" s="173">
        <f>IFERROR(IF(Tabelle132456[[#This Row],[Status]]=$I$5,0,MIN(Tabelle132456[[#This Row],[Jira Story Points]],Tabelle132456[[#This Row],[Carry-over]])-Tabelle132456[[#This Row],[SP Completed (COS &amp; SOS)]]),0)</f>
        <v>0</v>
      </c>
    </row>
    <row r="325" spans="1:17" s="46" customFormat="1" ht="13.5" customHeight="1">
      <c r="A325" s="117"/>
      <c r="B325" s="47"/>
      <c r="C325" s="76"/>
      <c r="D325" s="76"/>
      <c r="E325" s="76"/>
      <c r="F325" s="104"/>
      <c r="G325" s="76"/>
      <c r="H325" s="83"/>
      <c r="I325" s="103"/>
      <c r="J325" s="76"/>
      <c r="K325" s="104"/>
      <c r="L325" s="104"/>
      <c r="M325" s="174">
        <f>IF(Tabelle132456[[#This Row],[Pulled after Start]]="",MIN(Tabelle132456[[#This Row],[Jira Story Points]],Tabelle132456[[#This Row],[Carry-over]]),0)</f>
        <v>0</v>
      </c>
      <c r="N325" s="173">
        <f>MIN(Tabelle132456[[#This Row],[Jira Story Points]],Tabelle132456[[#This Row],[Carry-over]])-Tabelle132456[[#This Row],[SP Initially Planned (COS)]]</f>
        <v>0</v>
      </c>
      <c r="O32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25" s="173">
        <f>IFERROR(IF(Tabelle132456[[#This Row],[Status]]=$I$5,MIN(Tabelle132456[[#This Row],[Jira Story Points]],Tabelle132456[[#This Row],[Carry-over]]),0),0)</f>
        <v>0</v>
      </c>
      <c r="Q325" s="173">
        <f>IFERROR(IF(Tabelle132456[[#This Row],[Status]]=$I$5,0,MIN(Tabelle132456[[#This Row],[Jira Story Points]],Tabelle132456[[#This Row],[Carry-over]])-Tabelle132456[[#This Row],[SP Completed (COS &amp; SOS)]]),0)</f>
        <v>0</v>
      </c>
    </row>
    <row r="326" spans="1:17" s="46" customFormat="1" ht="13.5" customHeight="1">
      <c r="A326" s="117"/>
      <c r="B326" s="47"/>
      <c r="C326" s="76"/>
      <c r="D326" s="76"/>
      <c r="E326" s="76"/>
      <c r="F326" s="104"/>
      <c r="G326" s="76"/>
      <c r="H326" s="83"/>
      <c r="I326" s="103"/>
      <c r="J326" s="76"/>
      <c r="K326" s="104"/>
      <c r="L326" s="104"/>
      <c r="M326" s="174">
        <f>IF(Tabelle132456[[#This Row],[Pulled after Start]]="",MIN(Tabelle132456[[#This Row],[Jira Story Points]],Tabelle132456[[#This Row],[Carry-over]]),0)</f>
        <v>0</v>
      </c>
      <c r="N326" s="173">
        <f>MIN(Tabelle132456[[#This Row],[Jira Story Points]],Tabelle132456[[#This Row],[Carry-over]])-Tabelle132456[[#This Row],[SP Initially Planned (COS)]]</f>
        <v>0</v>
      </c>
      <c r="O32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26" s="173">
        <f>IFERROR(IF(Tabelle132456[[#This Row],[Status]]=$I$5,MIN(Tabelle132456[[#This Row],[Jira Story Points]],Tabelle132456[[#This Row],[Carry-over]]),0),0)</f>
        <v>0</v>
      </c>
      <c r="Q326" s="173">
        <f>IFERROR(IF(Tabelle132456[[#This Row],[Status]]=$I$5,0,MIN(Tabelle132456[[#This Row],[Jira Story Points]],Tabelle132456[[#This Row],[Carry-over]])-Tabelle132456[[#This Row],[SP Completed (COS &amp; SOS)]]),0)</f>
        <v>0</v>
      </c>
    </row>
    <row r="327" spans="1:17" s="46" customFormat="1" ht="13.5" customHeight="1">
      <c r="A327" s="117"/>
      <c r="B327" s="47"/>
      <c r="C327" s="76"/>
      <c r="D327" s="76"/>
      <c r="E327" s="76"/>
      <c r="F327" s="104"/>
      <c r="G327" s="76"/>
      <c r="H327" s="83"/>
      <c r="I327" s="103"/>
      <c r="J327" s="76"/>
      <c r="K327" s="104"/>
      <c r="L327" s="104"/>
      <c r="M327" s="174">
        <f>IF(Tabelle132456[[#This Row],[Pulled after Start]]="",MIN(Tabelle132456[[#This Row],[Jira Story Points]],Tabelle132456[[#This Row],[Carry-over]]),0)</f>
        <v>0</v>
      </c>
      <c r="N327" s="173">
        <f>MIN(Tabelle132456[[#This Row],[Jira Story Points]],Tabelle132456[[#This Row],[Carry-over]])-Tabelle132456[[#This Row],[SP Initially Planned (COS)]]</f>
        <v>0</v>
      </c>
      <c r="O32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27" s="173">
        <f>IFERROR(IF(Tabelle132456[[#This Row],[Status]]=$I$5,MIN(Tabelle132456[[#This Row],[Jira Story Points]],Tabelle132456[[#This Row],[Carry-over]]),0),0)</f>
        <v>0</v>
      </c>
      <c r="Q327" s="173">
        <f>IFERROR(IF(Tabelle132456[[#This Row],[Status]]=$I$5,0,MIN(Tabelle132456[[#This Row],[Jira Story Points]],Tabelle132456[[#This Row],[Carry-over]])-Tabelle132456[[#This Row],[SP Completed (COS &amp; SOS)]]),0)</f>
        <v>0</v>
      </c>
    </row>
    <row r="328" spans="1:17" s="46" customFormat="1" ht="13.5" customHeight="1">
      <c r="A328" s="117"/>
      <c r="B328" s="47"/>
      <c r="C328" s="76"/>
      <c r="D328" s="76"/>
      <c r="E328" s="76"/>
      <c r="F328" s="104"/>
      <c r="G328" s="76"/>
      <c r="H328" s="83"/>
      <c r="I328" s="103"/>
      <c r="J328" s="76"/>
      <c r="K328" s="104"/>
      <c r="L328" s="104"/>
      <c r="M328" s="174">
        <f>IF(Tabelle132456[[#This Row],[Pulled after Start]]="",MIN(Tabelle132456[[#This Row],[Jira Story Points]],Tabelle132456[[#This Row],[Carry-over]]),0)</f>
        <v>0</v>
      </c>
      <c r="N328" s="173">
        <f>MIN(Tabelle132456[[#This Row],[Jira Story Points]],Tabelle132456[[#This Row],[Carry-over]])-Tabelle132456[[#This Row],[SP Initially Planned (COS)]]</f>
        <v>0</v>
      </c>
      <c r="O32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28" s="173">
        <f>IFERROR(IF(Tabelle132456[[#This Row],[Status]]=$I$5,MIN(Tabelle132456[[#This Row],[Jira Story Points]],Tabelle132456[[#This Row],[Carry-over]]),0),0)</f>
        <v>0</v>
      </c>
      <c r="Q328" s="173">
        <f>IFERROR(IF(Tabelle132456[[#This Row],[Status]]=$I$5,0,MIN(Tabelle132456[[#This Row],[Jira Story Points]],Tabelle132456[[#This Row],[Carry-over]])-Tabelle132456[[#This Row],[SP Completed (COS &amp; SOS)]]),0)</f>
        <v>0</v>
      </c>
    </row>
    <row r="329" spans="1:17" s="46" customFormat="1" ht="13.5" customHeight="1">
      <c r="A329" s="117"/>
      <c r="B329" s="47"/>
      <c r="C329" s="76"/>
      <c r="D329" s="76"/>
      <c r="E329" s="76"/>
      <c r="F329" s="104"/>
      <c r="G329" s="76"/>
      <c r="H329" s="83"/>
      <c r="I329" s="103"/>
      <c r="J329" s="76"/>
      <c r="K329" s="104"/>
      <c r="L329" s="104"/>
      <c r="M329" s="174">
        <f>IF(Tabelle132456[[#This Row],[Pulled after Start]]="",MIN(Tabelle132456[[#This Row],[Jira Story Points]],Tabelle132456[[#This Row],[Carry-over]]),0)</f>
        <v>0</v>
      </c>
      <c r="N329" s="173">
        <f>MIN(Tabelle132456[[#This Row],[Jira Story Points]],Tabelle132456[[#This Row],[Carry-over]])-Tabelle132456[[#This Row],[SP Initially Planned (COS)]]</f>
        <v>0</v>
      </c>
      <c r="O32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29" s="173">
        <f>IFERROR(IF(Tabelle132456[[#This Row],[Status]]=$I$5,MIN(Tabelle132456[[#This Row],[Jira Story Points]],Tabelle132456[[#This Row],[Carry-over]]),0),0)</f>
        <v>0</v>
      </c>
      <c r="Q329" s="173">
        <f>IFERROR(IF(Tabelle132456[[#This Row],[Status]]=$I$5,0,MIN(Tabelle132456[[#This Row],[Jira Story Points]],Tabelle132456[[#This Row],[Carry-over]])-Tabelle132456[[#This Row],[SP Completed (COS &amp; SOS)]]),0)</f>
        <v>0</v>
      </c>
    </row>
    <row r="330" spans="1:17" s="46" customFormat="1" ht="13.5" customHeight="1">
      <c r="A330" s="117"/>
      <c r="B330" s="47"/>
      <c r="C330" s="76"/>
      <c r="D330" s="76"/>
      <c r="E330" s="76"/>
      <c r="F330" s="104"/>
      <c r="G330" s="76"/>
      <c r="H330" s="83"/>
      <c r="I330" s="103"/>
      <c r="J330" s="76"/>
      <c r="K330" s="104"/>
      <c r="L330" s="104"/>
      <c r="M330" s="174">
        <f>IF(Tabelle132456[[#This Row],[Pulled after Start]]="",MIN(Tabelle132456[[#This Row],[Jira Story Points]],Tabelle132456[[#This Row],[Carry-over]]),0)</f>
        <v>0</v>
      </c>
      <c r="N330" s="173">
        <f>MIN(Tabelle132456[[#This Row],[Jira Story Points]],Tabelle132456[[#This Row],[Carry-over]])-Tabelle132456[[#This Row],[SP Initially Planned (COS)]]</f>
        <v>0</v>
      </c>
      <c r="O33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30" s="173">
        <f>IFERROR(IF(Tabelle132456[[#This Row],[Status]]=$I$5,MIN(Tabelle132456[[#This Row],[Jira Story Points]],Tabelle132456[[#This Row],[Carry-over]]),0),0)</f>
        <v>0</v>
      </c>
      <c r="Q330" s="173">
        <f>IFERROR(IF(Tabelle132456[[#This Row],[Status]]=$I$5,0,MIN(Tabelle132456[[#This Row],[Jira Story Points]],Tabelle132456[[#This Row],[Carry-over]])-Tabelle132456[[#This Row],[SP Completed (COS &amp; SOS)]]),0)</f>
        <v>0</v>
      </c>
    </row>
    <row r="331" spans="1:17" s="46" customFormat="1" ht="13.5" customHeight="1">
      <c r="A331" s="117"/>
      <c r="B331" s="47"/>
      <c r="C331" s="76"/>
      <c r="D331" s="76"/>
      <c r="E331" s="76"/>
      <c r="F331" s="104"/>
      <c r="G331" s="76"/>
      <c r="H331" s="83"/>
      <c r="I331" s="103"/>
      <c r="J331" s="76"/>
      <c r="K331" s="104"/>
      <c r="L331" s="104"/>
      <c r="M331" s="174">
        <f>IF(Tabelle132456[[#This Row],[Pulled after Start]]="",MIN(Tabelle132456[[#This Row],[Jira Story Points]],Tabelle132456[[#This Row],[Carry-over]]),0)</f>
        <v>0</v>
      </c>
      <c r="N331" s="173">
        <f>MIN(Tabelle132456[[#This Row],[Jira Story Points]],Tabelle132456[[#This Row],[Carry-over]])-Tabelle132456[[#This Row],[SP Initially Planned (COS)]]</f>
        <v>0</v>
      </c>
      <c r="O33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31" s="173">
        <f>IFERROR(IF(Tabelle132456[[#This Row],[Status]]=$I$5,MIN(Tabelle132456[[#This Row],[Jira Story Points]],Tabelle132456[[#This Row],[Carry-over]]),0),0)</f>
        <v>0</v>
      </c>
      <c r="Q331" s="173">
        <f>IFERROR(IF(Tabelle132456[[#This Row],[Status]]=$I$5,0,MIN(Tabelle132456[[#This Row],[Jira Story Points]],Tabelle132456[[#This Row],[Carry-over]])-Tabelle132456[[#This Row],[SP Completed (COS &amp; SOS)]]),0)</f>
        <v>0</v>
      </c>
    </row>
    <row r="332" spans="1:17" s="46" customFormat="1" ht="13.5" customHeight="1">
      <c r="A332" s="117"/>
      <c r="B332" s="47"/>
      <c r="C332" s="76"/>
      <c r="D332" s="76"/>
      <c r="E332" s="76"/>
      <c r="F332" s="104"/>
      <c r="G332" s="76"/>
      <c r="H332" s="83"/>
      <c r="I332" s="103"/>
      <c r="J332" s="76"/>
      <c r="K332" s="104"/>
      <c r="L332" s="104"/>
      <c r="M332" s="174">
        <f>IF(Tabelle132456[[#This Row],[Pulled after Start]]="",MIN(Tabelle132456[[#This Row],[Jira Story Points]],Tabelle132456[[#This Row],[Carry-over]]),0)</f>
        <v>0</v>
      </c>
      <c r="N332" s="173">
        <f>MIN(Tabelle132456[[#This Row],[Jira Story Points]],Tabelle132456[[#This Row],[Carry-over]])-Tabelle132456[[#This Row],[SP Initially Planned (COS)]]</f>
        <v>0</v>
      </c>
      <c r="O33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32" s="173">
        <f>IFERROR(IF(Tabelle132456[[#This Row],[Status]]=$I$5,MIN(Tabelle132456[[#This Row],[Jira Story Points]],Tabelle132456[[#This Row],[Carry-over]]),0),0)</f>
        <v>0</v>
      </c>
      <c r="Q332" s="173">
        <f>IFERROR(IF(Tabelle132456[[#This Row],[Status]]=$I$5,0,MIN(Tabelle132456[[#This Row],[Jira Story Points]],Tabelle132456[[#This Row],[Carry-over]])-Tabelle132456[[#This Row],[SP Completed (COS &amp; SOS)]]),0)</f>
        <v>0</v>
      </c>
    </row>
    <row r="333" spans="1:17" s="46" customFormat="1" ht="13.5" customHeight="1">
      <c r="A333" s="117"/>
      <c r="B333" s="47"/>
      <c r="C333" s="76"/>
      <c r="D333" s="76"/>
      <c r="E333" s="76"/>
      <c r="F333" s="104"/>
      <c r="G333" s="76"/>
      <c r="H333" s="83"/>
      <c r="I333" s="103"/>
      <c r="J333" s="76"/>
      <c r="K333" s="104"/>
      <c r="L333" s="104"/>
      <c r="M333" s="174">
        <f>IF(Tabelle132456[[#This Row],[Pulled after Start]]="",MIN(Tabelle132456[[#This Row],[Jira Story Points]],Tabelle132456[[#This Row],[Carry-over]]),0)</f>
        <v>0</v>
      </c>
      <c r="N333" s="173">
        <f>MIN(Tabelle132456[[#This Row],[Jira Story Points]],Tabelle132456[[#This Row],[Carry-over]])-Tabelle132456[[#This Row],[SP Initially Planned (COS)]]</f>
        <v>0</v>
      </c>
      <c r="O33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33" s="173">
        <f>IFERROR(IF(Tabelle132456[[#This Row],[Status]]=$I$5,MIN(Tabelle132456[[#This Row],[Jira Story Points]],Tabelle132456[[#This Row],[Carry-over]]),0),0)</f>
        <v>0</v>
      </c>
      <c r="Q333" s="173">
        <f>IFERROR(IF(Tabelle132456[[#This Row],[Status]]=$I$5,0,MIN(Tabelle132456[[#This Row],[Jira Story Points]],Tabelle132456[[#This Row],[Carry-over]])-Tabelle132456[[#This Row],[SP Completed (COS &amp; SOS)]]),0)</f>
        <v>0</v>
      </c>
    </row>
    <row r="334" spans="1:17" s="46" customFormat="1" ht="13.5" customHeight="1">
      <c r="A334" s="117"/>
      <c r="B334" s="47"/>
      <c r="C334" s="76"/>
      <c r="D334" s="76"/>
      <c r="E334" s="76"/>
      <c r="F334" s="104"/>
      <c r="G334" s="76"/>
      <c r="H334" s="83"/>
      <c r="I334" s="103"/>
      <c r="J334" s="76"/>
      <c r="K334" s="104"/>
      <c r="L334" s="104"/>
      <c r="M334" s="174">
        <f>IF(Tabelle132456[[#This Row],[Pulled after Start]]="",MIN(Tabelle132456[[#This Row],[Jira Story Points]],Tabelle132456[[#This Row],[Carry-over]]),0)</f>
        <v>0</v>
      </c>
      <c r="N334" s="173">
        <f>MIN(Tabelle132456[[#This Row],[Jira Story Points]],Tabelle132456[[#This Row],[Carry-over]])-Tabelle132456[[#This Row],[SP Initially Planned (COS)]]</f>
        <v>0</v>
      </c>
      <c r="O33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34" s="173">
        <f>IFERROR(IF(Tabelle132456[[#This Row],[Status]]=$I$5,MIN(Tabelle132456[[#This Row],[Jira Story Points]],Tabelle132456[[#This Row],[Carry-over]]),0),0)</f>
        <v>0</v>
      </c>
      <c r="Q334" s="173">
        <f>IFERROR(IF(Tabelle132456[[#This Row],[Status]]=$I$5,0,MIN(Tabelle132456[[#This Row],[Jira Story Points]],Tabelle132456[[#This Row],[Carry-over]])-Tabelle132456[[#This Row],[SP Completed (COS &amp; SOS)]]),0)</f>
        <v>0</v>
      </c>
    </row>
    <row r="335" spans="1:17" s="46" customFormat="1" ht="13.5" customHeight="1">
      <c r="A335" s="117"/>
      <c r="B335" s="47"/>
      <c r="C335" s="76"/>
      <c r="D335" s="76"/>
      <c r="E335" s="76"/>
      <c r="F335" s="104"/>
      <c r="G335" s="76"/>
      <c r="H335" s="83"/>
      <c r="I335" s="103"/>
      <c r="J335" s="76"/>
      <c r="K335" s="104"/>
      <c r="L335" s="104"/>
      <c r="M335" s="174">
        <f>IF(Tabelle132456[[#This Row],[Pulled after Start]]="",MIN(Tabelle132456[[#This Row],[Jira Story Points]],Tabelle132456[[#This Row],[Carry-over]]),0)</f>
        <v>0</v>
      </c>
      <c r="N335" s="173">
        <f>MIN(Tabelle132456[[#This Row],[Jira Story Points]],Tabelle132456[[#This Row],[Carry-over]])-Tabelle132456[[#This Row],[SP Initially Planned (COS)]]</f>
        <v>0</v>
      </c>
      <c r="O33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35" s="173">
        <f>IFERROR(IF(Tabelle132456[[#This Row],[Status]]=$I$5,MIN(Tabelle132456[[#This Row],[Jira Story Points]],Tabelle132456[[#This Row],[Carry-over]]),0),0)</f>
        <v>0</v>
      </c>
      <c r="Q335" s="173">
        <f>IFERROR(IF(Tabelle132456[[#This Row],[Status]]=$I$5,0,MIN(Tabelle132456[[#This Row],[Jira Story Points]],Tabelle132456[[#This Row],[Carry-over]])-Tabelle132456[[#This Row],[SP Completed (COS &amp; SOS)]]),0)</f>
        <v>0</v>
      </c>
    </row>
    <row r="336" spans="1:17" s="46" customFormat="1" ht="13.5" customHeight="1">
      <c r="A336" s="117"/>
      <c r="B336" s="47"/>
      <c r="C336" s="76"/>
      <c r="D336" s="76"/>
      <c r="E336" s="76"/>
      <c r="F336" s="104"/>
      <c r="G336" s="76"/>
      <c r="H336" s="83"/>
      <c r="I336" s="103"/>
      <c r="J336" s="76"/>
      <c r="K336" s="104"/>
      <c r="L336" s="104"/>
      <c r="M336" s="174">
        <f>IF(Tabelle132456[[#This Row],[Pulled after Start]]="",MIN(Tabelle132456[[#This Row],[Jira Story Points]],Tabelle132456[[#This Row],[Carry-over]]),0)</f>
        <v>0</v>
      </c>
      <c r="N336" s="173">
        <f>MIN(Tabelle132456[[#This Row],[Jira Story Points]],Tabelle132456[[#This Row],[Carry-over]])-Tabelle132456[[#This Row],[SP Initially Planned (COS)]]</f>
        <v>0</v>
      </c>
      <c r="O33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36" s="173">
        <f>IFERROR(IF(Tabelle132456[[#This Row],[Status]]=$I$5,MIN(Tabelle132456[[#This Row],[Jira Story Points]],Tabelle132456[[#This Row],[Carry-over]]),0),0)</f>
        <v>0</v>
      </c>
      <c r="Q336" s="173">
        <f>IFERROR(IF(Tabelle132456[[#This Row],[Status]]=$I$5,0,MIN(Tabelle132456[[#This Row],[Jira Story Points]],Tabelle132456[[#This Row],[Carry-over]])-Tabelle132456[[#This Row],[SP Completed (COS &amp; SOS)]]),0)</f>
        <v>0</v>
      </c>
    </row>
    <row r="337" spans="1:17" s="46" customFormat="1" ht="13.5" customHeight="1">
      <c r="A337" s="117"/>
      <c r="B337" s="47"/>
      <c r="C337" s="76"/>
      <c r="D337" s="76"/>
      <c r="E337" s="76"/>
      <c r="F337" s="104"/>
      <c r="G337" s="76"/>
      <c r="H337" s="83"/>
      <c r="I337" s="103"/>
      <c r="J337" s="76"/>
      <c r="K337" s="104"/>
      <c r="L337" s="104"/>
      <c r="M337" s="174">
        <f>IF(Tabelle132456[[#This Row],[Pulled after Start]]="",MIN(Tabelle132456[[#This Row],[Jira Story Points]],Tabelle132456[[#This Row],[Carry-over]]),0)</f>
        <v>0</v>
      </c>
      <c r="N337" s="173">
        <f>MIN(Tabelle132456[[#This Row],[Jira Story Points]],Tabelle132456[[#This Row],[Carry-over]])-Tabelle132456[[#This Row],[SP Initially Planned (COS)]]</f>
        <v>0</v>
      </c>
      <c r="O33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37" s="173">
        <f>IFERROR(IF(Tabelle132456[[#This Row],[Status]]=$I$5,MIN(Tabelle132456[[#This Row],[Jira Story Points]],Tabelle132456[[#This Row],[Carry-over]]),0),0)</f>
        <v>0</v>
      </c>
      <c r="Q337" s="173">
        <f>IFERROR(IF(Tabelle132456[[#This Row],[Status]]=$I$5,0,MIN(Tabelle132456[[#This Row],[Jira Story Points]],Tabelle132456[[#This Row],[Carry-over]])-Tabelle132456[[#This Row],[SP Completed (COS &amp; SOS)]]),0)</f>
        <v>0</v>
      </c>
    </row>
    <row r="338" spans="1:17" s="46" customFormat="1" ht="13.5" customHeight="1">
      <c r="A338" s="117"/>
      <c r="B338" s="47"/>
      <c r="C338" s="76"/>
      <c r="D338" s="76"/>
      <c r="E338" s="76"/>
      <c r="F338" s="104"/>
      <c r="G338" s="76"/>
      <c r="H338" s="83"/>
      <c r="I338" s="103"/>
      <c r="J338" s="76"/>
      <c r="K338" s="104"/>
      <c r="L338" s="104"/>
      <c r="M338" s="174">
        <f>IF(Tabelle132456[[#This Row],[Pulled after Start]]="",MIN(Tabelle132456[[#This Row],[Jira Story Points]],Tabelle132456[[#This Row],[Carry-over]]),0)</f>
        <v>0</v>
      </c>
      <c r="N338" s="173">
        <f>MIN(Tabelle132456[[#This Row],[Jira Story Points]],Tabelle132456[[#This Row],[Carry-over]])-Tabelle132456[[#This Row],[SP Initially Planned (COS)]]</f>
        <v>0</v>
      </c>
      <c r="O33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38" s="173">
        <f>IFERROR(IF(Tabelle132456[[#This Row],[Status]]=$I$5,MIN(Tabelle132456[[#This Row],[Jira Story Points]],Tabelle132456[[#This Row],[Carry-over]]),0),0)</f>
        <v>0</v>
      </c>
      <c r="Q338" s="173">
        <f>IFERROR(IF(Tabelle132456[[#This Row],[Status]]=$I$5,0,MIN(Tabelle132456[[#This Row],[Jira Story Points]],Tabelle132456[[#This Row],[Carry-over]])-Tabelle132456[[#This Row],[SP Completed (COS &amp; SOS)]]),0)</f>
        <v>0</v>
      </c>
    </row>
    <row r="339" spans="1:17" s="46" customFormat="1" ht="13.5" customHeight="1">
      <c r="A339" s="117"/>
      <c r="B339" s="47"/>
      <c r="C339" s="76"/>
      <c r="D339" s="76"/>
      <c r="E339" s="76"/>
      <c r="F339" s="104"/>
      <c r="G339" s="76"/>
      <c r="H339" s="83"/>
      <c r="I339" s="103"/>
      <c r="J339" s="76"/>
      <c r="K339" s="104"/>
      <c r="L339" s="104"/>
      <c r="M339" s="174">
        <f>IF(Tabelle132456[[#This Row],[Pulled after Start]]="",MIN(Tabelle132456[[#This Row],[Jira Story Points]],Tabelle132456[[#This Row],[Carry-over]]),0)</f>
        <v>0</v>
      </c>
      <c r="N339" s="173">
        <f>MIN(Tabelle132456[[#This Row],[Jira Story Points]],Tabelle132456[[#This Row],[Carry-over]])-Tabelle132456[[#This Row],[SP Initially Planned (COS)]]</f>
        <v>0</v>
      </c>
      <c r="O33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39" s="173">
        <f>IFERROR(IF(Tabelle132456[[#This Row],[Status]]=$I$5,MIN(Tabelle132456[[#This Row],[Jira Story Points]],Tabelle132456[[#This Row],[Carry-over]]),0),0)</f>
        <v>0</v>
      </c>
      <c r="Q339" s="173">
        <f>IFERROR(IF(Tabelle132456[[#This Row],[Status]]=$I$5,0,MIN(Tabelle132456[[#This Row],[Jira Story Points]],Tabelle132456[[#This Row],[Carry-over]])-Tabelle132456[[#This Row],[SP Completed (COS &amp; SOS)]]),0)</f>
        <v>0</v>
      </c>
    </row>
    <row r="340" spans="1:17" s="46" customFormat="1" ht="13.5" customHeight="1">
      <c r="A340" s="117"/>
      <c r="B340" s="47"/>
      <c r="C340" s="76"/>
      <c r="D340" s="76"/>
      <c r="E340" s="76"/>
      <c r="F340" s="104"/>
      <c r="G340" s="76"/>
      <c r="H340" s="83"/>
      <c r="I340" s="103"/>
      <c r="J340" s="76"/>
      <c r="K340" s="104"/>
      <c r="L340" s="104"/>
      <c r="M340" s="174">
        <f>IF(Tabelle132456[[#This Row],[Pulled after Start]]="",MIN(Tabelle132456[[#This Row],[Jira Story Points]],Tabelle132456[[#This Row],[Carry-over]]),0)</f>
        <v>0</v>
      </c>
      <c r="N340" s="173">
        <f>MIN(Tabelle132456[[#This Row],[Jira Story Points]],Tabelle132456[[#This Row],[Carry-over]])-Tabelle132456[[#This Row],[SP Initially Planned (COS)]]</f>
        <v>0</v>
      </c>
      <c r="O34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40" s="173">
        <f>IFERROR(IF(Tabelle132456[[#This Row],[Status]]=$I$5,MIN(Tabelle132456[[#This Row],[Jira Story Points]],Tabelle132456[[#This Row],[Carry-over]]),0),0)</f>
        <v>0</v>
      </c>
      <c r="Q340" s="173">
        <f>IFERROR(IF(Tabelle132456[[#This Row],[Status]]=$I$5,0,MIN(Tabelle132456[[#This Row],[Jira Story Points]],Tabelle132456[[#This Row],[Carry-over]])-Tabelle132456[[#This Row],[SP Completed (COS &amp; SOS)]]),0)</f>
        <v>0</v>
      </c>
    </row>
    <row r="341" spans="1:17" s="46" customFormat="1" ht="13.5" customHeight="1">
      <c r="A341" s="117"/>
      <c r="B341" s="47"/>
      <c r="C341" s="76"/>
      <c r="D341" s="76"/>
      <c r="E341" s="76"/>
      <c r="F341" s="104"/>
      <c r="G341" s="76"/>
      <c r="H341" s="83"/>
      <c r="I341" s="103"/>
      <c r="J341" s="76"/>
      <c r="K341" s="104"/>
      <c r="L341" s="104"/>
      <c r="M341" s="174">
        <f>IF(Tabelle132456[[#This Row],[Pulled after Start]]="",MIN(Tabelle132456[[#This Row],[Jira Story Points]],Tabelle132456[[#This Row],[Carry-over]]),0)</f>
        <v>0</v>
      </c>
      <c r="N341" s="173">
        <f>MIN(Tabelle132456[[#This Row],[Jira Story Points]],Tabelle132456[[#This Row],[Carry-over]])-Tabelle132456[[#This Row],[SP Initially Planned (COS)]]</f>
        <v>0</v>
      </c>
      <c r="O34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41" s="173">
        <f>IFERROR(IF(Tabelle132456[[#This Row],[Status]]=$I$5,MIN(Tabelle132456[[#This Row],[Jira Story Points]],Tabelle132456[[#This Row],[Carry-over]]),0),0)</f>
        <v>0</v>
      </c>
      <c r="Q341" s="173">
        <f>IFERROR(IF(Tabelle132456[[#This Row],[Status]]=$I$5,0,MIN(Tabelle132456[[#This Row],[Jira Story Points]],Tabelle132456[[#This Row],[Carry-over]])-Tabelle132456[[#This Row],[SP Completed (COS &amp; SOS)]]),0)</f>
        <v>0</v>
      </c>
    </row>
    <row r="342" spans="1:17" s="46" customFormat="1" ht="13.5" customHeight="1">
      <c r="A342" s="117"/>
      <c r="B342" s="47"/>
      <c r="C342" s="76"/>
      <c r="D342" s="76"/>
      <c r="E342" s="76"/>
      <c r="F342" s="104"/>
      <c r="G342" s="76"/>
      <c r="H342" s="83"/>
      <c r="I342" s="103"/>
      <c r="J342" s="76"/>
      <c r="K342" s="104"/>
      <c r="L342" s="104"/>
      <c r="M342" s="174">
        <f>IF(Tabelle132456[[#This Row],[Pulled after Start]]="",MIN(Tabelle132456[[#This Row],[Jira Story Points]],Tabelle132456[[#This Row],[Carry-over]]),0)</f>
        <v>0</v>
      </c>
      <c r="N342" s="173">
        <f>MIN(Tabelle132456[[#This Row],[Jira Story Points]],Tabelle132456[[#This Row],[Carry-over]])-Tabelle132456[[#This Row],[SP Initially Planned (COS)]]</f>
        <v>0</v>
      </c>
      <c r="O34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42" s="173">
        <f>IFERROR(IF(Tabelle132456[[#This Row],[Status]]=$I$5,MIN(Tabelle132456[[#This Row],[Jira Story Points]],Tabelle132456[[#This Row],[Carry-over]]),0),0)</f>
        <v>0</v>
      </c>
      <c r="Q342" s="173">
        <f>IFERROR(IF(Tabelle132456[[#This Row],[Status]]=$I$5,0,MIN(Tabelle132456[[#This Row],[Jira Story Points]],Tabelle132456[[#This Row],[Carry-over]])-Tabelle132456[[#This Row],[SP Completed (COS &amp; SOS)]]),0)</f>
        <v>0</v>
      </c>
    </row>
    <row r="343" spans="1:17" s="46" customFormat="1" ht="13.5" customHeight="1">
      <c r="A343" s="117"/>
      <c r="B343" s="47"/>
      <c r="C343" s="76"/>
      <c r="D343" s="76"/>
      <c r="E343" s="76"/>
      <c r="F343" s="104"/>
      <c r="G343" s="76"/>
      <c r="H343" s="83"/>
      <c r="I343" s="103"/>
      <c r="J343" s="76"/>
      <c r="K343" s="104"/>
      <c r="L343" s="104"/>
      <c r="M343" s="174">
        <f>IF(Tabelle132456[[#This Row],[Pulled after Start]]="",MIN(Tabelle132456[[#This Row],[Jira Story Points]],Tabelle132456[[#This Row],[Carry-over]]),0)</f>
        <v>0</v>
      </c>
      <c r="N343" s="173">
        <f>MIN(Tabelle132456[[#This Row],[Jira Story Points]],Tabelle132456[[#This Row],[Carry-over]])-Tabelle132456[[#This Row],[SP Initially Planned (COS)]]</f>
        <v>0</v>
      </c>
      <c r="O34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43" s="173">
        <f>IFERROR(IF(Tabelle132456[[#This Row],[Status]]=$I$5,MIN(Tabelle132456[[#This Row],[Jira Story Points]],Tabelle132456[[#This Row],[Carry-over]]),0),0)</f>
        <v>0</v>
      </c>
      <c r="Q343" s="173">
        <f>IFERROR(IF(Tabelle132456[[#This Row],[Status]]=$I$5,0,MIN(Tabelle132456[[#This Row],[Jira Story Points]],Tabelle132456[[#This Row],[Carry-over]])-Tabelle132456[[#This Row],[SP Completed (COS &amp; SOS)]]),0)</f>
        <v>0</v>
      </c>
    </row>
    <row r="344" spans="1:17" s="46" customFormat="1" ht="13.5" customHeight="1">
      <c r="A344" s="117"/>
      <c r="B344" s="47"/>
      <c r="C344" s="76"/>
      <c r="D344" s="76"/>
      <c r="E344" s="76"/>
      <c r="F344" s="104"/>
      <c r="G344" s="76"/>
      <c r="H344" s="83"/>
      <c r="I344" s="103"/>
      <c r="J344" s="76"/>
      <c r="K344" s="104"/>
      <c r="L344" s="104"/>
      <c r="M344" s="174">
        <f>IF(Tabelle132456[[#This Row],[Pulled after Start]]="",MIN(Tabelle132456[[#This Row],[Jira Story Points]],Tabelle132456[[#This Row],[Carry-over]]),0)</f>
        <v>0</v>
      </c>
      <c r="N344" s="173">
        <f>MIN(Tabelle132456[[#This Row],[Jira Story Points]],Tabelle132456[[#This Row],[Carry-over]])-Tabelle132456[[#This Row],[SP Initially Planned (COS)]]</f>
        <v>0</v>
      </c>
      <c r="O34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44" s="173">
        <f>IFERROR(IF(Tabelle132456[[#This Row],[Status]]=$I$5,MIN(Tabelle132456[[#This Row],[Jira Story Points]],Tabelle132456[[#This Row],[Carry-over]]),0),0)</f>
        <v>0</v>
      </c>
      <c r="Q344" s="173">
        <f>IFERROR(IF(Tabelle132456[[#This Row],[Status]]=$I$5,0,MIN(Tabelle132456[[#This Row],[Jira Story Points]],Tabelle132456[[#This Row],[Carry-over]])-Tabelle132456[[#This Row],[SP Completed (COS &amp; SOS)]]),0)</f>
        <v>0</v>
      </c>
    </row>
    <row r="345" spans="1:17" s="46" customFormat="1" ht="13.5" customHeight="1">
      <c r="A345" s="117"/>
      <c r="B345" s="47"/>
      <c r="C345" s="76"/>
      <c r="D345" s="76"/>
      <c r="E345" s="76"/>
      <c r="F345" s="104"/>
      <c r="G345" s="76"/>
      <c r="H345" s="83"/>
      <c r="I345" s="103"/>
      <c r="J345" s="76"/>
      <c r="K345" s="104"/>
      <c r="L345" s="104"/>
      <c r="M345" s="174">
        <f>IF(Tabelle132456[[#This Row],[Pulled after Start]]="",MIN(Tabelle132456[[#This Row],[Jira Story Points]],Tabelle132456[[#This Row],[Carry-over]]),0)</f>
        <v>0</v>
      </c>
      <c r="N345" s="173">
        <f>MIN(Tabelle132456[[#This Row],[Jira Story Points]],Tabelle132456[[#This Row],[Carry-over]])-Tabelle132456[[#This Row],[SP Initially Planned (COS)]]</f>
        <v>0</v>
      </c>
      <c r="O34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45" s="173">
        <f>IFERROR(IF(Tabelle132456[[#This Row],[Status]]=$I$5,MIN(Tabelle132456[[#This Row],[Jira Story Points]],Tabelle132456[[#This Row],[Carry-over]]),0),0)</f>
        <v>0</v>
      </c>
      <c r="Q345" s="173">
        <f>IFERROR(IF(Tabelle132456[[#This Row],[Status]]=$I$5,0,MIN(Tabelle132456[[#This Row],[Jira Story Points]],Tabelle132456[[#This Row],[Carry-over]])-Tabelle132456[[#This Row],[SP Completed (COS &amp; SOS)]]),0)</f>
        <v>0</v>
      </c>
    </row>
    <row r="346" spans="1:17" s="46" customFormat="1" ht="13.5" customHeight="1">
      <c r="A346" s="117"/>
      <c r="B346" s="47"/>
      <c r="C346" s="76"/>
      <c r="D346" s="76"/>
      <c r="E346" s="76"/>
      <c r="F346" s="104"/>
      <c r="G346" s="76"/>
      <c r="H346" s="83"/>
      <c r="I346" s="103"/>
      <c r="J346" s="76"/>
      <c r="K346" s="104"/>
      <c r="L346" s="104"/>
      <c r="M346" s="174">
        <f>IF(Tabelle132456[[#This Row],[Pulled after Start]]="",MIN(Tabelle132456[[#This Row],[Jira Story Points]],Tabelle132456[[#This Row],[Carry-over]]),0)</f>
        <v>0</v>
      </c>
      <c r="N346" s="173">
        <f>MIN(Tabelle132456[[#This Row],[Jira Story Points]],Tabelle132456[[#This Row],[Carry-over]])-Tabelle132456[[#This Row],[SP Initially Planned (COS)]]</f>
        <v>0</v>
      </c>
      <c r="O34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46" s="173">
        <f>IFERROR(IF(Tabelle132456[[#This Row],[Status]]=$I$5,MIN(Tabelle132456[[#This Row],[Jira Story Points]],Tabelle132456[[#This Row],[Carry-over]]),0),0)</f>
        <v>0</v>
      </c>
      <c r="Q346" s="173">
        <f>IFERROR(IF(Tabelle132456[[#This Row],[Status]]=$I$5,0,MIN(Tabelle132456[[#This Row],[Jira Story Points]],Tabelle132456[[#This Row],[Carry-over]])-Tabelle132456[[#This Row],[SP Completed (COS &amp; SOS)]]),0)</f>
        <v>0</v>
      </c>
    </row>
    <row r="347" spans="1:17" s="46" customFormat="1" ht="13.5" customHeight="1">
      <c r="A347" s="117"/>
      <c r="B347" s="47"/>
      <c r="C347" s="76"/>
      <c r="D347" s="76"/>
      <c r="E347" s="76"/>
      <c r="F347" s="104"/>
      <c r="G347" s="76"/>
      <c r="H347" s="83"/>
      <c r="I347" s="103"/>
      <c r="J347" s="76"/>
      <c r="K347" s="104"/>
      <c r="L347" s="104"/>
      <c r="M347" s="174">
        <f>IF(Tabelle132456[[#This Row],[Pulled after Start]]="",MIN(Tabelle132456[[#This Row],[Jira Story Points]],Tabelle132456[[#This Row],[Carry-over]]),0)</f>
        <v>0</v>
      </c>
      <c r="N347" s="173">
        <f>MIN(Tabelle132456[[#This Row],[Jira Story Points]],Tabelle132456[[#This Row],[Carry-over]])-Tabelle132456[[#This Row],[SP Initially Planned (COS)]]</f>
        <v>0</v>
      </c>
      <c r="O34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47" s="173">
        <f>IFERROR(IF(Tabelle132456[[#This Row],[Status]]=$I$5,MIN(Tabelle132456[[#This Row],[Jira Story Points]],Tabelle132456[[#This Row],[Carry-over]]),0),0)</f>
        <v>0</v>
      </c>
      <c r="Q347" s="173">
        <f>IFERROR(IF(Tabelle132456[[#This Row],[Status]]=$I$5,0,MIN(Tabelle132456[[#This Row],[Jira Story Points]],Tabelle132456[[#This Row],[Carry-over]])-Tabelle132456[[#This Row],[SP Completed (COS &amp; SOS)]]),0)</f>
        <v>0</v>
      </c>
    </row>
    <row r="348" spans="1:17" s="46" customFormat="1" ht="13.5" customHeight="1">
      <c r="A348" s="117"/>
      <c r="B348" s="47"/>
      <c r="C348" s="76"/>
      <c r="D348" s="76"/>
      <c r="E348" s="76"/>
      <c r="F348" s="104"/>
      <c r="G348" s="76"/>
      <c r="H348" s="83"/>
      <c r="I348" s="103"/>
      <c r="J348" s="76"/>
      <c r="K348" s="104"/>
      <c r="L348" s="104"/>
      <c r="M348" s="174">
        <f>IF(Tabelle132456[[#This Row],[Pulled after Start]]="",MIN(Tabelle132456[[#This Row],[Jira Story Points]],Tabelle132456[[#This Row],[Carry-over]]),0)</f>
        <v>0</v>
      </c>
      <c r="N348" s="173">
        <f>MIN(Tabelle132456[[#This Row],[Jira Story Points]],Tabelle132456[[#This Row],[Carry-over]])-Tabelle132456[[#This Row],[SP Initially Planned (COS)]]</f>
        <v>0</v>
      </c>
      <c r="O34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48" s="173">
        <f>IFERROR(IF(Tabelle132456[[#This Row],[Status]]=$I$5,MIN(Tabelle132456[[#This Row],[Jira Story Points]],Tabelle132456[[#This Row],[Carry-over]]),0),0)</f>
        <v>0</v>
      </c>
      <c r="Q348" s="173">
        <f>IFERROR(IF(Tabelle132456[[#This Row],[Status]]=$I$5,0,MIN(Tabelle132456[[#This Row],[Jira Story Points]],Tabelle132456[[#This Row],[Carry-over]])-Tabelle132456[[#This Row],[SP Completed (COS &amp; SOS)]]),0)</f>
        <v>0</v>
      </c>
    </row>
    <row r="349" spans="1:17" s="46" customFormat="1" ht="13.5" customHeight="1">
      <c r="A349" s="117"/>
      <c r="B349" s="47"/>
      <c r="C349" s="76"/>
      <c r="D349" s="76"/>
      <c r="E349" s="76"/>
      <c r="F349" s="104"/>
      <c r="G349" s="76"/>
      <c r="H349" s="83"/>
      <c r="I349" s="103"/>
      <c r="J349" s="76"/>
      <c r="K349" s="104"/>
      <c r="L349" s="104"/>
      <c r="M349" s="174">
        <f>IF(Tabelle132456[[#This Row],[Pulled after Start]]="",MIN(Tabelle132456[[#This Row],[Jira Story Points]],Tabelle132456[[#This Row],[Carry-over]]),0)</f>
        <v>0</v>
      </c>
      <c r="N349" s="173">
        <f>MIN(Tabelle132456[[#This Row],[Jira Story Points]],Tabelle132456[[#This Row],[Carry-over]])-Tabelle132456[[#This Row],[SP Initially Planned (COS)]]</f>
        <v>0</v>
      </c>
      <c r="O34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49" s="173">
        <f>IFERROR(IF(Tabelle132456[[#This Row],[Status]]=$I$5,MIN(Tabelle132456[[#This Row],[Jira Story Points]],Tabelle132456[[#This Row],[Carry-over]]),0),0)</f>
        <v>0</v>
      </c>
      <c r="Q349" s="173">
        <f>IFERROR(IF(Tabelle132456[[#This Row],[Status]]=$I$5,0,MIN(Tabelle132456[[#This Row],[Jira Story Points]],Tabelle132456[[#This Row],[Carry-over]])-Tabelle132456[[#This Row],[SP Completed (COS &amp; SOS)]]),0)</f>
        <v>0</v>
      </c>
    </row>
    <row r="350" spans="1:17" s="46" customFormat="1" ht="13.5" customHeight="1">
      <c r="A350" s="117"/>
      <c r="B350" s="47"/>
      <c r="C350" s="76"/>
      <c r="D350" s="76"/>
      <c r="E350" s="76"/>
      <c r="F350" s="104"/>
      <c r="G350" s="76"/>
      <c r="H350" s="83"/>
      <c r="I350" s="103"/>
      <c r="J350" s="76"/>
      <c r="K350" s="104"/>
      <c r="L350" s="104"/>
      <c r="M350" s="174">
        <f>IF(Tabelle132456[[#This Row],[Pulled after Start]]="",MIN(Tabelle132456[[#This Row],[Jira Story Points]],Tabelle132456[[#This Row],[Carry-over]]),0)</f>
        <v>0</v>
      </c>
      <c r="N350" s="173">
        <f>MIN(Tabelle132456[[#This Row],[Jira Story Points]],Tabelle132456[[#This Row],[Carry-over]])-Tabelle132456[[#This Row],[SP Initially Planned (COS)]]</f>
        <v>0</v>
      </c>
      <c r="O35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50" s="173">
        <f>IFERROR(IF(Tabelle132456[[#This Row],[Status]]=$I$5,MIN(Tabelle132456[[#This Row],[Jira Story Points]],Tabelle132456[[#This Row],[Carry-over]]),0),0)</f>
        <v>0</v>
      </c>
      <c r="Q350" s="173">
        <f>IFERROR(IF(Tabelle132456[[#This Row],[Status]]=$I$5,0,MIN(Tabelle132456[[#This Row],[Jira Story Points]],Tabelle132456[[#This Row],[Carry-over]])-Tabelle132456[[#This Row],[SP Completed (COS &amp; SOS)]]),0)</f>
        <v>0</v>
      </c>
    </row>
    <row r="351" spans="1:17" s="46" customFormat="1" ht="13.5" customHeight="1">
      <c r="A351" s="117"/>
      <c r="B351" s="47"/>
      <c r="C351" s="76"/>
      <c r="D351" s="76"/>
      <c r="E351" s="76"/>
      <c r="F351" s="104"/>
      <c r="G351" s="76"/>
      <c r="H351" s="83"/>
      <c r="I351" s="103"/>
      <c r="J351" s="76"/>
      <c r="K351" s="104"/>
      <c r="L351" s="104"/>
      <c r="M351" s="174">
        <f>IF(Tabelle132456[[#This Row],[Pulled after Start]]="",MIN(Tabelle132456[[#This Row],[Jira Story Points]],Tabelle132456[[#This Row],[Carry-over]]),0)</f>
        <v>0</v>
      </c>
      <c r="N351" s="173">
        <f>MIN(Tabelle132456[[#This Row],[Jira Story Points]],Tabelle132456[[#This Row],[Carry-over]])-Tabelle132456[[#This Row],[SP Initially Planned (COS)]]</f>
        <v>0</v>
      </c>
      <c r="O35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51" s="173">
        <f>IFERROR(IF(Tabelle132456[[#This Row],[Status]]=$I$5,MIN(Tabelle132456[[#This Row],[Jira Story Points]],Tabelle132456[[#This Row],[Carry-over]]),0),0)</f>
        <v>0</v>
      </c>
      <c r="Q351" s="173">
        <f>IFERROR(IF(Tabelle132456[[#This Row],[Status]]=$I$5,0,MIN(Tabelle132456[[#This Row],[Jira Story Points]],Tabelle132456[[#This Row],[Carry-over]])-Tabelle132456[[#This Row],[SP Completed (COS &amp; SOS)]]),0)</f>
        <v>0</v>
      </c>
    </row>
    <row r="352" spans="1:17" s="46" customFormat="1" ht="13.5" customHeight="1">
      <c r="A352" s="117"/>
      <c r="B352" s="47"/>
      <c r="C352" s="76"/>
      <c r="D352" s="76"/>
      <c r="E352" s="76"/>
      <c r="F352" s="104"/>
      <c r="G352" s="76"/>
      <c r="H352" s="83"/>
      <c r="I352" s="103"/>
      <c r="J352" s="76"/>
      <c r="K352" s="104"/>
      <c r="L352" s="104"/>
      <c r="M352" s="174">
        <f>IF(Tabelle132456[[#This Row],[Pulled after Start]]="",MIN(Tabelle132456[[#This Row],[Jira Story Points]],Tabelle132456[[#This Row],[Carry-over]]),0)</f>
        <v>0</v>
      </c>
      <c r="N352" s="173">
        <f>MIN(Tabelle132456[[#This Row],[Jira Story Points]],Tabelle132456[[#This Row],[Carry-over]])-Tabelle132456[[#This Row],[SP Initially Planned (COS)]]</f>
        <v>0</v>
      </c>
      <c r="O35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52" s="173">
        <f>IFERROR(IF(Tabelle132456[[#This Row],[Status]]=$I$5,MIN(Tabelle132456[[#This Row],[Jira Story Points]],Tabelle132456[[#This Row],[Carry-over]]),0),0)</f>
        <v>0</v>
      </c>
      <c r="Q352" s="173">
        <f>IFERROR(IF(Tabelle132456[[#This Row],[Status]]=$I$5,0,MIN(Tabelle132456[[#This Row],[Jira Story Points]],Tabelle132456[[#This Row],[Carry-over]])-Tabelle132456[[#This Row],[SP Completed (COS &amp; SOS)]]),0)</f>
        <v>0</v>
      </c>
    </row>
    <row r="353" spans="1:17" s="46" customFormat="1" ht="13.5" customHeight="1">
      <c r="A353" s="117"/>
      <c r="B353" s="47"/>
      <c r="C353" s="76"/>
      <c r="D353" s="76"/>
      <c r="E353" s="76"/>
      <c r="F353" s="104"/>
      <c r="G353" s="76"/>
      <c r="H353" s="83"/>
      <c r="I353" s="103"/>
      <c r="J353" s="76"/>
      <c r="K353" s="104"/>
      <c r="L353" s="104"/>
      <c r="M353" s="174">
        <f>IF(Tabelle132456[[#This Row],[Pulled after Start]]="",MIN(Tabelle132456[[#This Row],[Jira Story Points]],Tabelle132456[[#This Row],[Carry-over]]),0)</f>
        <v>0</v>
      </c>
      <c r="N353" s="173">
        <f>MIN(Tabelle132456[[#This Row],[Jira Story Points]],Tabelle132456[[#This Row],[Carry-over]])-Tabelle132456[[#This Row],[SP Initially Planned (COS)]]</f>
        <v>0</v>
      </c>
      <c r="O35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53" s="173">
        <f>IFERROR(IF(Tabelle132456[[#This Row],[Status]]=$I$5,MIN(Tabelle132456[[#This Row],[Jira Story Points]],Tabelle132456[[#This Row],[Carry-over]]),0),0)</f>
        <v>0</v>
      </c>
      <c r="Q353" s="173">
        <f>IFERROR(IF(Tabelle132456[[#This Row],[Status]]=$I$5,0,MIN(Tabelle132456[[#This Row],[Jira Story Points]],Tabelle132456[[#This Row],[Carry-over]])-Tabelle132456[[#This Row],[SP Completed (COS &amp; SOS)]]),0)</f>
        <v>0</v>
      </c>
    </row>
    <row r="354" spans="1:17" s="46" customFormat="1" ht="13.5" customHeight="1">
      <c r="A354" s="117"/>
      <c r="B354" s="47"/>
      <c r="C354" s="76"/>
      <c r="D354" s="76"/>
      <c r="E354" s="76"/>
      <c r="F354" s="104"/>
      <c r="G354" s="76"/>
      <c r="H354" s="83"/>
      <c r="I354" s="103"/>
      <c r="J354" s="76"/>
      <c r="K354" s="104"/>
      <c r="L354" s="104"/>
      <c r="M354" s="174">
        <f>IF(Tabelle132456[[#This Row],[Pulled after Start]]="",MIN(Tabelle132456[[#This Row],[Jira Story Points]],Tabelle132456[[#This Row],[Carry-over]]),0)</f>
        <v>0</v>
      </c>
      <c r="N354" s="173">
        <f>MIN(Tabelle132456[[#This Row],[Jira Story Points]],Tabelle132456[[#This Row],[Carry-over]])-Tabelle132456[[#This Row],[SP Initially Planned (COS)]]</f>
        <v>0</v>
      </c>
      <c r="O35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54" s="173">
        <f>IFERROR(IF(Tabelle132456[[#This Row],[Status]]=$I$5,MIN(Tabelle132456[[#This Row],[Jira Story Points]],Tabelle132456[[#This Row],[Carry-over]]),0),0)</f>
        <v>0</v>
      </c>
      <c r="Q354" s="173">
        <f>IFERROR(IF(Tabelle132456[[#This Row],[Status]]=$I$5,0,MIN(Tabelle132456[[#This Row],[Jira Story Points]],Tabelle132456[[#This Row],[Carry-over]])-Tabelle132456[[#This Row],[SP Completed (COS &amp; SOS)]]),0)</f>
        <v>0</v>
      </c>
    </row>
    <row r="355" spans="1:17" s="46" customFormat="1" ht="13.5" customHeight="1">
      <c r="A355" s="117"/>
      <c r="B355" s="47"/>
      <c r="C355" s="76"/>
      <c r="D355" s="76"/>
      <c r="E355" s="76"/>
      <c r="F355" s="104"/>
      <c r="G355" s="76"/>
      <c r="H355" s="83"/>
      <c r="I355" s="103"/>
      <c r="J355" s="76"/>
      <c r="K355" s="104"/>
      <c r="L355" s="104"/>
      <c r="M355" s="174">
        <f>IF(Tabelle132456[[#This Row],[Pulled after Start]]="",MIN(Tabelle132456[[#This Row],[Jira Story Points]],Tabelle132456[[#This Row],[Carry-over]]),0)</f>
        <v>0</v>
      </c>
      <c r="N355" s="173">
        <f>MIN(Tabelle132456[[#This Row],[Jira Story Points]],Tabelle132456[[#This Row],[Carry-over]])-Tabelle132456[[#This Row],[SP Initially Planned (COS)]]</f>
        <v>0</v>
      </c>
      <c r="O35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55" s="173">
        <f>IFERROR(IF(Tabelle132456[[#This Row],[Status]]=$I$5,MIN(Tabelle132456[[#This Row],[Jira Story Points]],Tabelle132456[[#This Row],[Carry-over]]),0),0)</f>
        <v>0</v>
      </c>
      <c r="Q355" s="173">
        <f>IFERROR(IF(Tabelle132456[[#This Row],[Status]]=$I$5,0,MIN(Tabelle132456[[#This Row],[Jira Story Points]],Tabelle132456[[#This Row],[Carry-over]])-Tabelle132456[[#This Row],[SP Completed (COS &amp; SOS)]]),0)</f>
        <v>0</v>
      </c>
    </row>
    <row r="356" spans="1:17" s="46" customFormat="1" ht="13.5" customHeight="1">
      <c r="A356" s="117"/>
      <c r="B356" s="47"/>
      <c r="C356" s="76"/>
      <c r="D356" s="76"/>
      <c r="E356" s="76"/>
      <c r="F356" s="104"/>
      <c r="G356" s="76"/>
      <c r="H356" s="83"/>
      <c r="I356" s="103"/>
      <c r="J356" s="76"/>
      <c r="K356" s="104"/>
      <c r="L356" s="104"/>
      <c r="M356" s="174">
        <f>IF(Tabelle132456[[#This Row],[Pulled after Start]]="",MIN(Tabelle132456[[#This Row],[Jira Story Points]],Tabelle132456[[#This Row],[Carry-over]]),0)</f>
        <v>0</v>
      </c>
      <c r="N356" s="173">
        <f>MIN(Tabelle132456[[#This Row],[Jira Story Points]],Tabelle132456[[#This Row],[Carry-over]])-Tabelle132456[[#This Row],[SP Initially Planned (COS)]]</f>
        <v>0</v>
      </c>
      <c r="O35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56" s="173">
        <f>IFERROR(IF(Tabelle132456[[#This Row],[Status]]=$I$5,MIN(Tabelle132456[[#This Row],[Jira Story Points]],Tabelle132456[[#This Row],[Carry-over]]),0),0)</f>
        <v>0</v>
      </c>
      <c r="Q356" s="173">
        <f>IFERROR(IF(Tabelle132456[[#This Row],[Status]]=$I$5,0,MIN(Tabelle132456[[#This Row],[Jira Story Points]],Tabelle132456[[#This Row],[Carry-over]])-Tabelle132456[[#This Row],[SP Completed (COS &amp; SOS)]]),0)</f>
        <v>0</v>
      </c>
    </row>
    <row r="357" spans="1:17" s="46" customFormat="1" ht="13.5" customHeight="1">
      <c r="A357" s="117"/>
      <c r="B357" s="47"/>
      <c r="C357" s="76"/>
      <c r="D357" s="76"/>
      <c r="E357" s="76"/>
      <c r="F357" s="104"/>
      <c r="G357" s="76"/>
      <c r="H357" s="83"/>
      <c r="I357" s="103"/>
      <c r="J357" s="76"/>
      <c r="K357" s="104"/>
      <c r="L357" s="104"/>
      <c r="M357" s="174">
        <f>IF(Tabelle132456[[#This Row],[Pulled after Start]]="",MIN(Tabelle132456[[#This Row],[Jira Story Points]],Tabelle132456[[#This Row],[Carry-over]]),0)</f>
        <v>0</v>
      </c>
      <c r="N357" s="173">
        <f>MIN(Tabelle132456[[#This Row],[Jira Story Points]],Tabelle132456[[#This Row],[Carry-over]])-Tabelle132456[[#This Row],[SP Initially Planned (COS)]]</f>
        <v>0</v>
      </c>
      <c r="O35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57" s="173">
        <f>IFERROR(IF(Tabelle132456[[#This Row],[Status]]=$I$5,MIN(Tabelle132456[[#This Row],[Jira Story Points]],Tabelle132456[[#This Row],[Carry-over]]),0),0)</f>
        <v>0</v>
      </c>
      <c r="Q357" s="173">
        <f>IFERROR(IF(Tabelle132456[[#This Row],[Status]]=$I$5,0,MIN(Tabelle132456[[#This Row],[Jira Story Points]],Tabelle132456[[#This Row],[Carry-over]])-Tabelle132456[[#This Row],[SP Completed (COS &amp; SOS)]]),0)</f>
        <v>0</v>
      </c>
    </row>
    <row r="358" spans="1:17" s="46" customFormat="1" ht="13.5" customHeight="1">
      <c r="A358" s="117"/>
      <c r="B358" s="47"/>
      <c r="C358" s="76"/>
      <c r="D358" s="76"/>
      <c r="E358" s="76"/>
      <c r="F358" s="104"/>
      <c r="G358" s="76"/>
      <c r="H358" s="83"/>
      <c r="I358" s="103"/>
      <c r="J358" s="76"/>
      <c r="K358" s="104"/>
      <c r="L358" s="104"/>
      <c r="M358" s="174">
        <f>IF(Tabelle132456[[#This Row],[Pulled after Start]]="",MIN(Tabelle132456[[#This Row],[Jira Story Points]],Tabelle132456[[#This Row],[Carry-over]]),0)</f>
        <v>0</v>
      </c>
      <c r="N358" s="173">
        <f>MIN(Tabelle132456[[#This Row],[Jira Story Points]],Tabelle132456[[#This Row],[Carry-over]])-Tabelle132456[[#This Row],[SP Initially Planned (COS)]]</f>
        <v>0</v>
      </c>
      <c r="O35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58" s="173">
        <f>IFERROR(IF(Tabelle132456[[#This Row],[Status]]=$I$5,MIN(Tabelle132456[[#This Row],[Jira Story Points]],Tabelle132456[[#This Row],[Carry-over]]),0),0)</f>
        <v>0</v>
      </c>
      <c r="Q358" s="173">
        <f>IFERROR(IF(Tabelle132456[[#This Row],[Status]]=$I$5,0,MIN(Tabelle132456[[#This Row],[Jira Story Points]],Tabelle132456[[#This Row],[Carry-over]])-Tabelle132456[[#This Row],[SP Completed (COS &amp; SOS)]]),0)</f>
        <v>0</v>
      </c>
    </row>
    <row r="359" spans="1:17" s="46" customFormat="1" ht="13.5" customHeight="1">
      <c r="A359" s="117"/>
      <c r="B359" s="47"/>
      <c r="C359" s="76"/>
      <c r="D359" s="76"/>
      <c r="E359" s="76"/>
      <c r="F359" s="104"/>
      <c r="G359" s="76"/>
      <c r="H359" s="83"/>
      <c r="I359" s="103"/>
      <c r="J359" s="76"/>
      <c r="K359" s="104"/>
      <c r="L359" s="104"/>
      <c r="M359" s="174">
        <f>IF(Tabelle132456[[#This Row],[Pulled after Start]]="",MIN(Tabelle132456[[#This Row],[Jira Story Points]],Tabelle132456[[#This Row],[Carry-over]]),0)</f>
        <v>0</v>
      </c>
      <c r="N359" s="173">
        <f>MIN(Tabelle132456[[#This Row],[Jira Story Points]],Tabelle132456[[#This Row],[Carry-over]])-Tabelle132456[[#This Row],[SP Initially Planned (COS)]]</f>
        <v>0</v>
      </c>
      <c r="O35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59" s="173">
        <f>IFERROR(IF(Tabelle132456[[#This Row],[Status]]=$I$5,MIN(Tabelle132456[[#This Row],[Jira Story Points]],Tabelle132456[[#This Row],[Carry-over]]),0),0)</f>
        <v>0</v>
      </c>
      <c r="Q359" s="173">
        <f>IFERROR(IF(Tabelle132456[[#This Row],[Status]]=$I$5,0,MIN(Tabelle132456[[#This Row],[Jira Story Points]],Tabelle132456[[#This Row],[Carry-over]])-Tabelle132456[[#This Row],[SP Completed (COS &amp; SOS)]]),0)</f>
        <v>0</v>
      </c>
    </row>
    <row r="360" spans="1:17" s="46" customFormat="1" ht="13.5" customHeight="1">
      <c r="A360" s="117"/>
      <c r="B360" s="47"/>
      <c r="C360" s="76"/>
      <c r="D360" s="76"/>
      <c r="E360" s="76"/>
      <c r="F360" s="104"/>
      <c r="G360" s="76"/>
      <c r="H360" s="83"/>
      <c r="I360" s="103"/>
      <c r="J360" s="76"/>
      <c r="K360" s="104"/>
      <c r="L360" s="104"/>
      <c r="M360" s="174">
        <f>IF(Tabelle132456[[#This Row],[Pulled after Start]]="",MIN(Tabelle132456[[#This Row],[Jira Story Points]],Tabelle132456[[#This Row],[Carry-over]]),0)</f>
        <v>0</v>
      </c>
      <c r="N360" s="173">
        <f>MIN(Tabelle132456[[#This Row],[Jira Story Points]],Tabelle132456[[#This Row],[Carry-over]])-Tabelle132456[[#This Row],[SP Initially Planned (COS)]]</f>
        <v>0</v>
      </c>
      <c r="O36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60" s="173">
        <f>IFERROR(IF(Tabelle132456[[#This Row],[Status]]=$I$5,MIN(Tabelle132456[[#This Row],[Jira Story Points]],Tabelle132456[[#This Row],[Carry-over]]),0),0)</f>
        <v>0</v>
      </c>
      <c r="Q360" s="173">
        <f>IFERROR(IF(Tabelle132456[[#This Row],[Status]]=$I$5,0,MIN(Tabelle132456[[#This Row],[Jira Story Points]],Tabelle132456[[#This Row],[Carry-over]])-Tabelle132456[[#This Row],[SP Completed (COS &amp; SOS)]]),0)</f>
        <v>0</v>
      </c>
    </row>
    <row r="361" spans="1:17" s="46" customFormat="1" ht="13.5" customHeight="1">
      <c r="A361" s="117"/>
      <c r="B361" s="47"/>
      <c r="C361" s="76"/>
      <c r="D361" s="76"/>
      <c r="E361" s="76"/>
      <c r="F361" s="104"/>
      <c r="G361" s="76"/>
      <c r="H361" s="83"/>
      <c r="I361" s="103"/>
      <c r="J361" s="76"/>
      <c r="K361" s="104"/>
      <c r="L361" s="104"/>
      <c r="M361" s="174">
        <f>IF(Tabelle132456[[#This Row],[Pulled after Start]]="",MIN(Tabelle132456[[#This Row],[Jira Story Points]],Tabelle132456[[#This Row],[Carry-over]]),0)</f>
        <v>0</v>
      </c>
      <c r="N361" s="173">
        <f>MIN(Tabelle132456[[#This Row],[Jira Story Points]],Tabelle132456[[#This Row],[Carry-over]])-Tabelle132456[[#This Row],[SP Initially Planned (COS)]]</f>
        <v>0</v>
      </c>
      <c r="O36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61" s="173">
        <f>IFERROR(IF(Tabelle132456[[#This Row],[Status]]=$I$5,MIN(Tabelle132456[[#This Row],[Jira Story Points]],Tabelle132456[[#This Row],[Carry-over]]),0),0)</f>
        <v>0</v>
      </c>
      <c r="Q361" s="173">
        <f>IFERROR(IF(Tabelle132456[[#This Row],[Status]]=$I$5,0,MIN(Tabelle132456[[#This Row],[Jira Story Points]],Tabelle132456[[#This Row],[Carry-over]])-Tabelle132456[[#This Row],[SP Completed (COS &amp; SOS)]]),0)</f>
        <v>0</v>
      </c>
    </row>
    <row r="362" spans="1:17" s="46" customFormat="1" ht="13.5" customHeight="1">
      <c r="A362" s="117"/>
      <c r="B362" s="47"/>
      <c r="C362" s="76"/>
      <c r="D362" s="76"/>
      <c r="E362" s="76"/>
      <c r="F362" s="104"/>
      <c r="G362" s="76"/>
      <c r="H362" s="83"/>
      <c r="I362" s="103"/>
      <c r="J362" s="76"/>
      <c r="K362" s="104"/>
      <c r="L362" s="104"/>
      <c r="M362" s="174">
        <f>IF(Tabelle132456[[#This Row],[Pulled after Start]]="",MIN(Tabelle132456[[#This Row],[Jira Story Points]],Tabelle132456[[#This Row],[Carry-over]]),0)</f>
        <v>0</v>
      </c>
      <c r="N362" s="173">
        <f>MIN(Tabelle132456[[#This Row],[Jira Story Points]],Tabelle132456[[#This Row],[Carry-over]])-Tabelle132456[[#This Row],[SP Initially Planned (COS)]]</f>
        <v>0</v>
      </c>
      <c r="O36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62" s="173">
        <f>IFERROR(IF(Tabelle132456[[#This Row],[Status]]=$I$5,MIN(Tabelle132456[[#This Row],[Jira Story Points]],Tabelle132456[[#This Row],[Carry-over]]),0),0)</f>
        <v>0</v>
      </c>
      <c r="Q362" s="173">
        <f>IFERROR(IF(Tabelle132456[[#This Row],[Status]]=$I$5,0,MIN(Tabelle132456[[#This Row],[Jira Story Points]],Tabelle132456[[#This Row],[Carry-over]])-Tabelle132456[[#This Row],[SP Completed (COS &amp; SOS)]]),0)</f>
        <v>0</v>
      </c>
    </row>
    <row r="363" spans="1:17" s="46" customFormat="1" ht="13.5" customHeight="1">
      <c r="A363" s="117"/>
      <c r="B363" s="47"/>
      <c r="C363" s="76"/>
      <c r="D363" s="76"/>
      <c r="E363" s="76"/>
      <c r="F363" s="104"/>
      <c r="G363" s="76"/>
      <c r="H363" s="83"/>
      <c r="I363" s="103"/>
      <c r="J363" s="76"/>
      <c r="K363" s="104"/>
      <c r="L363" s="104"/>
      <c r="M363" s="174">
        <f>IF(Tabelle132456[[#This Row],[Pulled after Start]]="",MIN(Tabelle132456[[#This Row],[Jira Story Points]],Tabelle132456[[#This Row],[Carry-over]]),0)</f>
        <v>0</v>
      </c>
      <c r="N363" s="173">
        <f>MIN(Tabelle132456[[#This Row],[Jira Story Points]],Tabelle132456[[#This Row],[Carry-over]])-Tabelle132456[[#This Row],[SP Initially Planned (COS)]]</f>
        <v>0</v>
      </c>
      <c r="O36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63" s="173">
        <f>IFERROR(IF(Tabelle132456[[#This Row],[Status]]=$I$5,MIN(Tabelle132456[[#This Row],[Jira Story Points]],Tabelle132456[[#This Row],[Carry-over]]),0),0)</f>
        <v>0</v>
      </c>
      <c r="Q363" s="173">
        <f>IFERROR(IF(Tabelle132456[[#This Row],[Status]]=$I$5,0,MIN(Tabelle132456[[#This Row],[Jira Story Points]],Tabelle132456[[#This Row],[Carry-over]])-Tabelle132456[[#This Row],[SP Completed (COS &amp; SOS)]]),0)</f>
        <v>0</v>
      </c>
    </row>
    <row r="364" spans="1:17" s="46" customFormat="1" ht="13.5" customHeight="1">
      <c r="A364" s="117"/>
      <c r="B364" s="47"/>
      <c r="C364" s="76"/>
      <c r="D364" s="76"/>
      <c r="E364" s="76"/>
      <c r="F364" s="104"/>
      <c r="G364" s="76"/>
      <c r="H364" s="83"/>
      <c r="I364" s="103"/>
      <c r="J364" s="76"/>
      <c r="K364" s="104"/>
      <c r="L364" s="104"/>
      <c r="M364" s="174">
        <f>IF(Tabelle132456[[#This Row],[Pulled after Start]]="",MIN(Tabelle132456[[#This Row],[Jira Story Points]],Tabelle132456[[#This Row],[Carry-over]]),0)</f>
        <v>0</v>
      </c>
      <c r="N364" s="173">
        <f>MIN(Tabelle132456[[#This Row],[Jira Story Points]],Tabelle132456[[#This Row],[Carry-over]])-Tabelle132456[[#This Row],[SP Initially Planned (COS)]]</f>
        <v>0</v>
      </c>
      <c r="O36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64" s="173">
        <f>IFERROR(IF(Tabelle132456[[#This Row],[Status]]=$I$5,MIN(Tabelle132456[[#This Row],[Jira Story Points]],Tabelle132456[[#This Row],[Carry-over]]),0),0)</f>
        <v>0</v>
      </c>
      <c r="Q364" s="173">
        <f>IFERROR(IF(Tabelle132456[[#This Row],[Status]]=$I$5,0,MIN(Tabelle132456[[#This Row],[Jira Story Points]],Tabelle132456[[#This Row],[Carry-over]])-Tabelle132456[[#This Row],[SP Completed (COS &amp; SOS)]]),0)</f>
        <v>0</v>
      </c>
    </row>
    <row r="365" spans="1:17" s="46" customFormat="1" ht="13.5" customHeight="1">
      <c r="A365" s="117"/>
      <c r="B365" s="47"/>
      <c r="C365" s="76"/>
      <c r="D365" s="76"/>
      <c r="E365" s="76"/>
      <c r="F365" s="104"/>
      <c r="G365" s="76"/>
      <c r="H365" s="83"/>
      <c r="I365" s="103"/>
      <c r="J365" s="76"/>
      <c r="K365" s="104"/>
      <c r="L365" s="104"/>
      <c r="M365" s="174">
        <f>IF(Tabelle132456[[#This Row],[Pulled after Start]]="",MIN(Tabelle132456[[#This Row],[Jira Story Points]],Tabelle132456[[#This Row],[Carry-over]]),0)</f>
        <v>0</v>
      </c>
      <c r="N365" s="173">
        <f>MIN(Tabelle132456[[#This Row],[Jira Story Points]],Tabelle132456[[#This Row],[Carry-over]])-Tabelle132456[[#This Row],[SP Initially Planned (COS)]]</f>
        <v>0</v>
      </c>
      <c r="O36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65" s="173">
        <f>IFERROR(IF(Tabelle132456[[#This Row],[Status]]=$I$5,MIN(Tabelle132456[[#This Row],[Jira Story Points]],Tabelle132456[[#This Row],[Carry-over]]),0),0)</f>
        <v>0</v>
      </c>
      <c r="Q365" s="173">
        <f>IFERROR(IF(Tabelle132456[[#This Row],[Status]]=$I$5,0,MIN(Tabelle132456[[#This Row],[Jira Story Points]],Tabelle132456[[#This Row],[Carry-over]])-Tabelle132456[[#This Row],[SP Completed (COS &amp; SOS)]]),0)</f>
        <v>0</v>
      </c>
    </row>
    <row r="366" spans="1:17" s="46" customFormat="1" ht="13.5" customHeight="1">
      <c r="A366" s="117"/>
      <c r="B366" s="47"/>
      <c r="C366" s="76"/>
      <c r="D366" s="76"/>
      <c r="E366" s="76"/>
      <c r="F366" s="104"/>
      <c r="G366" s="76"/>
      <c r="H366" s="83"/>
      <c r="I366" s="103"/>
      <c r="J366" s="76"/>
      <c r="K366" s="104"/>
      <c r="L366" s="104"/>
      <c r="M366" s="174">
        <f>IF(Tabelle132456[[#This Row],[Pulled after Start]]="",MIN(Tabelle132456[[#This Row],[Jira Story Points]],Tabelle132456[[#This Row],[Carry-over]]),0)</f>
        <v>0</v>
      </c>
      <c r="N366" s="173">
        <f>MIN(Tabelle132456[[#This Row],[Jira Story Points]],Tabelle132456[[#This Row],[Carry-over]])-Tabelle132456[[#This Row],[SP Initially Planned (COS)]]</f>
        <v>0</v>
      </c>
      <c r="O36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66" s="173">
        <f>IFERROR(IF(Tabelle132456[[#This Row],[Status]]=$I$5,MIN(Tabelle132456[[#This Row],[Jira Story Points]],Tabelle132456[[#This Row],[Carry-over]]),0),0)</f>
        <v>0</v>
      </c>
      <c r="Q366" s="173">
        <f>IFERROR(IF(Tabelle132456[[#This Row],[Status]]=$I$5,0,MIN(Tabelle132456[[#This Row],[Jira Story Points]],Tabelle132456[[#This Row],[Carry-over]])-Tabelle132456[[#This Row],[SP Completed (COS &amp; SOS)]]),0)</f>
        <v>0</v>
      </c>
    </row>
    <row r="367" spans="1:17" s="46" customFormat="1" ht="13.5" customHeight="1">
      <c r="A367" s="117"/>
      <c r="B367" s="47"/>
      <c r="C367" s="76"/>
      <c r="D367" s="76"/>
      <c r="E367" s="76"/>
      <c r="F367" s="104"/>
      <c r="G367" s="76"/>
      <c r="H367" s="83"/>
      <c r="I367" s="103"/>
      <c r="J367" s="76"/>
      <c r="K367" s="104"/>
      <c r="L367" s="104"/>
      <c r="M367" s="174">
        <f>IF(Tabelle132456[[#This Row],[Pulled after Start]]="",MIN(Tabelle132456[[#This Row],[Jira Story Points]],Tabelle132456[[#This Row],[Carry-over]]),0)</f>
        <v>0</v>
      </c>
      <c r="N367" s="173">
        <f>MIN(Tabelle132456[[#This Row],[Jira Story Points]],Tabelle132456[[#This Row],[Carry-over]])-Tabelle132456[[#This Row],[SP Initially Planned (COS)]]</f>
        <v>0</v>
      </c>
      <c r="O36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67" s="173">
        <f>IFERROR(IF(Tabelle132456[[#This Row],[Status]]=$I$5,MIN(Tabelle132456[[#This Row],[Jira Story Points]],Tabelle132456[[#This Row],[Carry-over]]),0),0)</f>
        <v>0</v>
      </c>
      <c r="Q367" s="173">
        <f>IFERROR(IF(Tabelle132456[[#This Row],[Status]]=$I$5,0,MIN(Tabelle132456[[#This Row],[Jira Story Points]],Tabelle132456[[#This Row],[Carry-over]])-Tabelle132456[[#This Row],[SP Completed (COS &amp; SOS)]]),0)</f>
        <v>0</v>
      </c>
    </row>
    <row r="368" spans="1:17" s="46" customFormat="1" ht="13.5" customHeight="1">
      <c r="A368" s="117"/>
      <c r="B368" s="47"/>
      <c r="C368" s="76"/>
      <c r="D368" s="76"/>
      <c r="E368" s="76"/>
      <c r="F368" s="104"/>
      <c r="G368" s="76"/>
      <c r="H368" s="83"/>
      <c r="I368" s="103"/>
      <c r="J368" s="76"/>
      <c r="K368" s="104"/>
      <c r="L368" s="104"/>
      <c r="M368" s="174">
        <f>IF(Tabelle132456[[#This Row],[Pulled after Start]]="",MIN(Tabelle132456[[#This Row],[Jira Story Points]],Tabelle132456[[#This Row],[Carry-over]]),0)</f>
        <v>0</v>
      </c>
      <c r="N368" s="173">
        <f>MIN(Tabelle132456[[#This Row],[Jira Story Points]],Tabelle132456[[#This Row],[Carry-over]])-Tabelle132456[[#This Row],[SP Initially Planned (COS)]]</f>
        <v>0</v>
      </c>
      <c r="O36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68" s="173">
        <f>IFERROR(IF(Tabelle132456[[#This Row],[Status]]=$I$5,MIN(Tabelle132456[[#This Row],[Jira Story Points]],Tabelle132456[[#This Row],[Carry-over]]),0),0)</f>
        <v>0</v>
      </c>
      <c r="Q368" s="173">
        <f>IFERROR(IF(Tabelle132456[[#This Row],[Status]]=$I$5,0,MIN(Tabelle132456[[#This Row],[Jira Story Points]],Tabelle132456[[#This Row],[Carry-over]])-Tabelle132456[[#This Row],[SP Completed (COS &amp; SOS)]]),0)</f>
        <v>0</v>
      </c>
    </row>
    <row r="369" spans="1:17" s="46" customFormat="1" ht="13.5" customHeight="1">
      <c r="A369" s="117"/>
      <c r="B369" s="47"/>
      <c r="C369" s="76"/>
      <c r="D369" s="76"/>
      <c r="E369" s="76"/>
      <c r="F369" s="104"/>
      <c r="G369" s="76"/>
      <c r="H369" s="83"/>
      <c r="I369" s="103"/>
      <c r="J369" s="76"/>
      <c r="K369" s="104"/>
      <c r="L369" s="104"/>
      <c r="M369" s="174">
        <f>IF(Tabelle132456[[#This Row],[Pulled after Start]]="",MIN(Tabelle132456[[#This Row],[Jira Story Points]],Tabelle132456[[#This Row],[Carry-over]]),0)</f>
        <v>0</v>
      </c>
      <c r="N369" s="173">
        <f>MIN(Tabelle132456[[#This Row],[Jira Story Points]],Tabelle132456[[#This Row],[Carry-over]])-Tabelle132456[[#This Row],[SP Initially Planned (COS)]]</f>
        <v>0</v>
      </c>
      <c r="O36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69" s="173">
        <f>IFERROR(IF(Tabelle132456[[#This Row],[Status]]=$I$5,MIN(Tabelle132456[[#This Row],[Jira Story Points]],Tabelle132456[[#This Row],[Carry-over]]),0),0)</f>
        <v>0</v>
      </c>
      <c r="Q369" s="173">
        <f>IFERROR(IF(Tabelle132456[[#This Row],[Status]]=$I$5,0,MIN(Tabelle132456[[#This Row],[Jira Story Points]],Tabelle132456[[#This Row],[Carry-over]])-Tabelle132456[[#This Row],[SP Completed (COS &amp; SOS)]]),0)</f>
        <v>0</v>
      </c>
    </row>
    <row r="370" spans="1:17" s="46" customFormat="1" ht="13.5" customHeight="1">
      <c r="A370" s="117"/>
      <c r="B370" s="47"/>
      <c r="C370" s="76"/>
      <c r="D370" s="76"/>
      <c r="E370" s="76"/>
      <c r="F370" s="104"/>
      <c r="G370" s="76"/>
      <c r="H370" s="83"/>
      <c r="I370" s="103"/>
      <c r="J370" s="76"/>
      <c r="K370" s="104"/>
      <c r="L370" s="104"/>
      <c r="M370" s="174">
        <f>IF(Tabelle132456[[#This Row],[Pulled after Start]]="",MIN(Tabelle132456[[#This Row],[Jira Story Points]],Tabelle132456[[#This Row],[Carry-over]]),0)</f>
        <v>0</v>
      </c>
      <c r="N370" s="173">
        <f>MIN(Tabelle132456[[#This Row],[Jira Story Points]],Tabelle132456[[#This Row],[Carry-over]])-Tabelle132456[[#This Row],[SP Initially Planned (COS)]]</f>
        <v>0</v>
      </c>
      <c r="O37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70" s="173">
        <f>IFERROR(IF(Tabelle132456[[#This Row],[Status]]=$I$5,MIN(Tabelle132456[[#This Row],[Jira Story Points]],Tabelle132456[[#This Row],[Carry-over]]),0),0)</f>
        <v>0</v>
      </c>
      <c r="Q370" s="173">
        <f>IFERROR(IF(Tabelle132456[[#This Row],[Status]]=$I$5,0,MIN(Tabelle132456[[#This Row],[Jira Story Points]],Tabelle132456[[#This Row],[Carry-over]])-Tabelle132456[[#This Row],[SP Completed (COS &amp; SOS)]]),0)</f>
        <v>0</v>
      </c>
    </row>
    <row r="371" spans="1:17" s="46" customFormat="1" ht="13.5" customHeight="1">
      <c r="A371" s="117"/>
      <c r="B371" s="47"/>
      <c r="C371" s="76"/>
      <c r="D371" s="76"/>
      <c r="E371" s="76"/>
      <c r="F371" s="104"/>
      <c r="G371" s="76"/>
      <c r="H371" s="83"/>
      <c r="I371" s="103"/>
      <c r="J371" s="76"/>
      <c r="K371" s="104"/>
      <c r="L371" s="104"/>
      <c r="M371" s="174">
        <f>IF(Tabelle132456[[#This Row],[Pulled after Start]]="",MIN(Tabelle132456[[#This Row],[Jira Story Points]],Tabelle132456[[#This Row],[Carry-over]]),0)</f>
        <v>0</v>
      </c>
      <c r="N371" s="173">
        <f>MIN(Tabelle132456[[#This Row],[Jira Story Points]],Tabelle132456[[#This Row],[Carry-over]])-Tabelle132456[[#This Row],[SP Initially Planned (COS)]]</f>
        <v>0</v>
      </c>
      <c r="O37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71" s="173">
        <f>IFERROR(IF(Tabelle132456[[#This Row],[Status]]=$I$5,MIN(Tabelle132456[[#This Row],[Jira Story Points]],Tabelle132456[[#This Row],[Carry-over]]),0),0)</f>
        <v>0</v>
      </c>
      <c r="Q371" s="173">
        <f>IFERROR(IF(Tabelle132456[[#This Row],[Status]]=$I$5,0,MIN(Tabelle132456[[#This Row],[Jira Story Points]],Tabelle132456[[#This Row],[Carry-over]])-Tabelle132456[[#This Row],[SP Completed (COS &amp; SOS)]]),0)</f>
        <v>0</v>
      </c>
    </row>
    <row r="372" spans="1:17" s="46" customFormat="1" ht="13.5" customHeight="1">
      <c r="A372" s="117"/>
      <c r="B372" s="47"/>
      <c r="C372" s="76"/>
      <c r="D372" s="76"/>
      <c r="E372" s="76"/>
      <c r="F372" s="104"/>
      <c r="G372" s="76"/>
      <c r="H372" s="83"/>
      <c r="I372" s="103"/>
      <c r="J372" s="76"/>
      <c r="K372" s="104"/>
      <c r="L372" s="104"/>
      <c r="M372" s="174">
        <f>IF(Tabelle132456[[#This Row],[Pulled after Start]]="",MIN(Tabelle132456[[#This Row],[Jira Story Points]],Tabelle132456[[#This Row],[Carry-over]]),0)</f>
        <v>0</v>
      </c>
      <c r="N372" s="173">
        <f>MIN(Tabelle132456[[#This Row],[Jira Story Points]],Tabelle132456[[#This Row],[Carry-over]])-Tabelle132456[[#This Row],[SP Initially Planned (COS)]]</f>
        <v>0</v>
      </c>
      <c r="O37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72" s="173">
        <f>IFERROR(IF(Tabelle132456[[#This Row],[Status]]=$I$5,MIN(Tabelle132456[[#This Row],[Jira Story Points]],Tabelle132456[[#This Row],[Carry-over]]),0),0)</f>
        <v>0</v>
      </c>
      <c r="Q372" s="173">
        <f>IFERROR(IF(Tabelle132456[[#This Row],[Status]]=$I$5,0,MIN(Tabelle132456[[#This Row],[Jira Story Points]],Tabelle132456[[#This Row],[Carry-over]])-Tabelle132456[[#This Row],[SP Completed (COS &amp; SOS)]]),0)</f>
        <v>0</v>
      </c>
    </row>
    <row r="373" spans="1:17" s="46" customFormat="1" ht="13.5" customHeight="1">
      <c r="A373" s="117"/>
      <c r="B373" s="47"/>
      <c r="C373" s="76"/>
      <c r="D373" s="76"/>
      <c r="E373" s="76"/>
      <c r="F373" s="104"/>
      <c r="G373" s="76"/>
      <c r="H373" s="83"/>
      <c r="I373" s="103"/>
      <c r="J373" s="76"/>
      <c r="K373" s="104"/>
      <c r="L373" s="104"/>
      <c r="M373" s="174">
        <f>IF(Tabelle132456[[#This Row],[Pulled after Start]]="",MIN(Tabelle132456[[#This Row],[Jira Story Points]],Tabelle132456[[#This Row],[Carry-over]]),0)</f>
        <v>0</v>
      </c>
      <c r="N373" s="173">
        <f>MIN(Tabelle132456[[#This Row],[Jira Story Points]],Tabelle132456[[#This Row],[Carry-over]])-Tabelle132456[[#This Row],[SP Initially Planned (COS)]]</f>
        <v>0</v>
      </c>
      <c r="O37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73" s="173">
        <f>IFERROR(IF(Tabelle132456[[#This Row],[Status]]=$I$5,MIN(Tabelle132456[[#This Row],[Jira Story Points]],Tabelle132456[[#This Row],[Carry-over]]),0),0)</f>
        <v>0</v>
      </c>
      <c r="Q373" s="173">
        <f>IFERROR(IF(Tabelle132456[[#This Row],[Status]]=$I$5,0,MIN(Tabelle132456[[#This Row],[Jira Story Points]],Tabelle132456[[#This Row],[Carry-over]])-Tabelle132456[[#This Row],[SP Completed (COS &amp; SOS)]]),0)</f>
        <v>0</v>
      </c>
    </row>
    <row r="374" spans="1:17" s="46" customFormat="1" ht="13.5" customHeight="1">
      <c r="A374" s="117"/>
      <c r="B374" s="47"/>
      <c r="C374" s="76"/>
      <c r="D374" s="76"/>
      <c r="E374" s="76"/>
      <c r="F374" s="104"/>
      <c r="G374" s="76"/>
      <c r="H374" s="83"/>
      <c r="I374" s="103"/>
      <c r="J374" s="76"/>
      <c r="K374" s="104"/>
      <c r="L374" s="104"/>
      <c r="M374" s="174">
        <f>IF(Tabelle132456[[#This Row],[Pulled after Start]]="",MIN(Tabelle132456[[#This Row],[Jira Story Points]],Tabelle132456[[#This Row],[Carry-over]]),0)</f>
        <v>0</v>
      </c>
      <c r="N374" s="173">
        <f>MIN(Tabelle132456[[#This Row],[Jira Story Points]],Tabelle132456[[#This Row],[Carry-over]])-Tabelle132456[[#This Row],[SP Initially Planned (COS)]]</f>
        <v>0</v>
      </c>
      <c r="O37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74" s="173">
        <f>IFERROR(IF(Tabelle132456[[#This Row],[Status]]=$I$5,MIN(Tabelle132456[[#This Row],[Jira Story Points]],Tabelle132456[[#This Row],[Carry-over]]),0),0)</f>
        <v>0</v>
      </c>
      <c r="Q374" s="173">
        <f>IFERROR(IF(Tabelle132456[[#This Row],[Status]]=$I$5,0,MIN(Tabelle132456[[#This Row],[Jira Story Points]],Tabelle132456[[#This Row],[Carry-over]])-Tabelle132456[[#This Row],[SP Completed (COS &amp; SOS)]]),0)</f>
        <v>0</v>
      </c>
    </row>
    <row r="375" spans="1:17" s="46" customFormat="1" ht="13.5" customHeight="1">
      <c r="A375" s="117"/>
      <c r="B375" s="47"/>
      <c r="C375" s="76"/>
      <c r="D375" s="76"/>
      <c r="E375" s="76"/>
      <c r="F375" s="104"/>
      <c r="G375" s="76"/>
      <c r="H375" s="83"/>
      <c r="I375" s="103"/>
      <c r="J375" s="76"/>
      <c r="K375" s="104"/>
      <c r="L375" s="104"/>
      <c r="M375" s="174">
        <f>IF(Tabelle132456[[#This Row],[Pulled after Start]]="",MIN(Tabelle132456[[#This Row],[Jira Story Points]],Tabelle132456[[#This Row],[Carry-over]]),0)</f>
        <v>0</v>
      </c>
      <c r="N375" s="173">
        <f>MIN(Tabelle132456[[#This Row],[Jira Story Points]],Tabelle132456[[#This Row],[Carry-over]])-Tabelle132456[[#This Row],[SP Initially Planned (COS)]]</f>
        <v>0</v>
      </c>
      <c r="O37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75" s="173">
        <f>IFERROR(IF(Tabelle132456[[#This Row],[Status]]=$I$5,MIN(Tabelle132456[[#This Row],[Jira Story Points]],Tabelle132456[[#This Row],[Carry-over]]),0),0)</f>
        <v>0</v>
      </c>
      <c r="Q375" s="173">
        <f>IFERROR(IF(Tabelle132456[[#This Row],[Status]]=$I$5,0,MIN(Tabelle132456[[#This Row],[Jira Story Points]],Tabelle132456[[#This Row],[Carry-over]])-Tabelle132456[[#This Row],[SP Completed (COS &amp; SOS)]]),0)</f>
        <v>0</v>
      </c>
    </row>
    <row r="376" spans="1:17" s="46" customFormat="1" ht="13.5" customHeight="1">
      <c r="A376" s="117"/>
      <c r="B376" s="47"/>
      <c r="C376" s="76"/>
      <c r="D376" s="76"/>
      <c r="E376" s="76"/>
      <c r="F376" s="104"/>
      <c r="G376" s="76"/>
      <c r="H376" s="83"/>
      <c r="I376" s="103"/>
      <c r="J376" s="76"/>
      <c r="K376" s="104"/>
      <c r="L376" s="104"/>
      <c r="M376" s="174">
        <f>IF(Tabelle132456[[#This Row],[Pulled after Start]]="",MIN(Tabelle132456[[#This Row],[Jira Story Points]],Tabelle132456[[#This Row],[Carry-over]]),0)</f>
        <v>0</v>
      </c>
      <c r="N376" s="173">
        <f>MIN(Tabelle132456[[#This Row],[Jira Story Points]],Tabelle132456[[#This Row],[Carry-over]])-Tabelle132456[[#This Row],[SP Initially Planned (COS)]]</f>
        <v>0</v>
      </c>
      <c r="O37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76" s="173">
        <f>IFERROR(IF(Tabelle132456[[#This Row],[Status]]=$I$5,MIN(Tabelle132456[[#This Row],[Jira Story Points]],Tabelle132456[[#This Row],[Carry-over]]),0),0)</f>
        <v>0</v>
      </c>
      <c r="Q376" s="173">
        <f>IFERROR(IF(Tabelle132456[[#This Row],[Status]]=$I$5,0,MIN(Tabelle132456[[#This Row],[Jira Story Points]],Tabelle132456[[#This Row],[Carry-over]])-Tabelle132456[[#This Row],[SP Completed (COS &amp; SOS)]]),0)</f>
        <v>0</v>
      </c>
    </row>
    <row r="377" spans="1:17" s="46" customFormat="1" ht="13.5" customHeight="1">
      <c r="A377" s="117"/>
      <c r="B377" s="47"/>
      <c r="C377" s="76"/>
      <c r="D377" s="76"/>
      <c r="E377" s="76"/>
      <c r="F377" s="104"/>
      <c r="G377" s="76"/>
      <c r="H377" s="83"/>
      <c r="I377" s="103"/>
      <c r="J377" s="76"/>
      <c r="K377" s="104"/>
      <c r="L377" s="104"/>
      <c r="M377" s="174">
        <f>IF(Tabelle132456[[#This Row],[Pulled after Start]]="",MIN(Tabelle132456[[#This Row],[Jira Story Points]],Tabelle132456[[#This Row],[Carry-over]]),0)</f>
        <v>0</v>
      </c>
      <c r="N377" s="173">
        <f>MIN(Tabelle132456[[#This Row],[Jira Story Points]],Tabelle132456[[#This Row],[Carry-over]])-Tabelle132456[[#This Row],[SP Initially Planned (COS)]]</f>
        <v>0</v>
      </c>
      <c r="O37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77" s="173">
        <f>IFERROR(IF(Tabelle132456[[#This Row],[Status]]=$I$5,MIN(Tabelle132456[[#This Row],[Jira Story Points]],Tabelle132456[[#This Row],[Carry-over]]),0),0)</f>
        <v>0</v>
      </c>
      <c r="Q377" s="173">
        <f>IFERROR(IF(Tabelle132456[[#This Row],[Status]]=$I$5,0,MIN(Tabelle132456[[#This Row],[Jira Story Points]],Tabelle132456[[#This Row],[Carry-over]])-Tabelle132456[[#This Row],[SP Completed (COS &amp; SOS)]]),0)</f>
        <v>0</v>
      </c>
    </row>
    <row r="378" spans="1:17" s="46" customFormat="1" ht="13.5" customHeight="1">
      <c r="A378" s="117"/>
      <c r="B378" s="47"/>
      <c r="C378" s="76"/>
      <c r="D378" s="76"/>
      <c r="E378" s="76"/>
      <c r="F378" s="104"/>
      <c r="G378" s="76"/>
      <c r="H378" s="83"/>
      <c r="I378" s="103"/>
      <c r="J378" s="76"/>
      <c r="K378" s="104"/>
      <c r="L378" s="104"/>
      <c r="M378" s="174">
        <f>IF(Tabelle132456[[#This Row],[Pulled after Start]]="",MIN(Tabelle132456[[#This Row],[Jira Story Points]],Tabelle132456[[#This Row],[Carry-over]]),0)</f>
        <v>0</v>
      </c>
      <c r="N378" s="173">
        <f>MIN(Tabelle132456[[#This Row],[Jira Story Points]],Tabelle132456[[#This Row],[Carry-over]])-Tabelle132456[[#This Row],[SP Initially Planned (COS)]]</f>
        <v>0</v>
      </c>
      <c r="O37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78" s="173">
        <f>IFERROR(IF(Tabelle132456[[#This Row],[Status]]=$I$5,MIN(Tabelle132456[[#This Row],[Jira Story Points]],Tabelle132456[[#This Row],[Carry-over]]),0),0)</f>
        <v>0</v>
      </c>
      <c r="Q378" s="173">
        <f>IFERROR(IF(Tabelle132456[[#This Row],[Status]]=$I$5,0,MIN(Tabelle132456[[#This Row],[Jira Story Points]],Tabelle132456[[#This Row],[Carry-over]])-Tabelle132456[[#This Row],[SP Completed (COS &amp; SOS)]]),0)</f>
        <v>0</v>
      </c>
    </row>
    <row r="379" spans="1:17" s="46" customFormat="1" ht="13.5" customHeight="1">
      <c r="A379" s="117"/>
      <c r="B379" s="47"/>
      <c r="C379" s="76"/>
      <c r="D379" s="76"/>
      <c r="E379" s="76"/>
      <c r="F379" s="104"/>
      <c r="G379" s="76"/>
      <c r="H379" s="83"/>
      <c r="I379" s="103"/>
      <c r="J379" s="76"/>
      <c r="K379" s="104"/>
      <c r="L379" s="104"/>
      <c r="M379" s="174">
        <f>IF(Tabelle132456[[#This Row],[Pulled after Start]]="",MIN(Tabelle132456[[#This Row],[Jira Story Points]],Tabelle132456[[#This Row],[Carry-over]]),0)</f>
        <v>0</v>
      </c>
      <c r="N379" s="173">
        <f>MIN(Tabelle132456[[#This Row],[Jira Story Points]],Tabelle132456[[#This Row],[Carry-over]])-Tabelle132456[[#This Row],[SP Initially Planned (COS)]]</f>
        <v>0</v>
      </c>
      <c r="O37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79" s="173">
        <f>IFERROR(IF(Tabelle132456[[#This Row],[Status]]=$I$5,MIN(Tabelle132456[[#This Row],[Jira Story Points]],Tabelle132456[[#This Row],[Carry-over]]),0),0)</f>
        <v>0</v>
      </c>
      <c r="Q379" s="173">
        <f>IFERROR(IF(Tabelle132456[[#This Row],[Status]]=$I$5,0,MIN(Tabelle132456[[#This Row],[Jira Story Points]],Tabelle132456[[#This Row],[Carry-over]])-Tabelle132456[[#This Row],[SP Completed (COS &amp; SOS)]]),0)</f>
        <v>0</v>
      </c>
    </row>
    <row r="380" spans="1:17" s="46" customFormat="1" ht="13.5" customHeight="1">
      <c r="A380" s="117"/>
      <c r="B380" s="47"/>
      <c r="C380" s="76"/>
      <c r="D380" s="76"/>
      <c r="E380" s="76"/>
      <c r="F380" s="104"/>
      <c r="G380" s="76"/>
      <c r="H380" s="83"/>
      <c r="I380" s="103"/>
      <c r="J380" s="76"/>
      <c r="K380" s="104"/>
      <c r="L380" s="104"/>
      <c r="M380" s="174">
        <f>IF(Tabelle132456[[#This Row],[Pulled after Start]]="",MIN(Tabelle132456[[#This Row],[Jira Story Points]],Tabelle132456[[#This Row],[Carry-over]]),0)</f>
        <v>0</v>
      </c>
      <c r="N380" s="173">
        <f>MIN(Tabelle132456[[#This Row],[Jira Story Points]],Tabelle132456[[#This Row],[Carry-over]])-Tabelle132456[[#This Row],[SP Initially Planned (COS)]]</f>
        <v>0</v>
      </c>
      <c r="O38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80" s="173">
        <f>IFERROR(IF(Tabelle132456[[#This Row],[Status]]=$I$5,MIN(Tabelle132456[[#This Row],[Jira Story Points]],Tabelle132456[[#This Row],[Carry-over]]),0),0)</f>
        <v>0</v>
      </c>
      <c r="Q380" s="173">
        <f>IFERROR(IF(Tabelle132456[[#This Row],[Status]]=$I$5,0,MIN(Tabelle132456[[#This Row],[Jira Story Points]],Tabelle132456[[#This Row],[Carry-over]])-Tabelle132456[[#This Row],[SP Completed (COS &amp; SOS)]]),0)</f>
        <v>0</v>
      </c>
    </row>
    <row r="381" spans="1:17" s="46" customFormat="1" ht="13.5" customHeight="1">
      <c r="A381" s="117"/>
      <c r="B381" s="47"/>
      <c r="C381" s="76"/>
      <c r="D381" s="76"/>
      <c r="E381" s="76"/>
      <c r="F381" s="104"/>
      <c r="G381" s="76"/>
      <c r="H381" s="83"/>
      <c r="I381" s="103"/>
      <c r="J381" s="76"/>
      <c r="K381" s="104"/>
      <c r="L381" s="104"/>
      <c r="M381" s="174">
        <f>IF(Tabelle132456[[#This Row],[Pulled after Start]]="",MIN(Tabelle132456[[#This Row],[Jira Story Points]],Tabelle132456[[#This Row],[Carry-over]]),0)</f>
        <v>0</v>
      </c>
      <c r="N381" s="173">
        <f>MIN(Tabelle132456[[#This Row],[Jira Story Points]],Tabelle132456[[#This Row],[Carry-over]])-Tabelle132456[[#This Row],[SP Initially Planned (COS)]]</f>
        <v>0</v>
      </c>
      <c r="O38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81" s="173">
        <f>IFERROR(IF(Tabelle132456[[#This Row],[Status]]=$I$5,MIN(Tabelle132456[[#This Row],[Jira Story Points]],Tabelle132456[[#This Row],[Carry-over]]),0),0)</f>
        <v>0</v>
      </c>
      <c r="Q381" s="173">
        <f>IFERROR(IF(Tabelle132456[[#This Row],[Status]]=$I$5,0,MIN(Tabelle132456[[#This Row],[Jira Story Points]],Tabelle132456[[#This Row],[Carry-over]])-Tabelle132456[[#This Row],[SP Completed (COS &amp; SOS)]]),0)</f>
        <v>0</v>
      </c>
    </row>
    <row r="382" spans="1:17" s="46" customFormat="1" ht="13.5" customHeight="1">
      <c r="A382" s="117"/>
      <c r="B382" s="47"/>
      <c r="C382" s="76"/>
      <c r="D382" s="76"/>
      <c r="E382" s="76"/>
      <c r="F382" s="104"/>
      <c r="G382" s="76"/>
      <c r="H382" s="83"/>
      <c r="I382" s="103"/>
      <c r="J382" s="76"/>
      <c r="K382" s="104"/>
      <c r="L382" s="104"/>
      <c r="M382" s="174">
        <f>IF(Tabelle132456[[#This Row],[Pulled after Start]]="",MIN(Tabelle132456[[#This Row],[Jira Story Points]],Tabelle132456[[#This Row],[Carry-over]]),0)</f>
        <v>0</v>
      </c>
      <c r="N382" s="173">
        <f>MIN(Tabelle132456[[#This Row],[Jira Story Points]],Tabelle132456[[#This Row],[Carry-over]])-Tabelle132456[[#This Row],[SP Initially Planned (COS)]]</f>
        <v>0</v>
      </c>
      <c r="O38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82" s="173">
        <f>IFERROR(IF(Tabelle132456[[#This Row],[Status]]=$I$5,MIN(Tabelle132456[[#This Row],[Jira Story Points]],Tabelle132456[[#This Row],[Carry-over]]),0),0)</f>
        <v>0</v>
      </c>
      <c r="Q382" s="173">
        <f>IFERROR(IF(Tabelle132456[[#This Row],[Status]]=$I$5,0,MIN(Tabelle132456[[#This Row],[Jira Story Points]],Tabelle132456[[#This Row],[Carry-over]])-Tabelle132456[[#This Row],[SP Completed (COS &amp; SOS)]]),0)</f>
        <v>0</v>
      </c>
    </row>
    <row r="383" spans="1:17" s="46" customFormat="1" ht="13.5" customHeight="1">
      <c r="A383" s="117"/>
      <c r="B383" s="47"/>
      <c r="C383" s="76"/>
      <c r="D383" s="76"/>
      <c r="E383" s="76"/>
      <c r="F383" s="104"/>
      <c r="G383" s="76"/>
      <c r="H383" s="83"/>
      <c r="I383" s="103"/>
      <c r="J383" s="76"/>
      <c r="K383" s="104"/>
      <c r="L383" s="104"/>
      <c r="M383" s="174">
        <f>IF(Tabelle132456[[#This Row],[Pulled after Start]]="",MIN(Tabelle132456[[#This Row],[Jira Story Points]],Tabelle132456[[#This Row],[Carry-over]]),0)</f>
        <v>0</v>
      </c>
      <c r="N383" s="173">
        <f>MIN(Tabelle132456[[#This Row],[Jira Story Points]],Tabelle132456[[#This Row],[Carry-over]])-Tabelle132456[[#This Row],[SP Initially Planned (COS)]]</f>
        <v>0</v>
      </c>
      <c r="O38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83" s="173">
        <f>IFERROR(IF(Tabelle132456[[#This Row],[Status]]=$I$5,MIN(Tabelle132456[[#This Row],[Jira Story Points]],Tabelle132456[[#This Row],[Carry-over]]),0),0)</f>
        <v>0</v>
      </c>
      <c r="Q383" s="173">
        <f>IFERROR(IF(Tabelle132456[[#This Row],[Status]]=$I$5,0,MIN(Tabelle132456[[#This Row],[Jira Story Points]],Tabelle132456[[#This Row],[Carry-over]])-Tabelle132456[[#This Row],[SP Completed (COS &amp; SOS)]]),0)</f>
        <v>0</v>
      </c>
    </row>
    <row r="384" spans="1:17" s="46" customFormat="1" ht="13.5" customHeight="1">
      <c r="A384" s="117"/>
      <c r="B384" s="47"/>
      <c r="C384" s="76"/>
      <c r="D384" s="76"/>
      <c r="E384" s="76"/>
      <c r="F384" s="104"/>
      <c r="G384" s="76"/>
      <c r="H384" s="83"/>
      <c r="I384" s="103"/>
      <c r="J384" s="76"/>
      <c r="K384" s="104"/>
      <c r="L384" s="104"/>
      <c r="M384" s="174">
        <f>IF(Tabelle132456[[#This Row],[Pulled after Start]]="",MIN(Tabelle132456[[#This Row],[Jira Story Points]],Tabelle132456[[#This Row],[Carry-over]]),0)</f>
        <v>0</v>
      </c>
      <c r="N384" s="173">
        <f>MIN(Tabelle132456[[#This Row],[Jira Story Points]],Tabelle132456[[#This Row],[Carry-over]])-Tabelle132456[[#This Row],[SP Initially Planned (COS)]]</f>
        <v>0</v>
      </c>
      <c r="O38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84" s="173">
        <f>IFERROR(IF(Tabelle132456[[#This Row],[Status]]=$I$5,MIN(Tabelle132456[[#This Row],[Jira Story Points]],Tabelle132456[[#This Row],[Carry-over]]),0),0)</f>
        <v>0</v>
      </c>
      <c r="Q384" s="173">
        <f>IFERROR(IF(Tabelle132456[[#This Row],[Status]]=$I$5,0,MIN(Tabelle132456[[#This Row],[Jira Story Points]],Tabelle132456[[#This Row],[Carry-over]])-Tabelle132456[[#This Row],[SP Completed (COS &amp; SOS)]]),0)</f>
        <v>0</v>
      </c>
    </row>
    <row r="385" spans="1:17" s="46" customFormat="1" ht="13.5" customHeight="1">
      <c r="A385" s="117"/>
      <c r="B385" s="47"/>
      <c r="C385" s="76"/>
      <c r="D385" s="76"/>
      <c r="E385" s="76"/>
      <c r="F385" s="104"/>
      <c r="G385" s="76"/>
      <c r="H385" s="83"/>
      <c r="I385" s="103"/>
      <c r="J385" s="76"/>
      <c r="K385" s="104"/>
      <c r="L385" s="104"/>
      <c r="M385" s="174">
        <f>IF(Tabelle132456[[#This Row],[Pulled after Start]]="",MIN(Tabelle132456[[#This Row],[Jira Story Points]],Tabelle132456[[#This Row],[Carry-over]]),0)</f>
        <v>0</v>
      </c>
      <c r="N385" s="173">
        <f>MIN(Tabelle132456[[#This Row],[Jira Story Points]],Tabelle132456[[#This Row],[Carry-over]])-Tabelle132456[[#This Row],[SP Initially Planned (COS)]]</f>
        <v>0</v>
      </c>
      <c r="O38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85" s="173">
        <f>IFERROR(IF(Tabelle132456[[#This Row],[Status]]=$I$5,MIN(Tabelle132456[[#This Row],[Jira Story Points]],Tabelle132456[[#This Row],[Carry-over]]),0),0)</f>
        <v>0</v>
      </c>
      <c r="Q385" s="173">
        <f>IFERROR(IF(Tabelle132456[[#This Row],[Status]]=$I$5,0,MIN(Tabelle132456[[#This Row],[Jira Story Points]],Tabelle132456[[#This Row],[Carry-over]])-Tabelle132456[[#This Row],[SP Completed (COS &amp; SOS)]]),0)</f>
        <v>0</v>
      </c>
    </row>
    <row r="386" spans="1:17" s="46" customFormat="1" ht="13.5" customHeight="1">
      <c r="A386" s="117"/>
      <c r="B386" s="47"/>
      <c r="C386" s="76"/>
      <c r="D386" s="76"/>
      <c r="E386" s="76"/>
      <c r="F386" s="104"/>
      <c r="G386" s="76"/>
      <c r="H386" s="83"/>
      <c r="I386" s="103"/>
      <c r="J386" s="76"/>
      <c r="K386" s="104"/>
      <c r="L386" s="104"/>
      <c r="M386" s="174">
        <f>IF(Tabelle132456[[#This Row],[Pulled after Start]]="",MIN(Tabelle132456[[#This Row],[Jira Story Points]],Tabelle132456[[#This Row],[Carry-over]]),0)</f>
        <v>0</v>
      </c>
      <c r="N386" s="173">
        <f>MIN(Tabelle132456[[#This Row],[Jira Story Points]],Tabelle132456[[#This Row],[Carry-over]])-Tabelle132456[[#This Row],[SP Initially Planned (COS)]]</f>
        <v>0</v>
      </c>
      <c r="O38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86" s="173">
        <f>IFERROR(IF(Tabelle132456[[#This Row],[Status]]=$I$5,MIN(Tabelle132456[[#This Row],[Jira Story Points]],Tabelle132456[[#This Row],[Carry-over]]),0),0)</f>
        <v>0</v>
      </c>
      <c r="Q386" s="173">
        <f>IFERROR(IF(Tabelle132456[[#This Row],[Status]]=$I$5,0,MIN(Tabelle132456[[#This Row],[Jira Story Points]],Tabelle132456[[#This Row],[Carry-over]])-Tabelle132456[[#This Row],[SP Completed (COS &amp; SOS)]]),0)</f>
        <v>0</v>
      </c>
    </row>
    <row r="387" spans="1:17" s="46" customFormat="1" ht="13.5" customHeight="1">
      <c r="A387" s="117"/>
      <c r="B387" s="47"/>
      <c r="C387" s="76"/>
      <c r="D387" s="76"/>
      <c r="E387" s="76"/>
      <c r="F387" s="104"/>
      <c r="G387" s="76"/>
      <c r="H387" s="83"/>
      <c r="I387" s="103"/>
      <c r="J387" s="76"/>
      <c r="K387" s="104"/>
      <c r="L387" s="104"/>
      <c r="M387" s="174">
        <f>IF(Tabelle132456[[#This Row],[Pulled after Start]]="",MIN(Tabelle132456[[#This Row],[Jira Story Points]],Tabelle132456[[#This Row],[Carry-over]]),0)</f>
        <v>0</v>
      </c>
      <c r="N387" s="173">
        <f>MIN(Tabelle132456[[#This Row],[Jira Story Points]],Tabelle132456[[#This Row],[Carry-over]])-Tabelle132456[[#This Row],[SP Initially Planned (COS)]]</f>
        <v>0</v>
      </c>
      <c r="O38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87" s="173">
        <f>IFERROR(IF(Tabelle132456[[#This Row],[Status]]=$I$5,MIN(Tabelle132456[[#This Row],[Jira Story Points]],Tabelle132456[[#This Row],[Carry-over]]),0),0)</f>
        <v>0</v>
      </c>
      <c r="Q387" s="173">
        <f>IFERROR(IF(Tabelle132456[[#This Row],[Status]]=$I$5,0,MIN(Tabelle132456[[#This Row],[Jira Story Points]],Tabelle132456[[#This Row],[Carry-over]])-Tabelle132456[[#This Row],[SP Completed (COS &amp; SOS)]]),0)</f>
        <v>0</v>
      </c>
    </row>
    <row r="388" spans="1:17" s="46" customFormat="1" ht="13.5" customHeight="1">
      <c r="A388" s="117"/>
      <c r="B388" s="47"/>
      <c r="C388" s="76"/>
      <c r="D388" s="76"/>
      <c r="E388" s="76"/>
      <c r="F388" s="104"/>
      <c r="G388" s="76"/>
      <c r="H388" s="83"/>
      <c r="I388" s="103"/>
      <c r="J388" s="76"/>
      <c r="K388" s="104"/>
      <c r="L388" s="104"/>
      <c r="M388" s="174">
        <f>IF(Tabelle132456[[#This Row],[Pulled after Start]]="",MIN(Tabelle132456[[#This Row],[Jira Story Points]],Tabelle132456[[#This Row],[Carry-over]]),0)</f>
        <v>0</v>
      </c>
      <c r="N388" s="173">
        <f>MIN(Tabelle132456[[#This Row],[Jira Story Points]],Tabelle132456[[#This Row],[Carry-over]])-Tabelle132456[[#This Row],[SP Initially Planned (COS)]]</f>
        <v>0</v>
      </c>
      <c r="O38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88" s="173">
        <f>IFERROR(IF(Tabelle132456[[#This Row],[Status]]=$I$5,MIN(Tabelle132456[[#This Row],[Jira Story Points]],Tabelle132456[[#This Row],[Carry-over]]),0),0)</f>
        <v>0</v>
      </c>
      <c r="Q388" s="173">
        <f>IFERROR(IF(Tabelle132456[[#This Row],[Status]]=$I$5,0,MIN(Tabelle132456[[#This Row],[Jira Story Points]],Tabelle132456[[#This Row],[Carry-over]])-Tabelle132456[[#This Row],[SP Completed (COS &amp; SOS)]]),0)</f>
        <v>0</v>
      </c>
    </row>
    <row r="389" spans="1:17" s="46" customFormat="1" ht="13.5" customHeight="1">
      <c r="A389" s="117"/>
      <c r="B389" s="47"/>
      <c r="C389" s="76"/>
      <c r="D389" s="76"/>
      <c r="E389" s="76"/>
      <c r="F389" s="104"/>
      <c r="G389" s="76"/>
      <c r="H389" s="83"/>
      <c r="I389" s="103"/>
      <c r="J389" s="76"/>
      <c r="K389" s="104"/>
      <c r="L389" s="104"/>
      <c r="M389" s="174">
        <f>IF(Tabelle132456[[#This Row],[Pulled after Start]]="",MIN(Tabelle132456[[#This Row],[Jira Story Points]],Tabelle132456[[#This Row],[Carry-over]]),0)</f>
        <v>0</v>
      </c>
      <c r="N389" s="173">
        <f>MIN(Tabelle132456[[#This Row],[Jira Story Points]],Tabelle132456[[#This Row],[Carry-over]])-Tabelle132456[[#This Row],[SP Initially Planned (COS)]]</f>
        <v>0</v>
      </c>
      <c r="O38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89" s="173">
        <f>IFERROR(IF(Tabelle132456[[#This Row],[Status]]=$I$5,MIN(Tabelle132456[[#This Row],[Jira Story Points]],Tabelle132456[[#This Row],[Carry-over]]),0),0)</f>
        <v>0</v>
      </c>
      <c r="Q389" s="173">
        <f>IFERROR(IF(Tabelle132456[[#This Row],[Status]]=$I$5,0,MIN(Tabelle132456[[#This Row],[Jira Story Points]],Tabelle132456[[#This Row],[Carry-over]])-Tabelle132456[[#This Row],[SP Completed (COS &amp; SOS)]]),0)</f>
        <v>0</v>
      </c>
    </row>
    <row r="390" spans="1:17" s="46" customFormat="1" ht="13.5" customHeight="1">
      <c r="A390" s="117"/>
      <c r="B390" s="47"/>
      <c r="C390" s="76"/>
      <c r="D390" s="76"/>
      <c r="E390" s="76"/>
      <c r="F390" s="104"/>
      <c r="G390" s="76"/>
      <c r="H390" s="83"/>
      <c r="I390" s="103"/>
      <c r="J390" s="76"/>
      <c r="K390" s="104"/>
      <c r="L390" s="104"/>
      <c r="M390" s="174">
        <f>IF(Tabelle132456[[#This Row],[Pulled after Start]]="",MIN(Tabelle132456[[#This Row],[Jira Story Points]],Tabelle132456[[#This Row],[Carry-over]]),0)</f>
        <v>0</v>
      </c>
      <c r="N390" s="173">
        <f>MIN(Tabelle132456[[#This Row],[Jira Story Points]],Tabelle132456[[#This Row],[Carry-over]])-Tabelle132456[[#This Row],[SP Initially Planned (COS)]]</f>
        <v>0</v>
      </c>
      <c r="O39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90" s="173">
        <f>IFERROR(IF(Tabelle132456[[#This Row],[Status]]=$I$5,MIN(Tabelle132456[[#This Row],[Jira Story Points]],Tabelle132456[[#This Row],[Carry-over]]),0),0)</f>
        <v>0</v>
      </c>
      <c r="Q390" s="173">
        <f>IFERROR(IF(Tabelle132456[[#This Row],[Status]]=$I$5,0,MIN(Tabelle132456[[#This Row],[Jira Story Points]],Tabelle132456[[#This Row],[Carry-over]])-Tabelle132456[[#This Row],[SP Completed (COS &amp; SOS)]]),0)</f>
        <v>0</v>
      </c>
    </row>
    <row r="391" spans="1:17" s="46" customFormat="1" ht="13.5" customHeight="1">
      <c r="A391" s="117"/>
      <c r="B391" s="47"/>
      <c r="C391" s="76"/>
      <c r="D391" s="76"/>
      <c r="E391" s="76"/>
      <c r="F391" s="104"/>
      <c r="G391" s="76"/>
      <c r="H391" s="83"/>
      <c r="I391" s="103"/>
      <c r="J391" s="76"/>
      <c r="K391" s="104"/>
      <c r="L391" s="104"/>
      <c r="M391" s="174">
        <f>IF(Tabelle132456[[#This Row],[Pulled after Start]]="",MIN(Tabelle132456[[#This Row],[Jira Story Points]],Tabelle132456[[#This Row],[Carry-over]]),0)</f>
        <v>0</v>
      </c>
      <c r="N391" s="173">
        <f>MIN(Tabelle132456[[#This Row],[Jira Story Points]],Tabelle132456[[#This Row],[Carry-over]])-Tabelle132456[[#This Row],[SP Initially Planned (COS)]]</f>
        <v>0</v>
      </c>
      <c r="O39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91" s="173">
        <f>IFERROR(IF(Tabelle132456[[#This Row],[Status]]=$I$5,MIN(Tabelle132456[[#This Row],[Jira Story Points]],Tabelle132456[[#This Row],[Carry-over]]),0),0)</f>
        <v>0</v>
      </c>
      <c r="Q391" s="173">
        <f>IFERROR(IF(Tabelle132456[[#This Row],[Status]]=$I$5,0,MIN(Tabelle132456[[#This Row],[Jira Story Points]],Tabelle132456[[#This Row],[Carry-over]])-Tabelle132456[[#This Row],[SP Completed (COS &amp; SOS)]]),0)</f>
        <v>0</v>
      </c>
    </row>
    <row r="392" spans="1:17" s="46" customFormat="1" ht="13.5" customHeight="1">
      <c r="A392" s="117"/>
      <c r="B392" s="47"/>
      <c r="C392" s="76"/>
      <c r="D392" s="76"/>
      <c r="E392" s="76"/>
      <c r="F392" s="104"/>
      <c r="G392" s="76"/>
      <c r="H392" s="83"/>
      <c r="I392" s="103"/>
      <c r="J392" s="76"/>
      <c r="K392" s="104"/>
      <c r="L392" s="104"/>
      <c r="M392" s="174">
        <f>IF(Tabelle132456[[#This Row],[Pulled after Start]]="",MIN(Tabelle132456[[#This Row],[Jira Story Points]],Tabelle132456[[#This Row],[Carry-over]]),0)</f>
        <v>0</v>
      </c>
      <c r="N392" s="173">
        <f>MIN(Tabelle132456[[#This Row],[Jira Story Points]],Tabelle132456[[#This Row],[Carry-over]])-Tabelle132456[[#This Row],[SP Initially Planned (COS)]]</f>
        <v>0</v>
      </c>
      <c r="O39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92" s="173">
        <f>IFERROR(IF(Tabelle132456[[#This Row],[Status]]=$I$5,MIN(Tabelle132456[[#This Row],[Jira Story Points]],Tabelle132456[[#This Row],[Carry-over]]),0),0)</f>
        <v>0</v>
      </c>
      <c r="Q392" s="173">
        <f>IFERROR(IF(Tabelle132456[[#This Row],[Status]]=$I$5,0,MIN(Tabelle132456[[#This Row],[Jira Story Points]],Tabelle132456[[#This Row],[Carry-over]])-Tabelle132456[[#This Row],[SP Completed (COS &amp; SOS)]]),0)</f>
        <v>0</v>
      </c>
    </row>
    <row r="393" spans="1:17" s="46" customFormat="1" ht="13.5" customHeight="1">
      <c r="A393" s="117"/>
      <c r="B393" s="47"/>
      <c r="C393" s="76"/>
      <c r="D393" s="76"/>
      <c r="E393" s="76"/>
      <c r="F393" s="104"/>
      <c r="G393" s="76"/>
      <c r="H393" s="83"/>
      <c r="I393" s="103"/>
      <c r="J393" s="76"/>
      <c r="K393" s="104"/>
      <c r="L393" s="104"/>
      <c r="M393" s="174">
        <f>IF(Tabelle132456[[#This Row],[Pulled after Start]]="",MIN(Tabelle132456[[#This Row],[Jira Story Points]],Tabelle132456[[#This Row],[Carry-over]]),0)</f>
        <v>0</v>
      </c>
      <c r="N393" s="173">
        <f>MIN(Tabelle132456[[#This Row],[Jira Story Points]],Tabelle132456[[#This Row],[Carry-over]])-Tabelle132456[[#This Row],[SP Initially Planned (COS)]]</f>
        <v>0</v>
      </c>
      <c r="O39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93" s="173">
        <f>IFERROR(IF(Tabelle132456[[#This Row],[Status]]=$I$5,MIN(Tabelle132456[[#This Row],[Jira Story Points]],Tabelle132456[[#This Row],[Carry-over]]),0),0)</f>
        <v>0</v>
      </c>
      <c r="Q393" s="173">
        <f>IFERROR(IF(Tabelle132456[[#This Row],[Status]]=$I$5,0,MIN(Tabelle132456[[#This Row],[Jira Story Points]],Tabelle132456[[#This Row],[Carry-over]])-Tabelle132456[[#This Row],[SP Completed (COS &amp; SOS)]]),0)</f>
        <v>0</v>
      </c>
    </row>
    <row r="394" spans="1:17" s="46" customFormat="1" ht="13.5" customHeight="1">
      <c r="A394" s="117"/>
      <c r="B394" s="47"/>
      <c r="C394" s="76"/>
      <c r="D394" s="76"/>
      <c r="E394" s="76"/>
      <c r="F394" s="104"/>
      <c r="G394" s="76"/>
      <c r="H394" s="83"/>
      <c r="I394" s="103"/>
      <c r="J394" s="76"/>
      <c r="K394" s="104"/>
      <c r="L394" s="104"/>
      <c r="M394" s="174">
        <f>IF(Tabelle132456[[#This Row],[Pulled after Start]]="",MIN(Tabelle132456[[#This Row],[Jira Story Points]],Tabelle132456[[#This Row],[Carry-over]]),0)</f>
        <v>0</v>
      </c>
      <c r="N394" s="173">
        <f>MIN(Tabelle132456[[#This Row],[Jira Story Points]],Tabelle132456[[#This Row],[Carry-over]])-Tabelle132456[[#This Row],[SP Initially Planned (COS)]]</f>
        <v>0</v>
      </c>
      <c r="O39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94" s="173">
        <f>IFERROR(IF(Tabelle132456[[#This Row],[Status]]=$I$5,MIN(Tabelle132456[[#This Row],[Jira Story Points]],Tabelle132456[[#This Row],[Carry-over]]),0),0)</f>
        <v>0</v>
      </c>
      <c r="Q394" s="173">
        <f>IFERROR(IF(Tabelle132456[[#This Row],[Status]]=$I$5,0,MIN(Tabelle132456[[#This Row],[Jira Story Points]],Tabelle132456[[#This Row],[Carry-over]])-Tabelle132456[[#This Row],[SP Completed (COS &amp; SOS)]]),0)</f>
        <v>0</v>
      </c>
    </row>
    <row r="395" spans="1:17" s="46" customFormat="1" ht="13.5" customHeight="1">
      <c r="A395" s="117"/>
      <c r="B395" s="47"/>
      <c r="C395" s="76"/>
      <c r="D395" s="76"/>
      <c r="E395" s="76"/>
      <c r="F395" s="104"/>
      <c r="G395" s="76"/>
      <c r="H395" s="83"/>
      <c r="I395" s="103"/>
      <c r="J395" s="76"/>
      <c r="K395" s="104"/>
      <c r="L395" s="104"/>
      <c r="M395" s="174">
        <f>IF(Tabelle132456[[#This Row],[Pulled after Start]]="",MIN(Tabelle132456[[#This Row],[Jira Story Points]],Tabelle132456[[#This Row],[Carry-over]]),0)</f>
        <v>0</v>
      </c>
      <c r="N395" s="173">
        <f>MIN(Tabelle132456[[#This Row],[Jira Story Points]],Tabelle132456[[#This Row],[Carry-over]])-Tabelle132456[[#This Row],[SP Initially Planned (COS)]]</f>
        <v>0</v>
      </c>
      <c r="O39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95" s="173">
        <f>IFERROR(IF(Tabelle132456[[#This Row],[Status]]=$I$5,MIN(Tabelle132456[[#This Row],[Jira Story Points]],Tabelle132456[[#This Row],[Carry-over]]),0),0)</f>
        <v>0</v>
      </c>
      <c r="Q395" s="173">
        <f>IFERROR(IF(Tabelle132456[[#This Row],[Status]]=$I$5,0,MIN(Tabelle132456[[#This Row],[Jira Story Points]],Tabelle132456[[#This Row],[Carry-over]])-Tabelle132456[[#This Row],[SP Completed (COS &amp; SOS)]]),0)</f>
        <v>0</v>
      </c>
    </row>
    <row r="396" spans="1:17" s="46" customFormat="1" ht="13.5" customHeight="1">
      <c r="A396" s="117"/>
      <c r="B396" s="47"/>
      <c r="C396" s="76"/>
      <c r="D396" s="76"/>
      <c r="E396" s="76"/>
      <c r="F396" s="104"/>
      <c r="G396" s="76"/>
      <c r="H396" s="83"/>
      <c r="I396" s="103"/>
      <c r="J396" s="76"/>
      <c r="K396" s="104"/>
      <c r="L396" s="104"/>
      <c r="M396" s="174">
        <f>IF(Tabelle132456[[#This Row],[Pulled after Start]]="",MIN(Tabelle132456[[#This Row],[Jira Story Points]],Tabelle132456[[#This Row],[Carry-over]]),0)</f>
        <v>0</v>
      </c>
      <c r="N396" s="173">
        <f>MIN(Tabelle132456[[#This Row],[Jira Story Points]],Tabelle132456[[#This Row],[Carry-over]])-Tabelle132456[[#This Row],[SP Initially Planned (COS)]]</f>
        <v>0</v>
      </c>
      <c r="O39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96" s="173">
        <f>IFERROR(IF(Tabelle132456[[#This Row],[Status]]=$I$5,MIN(Tabelle132456[[#This Row],[Jira Story Points]],Tabelle132456[[#This Row],[Carry-over]]),0),0)</f>
        <v>0</v>
      </c>
      <c r="Q396" s="173">
        <f>IFERROR(IF(Tabelle132456[[#This Row],[Status]]=$I$5,0,MIN(Tabelle132456[[#This Row],[Jira Story Points]],Tabelle132456[[#This Row],[Carry-over]])-Tabelle132456[[#This Row],[SP Completed (COS &amp; SOS)]]),0)</f>
        <v>0</v>
      </c>
    </row>
    <row r="397" spans="1:17" s="46" customFormat="1" ht="13.5" customHeight="1">
      <c r="A397" s="117"/>
      <c r="B397" s="47"/>
      <c r="C397" s="76"/>
      <c r="D397" s="76"/>
      <c r="E397" s="76"/>
      <c r="F397" s="104"/>
      <c r="G397" s="76"/>
      <c r="H397" s="83"/>
      <c r="I397" s="103"/>
      <c r="J397" s="76"/>
      <c r="K397" s="104"/>
      <c r="L397" s="104"/>
      <c r="M397" s="174">
        <f>IF(Tabelle132456[[#This Row],[Pulled after Start]]="",MIN(Tabelle132456[[#This Row],[Jira Story Points]],Tabelle132456[[#This Row],[Carry-over]]),0)</f>
        <v>0</v>
      </c>
      <c r="N397" s="173">
        <f>MIN(Tabelle132456[[#This Row],[Jira Story Points]],Tabelle132456[[#This Row],[Carry-over]])-Tabelle132456[[#This Row],[SP Initially Planned (COS)]]</f>
        <v>0</v>
      </c>
      <c r="O39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97" s="173">
        <f>IFERROR(IF(Tabelle132456[[#This Row],[Status]]=$I$5,MIN(Tabelle132456[[#This Row],[Jira Story Points]],Tabelle132456[[#This Row],[Carry-over]]),0),0)</f>
        <v>0</v>
      </c>
      <c r="Q397" s="173">
        <f>IFERROR(IF(Tabelle132456[[#This Row],[Status]]=$I$5,0,MIN(Tabelle132456[[#This Row],[Jira Story Points]],Tabelle132456[[#This Row],[Carry-over]])-Tabelle132456[[#This Row],[SP Completed (COS &amp; SOS)]]),0)</f>
        <v>0</v>
      </c>
    </row>
    <row r="398" spans="1:17" s="46" customFormat="1" ht="13.5" customHeight="1">
      <c r="A398" s="117"/>
      <c r="B398" s="47"/>
      <c r="C398" s="76"/>
      <c r="D398" s="76"/>
      <c r="E398" s="76"/>
      <c r="F398" s="104"/>
      <c r="G398" s="76"/>
      <c r="H398" s="83"/>
      <c r="I398" s="103"/>
      <c r="J398" s="76"/>
      <c r="K398" s="104"/>
      <c r="L398" s="104"/>
      <c r="M398" s="174">
        <f>IF(Tabelle132456[[#This Row],[Pulled after Start]]="",MIN(Tabelle132456[[#This Row],[Jira Story Points]],Tabelle132456[[#This Row],[Carry-over]]),0)</f>
        <v>0</v>
      </c>
      <c r="N398" s="173">
        <f>MIN(Tabelle132456[[#This Row],[Jira Story Points]],Tabelle132456[[#This Row],[Carry-over]])-Tabelle132456[[#This Row],[SP Initially Planned (COS)]]</f>
        <v>0</v>
      </c>
      <c r="O39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98" s="173">
        <f>IFERROR(IF(Tabelle132456[[#This Row],[Status]]=$I$5,MIN(Tabelle132456[[#This Row],[Jira Story Points]],Tabelle132456[[#This Row],[Carry-over]]),0),0)</f>
        <v>0</v>
      </c>
      <c r="Q398" s="173">
        <f>IFERROR(IF(Tabelle132456[[#This Row],[Status]]=$I$5,0,MIN(Tabelle132456[[#This Row],[Jira Story Points]],Tabelle132456[[#This Row],[Carry-over]])-Tabelle132456[[#This Row],[SP Completed (COS &amp; SOS)]]),0)</f>
        <v>0</v>
      </c>
    </row>
    <row r="399" spans="1:17" s="46" customFormat="1" ht="13.5" customHeight="1">
      <c r="A399" s="117"/>
      <c r="B399" s="47"/>
      <c r="C399" s="76"/>
      <c r="D399" s="76"/>
      <c r="E399" s="76"/>
      <c r="F399" s="104"/>
      <c r="G399" s="76"/>
      <c r="H399" s="83"/>
      <c r="I399" s="103"/>
      <c r="J399" s="76"/>
      <c r="K399" s="104"/>
      <c r="L399" s="104"/>
      <c r="M399" s="174">
        <f>IF(Tabelle132456[[#This Row],[Pulled after Start]]="",MIN(Tabelle132456[[#This Row],[Jira Story Points]],Tabelle132456[[#This Row],[Carry-over]]),0)</f>
        <v>0</v>
      </c>
      <c r="N399" s="173">
        <f>MIN(Tabelle132456[[#This Row],[Jira Story Points]],Tabelle132456[[#This Row],[Carry-over]])-Tabelle132456[[#This Row],[SP Initially Planned (COS)]]</f>
        <v>0</v>
      </c>
      <c r="O39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399" s="173">
        <f>IFERROR(IF(Tabelle132456[[#This Row],[Status]]=$I$5,MIN(Tabelle132456[[#This Row],[Jira Story Points]],Tabelle132456[[#This Row],[Carry-over]]),0),0)</f>
        <v>0</v>
      </c>
      <c r="Q399" s="173">
        <f>IFERROR(IF(Tabelle132456[[#This Row],[Status]]=$I$5,0,MIN(Tabelle132456[[#This Row],[Jira Story Points]],Tabelle132456[[#This Row],[Carry-over]])-Tabelle132456[[#This Row],[SP Completed (COS &amp; SOS)]]),0)</f>
        <v>0</v>
      </c>
    </row>
    <row r="400" spans="1:17" s="46" customFormat="1" ht="13.5" customHeight="1">
      <c r="A400" s="117"/>
      <c r="B400" s="47"/>
      <c r="C400" s="76"/>
      <c r="D400" s="76"/>
      <c r="E400" s="76"/>
      <c r="F400" s="104"/>
      <c r="G400" s="76"/>
      <c r="H400" s="83"/>
      <c r="I400" s="103"/>
      <c r="J400" s="76"/>
      <c r="K400" s="104"/>
      <c r="L400" s="104"/>
      <c r="M400" s="174">
        <f>IF(Tabelle132456[[#This Row],[Pulled after Start]]="",MIN(Tabelle132456[[#This Row],[Jira Story Points]],Tabelle132456[[#This Row],[Carry-over]]),0)</f>
        <v>0</v>
      </c>
      <c r="N400" s="173">
        <f>MIN(Tabelle132456[[#This Row],[Jira Story Points]],Tabelle132456[[#This Row],[Carry-over]])-Tabelle132456[[#This Row],[SP Initially Planned (COS)]]</f>
        <v>0</v>
      </c>
      <c r="O40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00" s="173">
        <f>IFERROR(IF(Tabelle132456[[#This Row],[Status]]=$I$5,MIN(Tabelle132456[[#This Row],[Jira Story Points]],Tabelle132456[[#This Row],[Carry-over]]),0),0)</f>
        <v>0</v>
      </c>
      <c r="Q400" s="173">
        <f>IFERROR(IF(Tabelle132456[[#This Row],[Status]]=$I$5,0,MIN(Tabelle132456[[#This Row],[Jira Story Points]],Tabelle132456[[#This Row],[Carry-over]])-Tabelle132456[[#This Row],[SP Completed (COS &amp; SOS)]]),0)</f>
        <v>0</v>
      </c>
    </row>
    <row r="401" spans="1:17" s="46" customFormat="1" ht="13.5" customHeight="1">
      <c r="A401" s="117"/>
      <c r="B401" s="47"/>
      <c r="C401" s="76"/>
      <c r="D401" s="76"/>
      <c r="E401" s="76"/>
      <c r="F401" s="104"/>
      <c r="G401" s="76"/>
      <c r="H401" s="83"/>
      <c r="I401" s="103"/>
      <c r="J401" s="76"/>
      <c r="K401" s="104"/>
      <c r="L401" s="104"/>
      <c r="M401" s="174">
        <f>IF(Tabelle132456[[#This Row],[Pulled after Start]]="",MIN(Tabelle132456[[#This Row],[Jira Story Points]],Tabelle132456[[#This Row],[Carry-over]]),0)</f>
        <v>0</v>
      </c>
      <c r="N401" s="173">
        <f>MIN(Tabelle132456[[#This Row],[Jira Story Points]],Tabelle132456[[#This Row],[Carry-over]])-Tabelle132456[[#This Row],[SP Initially Planned (COS)]]</f>
        <v>0</v>
      </c>
      <c r="O40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01" s="173">
        <f>IFERROR(IF(Tabelle132456[[#This Row],[Status]]=$I$5,MIN(Tabelle132456[[#This Row],[Jira Story Points]],Tabelle132456[[#This Row],[Carry-over]]),0),0)</f>
        <v>0</v>
      </c>
      <c r="Q401" s="173">
        <f>IFERROR(IF(Tabelle132456[[#This Row],[Status]]=$I$5,0,MIN(Tabelle132456[[#This Row],[Jira Story Points]],Tabelle132456[[#This Row],[Carry-over]])-Tabelle132456[[#This Row],[SP Completed (COS &amp; SOS)]]),0)</f>
        <v>0</v>
      </c>
    </row>
    <row r="402" spans="1:17" s="46" customFormat="1" ht="13.5" customHeight="1">
      <c r="A402" s="117"/>
      <c r="B402" s="47"/>
      <c r="C402" s="76"/>
      <c r="D402" s="76"/>
      <c r="E402" s="76"/>
      <c r="F402" s="104"/>
      <c r="G402" s="76"/>
      <c r="H402" s="83"/>
      <c r="I402" s="103"/>
      <c r="J402" s="76"/>
      <c r="K402" s="104"/>
      <c r="L402" s="104"/>
      <c r="M402" s="174">
        <f>IF(Tabelle132456[[#This Row],[Pulled after Start]]="",MIN(Tabelle132456[[#This Row],[Jira Story Points]],Tabelle132456[[#This Row],[Carry-over]]),0)</f>
        <v>0</v>
      </c>
      <c r="N402" s="173">
        <f>MIN(Tabelle132456[[#This Row],[Jira Story Points]],Tabelle132456[[#This Row],[Carry-over]])-Tabelle132456[[#This Row],[SP Initially Planned (COS)]]</f>
        <v>0</v>
      </c>
      <c r="O40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02" s="173">
        <f>IFERROR(IF(Tabelle132456[[#This Row],[Status]]=$I$5,MIN(Tabelle132456[[#This Row],[Jira Story Points]],Tabelle132456[[#This Row],[Carry-over]]),0),0)</f>
        <v>0</v>
      </c>
      <c r="Q402" s="173">
        <f>IFERROR(IF(Tabelle132456[[#This Row],[Status]]=$I$5,0,MIN(Tabelle132456[[#This Row],[Jira Story Points]],Tabelle132456[[#This Row],[Carry-over]])-Tabelle132456[[#This Row],[SP Completed (COS &amp; SOS)]]),0)</f>
        <v>0</v>
      </c>
    </row>
    <row r="403" spans="1:17" s="46" customFormat="1" ht="13.5" customHeight="1">
      <c r="A403" s="117"/>
      <c r="B403" s="47"/>
      <c r="C403" s="76"/>
      <c r="D403" s="76"/>
      <c r="E403" s="76"/>
      <c r="F403" s="104"/>
      <c r="G403" s="76"/>
      <c r="H403" s="83"/>
      <c r="I403" s="103"/>
      <c r="J403" s="76"/>
      <c r="K403" s="104"/>
      <c r="L403" s="104"/>
      <c r="M403" s="174">
        <f>IF(Tabelle132456[[#This Row],[Pulled after Start]]="",MIN(Tabelle132456[[#This Row],[Jira Story Points]],Tabelle132456[[#This Row],[Carry-over]]),0)</f>
        <v>0</v>
      </c>
      <c r="N403" s="173">
        <f>MIN(Tabelle132456[[#This Row],[Jira Story Points]],Tabelle132456[[#This Row],[Carry-over]])-Tabelle132456[[#This Row],[SP Initially Planned (COS)]]</f>
        <v>0</v>
      </c>
      <c r="O40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03" s="173">
        <f>IFERROR(IF(Tabelle132456[[#This Row],[Status]]=$I$5,MIN(Tabelle132456[[#This Row],[Jira Story Points]],Tabelle132456[[#This Row],[Carry-over]]),0),0)</f>
        <v>0</v>
      </c>
      <c r="Q403" s="173">
        <f>IFERROR(IF(Tabelle132456[[#This Row],[Status]]=$I$5,0,MIN(Tabelle132456[[#This Row],[Jira Story Points]],Tabelle132456[[#This Row],[Carry-over]])-Tabelle132456[[#This Row],[SP Completed (COS &amp; SOS)]]),0)</f>
        <v>0</v>
      </c>
    </row>
    <row r="404" spans="1:17" s="46" customFormat="1" ht="13.5" customHeight="1">
      <c r="A404" s="117"/>
      <c r="B404" s="47"/>
      <c r="C404" s="76"/>
      <c r="D404" s="76"/>
      <c r="E404" s="76"/>
      <c r="F404" s="104"/>
      <c r="G404" s="76"/>
      <c r="H404" s="83"/>
      <c r="I404" s="103"/>
      <c r="J404" s="76"/>
      <c r="K404" s="104"/>
      <c r="L404" s="104"/>
      <c r="M404" s="174">
        <f>IF(Tabelle132456[[#This Row],[Pulled after Start]]="",MIN(Tabelle132456[[#This Row],[Jira Story Points]],Tabelle132456[[#This Row],[Carry-over]]),0)</f>
        <v>0</v>
      </c>
      <c r="N404" s="173">
        <f>MIN(Tabelle132456[[#This Row],[Jira Story Points]],Tabelle132456[[#This Row],[Carry-over]])-Tabelle132456[[#This Row],[SP Initially Planned (COS)]]</f>
        <v>0</v>
      </c>
      <c r="O40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04" s="173">
        <f>IFERROR(IF(Tabelle132456[[#This Row],[Status]]=$I$5,MIN(Tabelle132456[[#This Row],[Jira Story Points]],Tabelle132456[[#This Row],[Carry-over]]),0),0)</f>
        <v>0</v>
      </c>
      <c r="Q404" s="173">
        <f>IFERROR(IF(Tabelle132456[[#This Row],[Status]]=$I$5,0,MIN(Tabelle132456[[#This Row],[Jira Story Points]],Tabelle132456[[#This Row],[Carry-over]])-Tabelle132456[[#This Row],[SP Completed (COS &amp; SOS)]]),0)</f>
        <v>0</v>
      </c>
    </row>
    <row r="405" spans="1:17" s="46" customFormat="1" ht="13.5" customHeight="1">
      <c r="A405" s="117"/>
      <c r="B405" s="47"/>
      <c r="C405" s="76"/>
      <c r="D405" s="76"/>
      <c r="E405" s="76"/>
      <c r="F405" s="104"/>
      <c r="G405" s="76"/>
      <c r="H405" s="83"/>
      <c r="I405" s="103"/>
      <c r="J405" s="76"/>
      <c r="K405" s="104"/>
      <c r="L405" s="104"/>
      <c r="M405" s="174">
        <f>IF(Tabelle132456[[#This Row],[Pulled after Start]]="",MIN(Tabelle132456[[#This Row],[Jira Story Points]],Tabelle132456[[#This Row],[Carry-over]]),0)</f>
        <v>0</v>
      </c>
      <c r="N405" s="173">
        <f>MIN(Tabelle132456[[#This Row],[Jira Story Points]],Tabelle132456[[#This Row],[Carry-over]])-Tabelle132456[[#This Row],[SP Initially Planned (COS)]]</f>
        <v>0</v>
      </c>
      <c r="O40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05" s="173">
        <f>IFERROR(IF(Tabelle132456[[#This Row],[Status]]=$I$5,MIN(Tabelle132456[[#This Row],[Jira Story Points]],Tabelle132456[[#This Row],[Carry-over]]),0),0)</f>
        <v>0</v>
      </c>
      <c r="Q405" s="173">
        <f>IFERROR(IF(Tabelle132456[[#This Row],[Status]]=$I$5,0,MIN(Tabelle132456[[#This Row],[Jira Story Points]],Tabelle132456[[#This Row],[Carry-over]])-Tabelle132456[[#This Row],[SP Completed (COS &amp; SOS)]]),0)</f>
        <v>0</v>
      </c>
    </row>
    <row r="406" spans="1:17" s="46" customFormat="1" ht="13.5" customHeight="1">
      <c r="A406" s="117"/>
      <c r="B406" s="47"/>
      <c r="C406" s="76"/>
      <c r="D406" s="76"/>
      <c r="E406" s="76"/>
      <c r="F406" s="104"/>
      <c r="G406" s="76"/>
      <c r="H406" s="83"/>
      <c r="I406" s="103"/>
      <c r="J406" s="76"/>
      <c r="K406" s="104"/>
      <c r="L406" s="104"/>
      <c r="M406" s="174">
        <f>IF(Tabelle132456[[#This Row],[Pulled after Start]]="",MIN(Tabelle132456[[#This Row],[Jira Story Points]],Tabelle132456[[#This Row],[Carry-over]]),0)</f>
        <v>0</v>
      </c>
      <c r="N406" s="173">
        <f>MIN(Tabelle132456[[#This Row],[Jira Story Points]],Tabelle132456[[#This Row],[Carry-over]])-Tabelle132456[[#This Row],[SP Initially Planned (COS)]]</f>
        <v>0</v>
      </c>
      <c r="O40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06" s="173">
        <f>IFERROR(IF(Tabelle132456[[#This Row],[Status]]=$I$5,MIN(Tabelle132456[[#This Row],[Jira Story Points]],Tabelle132456[[#This Row],[Carry-over]]),0),0)</f>
        <v>0</v>
      </c>
      <c r="Q406" s="173">
        <f>IFERROR(IF(Tabelle132456[[#This Row],[Status]]=$I$5,0,MIN(Tabelle132456[[#This Row],[Jira Story Points]],Tabelle132456[[#This Row],[Carry-over]])-Tabelle132456[[#This Row],[SP Completed (COS &amp; SOS)]]),0)</f>
        <v>0</v>
      </c>
    </row>
    <row r="407" spans="1:17" s="46" customFormat="1" ht="13.5" customHeight="1">
      <c r="A407" s="117"/>
      <c r="B407" s="47"/>
      <c r="C407" s="76"/>
      <c r="D407" s="76"/>
      <c r="E407" s="76"/>
      <c r="F407" s="104"/>
      <c r="G407" s="76"/>
      <c r="H407" s="83"/>
      <c r="I407" s="103"/>
      <c r="J407" s="76"/>
      <c r="K407" s="104"/>
      <c r="L407" s="104"/>
      <c r="M407" s="174">
        <f>IF(Tabelle132456[[#This Row],[Pulled after Start]]="",MIN(Tabelle132456[[#This Row],[Jira Story Points]],Tabelle132456[[#This Row],[Carry-over]]),0)</f>
        <v>0</v>
      </c>
      <c r="N407" s="173">
        <f>MIN(Tabelle132456[[#This Row],[Jira Story Points]],Tabelle132456[[#This Row],[Carry-over]])-Tabelle132456[[#This Row],[SP Initially Planned (COS)]]</f>
        <v>0</v>
      </c>
      <c r="O40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07" s="173">
        <f>IFERROR(IF(Tabelle132456[[#This Row],[Status]]=$I$5,MIN(Tabelle132456[[#This Row],[Jira Story Points]],Tabelle132456[[#This Row],[Carry-over]]),0),0)</f>
        <v>0</v>
      </c>
      <c r="Q407" s="173">
        <f>IFERROR(IF(Tabelle132456[[#This Row],[Status]]=$I$5,0,MIN(Tabelle132456[[#This Row],[Jira Story Points]],Tabelle132456[[#This Row],[Carry-over]])-Tabelle132456[[#This Row],[SP Completed (COS &amp; SOS)]]),0)</f>
        <v>0</v>
      </c>
    </row>
    <row r="408" spans="1:17" s="46" customFormat="1" ht="13.5" customHeight="1">
      <c r="A408" s="117"/>
      <c r="B408" s="47"/>
      <c r="C408" s="76"/>
      <c r="D408" s="76"/>
      <c r="E408" s="76"/>
      <c r="F408" s="104"/>
      <c r="G408" s="76"/>
      <c r="H408" s="83"/>
      <c r="I408" s="103"/>
      <c r="J408" s="76"/>
      <c r="K408" s="104"/>
      <c r="L408" s="104"/>
      <c r="M408" s="174">
        <f>IF(Tabelle132456[[#This Row],[Pulled after Start]]="",MIN(Tabelle132456[[#This Row],[Jira Story Points]],Tabelle132456[[#This Row],[Carry-over]]),0)</f>
        <v>0</v>
      </c>
      <c r="N408" s="173">
        <f>MIN(Tabelle132456[[#This Row],[Jira Story Points]],Tabelle132456[[#This Row],[Carry-over]])-Tabelle132456[[#This Row],[SP Initially Planned (COS)]]</f>
        <v>0</v>
      </c>
      <c r="O40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08" s="173">
        <f>IFERROR(IF(Tabelle132456[[#This Row],[Status]]=$I$5,MIN(Tabelle132456[[#This Row],[Jira Story Points]],Tabelle132456[[#This Row],[Carry-over]]),0),0)</f>
        <v>0</v>
      </c>
      <c r="Q408" s="173">
        <f>IFERROR(IF(Tabelle132456[[#This Row],[Status]]=$I$5,0,MIN(Tabelle132456[[#This Row],[Jira Story Points]],Tabelle132456[[#This Row],[Carry-over]])-Tabelle132456[[#This Row],[SP Completed (COS &amp; SOS)]]),0)</f>
        <v>0</v>
      </c>
    </row>
    <row r="409" spans="1:17" s="46" customFormat="1" ht="13.5" customHeight="1">
      <c r="A409" s="117"/>
      <c r="B409" s="47"/>
      <c r="C409" s="76"/>
      <c r="D409" s="76"/>
      <c r="E409" s="76"/>
      <c r="F409" s="104"/>
      <c r="G409" s="76"/>
      <c r="H409" s="83"/>
      <c r="I409" s="103"/>
      <c r="J409" s="76"/>
      <c r="K409" s="104"/>
      <c r="L409" s="104"/>
      <c r="M409" s="174">
        <f>IF(Tabelle132456[[#This Row],[Pulled after Start]]="",MIN(Tabelle132456[[#This Row],[Jira Story Points]],Tabelle132456[[#This Row],[Carry-over]]),0)</f>
        <v>0</v>
      </c>
      <c r="N409" s="173">
        <f>MIN(Tabelle132456[[#This Row],[Jira Story Points]],Tabelle132456[[#This Row],[Carry-over]])-Tabelle132456[[#This Row],[SP Initially Planned (COS)]]</f>
        <v>0</v>
      </c>
      <c r="O40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09" s="173">
        <f>IFERROR(IF(Tabelle132456[[#This Row],[Status]]=$I$5,MIN(Tabelle132456[[#This Row],[Jira Story Points]],Tabelle132456[[#This Row],[Carry-over]]),0),0)</f>
        <v>0</v>
      </c>
      <c r="Q409" s="173">
        <f>IFERROR(IF(Tabelle132456[[#This Row],[Status]]=$I$5,0,MIN(Tabelle132456[[#This Row],[Jira Story Points]],Tabelle132456[[#This Row],[Carry-over]])-Tabelle132456[[#This Row],[SP Completed (COS &amp; SOS)]]),0)</f>
        <v>0</v>
      </c>
    </row>
    <row r="410" spans="1:17" s="46" customFormat="1" ht="13.5" customHeight="1">
      <c r="A410" s="117"/>
      <c r="B410" s="47"/>
      <c r="C410" s="76"/>
      <c r="D410" s="76"/>
      <c r="E410" s="76"/>
      <c r="F410" s="104"/>
      <c r="G410" s="76"/>
      <c r="H410" s="83"/>
      <c r="I410" s="103"/>
      <c r="J410" s="76"/>
      <c r="K410" s="104"/>
      <c r="L410" s="104"/>
      <c r="M410" s="174">
        <f>IF(Tabelle132456[[#This Row],[Pulled after Start]]="",MIN(Tabelle132456[[#This Row],[Jira Story Points]],Tabelle132456[[#This Row],[Carry-over]]),0)</f>
        <v>0</v>
      </c>
      <c r="N410" s="173">
        <f>MIN(Tabelle132456[[#This Row],[Jira Story Points]],Tabelle132456[[#This Row],[Carry-over]])-Tabelle132456[[#This Row],[SP Initially Planned (COS)]]</f>
        <v>0</v>
      </c>
      <c r="O41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10" s="173">
        <f>IFERROR(IF(Tabelle132456[[#This Row],[Status]]=$I$5,MIN(Tabelle132456[[#This Row],[Jira Story Points]],Tabelle132456[[#This Row],[Carry-over]]),0),0)</f>
        <v>0</v>
      </c>
      <c r="Q410" s="173">
        <f>IFERROR(IF(Tabelle132456[[#This Row],[Status]]=$I$5,0,MIN(Tabelle132456[[#This Row],[Jira Story Points]],Tabelle132456[[#This Row],[Carry-over]])-Tabelle132456[[#This Row],[SP Completed (COS &amp; SOS)]]),0)</f>
        <v>0</v>
      </c>
    </row>
    <row r="411" spans="1:17" s="46" customFormat="1" ht="13.5" customHeight="1">
      <c r="A411" s="117"/>
      <c r="B411" s="47"/>
      <c r="C411" s="76"/>
      <c r="D411" s="76"/>
      <c r="E411" s="76"/>
      <c r="F411" s="104"/>
      <c r="G411" s="76"/>
      <c r="H411" s="83"/>
      <c r="I411" s="103"/>
      <c r="J411" s="76"/>
      <c r="K411" s="104"/>
      <c r="L411" s="104"/>
      <c r="M411" s="174">
        <f>IF(Tabelle132456[[#This Row],[Pulled after Start]]="",MIN(Tabelle132456[[#This Row],[Jira Story Points]],Tabelle132456[[#This Row],[Carry-over]]),0)</f>
        <v>0</v>
      </c>
      <c r="N411" s="173">
        <f>MIN(Tabelle132456[[#This Row],[Jira Story Points]],Tabelle132456[[#This Row],[Carry-over]])-Tabelle132456[[#This Row],[SP Initially Planned (COS)]]</f>
        <v>0</v>
      </c>
      <c r="O41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11" s="173">
        <f>IFERROR(IF(Tabelle132456[[#This Row],[Status]]=$I$5,MIN(Tabelle132456[[#This Row],[Jira Story Points]],Tabelle132456[[#This Row],[Carry-over]]),0),0)</f>
        <v>0</v>
      </c>
      <c r="Q411" s="173">
        <f>IFERROR(IF(Tabelle132456[[#This Row],[Status]]=$I$5,0,MIN(Tabelle132456[[#This Row],[Jira Story Points]],Tabelle132456[[#This Row],[Carry-over]])-Tabelle132456[[#This Row],[SP Completed (COS &amp; SOS)]]),0)</f>
        <v>0</v>
      </c>
    </row>
    <row r="412" spans="1:17" s="46" customFormat="1" ht="13.5" customHeight="1">
      <c r="A412" s="117"/>
      <c r="B412" s="47"/>
      <c r="C412" s="76"/>
      <c r="D412" s="76"/>
      <c r="E412" s="76"/>
      <c r="F412" s="104"/>
      <c r="G412" s="76"/>
      <c r="H412" s="83"/>
      <c r="I412" s="103"/>
      <c r="J412" s="76"/>
      <c r="K412" s="104"/>
      <c r="L412" s="104"/>
      <c r="M412" s="174">
        <f>IF(Tabelle132456[[#This Row],[Pulled after Start]]="",MIN(Tabelle132456[[#This Row],[Jira Story Points]],Tabelle132456[[#This Row],[Carry-over]]),0)</f>
        <v>0</v>
      </c>
      <c r="N412" s="173">
        <f>MIN(Tabelle132456[[#This Row],[Jira Story Points]],Tabelle132456[[#This Row],[Carry-over]])-Tabelle132456[[#This Row],[SP Initially Planned (COS)]]</f>
        <v>0</v>
      </c>
      <c r="O41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12" s="173">
        <f>IFERROR(IF(Tabelle132456[[#This Row],[Status]]=$I$5,MIN(Tabelle132456[[#This Row],[Jira Story Points]],Tabelle132456[[#This Row],[Carry-over]]),0),0)</f>
        <v>0</v>
      </c>
      <c r="Q412" s="173">
        <f>IFERROR(IF(Tabelle132456[[#This Row],[Status]]=$I$5,0,MIN(Tabelle132456[[#This Row],[Jira Story Points]],Tabelle132456[[#This Row],[Carry-over]])-Tabelle132456[[#This Row],[SP Completed (COS &amp; SOS)]]),0)</f>
        <v>0</v>
      </c>
    </row>
    <row r="413" spans="1:17" s="46" customFormat="1" ht="13.5" customHeight="1">
      <c r="A413" s="117"/>
      <c r="B413" s="47"/>
      <c r="C413" s="76"/>
      <c r="D413" s="76"/>
      <c r="E413" s="76"/>
      <c r="F413" s="104"/>
      <c r="G413" s="76"/>
      <c r="H413" s="83"/>
      <c r="I413" s="103"/>
      <c r="J413" s="76"/>
      <c r="K413" s="104"/>
      <c r="L413" s="104"/>
      <c r="M413" s="174">
        <f>IF(Tabelle132456[[#This Row],[Pulled after Start]]="",MIN(Tabelle132456[[#This Row],[Jira Story Points]],Tabelle132456[[#This Row],[Carry-over]]),0)</f>
        <v>0</v>
      </c>
      <c r="N413" s="173">
        <f>MIN(Tabelle132456[[#This Row],[Jira Story Points]],Tabelle132456[[#This Row],[Carry-over]])-Tabelle132456[[#This Row],[SP Initially Planned (COS)]]</f>
        <v>0</v>
      </c>
      <c r="O41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13" s="173">
        <f>IFERROR(IF(Tabelle132456[[#This Row],[Status]]=$I$5,MIN(Tabelle132456[[#This Row],[Jira Story Points]],Tabelle132456[[#This Row],[Carry-over]]),0),0)</f>
        <v>0</v>
      </c>
      <c r="Q413" s="173">
        <f>IFERROR(IF(Tabelle132456[[#This Row],[Status]]=$I$5,0,MIN(Tabelle132456[[#This Row],[Jira Story Points]],Tabelle132456[[#This Row],[Carry-over]])-Tabelle132456[[#This Row],[SP Completed (COS &amp; SOS)]]),0)</f>
        <v>0</v>
      </c>
    </row>
    <row r="414" spans="1:17" s="46" customFormat="1" ht="13.5" customHeight="1">
      <c r="A414" s="117"/>
      <c r="B414" s="47"/>
      <c r="C414" s="76"/>
      <c r="D414" s="76"/>
      <c r="E414" s="76"/>
      <c r="F414" s="104"/>
      <c r="G414" s="76"/>
      <c r="H414" s="83"/>
      <c r="I414" s="103"/>
      <c r="J414" s="76"/>
      <c r="K414" s="104"/>
      <c r="L414" s="104"/>
      <c r="M414" s="174">
        <f>IF(Tabelle132456[[#This Row],[Pulled after Start]]="",MIN(Tabelle132456[[#This Row],[Jira Story Points]],Tabelle132456[[#This Row],[Carry-over]]),0)</f>
        <v>0</v>
      </c>
      <c r="N414" s="173">
        <f>MIN(Tabelle132456[[#This Row],[Jira Story Points]],Tabelle132456[[#This Row],[Carry-over]])-Tabelle132456[[#This Row],[SP Initially Planned (COS)]]</f>
        <v>0</v>
      </c>
      <c r="O41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14" s="173">
        <f>IFERROR(IF(Tabelle132456[[#This Row],[Status]]=$I$5,MIN(Tabelle132456[[#This Row],[Jira Story Points]],Tabelle132456[[#This Row],[Carry-over]]),0),0)</f>
        <v>0</v>
      </c>
      <c r="Q414" s="173">
        <f>IFERROR(IF(Tabelle132456[[#This Row],[Status]]=$I$5,0,MIN(Tabelle132456[[#This Row],[Jira Story Points]],Tabelle132456[[#This Row],[Carry-over]])-Tabelle132456[[#This Row],[SP Completed (COS &amp; SOS)]]),0)</f>
        <v>0</v>
      </c>
    </row>
    <row r="415" spans="1:17" s="46" customFormat="1" ht="13.5" customHeight="1">
      <c r="A415" s="117"/>
      <c r="B415" s="47"/>
      <c r="C415" s="76"/>
      <c r="D415" s="76"/>
      <c r="E415" s="76"/>
      <c r="F415" s="104"/>
      <c r="G415" s="76"/>
      <c r="H415" s="83"/>
      <c r="I415" s="103"/>
      <c r="J415" s="76"/>
      <c r="K415" s="104"/>
      <c r="L415" s="104"/>
      <c r="M415" s="174">
        <f>IF(Tabelle132456[[#This Row],[Pulled after Start]]="",MIN(Tabelle132456[[#This Row],[Jira Story Points]],Tabelle132456[[#This Row],[Carry-over]]),0)</f>
        <v>0</v>
      </c>
      <c r="N415" s="173">
        <f>MIN(Tabelle132456[[#This Row],[Jira Story Points]],Tabelle132456[[#This Row],[Carry-over]])-Tabelle132456[[#This Row],[SP Initially Planned (COS)]]</f>
        <v>0</v>
      </c>
      <c r="O41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15" s="173">
        <f>IFERROR(IF(Tabelle132456[[#This Row],[Status]]=$I$5,MIN(Tabelle132456[[#This Row],[Jira Story Points]],Tabelle132456[[#This Row],[Carry-over]]),0),0)</f>
        <v>0</v>
      </c>
      <c r="Q415" s="173">
        <f>IFERROR(IF(Tabelle132456[[#This Row],[Status]]=$I$5,0,MIN(Tabelle132456[[#This Row],[Jira Story Points]],Tabelle132456[[#This Row],[Carry-over]])-Tabelle132456[[#This Row],[SP Completed (COS &amp; SOS)]]),0)</f>
        <v>0</v>
      </c>
    </row>
    <row r="416" spans="1:17" s="46" customFormat="1" ht="13.5" customHeight="1">
      <c r="A416" s="117"/>
      <c r="B416" s="47"/>
      <c r="C416" s="76"/>
      <c r="D416" s="76"/>
      <c r="E416" s="76"/>
      <c r="F416" s="104"/>
      <c r="G416" s="76"/>
      <c r="H416" s="83"/>
      <c r="I416" s="103"/>
      <c r="J416" s="76"/>
      <c r="K416" s="104"/>
      <c r="L416" s="104"/>
      <c r="M416" s="174">
        <f>IF(Tabelle132456[[#This Row],[Pulled after Start]]="",MIN(Tabelle132456[[#This Row],[Jira Story Points]],Tabelle132456[[#This Row],[Carry-over]]),0)</f>
        <v>0</v>
      </c>
      <c r="N416" s="173">
        <f>MIN(Tabelle132456[[#This Row],[Jira Story Points]],Tabelle132456[[#This Row],[Carry-over]])-Tabelle132456[[#This Row],[SP Initially Planned (COS)]]</f>
        <v>0</v>
      </c>
      <c r="O41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16" s="173">
        <f>IFERROR(IF(Tabelle132456[[#This Row],[Status]]=$I$5,MIN(Tabelle132456[[#This Row],[Jira Story Points]],Tabelle132456[[#This Row],[Carry-over]]),0),0)</f>
        <v>0</v>
      </c>
      <c r="Q416" s="173">
        <f>IFERROR(IF(Tabelle132456[[#This Row],[Status]]=$I$5,0,MIN(Tabelle132456[[#This Row],[Jira Story Points]],Tabelle132456[[#This Row],[Carry-over]])-Tabelle132456[[#This Row],[SP Completed (COS &amp; SOS)]]),0)</f>
        <v>0</v>
      </c>
    </row>
    <row r="417" spans="1:17" s="46" customFormat="1" ht="13.5" customHeight="1">
      <c r="A417" s="117"/>
      <c r="B417" s="47"/>
      <c r="C417" s="76"/>
      <c r="D417" s="76"/>
      <c r="E417" s="76"/>
      <c r="F417" s="104"/>
      <c r="G417" s="76"/>
      <c r="H417" s="83"/>
      <c r="I417" s="103"/>
      <c r="J417" s="76"/>
      <c r="K417" s="104"/>
      <c r="L417" s="104"/>
      <c r="M417" s="174">
        <f>IF(Tabelle132456[[#This Row],[Pulled after Start]]="",MIN(Tabelle132456[[#This Row],[Jira Story Points]],Tabelle132456[[#This Row],[Carry-over]]),0)</f>
        <v>0</v>
      </c>
      <c r="N417" s="173">
        <f>MIN(Tabelle132456[[#This Row],[Jira Story Points]],Tabelle132456[[#This Row],[Carry-over]])-Tabelle132456[[#This Row],[SP Initially Planned (COS)]]</f>
        <v>0</v>
      </c>
      <c r="O41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17" s="173">
        <f>IFERROR(IF(Tabelle132456[[#This Row],[Status]]=$I$5,MIN(Tabelle132456[[#This Row],[Jira Story Points]],Tabelle132456[[#This Row],[Carry-over]]),0),0)</f>
        <v>0</v>
      </c>
      <c r="Q417" s="173">
        <f>IFERROR(IF(Tabelle132456[[#This Row],[Status]]=$I$5,0,MIN(Tabelle132456[[#This Row],[Jira Story Points]],Tabelle132456[[#This Row],[Carry-over]])-Tabelle132456[[#This Row],[SP Completed (COS &amp; SOS)]]),0)</f>
        <v>0</v>
      </c>
    </row>
    <row r="418" spans="1:17" s="46" customFormat="1" ht="13.5" customHeight="1">
      <c r="A418" s="117"/>
      <c r="B418" s="47"/>
      <c r="C418" s="76"/>
      <c r="D418" s="76"/>
      <c r="E418" s="76"/>
      <c r="F418" s="104"/>
      <c r="G418" s="76"/>
      <c r="H418" s="83"/>
      <c r="I418" s="103"/>
      <c r="J418" s="76"/>
      <c r="K418" s="104"/>
      <c r="L418" s="104"/>
      <c r="M418" s="174">
        <f>IF(Tabelle132456[[#This Row],[Pulled after Start]]="",MIN(Tabelle132456[[#This Row],[Jira Story Points]],Tabelle132456[[#This Row],[Carry-over]]),0)</f>
        <v>0</v>
      </c>
      <c r="N418" s="173">
        <f>MIN(Tabelle132456[[#This Row],[Jira Story Points]],Tabelle132456[[#This Row],[Carry-over]])-Tabelle132456[[#This Row],[SP Initially Planned (COS)]]</f>
        <v>0</v>
      </c>
      <c r="O41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18" s="173">
        <f>IFERROR(IF(Tabelle132456[[#This Row],[Status]]=$I$5,MIN(Tabelle132456[[#This Row],[Jira Story Points]],Tabelle132456[[#This Row],[Carry-over]]),0),0)</f>
        <v>0</v>
      </c>
      <c r="Q418" s="173">
        <f>IFERROR(IF(Tabelle132456[[#This Row],[Status]]=$I$5,0,MIN(Tabelle132456[[#This Row],[Jira Story Points]],Tabelle132456[[#This Row],[Carry-over]])-Tabelle132456[[#This Row],[SP Completed (COS &amp; SOS)]]),0)</f>
        <v>0</v>
      </c>
    </row>
    <row r="419" spans="1:17" s="46" customFormat="1" ht="13.5" customHeight="1">
      <c r="A419" s="117"/>
      <c r="B419" s="47"/>
      <c r="C419" s="76"/>
      <c r="D419" s="76"/>
      <c r="E419" s="76"/>
      <c r="F419" s="104"/>
      <c r="G419" s="76"/>
      <c r="H419" s="83"/>
      <c r="I419" s="103"/>
      <c r="J419" s="76"/>
      <c r="K419" s="104"/>
      <c r="L419" s="104"/>
      <c r="M419" s="174">
        <f>IF(Tabelle132456[[#This Row],[Pulled after Start]]="",MIN(Tabelle132456[[#This Row],[Jira Story Points]],Tabelle132456[[#This Row],[Carry-over]]),0)</f>
        <v>0</v>
      </c>
      <c r="N419" s="173">
        <f>MIN(Tabelle132456[[#This Row],[Jira Story Points]],Tabelle132456[[#This Row],[Carry-over]])-Tabelle132456[[#This Row],[SP Initially Planned (COS)]]</f>
        <v>0</v>
      </c>
      <c r="O41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19" s="173">
        <f>IFERROR(IF(Tabelle132456[[#This Row],[Status]]=$I$5,MIN(Tabelle132456[[#This Row],[Jira Story Points]],Tabelle132456[[#This Row],[Carry-over]]),0),0)</f>
        <v>0</v>
      </c>
      <c r="Q419" s="173">
        <f>IFERROR(IF(Tabelle132456[[#This Row],[Status]]=$I$5,0,MIN(Tabelle132456[[#This Row],[Jira Story Points]],Tabelle132456[[#This Row],[Carry-over]])-Tabelle132456[[#This Row],[SP Completed (COS &amp; SOS)]]),0)</f>
        <v>0</v>
      </c>
    </row>
    <row r="420" spans="1:17" s="46" customFormat="1" ht="13.5" customHeight="1">
      <c r="A420" s="117"/>
      <c r="B420" s="47"/>
      <c r="C420" s="76"/>
      <c r="D420" s="76"/>
      <c r="E420" s="76"/>
      <c r="F420" s="104"/>
      <c r="G420" s="76"/>
      <c r="H420" s="83"/>
      <c r="I420" s="103"/>
      <c r="J420" s="76"/>
      <c r="K420" s="104"/>
      <c r="L420" s="104"/>
      <c r="M420" s="174">
        <f>IF(Tabelle132456[[#This Row],[Pulled after Start]]="",MIN(Tabelle132456[[#This Row],[Jira Story Points]],Tabelle132456[[#This Row],[Carry-over]]),0)</f>
        <v>0</v>
      </c>
      <c r="N420" s="173">
        <f>MIN(Tabelle132456[[#This Row],[Jira Story Points]],Tabelle132456[[#This Row],[Carry-over]])-Tabelle132456[[#This Row],[SP Initially Planned (COS)]]</f>
        <v>0</v>
      </c>
      <c r="O42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20" s="173">
        <f>IFERROR(IF(Tabelle132456[[#This Row],[Status]]=$I$5,MIN(Tabelle132456[[#This Row],[Jira Story Points]],Tabelle132456[[#This Row],[Carry-over]]),0),0)</f>
        <v>0</v>
      </c>
      <c r="Q420" s="173">
        <f>IFERROR(IF(Tabelle132456[[#This Row],[Status]]=$I$5,0,MIN(Tabelle132456[[#This Row],[Jira Story Points]],Tabelle132456[[#This Row],[Carry-over]])-Tabelle132456[[#This Row],[SP Completed (COS &amp; SOS)]]),0)</f>
        <v>0</v>
      </c>
    </row>
    <row r="421" spans="1:17" s="46" customFormat="1" ht="13.5" customHeight="1">
      <c r="A421" s="117"/>
      <c r="B421" s="47"/>
      <c r="C421" s="76"/>
      <c r="D421" s="76"/>
      <c r="E421" s="76"/>
      <c r="F421" s="104"/>
      <c r="G421" s="76"/>
      <c r="H421" s="83"/>
      <c r="I421" s="103"/>
      <c r="J421" s="76"/>
      <c r="K421" s="104"/>
      <c r="L421" s="104"/>
      <c r="M421" s="174">
        <f>IF(Tabelle132456[[#This Row],[Pulled after Start]]="",MIN(Tabelle132456[[#This Row],[Jira Story Points]],Tabelle132456[[#This Row],[Carry-over]]),0)</f>
        <v>0</v>
      </c>
      <c r="N421" s="173">
        <f>MIN(Tabelle132456[[#This Row],[Jira Story Points]],Tabelle132456[[#This Row],[Carry-over]])-Tabelle132456[[#This Row],[SP Initially Planned (COS)]]</f>
        <v>0</v>
      </c>
      <c r="O42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21" s="173">
        <f>IFERROR(IF(Tabelle132456[[#This Row],[Status]]=$I$5,MIN(Tabelle132456[[#This Row],[Jira Story Points]],Tabelle132456[[#This Row],[Carry-over]]),0),0)</f>
        <v>0</v>
      </c>
      <c r="Q421" s="173">
        <f>IFERROR(IF(Tabelle132456[[#This Row],[Status]]=$I$5,0,MIN(Tabelle132456[[#This Row],[Jira Story Points]],Tabelle132456[[#This Row],[Carry-over]])-Tabelle132456[[#This Row],[SP Completed (COS &amp; SOS)]]),0)</f>
        <v>0</v>
      </c>
    </row>
    <row r="422" spans="1:17" s="46" customFormat="1" ht="13.5" customHeight="1">
      <c r="A422" s="117"/>
      <c r="B422" s="47"/>
      <c r="C422" s="76"/>
      <c r="D422" s="76"/>
      <c r="E422" s="76"/>
      <c r="F422" s="104"/>
      <c r="G422" s="76"/>
      <c r="H422" s="83"/>
      <c r="I422" s="103"/>
      <c r="J422" s="76"/>
      <c r="K422" s="104"/>
      <c r="L422" s="104"/>
      <c r="M422" s="174">
        <f>IF(Tabelle132456[[#This Row],[Pulled after Start]]="",MIN(Tabelle132456[[#This Row],[Jira Story Points]],Tabelle132456[[#This Row],[Carry-over]]),0)</f>
        <v>0</v>
      </c>
      <c r="N422" s="173">
        <f>MIN(Tabelle132456[[#This Row],[Jira Story Points]],Tabelle132456[[#This Row],[Carry-over]])-Tabelle132456[[#This Row],[SP Initially Planned (COS)]]</f>
        <v>0</v>
      </c>
      <c r="O42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22" s="173">
        <f>IFERROR(IF(Tabelle132456[[#This Row],[Status]]=$I$5,MIN(Tabelle132456[[#This Row],[Jira Story Points]],Tabelle132456[[#This Row],[Carry-over]]),0),0)</f>
        <v>0</v>
      </c>
      <c r="Q422" s="173">
        <f>IFERROR(IF(Tabelle132456[[#This Row],[Status]]=$I$5,0,MIN(Tabelle132456[[#This Row],[Jira Story Points]],Tabelle132456[[#This Row],[Carry-over]])-Tabelle132456[[#This Row],[SP Completed (COS &amp; SOS)]]),0)</f>
        <v>0</v>
      </c>
    </row>
    <row r="423" spans="1:17" s="46" customFormat="1" ht="13.5" customHeight="1">
      <c r="A423" s="117"/>
      <c r="B423" s="47"/>
      <c r="C423" s="76"/>
      <c r="D423" s="76"/>
      <c r="E423" s="76"/>
      <c r="F423" s="104"/>
      <c r="G423" s="76"/>
      <c r="H423" s="83"/>
      <c r="I423" s="103"/>
      <c r="J423" s="76"/>
      <c r="K423" s="104"/>
      <c r="L423" s="104"/>
      <c r="M423" s="174">
        <f>IF(Tabelle132456[[#This Row],[Pulled after Start]]="",MIN(Tabelle132456[[#This Row],[Jira Story Points]],Tabelle132456[[#This Row],[Carry-over]]),0)</f>
        <v>0</v>
      </c>
      <c r="N423" s="173">
        <f>MIN(Tabelle132456[[#This Row],[Jira Story Points]],Tabelle132456[[#This Row],[Carry-over]])-Tabelle132456[[#This Row],[SP Initially Planned (COS)]]</f>
        <v>0</v>
      </c>
      <c r="O42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23" s="173">
        <f>IFERROR(IF(Tabelle132456[[#This Row],[Status]]=$I$5,MIN(Tabelle132456[[#This Row],[Jira Story Points]],Tabelle132456[[#This Row],[Carry-over]]),0),0)</f>
        <v>0</v>
      </c>
      <c r="Q423" s="173">
        <f>IFERROR(IF(Tabelle132456[[#This Row],[Status]]=$I$5,0,MIN(Tabelle132456[[#This Row],[Jira Story Points]],Tabelle132456[[#This Row],[Carry-over]])-Tabelle132456[[#This Row],[SP Completed (COS &amp; SOS)]]),0)</f>
        <v>0</v>
      </c>
    </row>
    <row r="424" spans="1:17" s="46" customFormat="1" ht="13.5" customHeight="1">
      <c r="A424" s="117"/>
      <c r="B424" s="47"/>
      <c r="C424" s="76"/>
      <c r="D424" s="76"/>
      <c r="E424" s="76"/>
      <c r="F424" s="104"/>
      <c r="G424" s="76"/>
      <c r="H424" s="83"/>
      <c r="I424" s="103"/>
      <c r="J424" s="76"/>
      <c r="K424" s="104"/>
      <c r="L424" s="104"/>
      <c r="M424" s="174">
        <f>IF(Tabelle132456[[#This Row],[Pulled after Start]]="",MIN(Tabelle132456[[#This Row],[Jira Story Points]],Tabelle132456[[#This Row],[Carry-over]]),0)</f>
        <v>0</v>
      </c>
      <c r="N424" s="173">
        <f>MIN(Tabelle132456[[#This Row],[Jira Story Points]],Tabelle132456[[#This Row],[Carry-over]])-Tabelle132456[[#This Row],[SP Initially Planned (COS)]]</f>
        <v>0</v>
      </c>
      <c r="O42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24" s="173">
        <f>IFERROR(IF(Tabelle132456[[#This Row],[Status]]=$I$5,MIN(Tabelle132456[[#This Row],[Jira Story Points]],Tabelle132456[[#This Row],[Carry-over]]),0),0)</f>
        <v>0</v>
      </c>
      <c r="Q424" s="173">
        <f>IFERROR(IF(Tabelle132456[[#This Row],[Status]]=$I$5,0,MIN(Tabelle132456[[#This Row],[Jira Story Points]],Tabelle132456[[#This Row],[Carry-over]])-Tabelle132456[[#This Row],[SP Completed (COS &amp; SOS)]]),0)</f>
        <v>0</v>
      </c>
    </row>
    <row r="425" spans="1:17" s="46" customFormat="1" ht="13.5" customHeight="1">
      <c r="A425" s="117"/>
      <c r="B425" s="47"/>
      <c r="C425" s="76"/>
      <c r="D425" s="76"/>
      <c r="E425" s="76"/>
      <c r="F425" s="104"/>
      <c r="G425" s="76"/>
      <c r="H425" s="83"/>
      <c r="I425" s="103"/>
      <c r="J425" s="76"/>
      <c r="K425" s="104"/>
      <c r="L425" s="104"/>
      <c r="M425" s="174">
        <f>IF(Tabelle132456[[#This Row],[Pulled after Start]]="",MIN(Tabelle132456[[#This Row],[Jira Story Points]],Tabelle132456[[#This Row],[Carry-over]]),0)</f>
        <v>0</v>
      </c>
      <c r="N425" s="173">
        <f>MIN(Tabelle132456[[#This Row],[Jira Story Points]],Tabelle132456[[#This Row],[Carry-over]])-Tabelle132456[[#This Row],[SP Initially Planned (COS)]]</f>
        <v>0</v>
      </c>
      <c r="O42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25" s="173">
        <f>IFERROR(IF(Tabelle132456[[#This Row],[Status]]=$I$5,MIN(Tabelle132456[[#This Row],[Jira Story Points]],Tabelle132456[[#This Row],[Carry-over]]),0),0)</f>
        <v>0</v>
      </c>
      <c r="Q425" s="173">
        <f>IFERROR(IF(Tabelle132456[[#This Row],[Status]]=$I$5,0,MIN(Tabelle132456[[#This Row],[Jira Story Points]],Tabelle132456[[#This Row],[Carry-over]])-Tabelle132456[[#This Row],[SP Completed (COS &amp; SOS)]]),0)</f>
        <v>0</v>
      </c>
    </row>
    <row r="426" spans="1:17" s="46" customFormat="1" ht="13.5" customHeight="1">
      <c r="A426" s="117"/>
      <c r="B426" s="47"/>
      <c r="C426" s="76"/>
      <c r="D426" s="76"/>
      <c r="E426" s="76"/>
      <c r="F426" s="104"/>
      <c r="G426" s="76"/>
      <c r="H426" s="83"/>
      <c r="I426" s="103"/>
      <c r="J426" s="76"/>
      <c r="K426" s="104"/>
      <c r="L426" s="104"/>
      <c r="M426" s="174">
        <f>IF(Tabelle132456[[#This Row],[Pulled after Start]]="",MIN(Tabelle132456[[#This Row],[Jira Story Points]],Tabelle132456[[#This Row],[Carry-over]]),0)</f>
        <v>0</v>
      </c>
      <c r="N426" s="173">
        <f>MIN(Tabelle132456[[#This Row],[Jira Story Points]],Tabelle132456[[#This Row],[Carry-over]])-Tabelle132456[[#This Row],[SP Initially Planned (COS)]]</f>
        <v>0</v>
      </c>
      <c r="O42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26" s="173">
        <f>IFERROR(IF(Tabelle132456[[#This Row],[Status]]=$I$5,MIN(Tabelle132456[[#This Row],[Jira Story Points]],Tabelle132456[[#This Row],[Carry-over]]),0),0)</f>
        <v>0</v>
      </c>
      <c r="Q426" s="173">
        <f>IFERROR(IF(Tabelle132456[[#This Row],[Status]]=$I$5,0,MIN(Tabelle132456[[#This Row],[Jira Story Points]],Tabelle132456[[#This Row],[Carry-over]])-Tabelle132456[[#This Row],[SP Completed (COS &amp; SOS)]]),0)</f>
        <v>0</v>
      </c>
    </row>
    <row r="427" spans="1:17" s="46" customFormat="1" ht="13.5" customHeight="1">
      <c r="A427" s="117"/>
      <c r="B427" s="47"/>
      <c r="C427" s="76"/>
      <c r="D427" s="76"/>
      <c r="E427" s="76"/>
      <c r="F427" s="104"/>
      <c r="G427" s="76"/>
      <c r="H427" s="83"/>
      <c r="I427" s="103"/>
      <c r="J427" s="76"/>
      <c r="K427" s="104"/>
      <c r="L427" s="104"/>
      <c r="M427" s="174">
        <f>IF(Tabelle132456[[#This Row],[Pulled after Start]]="",MIN(Tabelle132456[[#This Row],[Jira Story Points]],Tabelle132456[[#This Row],[Carry-over]]),0)</f>
        <v>0</v>
      </c>
      <c r="N427" s="173">
        <f>MIN(Tabelle132456[[#This Row],[Jira Story Points]],Tabelle132456[[#This Row],[Carry-over]])-Tabelle132456[[#This Row],[SP Initially Planned (COS)]]</f>
        <v>0</v>
      </c>
      <c r="O42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27" s="173">
        <f>IFERROR(IF(Tabelle132456[[#This Row],[Status]]=$I$5,MIN(Tabelle132456[[#This Row],[Jira Story Points]],Tabelle132456[[#This Row],[Carry-over]]),0),0)</f>
        <v>0</v>
      </c>
      <c r="Q427" s="173">
        <f>IFERROR(IF(Tabelle132456[[#This Row],[Status]]=$I$5,0,MIN(Tabelle132456[[#This Row],[Jira Story Points]],Tabelle132456[[#This Row],[Carry-over]])-Tabelle132456[[#This Row],[SP Completed (COS &amp; SOS)]]),0)</f>
        <v>0</v>
      </c>
    </row>
    <row r="428" spans="1:17" s="46" customFormat="1" ht="13.5" customHeight="1">
      <c r="A428" s="117"/>
      <c r="B428" s="47"/>
      <c r="C428" s="76"/>
      <c r="D428" s="76"/>
      <c r="E428" s="76"/>
      <c r="F428" s="104"/>
      <c r="G428" s="76"/>
      <c r="H428" s="83"/>
      <c r="I428" s="103"/>
      <c r="J428" s="76"/>
      <c r="K428" s="104"/>
      <c r="L428" s="104"/>
      <c r="M428" s="174">
        <f>IF(Tabelle132456[[#This Row],[Pulled after Start]]="",MIN(Tabelle132456[[#This Row],[Jira Story Points]],Tabelle132456[[#This Row],[Carry-over]]),0)</f>
        <v>0</v>
      </c>
      <c r="N428" s="173">
        <f>MIN(Tabelle132456[[#This Row],[Jira Story Points]],Tabelle132456[[#This Row],[Carry-over]])-Tabelle132456[[#This Row],[SP Initially Planned (COS)]]</f>
        <v>0</v>
      </c>
      <c r="O42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28" s="173">
        <f>IFERROR(IF(Tabelle132456[[#This Row],[Status]]=$I$5,MIN(Tabelle132456[[#This Row],[Jira Story Points]],Tabelle132456[[#This Row],[Carry-over]]),0),0)</f>
        <v>0</v>
      </c>
      <c r="Q428" s="173">
        <f>IFERROR(IF(Tabelle132456[[#This Row],[Status]]=$I$5,0,MIN(Tabelle132456[[#This Row],[Jira Story Points]],Tabelle132456[[#This Row],[Carry-over]])-Tabelle132456[[#This Row],[SP Completed (COS &amp; SOS)]]),0)</f>
        <v>0</v>
      </c>
    </row>
    <row r="429" spans="1:17" s="46" customFormat="1" ht="13.5" customHeight="1">
      <c r="A429" s="117"/>
      <c r="B429" s="47"/>
      <c r="C429" s="76"/>
      <c r="D429" s="76"/>
      <c r="E429" s="76"/>
      <c r="F429" s="104"/>
      <c r="G429" s="76"/>
      <c r="H429" s="83"/>
      <c r="I429" s="103"/>
      <c r="J429" s="76"/>
      <c r="K429" s="104"/>
      <c r="L429" s="104"/>
      <c r="M429" s="174">
        <f>IF(Tabelle132456[[#This Row],[Pulled after Start]]="",MIN(Tabelle132456[[#This Row],[Jira Story Points]],Tabelle132456[[#This Row],[Carry-over]]),0)</f>
        <v>0</v>
      </c>
      <c r="N429" s="173">
        <f>MIN(Tabelle132456[[#This Row],[Jira Story Points]],Tabelle132456[[#This Row],[Carry-over]])-Tabelle132456[[#This Row],[SP Initially Planned (COS)]]</f>
        <v>0</v>
      </c>
      <c r="O42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29" s="173">
        <f>IFERROR(IF(Tabelle132456[[#This Row],[Status]]=$I$5,MIN(Tabelle132456[[#This Row],[Jira Story Points]],Tabelle132456[[#This Row],[Carry-over]]),0),0)</f>
        <v>0</v>
      </c>
      <c r="Q429" s="173">
        <f>IFERROR(IF(Tabelle132456[[#This Row],[Status]]=$I$5,0,MIN(Tabelle132456[[#This Row],[Jira Story Points]],Tabelle132456[[#This Row],[Carry-over]])-Tabelle132456[[#This Row],[SP Completed (COS &amp; SOS)]]),0)</f>
        <v>0</v>
      </c>
    </row>
    <row r="430" spans="1:17" s="46" customFormat="1" ht="13.5" customHeight="1">
      <c r="A430" s="117"/>
      <c r="B430" s="47"/>
      <c r="C430" s="76"/>
      <c r="D430" s="76"/>
      <c r="E430" s="76"/>
      <c r="F430" s="104"/>
      <c r="G430" s="76"/>
      <c r="H430" s="83"/>
      <c r="I430" s="103"/>
      <c r="J430" s="76"/>
      <c r="K430" s="104"/>
      <c r="L430" s="104"/>
      <c r="M430" s="174">
        <f>IF(Tabelle132456[[#This Row],[Pulled after Start]]="",MIN(Tabelle132456[[#This Row],[Jira Story Points]],Tabelle132456[[#This Row],[Carry-over]]),0)</f>
        <v>0</v>
      </c>
      <c r="N430" s="173">
        <f>MIN(Tabelle132456[[#This Row],[Jira Story Points]],Tabelle132456[[#This Row],[Carry-over]])-Tabelle132456[[#This Row],[SP Initially Planned (COS)]]</f>
        <v>0</v>
      </c>
      <c r="O43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30" s="173">
        <f>IFERROR(IF(Tabelle132456[[#This Row],[Status]]=$I$5,MIN(Tabelle132456[[#This Row],[Jira Story Points]],Tabelle132456[[#This Row],[Carry-over]]),0),0)</f>
        <v>0</v>
      </c>
      <c r="Q430" s="173">
        <f>IFERROR(IF(Tabelle132456[[#This Row],[Status]]=$I$5,0,MIN(Tabelle132456[[#This Row],[Jira Story Points]],Tabelle132456[[#This Row],[Carry-over]])-Tabelle132456[[#This Row],[SP Completed (COS &amp; SOS)]]),0)</f>
        <v>0</v>
      </c>
    </row>
    <row r="431" spans="1:17" s="46" customFormat="1" ht="13.5" customHeight="1">
      <c r="A431" s="117"/>
      <c r="B431" s="47"/>
      <c r="C431" s="76"/>
      <c r="D431" s="76"/>
      <c r="E431" s="76"/>
      <c r="F431" s="104"/>
      <c r="G431" s="76"/>
      <c r="H431" s="83"/>
      <c r="I431" s="103"/>
      <c r="J431" s="76"/>
      <c r="K431" s="104"/>
      <c r="L431" s="104"/>
      <c r="M431" s="174">
        <f>IF(Tabelle132456[[#This Row],[Pulled after Start]]="",MIN(Tabelle132456[[#This Row],[Jira Story Points]],Tabelle132456[[#This Row],[Carry-over]]),0)</f>
        <v>0</v>
      </c>
      <c r="N431" s="173">
        <f>MIN(Tabelle132456[[#This Row],[Jira Story Points]],Tabelle132456[[#This Row],[Carry-over]])-Tabelle132456[[#This Row],[SP Initially Planned (COS)]]</f>
        <v>0</v>
      </c>
      <c r="O43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31" s="173">
        <f>IFERROR(IF(Tabelle132456[[#This Row],[Status]]=$I$5,MIN(Tabelle132456[[#This Row],[Jira Story Points]],Tabelle132456[[#This Row],[Carry-over]]),0),0)</f>
        <v>0</v>
      </c>
      <c r="Q431" s="173">
        <f>IFERROR(IF(Tabelle132456[[#This Row],[Status]]=$I$5,0,MIN(Tabelle132456[[#This Row],[Jira Story Points]],Tabelle132456[[#This Row],[Carry-over]])-Tabelle132456[[#This Row],[SP Completed (COS &amp; SOS)]]),0)</f>
        <v>0</v>
      </c>
    </row>
    <row r="432" spans="1:17" s="46" customFormat="1" ht="13.5" customHeight="1">
      <c r="A432" s="117"/>
      <c r="B432" s="47"/>
      <c r="C432" s="76"/>
      <c r="D432" s="76"/>
      <c r="E432" s="76"/>
      <c r="F432" s="104"/>
      <c r="G432" s="76"/>
      <c r="H432" s="83"/>
      <c r="I432" s="103"/>
      <c r="J432" s="76"/>
      <c r="K432" s="104"/>
      <c r="L432" s="104"/>
      <c r="M432" s="174">
        <f>IF(Tabelle132456[[#This Row],[Pulled after Start]]="",MIN(Tabelle132456[[#This Row],[Jira Story Points]],Tabelle132456[[#This Row],[Carry-over]]),0)</f>
        <v>0</v>
      </c>
      <c r="N432" s="173">
        <f>MIN(Tabelle132456[[#This Row],[Jira Story Points]],Tabelle132456[[#This Row],[Carry-over]])-Tabelle132456[[#This Row],[SP Initially Planned (COS)]]</f>
        <v>0</v>
      </c>
      <c r="O43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32" s="173">
        <f>IFERROR(IF(Tabelle132456[[#This Row],[Status]]=$I$5,MIN(Tabelle132456[[#This Row],[Jira Story Points]],Tabelle132456[[#This Row],[Carry-over]]),0),0)</f>
        <v>0</v>
      </c>
      <c r="Q432" s="173">
        <f>IFERROR(IF(Tabelle132456[[#This Row],[Status]]=$I$5,0,MIN(Tabelle132456[[#This Row],[Jira Story Points]],Tabelle132456[[#This Row],[Carry-over]])-Tabelle132456[[#This Row],[SP Completed (COS &amp; SOS)]]),0)</f>
        <v>0</v>
      </c>
    </row>
    <row r="433" spans="1:17" s="46" customFormat="1" ht="13.5" customHeight="1">
      <c r="A433" s="117"/>
      <c r="B433" s="47"/>
      <c r="C433" s="76"/>
      <c r="D433" s="76"/>
      <c r="E433" s="76"/>
      <c r="F433" s="104"/>
      <c r="G433" s="76"/>
      <c r="H433" s="83"/>
      <c r="I433" s="103"/>
      <c r="J433" s="76"/>
      <c r="K433" s="104"/>
      <c r="L433" s="104"/>
      <c r="M433" s="174">
        <f>IF(Tabelle132456[[#This Row],[Pulled after Start]]="",MIN(Tabelle132456[[#This Row],[Jira Story Points]],Tabelle132456[[#This Row],[Carry-over]]),0)</f>
        <v>0</v>
      </c>
      <c r="N433" s="173">
        <f>MIN(Tabelle132456[[#This Row],[Jira Story Points]],Tabelle132456[[#This Row],[Carry-over]])-Tabelle132456[[#This Row],[SP Initially Planned (COS)]]</f>
        <v>0</v>
      </c>
      <c r="O43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33" s="173">
        <f>IFERROR(IF(Tabelle132456[[#This Row],[Status]]=$I$5,MIN(Tabelle132456[[#This Row],[Jira Story Points]],Tabelle132456[[#This Row],[Carry-over]]),0),0)</f>
        <v>0</v>
      </c>
      <c r="Q433" s="173">
        <f>IFERROR(IF(Tabelle132456[[#This Row],[Status]]=$I$5,0,MIN(Tabelle132456[[#This Row],[Jira Story Points]],Tabelle132456[[#This Row],[Carry-over]])-Tabelle132456[[#This Row],[SP Completed (COS &amp; SOS)]]),0)</f>
        <v>0</v>
      </c>
    </row>
    <row r="434" spans="1:17" s="46" customFormat="1" ht="13.5" customHeight="1">
      <c r="A434" s="117"/>
      <c r="B434" s="47"/>
      <c r="C434" s="76"/>
      <c r="D434" s="76"/>
      <c r="E434" s="76"/>
      <c r="F434" s="104"/>
      <c r="G434" s="76"/>
      <c r="H434" s="83"/>
      <c r="I434" s="103"/>
      <c r="J434" s="76"/>
      <c r="K434" s="104"/>
      <c r="L434" s="104"/>
      <c r="M434" s="174">
        <f>IF(Tabelle132456[[#This Row],[Pulled after Start]]="",MIN(Tabelle132456[[#This Row],[Jira Story Points]],Tabelle132456[[#This Row],[Carry-over]]),0)</f>
        <v>0</v>
      </c>
      <c r="N434" s="173">
        <f>MIN(Tabelle132456[[#This Row],[Jira Story Points]],Tabelle132456[[#This Row],[Carry-over]])-Tabelle132456[[#This Row],[SP Initially Planned (COS)]]</f>
        <v>0</v>
      </c>
      <c r="O43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34" s="173">
        <f>IFERROR(IF(Tabelle132456[[#This Row],[Status]]=$I$5,MIN(Tabelle132456[[#This Row],[Jira Story Points]],Tabelle132456[[#This Row],[Carry-over]]),0),0)</f>
        <v>0</v>
      </c>
      <c r="Q434" s="173">
        <f>IFERROR(IF(Tabelle132456[[#This Row],[Status]]=$I$5,0,MIN(Tabelle132456[[#This Row],[Jira Story Points]],Tabelle132456[[#This Row],[Carry-over]])-Tabelle132456[[#This Row],[SP Completed (COS &amp; SOS)]]),0)</f>
        <v>0</v>
      </c>
    </row>
    <row r="435" spans="1:17" s="46" customFormat="1" ht="13.5" customHeight="1">
      <c r="A435" s="117"/>
      <c r="B435" s="47"/>
      <c r="C435" s="76"/>
      <c r="D435" s="76"/>
      <c r="E435" s="76"/>
      <c r="F435" s="104"/>
      <c r="G435" s="76"/>
      <c r="H435" s="83"/>
      <c r="I435" s="103"/>
      <c r="J435" s="76"/>
      <c r="K435" s="104"/>
      <c r="L435" s="104"/>
      <c r="M435" s="174">
        <f>IF(Tabelle132456[[#This Row],[Pulled after Start]]="",MIN(Tabelle132456[[#This Row],[Jira Story Points]],Tabelle132456[[#This Row],[Carry-over]]),0)</f>
        <v>0</v>
      </c>
      <c r="N435" s="173">
        <f>MIN(Tabelle132456[[#This Row],[Jira Story Points]],Tabelle132456[[#This Row],[Carry-over]])-Tabelle132456[[#This Row],[SP Initially Planned (COS)]]</f>
        <v>0</v>
      </c>
      <c r="O43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35" s="173">
        <f>IFERROR(IF(Tabelle132456[[#This Row],[Status]]=$I$5,MIN(Tabelle132456[[#This Row],[Jira Story Points]],Tabelle132456[[#This Row],[Carry-over]]),0),0)</f>
        <v>0</v>
      </c>
      <c r="Q435" s="173">
        <f>IFERROR(IF(Tabelle132456[[#This Row],[Status]]=$I$5,0,MIN(Tabelle132456[[#This Row],[Jira Story Points]],Tabelle132456[[#This Row],[Carry-over]])-Tabelle132456[[#This Row],[SP Completed (COS &amp; SOS)]]),0)</f>
        <v>0</v>
      </c>
    </row>
    <row r="436" spans="1:17" s="46" customFormat="1" ht="13.5" customHeight="1">
      <c r="A436" s="117"/>
      <c r="B436" s="47"/>
      <c r="C436" s="76"/>
      <c r="D436" s="76"/>
      <c r="E436" s="76"/>
      <c r="F436" s="104"/>
      <c r="G436" s="76"/>
      <c r="H436" s="83"/>
      <c r="I436" s="103"/>
      <c r="J436" s="76"/>
      <c r="K436" s="104"/>
      <c r="L436" s="104"/>
      <c r="M436" s="174">
        <f>IF(Tabelle132456[[#This Row],[Pulled after Start]]="",MIN(Tabelle132456[[#This Row],[Jira Story Points]],Tabelle132456[[#This Row],[Carry-over]]),0)</f>
        <v>0</v>
      </c>
      <c r="N436" s="173">
        <f>MIN(Tabelle132456[[#This Row],[Jira Story Points]],Tabelle132456[[#This Row],[Carry-over]])-Tabelle132456[[#This Row],[SP Initially Planned (COS)]]</f>
        <v>0</v>
      </c>
      <c r="O43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36" s="173">
        <f>IFERROR(IF(Tabelle132456[[#This Row],[Status]]=$I$5,MIN(Tabelle132456[[#This Row],[Jira Story Points]],Tabelle132456[[#This Row],[Carry-over]]),0),0)</f>
        <v>0</v>
      </c>
      <c r="Q436" s="173">
        <f>IFERROR(IF(Tabelle132456[[#This Row],[Status]]=$I$5,0,MIN(Tabelle132456[[#This Row],[Jira Story Points]],Tabelle132456[[#This Row],[Carry-over]])-Tabelle132456[[#This Row],[SP Completed (COS &amp; SOS)]]),0)</f>
        <v>0</v>
      </c>
    </row>
    <row r="437" spans="1:17" s="46" customFormat="1" ht="13.5" customHeight="1">
      <c r="A437" s="117"/>
      <c r="B437" s="47"/>
      <c r="C437" s="76"/>
      <c r="D437" s="76"/>
      <c r="E437" s="76"/>
      <c r="F437" s="104"/>
      <c r="G437" s="76"/>
      <c r="H437" s="83"/>
      <c r="I437" s="103"/>
      <c r="J437" s="76"/>
      <c r="K437" s="104"/>
      <c r="L437" s="104"/>
      <c r="M437" s="174">
        <f>IF(Tabelle132456[[#This Row],[Pulled after Start]]="",MIN(Tabelle132456[[#This Row],[Jira Story Points]],Tabelle132456[[#This Row],[Carry-over]]),0)</f>
        <v>0</v>
      </c>
      <c r="N437" s="173">
        <f>MIN(Tabelle132456[[#This Row],[Jira Story Points]],Tabelle132456[[#This Row],[Carry-over]])-Tabelle132456[[#This Row],[SP Initially Planned (COS)]]</f>
        <v>0</v>
      </c>
      <c r="O43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37" s="173">
        <f>IFERROR(IF(Tabelle132456[[#This Row],[Status]]=$I$5,MIN(Tabelle132456[[#This Row],[Jira Story Points]],Tabelle132456[[#This Row],[Carry-over]]),0),0)</f>
        <v>0</v>
      </c>
      <c r="Q437" s="173">
        <f>IFERROR(IF(Tabelle132456[[#This Row],[Status]]=$I$5,0,MIN(Tabelle132456[[#This Row],[Jira Story Points]],Tabelle132456[[#This Row],[Carry-over]])-Tabelle132456[[#This Row],[SP Completed (COS &amp; SOS)]]),0)</f>
        <v>0</v>
      </c>
    </row>
    <row r="438" spans="1:17" s="46" customFormat="1" ht="13.5" customHeight="1">
      <c r="A438" s="117"/>
      <c r="B438" s="47"/>
      <c r="C438" s="76"/>
      <c r="D438" s="76"/>
      <c r="E438" s="76"/>
      <c r="F438" s="104"/>
      <c r="G438" s="76"/>
      <c r="H438" s="83"/>
      <c r="I438" s="103"/>
      <c r="J438" s="76"/>
      <c r="K438" s="104"/>
      <c r="L438" s="104"/>
      <c r="M438" s="174">
        <f>IF(Tabelle132456[[#This Row],[Pulled after Start]]="",MIN(Tabelle132456[[#This Row],[Jira Story Points]],Tabelle132456[[#This Row],[Carry-over]]),0)</f>
        <v>0</v>
      </c>
      <c r="N438" s="173">
        <f>MIN(Tabelle132456[[#This Row],[Jira Story Points]],Tabelle132456[[#This Row],[Carry-over]])-Tabelle132456[[#This Row],[SP Initially Planned (COS)]]</f>
        <v>0</v>
      </c>
      <c r="O43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38" s="173">
        <f>IFERROR(IF(Tabelle132456[[#This Row],[Status]]=$I$5,MIN(Tabelle132456[[#This Row],[Jira Story Points]],Tabelle132456[[#This Row],[Carry-over]]),0),0)</f>
        <v>0</v>
      </c>
      <c r="Q438" s="173">
        <f>IFERROR(IF(Tabelle132456[[#This Row],[Status]]=$I$5,0,MIN(Tabelle132456[[#This Row],[Jira Story Points]],Tabelle132456[[#This Row],[Carry-over]])-Tabelle132456[[#This Row],[SP Completed (COS &amp; SOS)]]),0)</f>
        <v>0</v>
      </c>
    </row>
    <row r="439" spans="1:17" s="46" customFormat="1" ht="13.5" customHeight="1">
      <c r="A439" s="117"/>
      <c r="B439" s="47"/>
      <c r="C439" s="76"/>
      <c r="D439" s="76"/>
      <c r="E439" s="76"/>
      <c r="F439" s="104"/>
      <c r="G439" s="76"/>
      <c r="H439" s="83"/>
      <c r="I439" s="103"/>
      <c r="J439" s="76"/>
      <c r="K439" s="104"/>
      <c r="L439" s="104"/>
      <c r="M439" s="174">
        <f>IF(Tabelle132456[[#This Row],[Pulled after Start]]="",MIN(Tabelle132456[[#This Row],[Jira Story Points]],Tabelle132456[[#This Row],[Carry-over]]),0)</f>
        <v>0</v>
      </c>
      <c r="N439" s="173">
        <f>MIN(Tabelle132456[[#This Row],[Jira Story Points]],Tabelle132456[[#This Row],[Carry-over]])-Tabelle132456[[#This Row],[SP Initially Planned (COS)]]</f>
        <v>0</v>
      </c>
      <c r="O43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39" s="173">
        <f>IFERROR(IF(Tabelle132456[[#This Row],[Status]]=$I$5,MIN(Tabelle132456[[#This Row],[Jira Story Points]],Tabelle132456[[#This Row],[Carry-over]]),0),0)</f>
        <v>0</v>
      </c>
      <c r="Q439" s="173">
        <f>IFERROR(IF(Tabelle132456[[#This Row],[Status]]=$I$5,0,MIN(Tabelle132456[[#This Row],[Jira Story Points]],Tabelle132456[[#This Row],[Carry-over]])-Tabelle132456[[#This Row],[SP Completed (COS &amp; SOS)]]),0)</f>
        <v>0</v>
      </c>
    </row>
    <row r="440" spans="1:17" s="46" customFormat="1" ht="13.5" customHeight="1">
      <c r="A440" s="117"/>
      <c r="B440" s="47"/>
      <c r="C440" s="76"/>
      <c r="D440" s="76"/>
      <c r="E440" s="76"/>
      <c r="F440" s="104"/>
      <c r="G440" s="76"/>
      <c r="H440" s="83"/>
      <c r="I440" s="103"/>
      <c r="J440" s="76"/>
      <c r="K440" s="104"/>
      <c r="L440" s="104"/>
      <c r="M440" s="174">
        <f>IF(Tabelle132456[[#This Row],[Pulled after Start]]="",MIN(Tabelle132456[[#This Row],[Jira Story Points]],Tabelle132456[[#This Row],[Carry-over]]),0)</f>
        <v>0</v>
      </c>
      <c r="N440" s="173">
        <f>MIN(Tabelle132456[[#This Row],[Jira Story Points]],Tabelle132456[[#This Row],[Carry-over]])-Tabelle132456[[#This Row],[SP Initially Planned (COS)]]</f>
        <v>0</v>
      </c>
      <c r="O44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40" s="173">
        <f>IFERROR(IF(Tabelle132456[[#This Row],[Status]]=$I$5,MIN(Tabelle132456[[#This Row],[Jira Story Points]],Tabelle132456[[#This Row],[Carry-over]]),0),0)</f>
        <v>0</v>
      </c>
      <c r="Q440" s="173">
        <f>IFERROR(IF(Tabelle132456[[#This Row],[Status]]=$I$5,0,MIN(Tabelle132456[[#This Row],[Jira Story Points]],Tabelle132456[[#This Row],[Carry-over]])-Tabelle132456[[#This Row],[SP Completed (COS &amp; SOS)]]),0)</f>
        <v>0</v>
      </c>
    </row>
    <row r="441" spans="1:17" s="46" customFormat="1" ht="13.5" customHeight="1">
      <c r="A441" s="117"/>
      <c r="B441" s="47"/>
      <c r="C441" s="76"/>
      <c r="D441" s="76"/>
      <c r="E441" s="76"/>
      <c r="F441" s="104"/>
      <c r="G441" s="76"/>
      <c r="H441" s="83"/>
      <c r="I441" s="103"/>
      <c r="J441" s="76"/>
      <c r="K441" s="104"/>
      <c r="L441" s="104"/>
      <c r="M441" s="174">
        <f>IF(Tabelle132456[[#This Row],[Pulled after Start]]="",MIN(Tabelle132456[[#This Row],[Jira Story Points]],Tabelle132456[[#This Row],[Carry-over]]),0)</f>
        <v>0</v>
      </c>
      <c r="N441" s="173">
        <f>MIN(Tabelle132456[[#This Row],[Jira Story Points]],Tabelle132456[[#This Row],[Carry-over]])-Tabelle132456[[#This Row],[SP Initially Planned (COS)]]</f>
        <v>0</v>
      </c>
      <c r="O44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41" s="173">
        <f>IFERROR(IF(Tabelle132456[[#This Row],[Status]]=$I$5,MIN(Tabelle132456[[#This Row],[Jira Story Points]],Tabelle132456[[#This Row],[Carry-over]]),0),0)</f>
        <v>0</v>
      </c>
      <c r="Q441" s="173">
        <f>IFERROR(IF(Tabelle132456[[#This Row],[Status]]=$I$5,0,MIN(Tabelle132456[[#This Row],[Jira Story Points]],Tabelle132456[[#This Row],[Carry-over]])-Tabelle132456[[#This Row],[SP Completed (COS &amp; SOS)]]),0)</f>
        <v>0</v>
      </c>
    </row>
    <row r="442" spans="1:17" s="46" customFormat="1" ht="13.5" customHeight="1">
      <c r="A442" s="117"/>
      <c r="B442" s="47"/>
      <c r="C442" s="76"/>
      <c r="D442" s="76"/>
      <c r="E442" s="76"/>
      <c r="F442" s="104"/>
      <c r="G442" s="76"/>
      <c r="H442" s="83"/>
      <c r="I442" s="103"/>
      <c r="J442" s="76"/>
      <c r="K442" s="104"/>
      <c r="L442" s="104"/>
      <c r="M442" s="174">
        <f>IF(Tabelle132456[[#This Row],[Pulled after Start]]="",MIN(Tabelle132456[[#This Row],[Jira Story Points]],Tabelle132456[[#This Row],[Carry-over]]),0)</f>
        <v>0</v>
      </c>
      <c r="N442" s="173">
        <f>MIN(Tabelle132456[[#This Row],[Jira Story Points]],Tabelle132456[[#This Row],[Carry-over]])-Tabelle132456[[#This Row],[SP Initially Planned (COS)]]</f>
        <v>0</v>
      </c>
      <c r="O44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42" s="173">
        <f>IFERROR(IF(Tabelle132456[[#This Row],[Status]]=$I$5,MIN(Tabelle132456[[#This Row],[Jira Story Points]],Tabelle132456[[#This Row],[Carry-over]]),0),0)</f>
        <v>0</v>
      </c>
      <c r="Q442" s="173">
        <f>IFERROR(IF(Tabelle132456[[#This Row],[Status]]=$I$5,0,MIN(Tabelle132456[[#This Row],[Jira Story Points]],Tabelle132456[[#This Row],[Carry-over]])-Tabelle132456[[#This Row],[SP Completed (COS &amp; SOS)]]),0)</f>
        <v>0</v>
      </c>
    </row>
    <row r="443" spans="1:17" s="46" customFormat="1" ht="13.5" customHeight="1">
      <c r="A443" s="117"/>
      <c r="B443" s="47"/>
      <c r="C443" s="76"/>
      <c r="D443" s="76"/>
      <c r="E443" s="76"/>
      <c r="F443" s="104"/>
      <c r="G443" s="76"/>
      <c r="H443" s="83"/>
      <c r="I443" s="103"/>
      <c r="J443" s="76"/>
      <c r="K443" s="104"/>
      <c r="L443" s="104"/>
      <c r="M443" s="174">
        <f>IF(Tabelle132456[[#This Row],[Pulled after Start]]="",MIN(Tabelle132456[[#This Row],[Jira Story Points]],Tabelle132456[[#This Row],[Carry-over]]),0)</f>
        <v>0</v>
      </c>
      <c r="N443" s="173">
        <f>MIN(Tabelle132456[[#This Row],[Jira Story Points]],Tabelle132456[[#This Row],[Carry-over]])-Tabelle132456[[#This Row],[SP Initially Planned (COS)]]</f>
        <v>0</v>
      </c>
      <c r="O44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43" s="173">
        <f>IFERROR(IF(Tabelle132456[[#This Row],[Status]]=$I$5,MIN(Tabelle132456[[#This Row],[Jira Story Points]],Tabelle132456[[#This Row],[Carry-over]]),0),0)</f>
        <v>0</v>
      </c>
      <c r="Q443" s="173">
        <f>IFERROR(IF(Tabelle132456[[#This Row],[Status]]=$I$5,0,MIN(Tabelle132456[[#This Row],[Jira Story Points]],Tabelle132456[[#This Row],[Carry-over]])-Tabelle132456[[#This Row],[SP Completed (COS &amp; SOS)]]),0)</f>
        <v>0</v>
      </c>
    </row>
    <row r="444" spans="1:17" s="46" customFormat="1" ht="13.5" customHeight="1">
      <c r="A444" s="117"/>
      <c r="B444" s="47"/>
      <c r="C444" s="76"/>
      <c r="D444" s="76"/>
      <c r="E444" s="76"/>
      <c r="F444" s="104"/>
      <c r="G444" s="76"/>
      <c r="H444" s="83"/>
      <c r="I444" s="103"/>
      <c r="J444" s="76"/>
      <c r="K444" s="104"/>
      <c r="L444" s="104"/>
      <c r="M444" s="174">
        <f>IF(Tabelle132456[[#This Row],[Pulled after Start]]="",MIN(Tabelle132456[[#This Row],[Jira Story Points]],Tabelle132456[[#This Row],[Carry-over]]),0)</f>
        <v>0</v>
      </c>
      <c r="N444" s="173">
        <f>MIN(Tabelle132456[[#This Row],[Jira Story Points]],Tabelle132456[[#This Row],[Carry-over]])-Tabelle132456[[#This Row],[SP Initially Planned (COS)]]</f>
        <v>0</v>
      </c>
      <c r="O44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44" s="173">
        <f>IFERROR(IF(Tabelle132456[[#This Row],[Status]]=$I$5,MIN(Tabelle132456[[#This Row],[Jira Story Points]],Tabelle132456[[#This Row],[Carry-over]]),0),0)</f>
        <v>0</v>
      </c>
      <c r="Q444" s="173">
        <f>IFERROR(IF(Tabelle132456[[#This Row],[Status]]=$I$5,0,MIN(Tabelle132456[[#This Row],[Jira Story Points]],Tabelle132456[[#This Row],[Carry-over]])-Tabelle132456[[#This Row],[SP Completed (COS &amp; SOS)]]),0)</f>
        <v>0</v>
      </c>
    </row>
    <row r="445" spans="1:17" s="46" customFormat="1" ht="13.5" customHeight="1">
      <c r="A445" s="117"/>
      <c r="B445" s="47"/>
      <c r="C445" s="76"/>
      <c r="D445" s="76"/>
      <c r="E445" s="76"/>
      <c r="F445" s="104"/>
      <c r="G445" s="76"/>
      <c r="H445" s="83"/>
      <c r="I445" s="103"/>
      <c r="J445" s="76"/>
      <c r="K445" s="104"/>
      <c r="L445" s="104"/>
      <c r="M445" s="174">
        <f>IF(Tabelle132456[[#This Row],[Pulled after Start]]="",MIN(Tabelle132456[[#This Row],[Jira Story Points]],Tabelle132456[[#This Row],[Carry-over]]),0)</f>
        <v>0</v>
      </c>
      <c r="N445" s="173">
        <f>MIN(Tabelle132456[[#This Row],[Jira Story Points]],Tabelle132456[[#This Row],[Carry-over]])-Tabelle132456[[#This Row],[SP Initially Planned (COS)]]</f>
        <v>0</v>
      </c>
      <c r="O44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45" s="173">
        <f>IFERROR(IF(Tabelle132456[[#This Row],[Status]]=$I$5,MIN(Tabelle132456[[#This Row],[Jira Story Points]],Tabelle132456[[#This Row],[Carry-over]]),0),0)</f>
        <v>0</v>
      </c>
      <c r="Q445" s="173">
        <f>IFERROR(IF(Tabelle132456[[#This Row],[Status]]=$I$5,0,MIN(Tabelle132456[[#This Row],[Jira Story Points]],Tabelle132456[[#This Row],[Carry-over]])-Tabelle132456[[#This Row],[SP Completed (COS &amp; SOS)]]),0)</f>
        <v>0</v>
      </c>
    </row>
    <row r="446" spans="1:17" s="46" customFormat="1" ht="13.5" customHeight="1">
      <c r="A446" s="117"/>
      <c r="B446" s="47"/>
      <c r="C446" s="76"/>
      <c r="D446" s="76"/>
      <c r="E446" s="76"/>
      <c r="F446" s="104"/>
      <c r="G446" s="76"/>
      <c r="H446" s="83"/>
      <c r="I446" s="103"/>
      <c r="J446" s="76"/>
      <c r="K446" s="104"/>
      <c r="L446" s="104"/>
      <c r="M446" s="174">
        <f>IF(Tabelle132456[[#This Row],[Pulled after Start]]="",MIN(Tabelle132456[[#This Row],[Jira Story Points]],Tabelle132456[[#This Row],[Carry-over]]),0)</f>
        <v>0</v>
      </c>
      <c r="N446" s="173">
        <f>MIN(Tabelle132456[[#This Row],[Jira Story Points]],Tabelle132456[[#This Row],[Carry-over]])-Tabelle132456[[#This Row],[SP Initially Planned (COS)]]</f>
        <v>0</v>
      </c>
      <c r="O44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46" s="173">
        <f>IFERROR(IF(Tabelle132456[[#This Row],[Status]]=$I$5,MIN(Tabelle132456[[#This Row],[Jira Story Points]],Tabelle132456[[#This Row],[Carry-over]]),0),0)</f>
        <v>0</v>
      </c>
      <c r="Q446" s="173">
        <f>IFERROR(IF(Tabelle132456[[#This Row],[Status]]=$I$5,0,MIN(Tabelle132456[[#This Row],[Jira Story Points]],Tabelle132456[[#This Row],[Carry-over]])-Tabelle132456[[#This Row],[SP Completed (COS &amp; SOS)]]),0)</f>
        <v>0</v>
      </c>
    </row>
    <row r="447" spans="1:17" s="46" customFormat="1" ht="13.5" customHeight="1">
      <c r="A447" s="117"/>
      <c r="B447" s="47"/>
      <c r="C447" s="76"/>
      <c r="D447" s="76"/>
      <c r="E447" s="76"/>
      <c r="F447" s="104"/>
      <c r="G447" s="76"/>
      <c r="H447" s="83"/>
      <c r="I447" s="103"/>
      <c r="J447" s="76"/>
      <c r="K447" s="104"/>
      <c r="L447" s="104"/>
      <c r="M447" s="174">
        <f>IF(Tabelle132456[[#This Row],[Pulled after Start]]="",MIN(Tabelle132456[[#This Row],[Jira Story Points]],Tabelle132456[[#This Row],[Carry-over]]),0)</f>
        <v>0</v>
      </c>
      <c r="N447" s="173">
        <f>MIN(Tabelle132456[[#This Row],[Jira Story Points]],Tabelle132456[[#This Row],[Carry-over]])-Tabelle132456[[#This Row],[SP Initially Planned (COS)]]</f>
        <v>0</v>
      </c>
      <c r="O44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47" s="173">
        <f>IFERROR(IF(Tabelle132456[[#This Row],[Status]]=$I$5,MIN(Tabelle132456[[#This Row],[Jira Story Points]],Tabelle132456[[#This Row],[Carry-over]]),0),0)</f>
        <v>0</v>
      </c>
      <c r="Q447" s="173">
        <f>IFERROR(IF(Tabelle132456[[#This Row],[Status]]=$I$5,0,MIN(Tabelle132456[[#This Row],[Jira Story Points]],Tabelle132456[[#This Row],[Carry-over]])-Tabelle132456[[#This Row],[SP Completed (COS &amp; SOS)]]),0)</f>
        <v>0</v>
      </c>
    </row>
    <row r="448" spans="1:17" s="46" customFormat="1" ht="13.5" customHeight="1">
      <c r="A448" s="117"/>
      <c r="B448" s="47"/>
      <c r="C448" s="76"/>
      <c r="D448" s="76"/>
      <c r="E448" s="76"/>
      <c r="F448" s="104"/>
      <c r="G448" s="76"/>
      <c r="H448" s="83"/>
      <c r="I448" s="103"/>
      <c r="J448" s="76"/>
      <c r="K448" s="104"/>
      <c r="L448" s="104"/>
      <c r="M448" s="174">
        <f>IF(Tabelle132456[[#This Row],[Pulled after Start]]="",MIN(Tabelle132456[[#This Row],[Jira Story Points]],Tabelle132456[[#This Row],[Carry-over]]),0)</f>
        <v>0</v>
      </c>
      <c r="N448" s="173">
        <f>MIN(Tabelle132456[[#This Row],[Jira Story Points]],Tabelle132456[[#This Row],[Carry-over]])-Tabelle132456[[#This Row],[SP Initially Planned (COS)]]</f>
        <v>0</v>
      </c>
      <c r="O44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48" s="173">
        <f>IFERROR(IF(Tabelle132456[[#This Row],[Status]]=$I$5,MIN(Tabelle132456[[#This Row],[Jira Story Points]],Tabelle132456[[#This Row],[Carry-over]]),0),0)</f>
        <v>0</v>
      </c>
      <c r="Q448" s="173">
        <f>IFERROR(IF(Tabelle132456[[#This Row],[Status]]=$I$5,0,MIN(Tabelle132456[[#This Row],[Jira Story Points]],Tabelle132456[[#This Row],[Carry-over]])-Tabelle132456[[#This Row],[SP Completed (COS &amp; SOS)]]),0)</f>
        <v>0</v>
      </c>
    </row>
    <row r="449" spans="1:17" s="46" customFormat="1" ht="13.5" customHeight="1">
      <c r="A449" s="117"/>
      <c r="B449" s="47"/>
      <c r="C449" s="76"/>
      <c r="D449" s="76"/>
      <c r="E449" s="76"/>
      <c r="F449" s="104"/>
      <c r="G449" s="76"/>
      <c r="H449" s="83"/>
      <c r="I449" s="103"/>
      <c r="J449" s="76"/>
      <c r="K449" s="104"/>
      <c r="L449" s="104"/>
      <c r="M449" s="174">
        <f>IF(Tabelle132456[[#This Row],[Pulled after Start]]="",MIN(Tabelle132456[[#This Row],[Jira Story Points]],Tabelle132456[[#This Row],[Carry-over]]),0)</f>
        <v>0</v>
      </c>
      <c r="N449" s="173">
        <f>MIN(Tabelle132456[[#This Row],[Jira Story Points]],Tabelle132456[[#This Row],[Carry-over]])-Tabelle132456[[#This Row],[SP Initially Planned (COS)]]</f>
        <v>0</v>
      </c>
      <c r="O44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49" s="173">
        <f>IFERROR(IF(Tabelle132456[[#This Row],[Status]]=$I$5,MIN(Tabelle132456[[#This Row],[Jira Story Points]],Tabelle132456[[#This Row],[Carry-over]]),0),0)</f>
        <v>0</v>
      </c>
      <c r="Q449" s="173">
        <f>IFERROR(IF(Tabelle132456[[#This Row],[Status]]=$I$5,0,MIN(Tabelle132456[[#This Row],[Jira Story Points]],Tabelle132456[[#This Row],[Carry-over]])-Tabelle132456[[#This Row],[SP Completed (COS &amp; SOS)]]),0)</f>
        <v>0</v>
      </c>
    </row>
    <row r="450" spans="1:17" s="46" customFormat="1" ht="13.5" customHeight="1">
      <c r="A450" s="117"/>
      <c r="B450" s="47"/>
      <c r="C450" s="76"/>
      <c r="D450" s="76"/>
      <c r="E450" s="76"/>
      <c r="F450" s="104"/>
      <c r="G450" s="76"/>
      <c r="H450" s="83"/>
      <c r="I450" s="103"/>
      <c r="J450" s="76"/>
      <c r="K450" s="104"/>
      <c r="L450" s="104"/>
      <c r="M450" s="174">
        <f>IF(Tabelle132456[[#This Row],[Pulled after Start]]="",MIN(Tabelle132456[[#This Row],[Jira Story Points]],Tabelle132456[[#This Row],[Carry-over]]),0)</f>
        <v>0</v>
      </c>
      <c r="N450" s="173">
        <f>MIN(Tabelle132456[[#This Row],[Jira Story Points]],Tabelle132456[[#This Row],[Carry-over]])-Tabelle132456[[#This Row],[SP Initially Planned (COS)]]</f>
        <v>0</v>
      </c>
      <c r="O45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50" s="173">
        <f>IFERROR(IF(Tabelle132456[[#This Row],[Status]]=$I$5,MIN(Tabelle132456[[#This Row],[Jira Story Points]],Tabelle132456[[#This Row],[Carry-over]]),0),0)</f>
        <v>0</v>
      </c>
      <c r="Q450" s="173">
        <f>IFERROR(IF(Tabelle132456[[#This Row],[Status]]=$I$5,0,MIN(Tabelle132456[[#This Row],[Jira Story Points]],Tabelle132456[[#This Row],[Carry-over]])-Tabelle132456[[#This Row],[SP Completed (COS &amp; SOS)]]),0)</f>
        <v>0</v>
      </c>
    </row>
    <row r="451" spans="1:17" s="46" customFormat="1" ht="13.5" customHeight="1">
      <c r="A451" s="117"/>
      <c r="B451" s="47"/>
      <c r="C451" s="76"/>
      <c r="D451" s="76"/>
      <c r="E451" s="76"/>
      <c r="F451" s="104"/>
      <c r="G451" s="76"/>
      <c r="H451" s="83"/>
      <c r="I451" s="103"/>
      <c r="J451" s="76"/>
      <c r="K451" s="104"/>
      <c r="L451" s="104"/>
      <c r="M451" s="174">
        <f>IF(Tabelle132456[[#This Row],[Pulled after Start]]="",MIN(Tabelle132456[[#This Row],[Jira Story Points]],Tabelle132456[[#This Row],[Carry-over]]),0)</f>
        <v>0</v>
      </c>
      <c r="N451" s="173">
        <f>MIN(Tabelle132456[[#This Row],[Jira Story Points]],Tabelle132456[[#This Row],[Carry-over]])-Tabelle132456[[#This Row],[SP Initially Planned (COS)]]</f>
        <v>0</v>
      </c>
      <c r="O45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51" s="173">
        <f>IFERROR(IF(Tabelle132456[[#This Row],[Status]]=$I$5,MIN(Tabelle132456[[#This Row],[Jira Story Points]],Tabelle132456[[#This Row],[Carry-over]]),0),0)</f>
        <v>0</v>
      </c>
      <c r="Q451" s="173">
        <f>IFERROR(IF(Tabelle132456[[#This Row],[Status]]=$I$5,0,MIN(Tabelle132456[[#This Row],[Jira Story Points]],Tabelle132456[[#This Row],[Carry-over]])-Tabelle132456[[#This Row],[SP Completed (COS &amp; SOS)]]),0)</f>
        <v>0</v>
      </c>
    </row>
    <row r="452" spans="1:17" s="46" customFormat="1" ht="13.5" customHeight="1">
      <c r="A452" s="117"/>
      <c r="B452" s="47"/>
      <c r="C452" s="76"/>
      <c r="D452" s="76"/>
      <c r="E452" s="76"/>
      <c r="F452" s="104"/>
      <c r="G452" s="76"/>
      <c r="H452" s="83"/>
      <c r="I452" s="103"/>
      <c r="J452" s="76"/>
      <c r="K452" s="104"/>
      <c r="L452" s="104"/>
      <c r="M452" s="174">
        <f>IF(Tabelle132456[[#This Row],[Pulled after Start]]="",MIN(Tabelle132456[[#This Row],[Jira Story Points]],Tabelle132456[[#This Row],[Carry-over]]),0)</f>
        <v>0</v>
      </c>
      <c r="N452" s="173">
        <f>MIN(Tabelle132456[[#This Row],[Jira Story Points]],Tabelle132456[[#This Row],[Carry-over]])-Tabelle132456[[#This Row],[SP Initially Planned (COS)]]</f>
        <v>0</v>
      </c>
      <c r="O45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52" s="173">
        <f>IFERROR(IF(Tabelle132456[[#This Row],[Status]]=$I$5,MIN(Tabelle132456[[#This Row],[Jira Story Points]],Tabelle132456[[#This Row],[Carry-over]]),0),0)</f>
        <v>0</v>
      </c>
      <c r="Q452" s="173">
        <f>IFERROR(IF(Tabelle132456[[#This Row],[Status]]=$I$5,0,MIN(Tabelle132456[[#This Row],[Jira Story Points]],Tabelle132456[[#This Row],[Carry-over]])-Tabelle132456[[#This Row],[SP Completed (COS &amp; SOS)]]),0)</f>
        <v>0</v>
      </c>
    </row>
    <row r="453" spans="1:17" s="46" customFormat="1" ht="13.5" customHeight="1">
      <c r="A453" s="117"/>
      <c r="B453" s="47"/>
      <c r="C453" s="76"/>
      <c r="D453" s="76"/>
      <c r="E453" s="76"/>
      <c r="F453" s="104"/>
      <c r="G453" s="76"/>
      <c r="H453" s="83"/>
      <c r="I453" s="103"/>
      <c r="J453" s="76"/>
      <c r="K453" s="104"/>
      <c r="L453" s="104"/>
      <c r="M453" s="174">
        <f>IF(Tabelle132456[[#This Row],[Pulled after Start]]="",MIN(Tabelle132456[[#This Row],[Jira Story Points]],Tabelle132456[[#This Row],[Carry-over]]),0)</f>
        <v>0</v>
      </c>
      <c r="N453" s="173">
        <f>MIN(Tabelle132456[[#This Row],[Jira Story Points]],Tabelle132456[[#This Row],[Carry-over]])-Tabelle132456[[#This Row],[SP Initially Planned (COS)]]</f>
        <v>0</v>
      </c>
      <c r="O45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53" s="173">
        <f>IFERROR(IF(Tabelle132456[[#This Row],[Status]]=$I$5,MIN(Tabelle132456[[#This Row],[Jira Story Points]],Tabelle132456[[#This Row],[Carry-over]]),0),0)</f>
        <v>0</v>
      </c>
      <c r="Q453" s="173">
        <f>IFERROR(IF(Tabelle132456[[#This Row],[Status]]=$I$5,0,MIN(Tabelle132456[[#This Row],[Jira Story Points]],Tabelle132456[[#This Row],[Carry-over]])-Tabelle132456[[#This Row],[SP Completed (COS &amp; SOS)]]),0)</f>
        <v>0</v>
      </c>
    </row>
    <row r="454" spans="1:17" s="46" customFormat="1" ht="13.5" customHeight="1">
      <c r="A454" s="117"/>
      <c r="B454" s="47"/>
      <c r="C454" s="76"/>
      <c r="D454" s="76"/>
      <c r="E454" s="76"/>
      <c r="F454" s="104"/>
      <c r="G454" s="76"/>
      <c r="H454" s="83"/>
      <c r="I454" s="103"/>
      <c r="J454" s="76"/>
      <c r="K454" s="104"/>
      <c r="L454" s="104"/>
      <c r="M454" s="174">
        <f>IF(Tabelle132456[[#This Row],[Pulled after Start]]="",MIN(Tabelle132456[[#This Row],[Jira Story Points]],Tabelle132456[[#This Row],[Carry-over]]),0)</f>
        <v>0</v>
      </c>
      <c r="N454" s="173">
        <f>MIN(Tabelle132456[[#This Row],[Jira Story Points]],Tabelle132456[[#This Row],[Carry-over]])-Tabelle132456[[#This Row],[SP Initially Planned (COS)]]</f>
        <v>0</v>
      </c>
      <c r="O45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54" s="173">
        <f>IFERROR(IF(Tabelle132456[[#This Row],[Status]]=$I$5,MIN(Tabelle132456[[#This Row],[Jira Story Points]],Tabelle132456[[#This Row],[Carry-over]]),0),0)</f>
        <v>0</v>
      </c>
      <c r="Q454" s="173">
        <f>IFERROR(IF(Tabelle132456[[#This Row],[Status]]=$I$5,0,MIN(Tabelle132456[[#This Row],[Jira Story Points]],Tabelle132456[[#This Row],[Carry-over]])-Tabelle132456[[#This Row],[SP Completed (COS &amp; SOS)]]),0)</f>
        <v>0</v>
      </c>
    </row>
    <row r="455" spans="1:17" s="46" customFormat="1" ht="13.5" customHeight="1">
      <c r="A455" s="117"/>
      <c r="B455" s="47"/>
      <c r="C455" s="76"/>
      <c r="D455" s="76"/>
      <c r="E455" s="76"/>
      <c r="F455" s="104"/>
      <c r="G455" s="76"/>
      <c r="H455" s="83"/>
      <c r="I455" s="103"/>
      <c r="J455" s="76"/>
      <c r="K455" s="104"/>
      <c r="L455" s="104"/>
      <c r="M455" s="174">
        <f>IF(Tabelle132456[[#This Row],[Pulled after Start]]="",MIN(Tabelle132456[[#This Row],[Jira Story Points]],Tabelle132456[[#This Row],[Carry-over]]),0)</f>
        <v>0</v>
      </c>
      <c r="N455" s="173">
        <f>MIN(Tabelle132456[[#This Row],[Jira Story Points]],Tabelle132456[[#This Row],[Carry-over]])-Tabelle132456[[#This Row],[SP Initially Planned (COS)]]</f>
        <v>0</v>
      </c>
      <c r="O45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55" s="173">
        <f>IFERROR(IF(Tabelle132456[[#This Row],[Status]]=$I$5,MIN(Tabelle132456[[#This Row],[Jira Story Points]],Tabelle132456[[#This Row],[Carry-over]]),0),0)</f>
        <v>0</v>
      </c>
      <c r="Q455" s="173">
        <f>IFERROR(IF(Tabelle132456[[#This Row],[Status]]=$I$5,0,MIN(Tabelle132456[[#This Row],[Jira Story Points]],Tabelle132456[[#This Row],[Carry-over]])-Tabelle132456[[#This Row],[SP Completed (COS &amp; SOS)]]),0)</f>
        <v>0</v>
      </c>
    </row>
    <row r="456" spans="1:17" s="46" customFormat="1" ht="13.5" customHeight="1">
      <c r="A456" s="117"/>
      <c r="B456" s="47"/>
      <c r="C456" s="76"/>
      <c r="D456" s="76"/>
      <c r="E456" s="76"/>
      <c r="F456" s="104"/>
      <c r="G456" s="76"/>
      <c r="H456" s="83"/>
      <c r="I456" s="103"/>
      <c r="J456" s="76"/>
      <c r="K456" s="104"/>
      <c r="L456" s="104"/>
      <c r="M456" s="174">
        <f>IF(Tabelle132456[[#This Row],[Pulled after Start]]="",MIN(Tabelle132456[[#This Row],[Jira Story Points]],Tabelle132456[[#This Row],[Carry-over]]),0)</f>
        <v>0</v>
      </c>
      <c r="N456" s="173">
        <f>MIN(Tabelle132456[[#This Row],[Jira Story Points]],Tabelle132456[[#This Row],[Carry-over]])-Tabelle132456[[#This Row],[SP Initially Planned (COS)]]</f>
        <v>0</v>
      </c>
      <c r="O45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56" s="173">
        <f>IFERROR(IF(Tabelle132456[[#This Row],[Status]]=$I$5,MIN(Tabelle132456[[#This Row],[Jira Story Points]],Tabelle132456[[#This Row],[Carry-over]]),0),0)</f>
        <v>0</v>
      </c>
      <c r="Q456" s="173">
        <f>IFERROR(IF(Tabelle132456[[#This Row],[Status]]=$I$5,0,MIN(Tabelle132456[[#This Row],[Jira Story Points]],Tabelle132456[[#This Row],[Carry-over]])-Tabelle132456[[#This Row],[SP Completed (COS &amp; SOS)]]),0)</f>
        <v>0</v>
      </c>
    </row>
    <row r="457" spans="1:17" s="46" customFormat="1" ht="13.5" customHeight="1">
      <c r="A457" s="117"/>
      <c r="B457" s="47"/>
      <c r="C457" s="76"/>
      <c r="D457" s="76"/>
      <c r="E457" s="76"/>
      <c r="F457" s="104"/>
      <c r="G457" s="76"/>
      <c r="H457" s="83"/>
      <c r="I457" s="103"/>
      <c r="J457" s="76"/>
      <c r="K457" s="104"/>
      <c r="L457" s="104"/>
      <c r="M457" s="174">
        <f>IF(Tabelle132456[[#This Row],[Pulled after Start]]="",MIN(Tabelle132456[[#This Row],[Jira Story Points]],Tabelle132456[[#This Row],[Carry-over]]),0)</f>
        <v>0</v>
      </c>
      <c r="N457" s="173">
        <f>MIN(Tabelle132456[[#This Row],[Jira Story Points]],Tabelle132456[[#This Row],[Carry-over]])-Tabelle132456[[#This Row],[SP Initially Planned (COS)]]</f>
        <v>0</v>
      </c>
      <c r="O45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57" s="173">
        <f>IFERROR(IF(Tabelle132456[[#This Row],[Status]]=$I$5,MIN(Tabelle132456[[#This Row],[Jira Story Points]],Tabelle132456[[#This Row],[Carry-over]]),0),0)</f>
        <v>0</v>
      </c>
      <c r="Q457" s="173">
        <f>IFERROR(IF(Tabelle132456[[#This Row],[Status]]=$I$5,0,MIN(Tabelle132456[[#This Row],[Jira Story Points]],Tabelle132456[[#This Row],[Carry-over]])-Tabelle132456[[#This Row],[SP Completed (COS &amp; SOS)]]),0)</f>
        <v>0</v>
      </c>
    </row>
    <row r="458" spans="1:17" s="46" customFormat="1" ht="13.5" customHeight="1">
      <c r="A458" s="117"/>
      <c r="B458" s="47"/>
      <c r="C458" s="76"/>
      <c r="D458" s="76"/>
      <c r="E458" s="76"/>
      <c r="F458" s="104"/>
      <c r="G458" s="76"/>
      <c r="H458" s="83"/>
      <c r="I458" s="103"/>
      <c r="J458" s="76"/>
      <c r="K458" s="104"/>
      <c r="L458" s="104"/>
      <c r="M458" s="174">
        <f>IF(Tabelle132456[[#This Row],[Pulled after Start]]="",MIN(Tabelle132456[[#This Row],[Jira Story Points]],Tabelle132456[[#This Row],[Carry-over]]),0)</f>
        <v>0</v>
      </c>
      <c r="N458" s="173">
        <f>MIN(Tabelle132456[[#This Row],[Jira Story Points]],Tabelle132456[[#This Row],[Carry-over]])-Tabelle132456[[#This Row],[SP Initially Planned (COS)]]</f>
        <v>0</v>
      </c>
      <c r="O45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58" s="173">
        <f>IFERROR(IF(Tabelle132456[[#This Row],[Status]]=$I$5,MIN(Tabelle132456[[#This Row],[Jira Story Points]],Tabelle132456[[#This Row],[Carry-over]]),0),0)</f>
        <v>0</v>
      </c>
      <c r="Q458" s="173">
        <f>IFERROR(IF(Tabelle132456[[#This Row],[Status]]=$I$5,0,MIN(Tabelle132456[[#This Row],[Jira Story Points]],Tabelle132456[[#This Row],[Carry-over]])-Tabelle132456[[#This Row],[SP Completed (COS &amp; SOS)]]),0)</f>
        <v>0</v>
      </c>
    </row>
    <row r="459" spans="1:17" s="46" customFormat="1" ht="13.5" customHeight="1">
      <c r="A459" s="117"/>
      <c r="B459" s="47"/>
      <c r="C459" s="76"/>
      <c r="D459" s="76"/>
      <c r="E459" s="76"/>
      <c r="F459" s="104"/>
      <c r="G459" s="76"/>
      <c r="H459" s="83"/>
      <c r="I459" s="103"/>
      <c r="J459" s="76"/>
      <c r="K459" s="104"/>
      <c r="L459" s="104"/>
      <c r="M459" s="174">
        <f>IF(Tabelle132456[[#This Row],[Pulled after Start]]="",MIN(Tabelle132456[[#This Row],[Jira Story Points]],Tabelle132456[[#This Row],[Carry-over]]),0)</f>
        <v>0</v>
      </c>
      <c r="N459" s="173">
        <f>MIN(Tabelle132456[[#This Row],[Jira Story Points]],Tabelle132456[[#This Row],[Carry-over]])-Tabelle132456[[#This Row],[SP Initially Planned (COS)]]</f>
        <v>0</v>
      </c>
      <c r="O45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59" s="173">
        <f>IFERROR(IF(Tabelle132456[[#This Row],[Status]]=$I$5,MIN(Tabelle132456[[#This Row],[Jira Story Points]],Tabelle132456[[#This Row],[Carry-over]]),0),0)</f>
        <v>0</v>
      </c>
      <c r="Q459" s="173">
        <f>IFERROR(IF(Tabelle132456[[#This Row],[Status]]=$I$5,0,MIN(Tabelle132456[[#This Row],[Jira Story Points]],Tabelle132456[[#This Row],[Carry-over]])-Tabelle132456[[#This Row],[SP Completed (COS &amp; SOS)]]),0)</f>
        <v>0</v>
      </c>
    </row>
    <row r="460" spans="1:17" s="46" customFormat="1" ht="13.5" customHeight="1">
      <c r="A460" s="117"/>
      <c r="B460" s="47"/>
      <c r="C460" s="76"/>
      <c r="D460" s="76"/>
      <c r="E460" s="76"/>
      <c r="F460" s="104"/>
      <c r="G460" s="76"/>
      <c r="H460" s="83"/>
      <c r="I460" s="103"/>
      <c r="J460" s="76"/>
      <c r="K460" s="104"/>
      <c r="L460" s="104"/>
      <c r="M460" s="174">
        <f>IF(Tabelle132456[[#This Row],[Pulled after Start]]="",MIN(Tabelle132456[[#This Row],[Jira Story Points]],Tabelle132456[[#This Row],[Carry-over]]),0)</f>
        <v>0</v>
      </c>
      <c r="N460" s="173">
        <f>MIN(Tabelle132456[[#This Row],[Jira Story Points]],Tabelle132456[[#This Row],[Carry-over]])-Tabelle132456[[#This Row],[SP Initially Planned (COS)]]</f>
        <v>0</v>
      </c>
      <c r="O46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60" s="173">
        <f>IFERROR(IF(Tabelle132456[[#This Row],[Status]]=$I$5,MIN(Tabelle132456[[#This Row],[Jira Story Points]],Tabelle132456[[#This Row],[Carry-over]]),0),0)</f>
        <v>0</v>
      </c>
      <c r="Q460" s="173">
        <f>IFERROR(IF(Tabelle132456[[#This Row],[Status]]=$I$5,0,MIN(Tabelle132456[[#This Row],[Jira Story Points]],Tabelle132456[[#This Row],[Carry-over]])-Tabelle132456[[#This Row],[SP Completed (COS &amp; SOS)]]),0)</f>
        <v>0</v>
      </c>
    </row>
    <row r="461" spans="1:17" s="46" customFormat="1" ht="13.5" customHeight="1">
      <c r="A461" s="117"/>
      <c r="B461" s="47"/>
      <c r="C461" s="76"/>
      <c r="D461" s="76"/>
      <c r="E461" s="76"/>
      <c r="F461" s="104"/>
      <c r="G461" s="76"/>
      <c r="H461" s="83"/>
      <c r="I461" s="103"/>
      <c r="J461" s="76"/>
      <c r="K461" s="104"/>
      <c r="L461" s="104"/>
      <c r="M461" s="174">
        <f>IF(Tabelle132456[[#This Row],[Pulled after Start]]="",MIN(Tabelle132456[[#This Row],[Jira Story Points]],Tabelle132456[[#This Row],[Carry-over]]),0)</f>
        <v>0</v>
      </c>
      <c r="N461" s="173">
        <f>MIN(Tabelle132456[[#This Row],[Jira Story Points]],Tabelle132456[[#This Row],[Carry-over]])-Tabelle132456[[#This Row],[SP Initially Planned (COS)]]</f>
        <v>0</v>
      </c>
      <c r="O46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61" s="173">
        <f>IFERROR(IF(Tabelle132456[[#This Row],[Status]]=$I$5,MIN(Tabelle132456[[#This Row],[Jira Story Points]],Tabelle132456[[#This Row],[Carry-over]]),0),0)</f>
        <v>0</v>
      </c>
      <c r="Q461" s="173">
        <f>IFERROR(IF(Tabelle132456[[#This Row],[Status]]=$I$5,0,MIN(Tabelle132456[[#This Row],[Jira Story Points]],Tabelle132456[[#This Row],[Carry-over]])-Tabelle132456[[#This Row],[SP Completed (COS &amp; SOS)]]),0)</f>
        <v>0</v>
      </c>
    </row>
    <row r="462" spans="1:17" s="46" customFormat="1" ht="13.5" customHeight="1">
      <c r="A462" s="117"/>
      <c r="B462" s="47"/>
      <c r="C462" s="76"/>
      <c r="D462" s="76"/>
      <c r="E462" s="76"/>
      <c r="F462" s="104"/>
      <c r="G462" s="76"/>
      <c r="H462" s="83"/>
      <c r="I462" s="103"/>
      <c r="J462" s="76"/>
      <c r="K462" s="104"/>
      <c r="L462" s="104"/>
      <c r="M462" s="174">
        <f>IF(Tabelle132456[[#This Row],[Pulled after Start]]="",MIN(Tabelle132456[[#This Row],[Jira Story Points]],Tabelle132456[[#This Row],[Carry-over]]),0)</f>
        <v>0</v>
      </c>
      <c r="N462" s="173">
        <f>MIN(Tabelle132456[[#This Row],[Jira Story Points]],Tabelle132456[[#This Row],[Carry-over]])-Tabelle132456[[#This Row],[SP Initially Planned (COS)]]</f>
        <v>0</v>
      </c>
      <c r="O46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62" s="173">
        <f>IFERROR(IF(Tabelle132456[[#This Row],[Status]]=$I$5,MIN(Tabelle132456[[#This Row],[Jira Story Points]],Tabelle132456[[#This Row],[Carry-over]]),0),0)</f>
        <v>0</v>
      </c>
      <c r="Q462" s="173">
        <f>IFERROR(IF(Tabelle132456[[#This Row],[Status]]=$I$5,0,MIN(Tabelle132456[[#This Row],[Jira Story Points]],Tabelle132456[[#This Row],[Carry-over]])-Tabelle132456[[#This Row],[SP Completed (COS &amp; SOS)]]),0)</f>
        <v>0</v>
      </c>
    </row>
    <row r="463" spans="1:17" s="46" customFormat="1" ht="13.5" customHeight="1">
      <c r="A463" s="117"/>
      <c r="B463" s="47"/>
      <c r="C463" s="76"/>
      <c r="D463" s="76"/>
      <c r="E463" s="76"/>
      <c r="F463" s="104"/>
      <c r="G463" s="76"/>
      <c r="H463" s="83"/>
      <c r="I463" s="103"/>
      <c r="J463" s="76"/>
      <c r="K463" s="104"/>
      <c r="L463" s="104"/>
      <c r="M463" s="174">
        <f>IF(Tabelle132456[[#This Row],[Pulled after Start]]="",MIN(Tabelle132456[[#This Row],[Jira Story Points]],Tabelle132456[[#This Row],[Carry-over]]),0)</f>
        <v>0</v>
      </c>
      <c r="N463" s="173">
        <f>MIN(Tabelle132456[[#This Row],[Jira Story Points]],Tabelle132456[[#This Row],[Carry-over]])-Tabelle132456[[#This Row],[SP Initially Planned (COS)]]</f>
        <v>0</v>
      </c>
      <c r="O46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63" s="173">
        <f>IFERROR(IF(Tabelle132456[[#This Row],[Status]]=$I$5,MIN(Tabelle132456[[#This Row],[Jira Story Points]],Tabelle132456[[#This Row],[Carry-over]]),0),0)</f>
        <v>0</v>
      </c>
      <c r="Q463" s="173">
        <f>IFERROR(IF(Tabelle132456[[#This Row],[Status]]=$I$5,0,MIN(Tabelle132456[[#This Row],[Jira Story Points]],Tabelle132456[[#This Row],[Carry-over]])-Tabelle132456[[#This Row],[SP Completed (COS &amp; SOS)]]),0)</f>
        <v>0</v>
      </c>
    </row>
    <row r="464" spans="1:17" s="46" customFormat="1" ht="13.5" customHeight="1">
      <c r="A464" s="117"/>
      <c r="B464" s="47"/>
      <c r="C464" s="76"/>
      <c r="D464" s="76"/>
      <c r="E464" s="76"/>
      <c r="F464" s="104"/>
      <c r="G464" s="76"/>
      <c r="H464" s="83"/>
      <c r="I464" s="103"/>
      <c r="J464" s="76"/>
      <c r="K464" s="104"/>
      <c r="L464" s="104"/>
      <c r="M464" s="174">
        <f>IF(Tabelle132456[[#This Row],[Pulled after Start]]="",MIN(Tabelle132456[[#This Row],[Jira Story Points]],Tabelle132456[[#This Row],[Carry-over]]),0)</f>
        <v>0</v>
      </c>
      <c r="N464" s="173">
        <f>MIN(Tabelle132456[[#This Row],[Jira Story Points]],Tabelle132456[[#This Row],[Carry-over]])-Tabelle132456[[#This Row],[SP Initially Planned (COS)]]</f>
        <v>0</v>
      </c>
      <c r="O46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64" s="173">
        <f>IFERROR(IF(Tabelle132456[[#This Row],[Status]]=$I$5,MIN(Tabelle132456[[#This Row],[Jira Story Points]],Tabelle132456[[#This Row],[Carry-over]]),0),0)</f>
        <v>0</v>
      </c>
      <c r="Q464" s="173">
        <f>IFERROR(IF(Tabelle132456[[#This Row],[Status]]=$I$5,0,MIN(Tabelle132456[[#This Row],[Jira Story Points]],Tabelle132456[[#This Row],[Carry-over]])-Tabelle132456[[#This Row],[SP Completed (COS &amp; SOS)]]),0)</f>
        <v>0</v>
      </c>
    </row>
    <row r="465" spans="1:17" s="46" customFormat="1" ht="13.5" customHeight="1">
      <c r="A465" s="117"/>
      <c r="B465" s="47"/>
      <c r="C465" s="76"/>
      <c r="D465" s="76"/>
      <c r="E465" s="76"/>
      <c r="F465" s="104"/>
      <c r="G465" s="76"/>
      <c r="H465" s="83"/>
      <c r="I465" s="103"/>
      <c r="J465" s="76"/>
      <c r="K465" s="104"/>
      <c r="L465" s="104"/>
      <c r="M465" s="174">
        <f>IF(Tabelle132456[[#This Row],[Pulled after Start]]="",MIN(Tabelle132456[[#This Row],[Jira Story Points]],Tabelle132456[[#This Row],[Carry-over]]),0)</f>
        <v>0</v>
      </c>
      <c r="N465" s="173">
        <f>MIN(Tabelle132456[[#This Row],[Jira Story Points]],Tabelle132456[[#This Row],[Carry-over]])-Tabelle132456[[#This Row],[SP Initially Planned (COS)]]</f>
        <v>0</v>
      </c>
      <c r="O46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65" s="173">
        <f>IFERROR(IF(Tabelle132456[[#This Row],[Status]]=$I$5,MIN(Tabelle132456[[#This Row],[Jira Story Points]],Tabelle132456[[#This Row],[Carry-over]]),0),0)</f>
        <v>0</v>
      </c>
      <c r="Q465" s="173">
        <f>IFERROR(IF(Tabelle132456[[#This Row],[Status]]=$I$5,0,MIN(Tabelle132456[[#This Row],[Jira Story Points]],Tabelle132456[[#This Row],[Carry-over]])-Tabelle132456[[#This Row],[SP Completed (COS &amp; SOS)]]),0)</f>
        <v>0</v>
      </c>
    </row>
    <row r="466" spans="1:17" s="46" customFormat="1" ht="13.5" customHeight="1">
      <c r="A466" s="117"/>
      <c r="B466" s="47"/>
      <c r="C466" s="76"/>
      <c r="D466" s="76"/>
      <c r="E466" s="76"/>
      <c r="F466" s="104"/>
      <c r="G466" s="76"/>
      <c r="H466" s="83"/>
      <c r="I466" s="103"/>
      <c r="J466" s="76"/>
      <c r="K466" s="104"/>
      <c r="L466" s="104"/>
      <c r="M466" s="174">
        <f>IF(Tabelle132456[[#This Row],[Pulled after Start]]="",MIN(Tabelle132456[[#This Row],[Jira Story Points]],Tabelle132456[[#This Row],[Carry-over]]),0)</f>
        <v>0</v>
      </c>
      <c r="N466" s="173">
        <f>MIN(Tabelle132456[[#This Row],[Jira Story Points]],Tabelle132456[[#This Row],[Carry-over]])-Tabelle132456[[#This Row],[SP Initially Planned (COS)]]</f>
        <v>0</v>
      </c>
      <c r="O46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66" s="173">
        <f>IFERROR(IF(Tabelle132456[[#This Row],[Status]]=$I$5,MIN(Tabelle132456[[#This Row],[Jira Story Points]],Tabelle132456[[#This Row],[Carry-over]]),0),0)</f>
        <v>0</v>
      </c>
      <c r="Q466" s="173">
        <f>IFERROR(IF(Tabelle132456[[#This Row],[Status]]=$I$5,0,MIN(Tabelle132456[[#This Row],[Jira Story Points]],Tabelle132456[[#This Row],[Carry-over]])-Tabelle132456[[#This Row],[SP Completed (COS &amp; SOS)]]),0)</f>
        <v>0</v>
      </c>
    </row>
    <row r="467" spans="1:17" s="46" customFormat="1" ht="13.5" customHeight="1">
      <c r="A467" s="117"/>
      <c r="B467" s="47"/>
      <c r="C467" s="76"/>
      <c r="D467" s="76"/>
      <c r="E467" s="76"/>
      <c r="F467" s="104"/>
      <c r="G467" s="76"/>
      <c r="H467" s="83"/>
      <c r="I467" s="103"/>
      <c r="J467" s="76"/>
      <c r="K467" s="104"/>
      <c r="L467" s="104"/>
      <c r="M467" s="174">
        <f>IF(Tabelle132456[[#This Row],[Pulled after Start]]="",MIN(Tabelle132456[[#This Row],[Jira Story Points]],Tabelle132456[[#This Row],[Carry-over]]),0)</f>
        <v>0</v>
      </c>
      <c r="N467" s="173">
        <f>MIN(Tabelle132456[[#This Row],[Jira Story Points]],Tabelle132456[[#This Row],[Carry-over]])-Tabelle132456[[#This Row],[SP Initially Planned (COS)]]</f>
        <v>0</v>
      </c>
      <c r="O46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67" s="173">
        <f>IFERROR(IF(Tabelle132456[[#This Row],[Status]]=$I$5,MIN(Tabelle132456[[#This Row],[Jira Story Points]],Tabelle132456[[#This Row],[Carry-over]]),0),0)</f>
        <v>0</v>
      </c>
      <c r="Q467" s="173">
        <f>IFERROR(IF(Tabelle132456[[#This Row],[Status]]=$I$5,0,MIN(Tabelle132456[[#This Row],[Jira Story Points]],Tabelle132456[[#This Row],[Carry-over]])-Tabelle132456[[#This Row],[SP Completed (COS &amp; SOS)]]),0)</f>
        <v>0</v>
      </c>
    </row>
    <row r="468" spans="1:17" s="46" customFormat="1" ht="13.5" customHeight="1">
      <c r="A468" s="117"/>
      <c r="B468" s="47"/>
      <c r="C468" s="76"/>
      <c r="D468" s="76"/>
      <c r="E468" s="76"/>
      <c r="F468" s="104"/>
      <c r="G468" s="76"/>
      <c r="H468" s="83"/>
      <c r="I468" s="103"/>
      <c r="J468" s="76"/>
      <c r="K468" s="104"/>
      <c r="L468" s="104"/>
      <c r="M468" s="174">
        <f>IF(Tabelle132456[[#This Row],[Pulled after Start]]="",MIN(Tabelle132456[[#This Row],[Jira Story Points]],Tabelle132456[[#This Row],[Carry-over]]),0)</f>
        <v>0</v>
      </c>
      <c r="N468" s="173">
        <f>MIN(Tabelle132456[[#This Row],[Jira Story Points]],Tabelle132456[[#This Row],[Carry-over]])-Tabelle132456[[#This Row],[SP Initially Planned (COS)]]</f>
        <v>0</v>
      </c>
      <c r="O46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68" s="173">
        <f>IFERROR(IF(Tabelle132456[[#This Row],[Status]]=$I$5,MIN(Tabelle132456[[#This Row],[Jira Story Points]],Tabelle132456[[#This Row],[Carry-over]]),0),0)</f>
        <v>0</v>
      </c>
      <c r="Q468" s="173">
        <f>IFERROR(IF(Tabelle132456[[#This Row],[Status]]=$I$5,0,MIN(Tabelle132456[[#This Row],[Jira Story Points]],Tabelle132456[[#This Row],[Carry-over]])-Tabelle132456[[#This Row],[SP Completed (COS &amp; SOS)]]),0)</f>
        <v>0</v>
      </c>
    </row>
    <row r="469" spans="1:17" s="46" customFormat="1" ht="13.5" customHeight="1">
      <c r="A469" s="117"/>
      <c r="B469" s="47"/>
      <c r="C469" s="76"/>
      <c r="D469" s="76"/>
      <c r="E469" s="76"/>
      <c r="F469" s="104"/>
      <c r="G469" s="76"/>
      <c r="H469" s="83"/>
      <c r="I469" s="103"/>
      <c r="J469" s="76"/>
      <c r="K469" s="104"/>
      <c r="L469" s="104"/>
      <c r="M469" s="174">
        <f>IF(Tabelle132456[[#This Row],[Pulled after Start]]="",MIN(Tabelle132456[[#This Row],[Jira Story Points]],Tabelle132456[[#This Row],[Carry-over]]),0)</f>
        <v>0</v>
      </c>
      <c r="N469" s="173">
        <f>MIN(Tabelle132456[[#This Row],[Jira Story Points]],Tabelle132456[[#This Row],[Carry-over]])-Tabelle132456[[#This Row],[SP Initially Planned (COS)]]</f>
        <v>0</v>
      </c>
      <c r="O46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69" s="173">
        <f>IFERROR(IF(Tabelle132456[[#This Row],[Status]]=$I$5,MIN(Tabelle132456[[#This Row],[Jira Story Points]],Tabelle132456[[#This Row],[Carry-over]]),0),0)</f>
        <v>0</v>
      </c>
      <c r="Q469" s="173">
        <f>IFERROR(IF(Tabelle132456[[#This Row],[Status]]=$I$5,0,MIN(Tabelle132456[[#This Row],[Jira Story Points]],Tabelle132456[[#This Row],[Carry-over]])-Tabelle132456[[#This Row],[SP Completed (COS &amp; SOS)]]),0)</f>
        <v>0</v>
      </c>
    </row>
    <row r="470" spans="1:17" s="46" customFormat="1" ht="13.5" customHeight="1">
      <c r="A470" s="117"/>
      <c r="B470" s="47"/>
      <c r="C470" s="76"/>
      <c r="D470" s="76"/>
      <c r="E470" s="76"/>
      <c r="F470" s="104"/>
      <c r="G470" s="76"/>
      <c r="H470" s="83"/>
      <c r="I470" s="103"/>
      <c r="J470" s="76"/>
      <c r="K470" s="104"/>
      <c r="L470" s="104"/>
      <c r="M470" s="174">
        <f>IF(Tabelle132456[[#This Row],[Pulled after Start]]="",MIN(Tabelle132456[[#This Row],[Jira Story Points]],Tabelle132456[[#This Row],[Carry-over]]),0)</f>
        <v>0</v>
      </c>
      <c r="N470" s="173">
        <f>MIN(Tabelle132456[[#This Row],[Jira Story Points]],Tabelle132456[[#This Row],[Carry-over]])-Tabelle132456[[#This Row],[SP Initially Planned (COS)]]</f>
        <v>0</v>
      </c>
      <c r="O47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70" s="173">
        <f>IFERROR(IF(Tabelle132456[[#This Row],[Status]]=$I$5,MIN(Tabelle132456[[#This Row],[Jira Story Points]],Tabelle132456[[#This Row],[Carry-over]]),0),0)</f>
        <v>0</v>
      </c>
      <c r="Q470" s="173">
        <f>IFERROR(IF(Tabelle132456[[#This Row],[Status]]=$I$5,0,MIN(Tabelle132456[[#This Row],[Jira Story Points]],Tabelle132456[[#This Row],[Carry-over]])-Tabelle132456[[#This Row],[SP Completed (COS &amp; SOS)]]),0)</f>
        <v>0</v>
      </c>
    </row>
    <row r="471" spans="1:17" s="46" customFormat="1" ht="13.5" customHeight="1">
      <c r="A471" s="117"/>
      <c r="B471" s="47"/>
      <c r="C471" s="76"/>
      <c r="D471" s="76"/>
      <c r="E471" s="76"/>
      <c r="F471" s="104"/>
      <c r="G471" s="76"/>
      <c r="H471" s="83"/>
      <c r="I471" s="103"/>
      <c r="J471" s="76"/>
      <c r="K471" s="104"/>
      <c r="L471" s="104"/>
      <c r="M471" s="174">
        <f>IF(Tabelle132456[[#This Row],[Pulled after Start]]="",MIN(Tabelle132456[[#This Row],[Jira Story Points]],Tabelle132456[[#This Row],[Carry-over]]),0)</f>
        <v>0</v>
      </c>
      <c r="N471" s="173">
        <f>MIN(Tabelle132456[[#This Row],[Jira Story Points]],Tabelle132456[[#This Row],[Carry-over]])-Tabelle132456[[#This Row],[SP Initially Planned (COS)]]</f>
        <v>0</v>
      </c>
      <c r="O47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71" s="173">
        <f>IFERROR(IF(Tabelle132456[[#This Row],[Status]]=$I$5,MIN(Tabelle132456[[#This Row],[Jira Story Points]],Tabelle132456[[#This Row],[Carry-over]]),0),0)</f>
        <v>0</v>
      </c>
      <c r="Q471" s="173">
        <f>IFERROR(IF(Tabelle132456[[#This Row],[Status]]=$I$5,0,MIN(Tabelle132456[[#This Row],[Jira Story Points]],Tabelle132456[[#This Row],[Carry-over]])-Tabelle132456[[#This Row],[SP Completed (COS &amp; SOS)]]),0)</f>
        <v>0</v>
      </c>
    </row>
    <row r="472" spans="1:17" s="46" customFormat="1" ht="13.5" customHeight="1">
      <c r="A472" s="117"/>
      <c r="B472" s="47"/>
      <c r="C472" s="76"/>
      <c r="D472" s="76"/>
      <c r="E472" s="76"/>
      <c r="F472" s="104"/>
      <c r="G472" s="76"/>
      <c r="H472" s="83"/>
      <c r="I472" s="103"/>
      <c r="J472" s="76"/>
      <c r="K472" s="104"/>
      <c r="L472" s="104"/>
      <c r="M472" s="174">
        <f>IF(Tabelle132456[[#This Row],[Pulled after Start]]="",MIN(Tabelle132456[[#This Row],[Jira Story Points]],Tabelle132456[[#This Row],[Carry-over]]),0)</f>
        <v>0</v>
      </c>
      <c r="N472" s="173">
        <f>MIN(Tabelle132456[[#This Row],[Jira Story Points]],Tabelle132456[[#This Row],[Carry-over]])-Tabelle132456[[#This Row],[SP Initially Planned (COS)]]</f>
        <v>0</v>
      </c>
      <c r="O47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72" s="173">
        <f>IFERROR(IF(Tabelle132456[[#This Row],[Status]]=$I$5,MIN(Tabelle132456[[#This Row],[Jira Story Points]],Tabelle132456[[#This Row],[Carry-over]]),0),0)</f>
        <v>0</v>
      </c>
      <c r="Q472" s="173">
        <f>IFERROR(IF(Tabelle132456[[#This Row],[Status]]=$I$5,0,MIN(Tabelle132456[[#This Row],[Jira Story Points]],Tabelle132456[[#This Row],[Carry-over]])-Tabelle132456[[#This Row],[SP Completed (COS &amp; SOS)]]),0)</f>
        <v>0</v>
      </c>
    </row>
    <row r="473" spans="1:17" s="46" customFormat="1" ht="13.5" customHeight="1">
      <c r="A473" s="117"/>
      <c r="B473" s="47"/>
      <c r="C473" s="76"/>
      <c r="D473" s="76"/>
      <c r="E473" s="76"/>
      <c r="F473" s="104"/>
      <c r="G473" s="76"/>
      <c r="H473" s="83"/>
      <c r="I473" s="103"/>
      <c r="J473" s="76"/>
      <c r="K473" s="104"/>
      <c r="L473" s="104"/>
      <c r="M473" s="174">
        <f>IF(Tabelle132456[[#This Row],[Pulled after Start]]="",MIN(Tabelle132456[[#This Row],[Jira Story Points]],Tabelle132456[[#This Row],[Carry-over]]),0)</f>
        <v>0</v>
      </c>
      <c r="N473" s="173">
        <f>MIN(Tabelle132456[[#This Row],[Jira Story Points]],Tabelle132456[[#This Row],[Carry-over]])-Tabelle132456[[#This Row],[SP Initially Planned (COS)]]</f>
        <v>0</v>
      </c>
      <c r="O47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73" s="173">
        <f>IFERROR(IF(Tabelle132456[[#This Row],[Status]]=$I$5,MIN(Tabelle132456[[#This Row],[Jira Story Points]],Tabelle132456[[#This Row],[Carry-over]]),0),0)</f>
        <v>0</v>
      </c>
      <c r="Q473" s="173">
        <f>IFERROR(IF(Tabelle132456[[#This Row],[Status]]=$I$5,0,MIN(Tabelle132456[[#This Row],[Jira Story Points]],Tabelle132456[[#This Row],[Carry-over]])-Tabelle132456[[#This Row],[SP Completed (COS &amp; SOS)]]),0)</f>
        <v>0</v>
      </c>
    </row>
    <row r="474" spans="1:17" s="46" customFormat="1" ht="13.5" customHeight="1">
      <c r="A474" s="117"/>
      <c r="B474" s="47"/>
      <c r="C474" s="76"/>
      <c r="D474" s="76"/>
      <c r="E474" s="76"/>
      <c r="F474" s="104"/>
      <c r="G474" s="76"/>
      <c r="H474" s="83"/>
      <c r="I474" s="103"/>
      <c r="J474" s="76"/>
      <c r="K474" s="104"/>
      <c r="L474" s="104"/>
      <c r="M474" s="174">
        <f>IF(Tabelle132456[[#This Row],[Pulled after Start]]="",MIN(Tabelle132456[[#This Row],[Jira Story Points]],Tabelle132456[[#This Row],[Carry-over]]),0)</f>
        <v>0</v>
      </c>
      <c r="N474" s="173">
        <f>MIN(Tabelle132456[[#This Row],[Jira Story Points]],Tabelle132456[[#This Row],[Carry-over]])-Tabelle132456[[#This Row],[SP Initially Planned (COS)]]</f>
        <v>0</v>
      </c>
      <c r="O47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74" s="173">
        <f>IFERROR(IF(Tabelle132456[[#This Row],[Status]]=$I$5,MIN(Tabelle132456[[#This Row],[Jira Story Points]],Tabelle132456[[#This Row],[Carry-over]]),0),0)</f>
        <v>0</v>
      </c>
      <c r="Q474" s="173">
        <f>IFERROR(IF(Tabelle132456[[#This Row],[Status]]=$I$5,0,MIN(Tabelle132456[[#This Row],[Jira Story Points]],Tabelle132456[[#This Row],[Carry-over]])-Tabelle132456[[#This Row],[SP Completed (COS &amp; SOS)]]),0)</f>
        <v>0</v>
      </c>
    </row>
    <row r="475" spans="1:17" s="46" customFormat="1" ht="13.5" customHeight="1">
      <c r="A475" s="117"/>
      <c r="B475" s="47"/>
      <c r="C475" s="76"/>
      <c r="D475" s="76"/>
      <c r="E475" s="76"/>
      <c r="F475" s="104"/>
      <c r="G475" s="76"/>
      <c r="H475" s="83"/>
      <c r="I475" s="103"/>
      <c r="J475" s="76"/>
      <c r="K475" s="104"/>
      <c r="L475" s="104"/>
      <c r="M475" s="174">
        <f>IF(Tabelle132456[[#This Row],[Pulled after Start]]="",MIN(Tabelle132456[[#This Row],[Jira Story Points]],Tabelle132456[[#This Row],[Carry-over]]),0)</f>
        <v>0</v>
      </c>
      <c r="N475" s="173">
        <f>MIN(Tabelle132456[[#This Row],[Jira Story Points]],Tabelle132456[[#This Row],[Carry-over]])-Tabelle132456[[#This Row],[SP Initially Planned (COS)]]</f>
        <v>0</v>
      </c>
      <c r="O47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75" s="173">
        <f>IFERROR(IF(Tabelle132456[[#This Row],[Status]]=$I$5,MIN(Tabelle132456[[#This Row],[Jira Story Points]],Tabelle132456[[#This Row],[Carry-over]]),0),0)</f>
        <v>0</v>
      </c>
      <c r="Q475" s="173">
        <f>IFERROR(IF(Tabelle132456[[#This Row],[Status]]=$I$5,0,MIN(Tabelle132456[[#This Row],[Jira Story Points]],Tabelle132456[[#This Row],[Carry-over]])-Tabelle132456[[#This Row],[SP Completed (COS &amp; SOS)]]),0)</f>
        <v>0</v>
      </c>
    </row>
    <row r="476" spans="1:17" s="46" customFormat="1" ht="13.5" customHeight="1">
      <c r="A476" s="117"/>
      <c r="B476" s="47"/>
      <c r="C476" s="76"/>
      <c r="D476" s="76"/>
      <c r="E476" s="76"/>
      <c r="F476" s="104"/>
      <c r="G476" s="76"/>
      <c r="H476" s="83"/>
      <c r="I476" s="103"/>
      <c r="J476" s="76"/>
      <c r="K476" s="104"/>
      <c r="L476" s="104"/>
      <c r="M476" s="174">
        <f>IF(Tabelle132456[[#This Row],[Pulled after Start]]="",MIN(Tabelle132456[[#This Row],[Jira Story Points]],Tabelle132456[[#This Row],[Carry-over]]),0)</f>
        <v>0</v>
      </c>
      <c r="N476" s="173">
        <f>MIN(Tabelle132456[[#This Row],[Jira Story Points]],Tabelle132456[[#This Row],[Carry-over]])-Tabelle132456[[#This Row],[SP Initially Planned (COS)]]</f>
        <v>0</v>
      </c>
      <c r="O47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76" s="173">
        <f>IFERROR(IF(Tabelle132456[[#This Row],[Status]]=$I$5,MIN(Tabelle132456[[#This Row],[Jira Story Points]],Tabelle132456[[#This Row],[Carry-over]]),0),0)</f>
        <v>0</v>
      </c>
      <c r="Q476" s="173">
        <f>IFERROR(IF(Tabelle132456[[#This Row],[Status]]=$I$5,0,MIN(Tabelle132456[[#This Row],[Jira Story Points]],Tabelle132456[[#This Row],[Carry-over]])-Tabelle132456[[#This Row],[SP Completed (COS &amp; SOS)]]),0)</f>
        <v>0</v>
      </c>
    </row>
    <row r="477" spans="1:17" s="46" customFormat="1" ht="13.5" customHeight="1">
      <c r="A477" s="117"/>
      <c r="B477" s="47"/>
      <c r="C477" s="76"/>
      <c r="D477" s="76"/>
      <c r="E477" s="76"/>
      <c r="F477" s="104"/>
      <c r="G477" s="76"/>
      <c r="H477" s="83"/>
      <c r="I477" s="103"/>
      <c r="J477" s="76"/>
      <c r="K477" s="104"/>
      <c r="L477" s="104"/>
      <c r="M477" s="174">
        <f>IF(Tabelle132456[[#This Row],[Pulled after Start]]="",MIN(Tabelle132456[[#This Row],[Jira Story Points]],Tabelle132456[[#This Row],[Carry-over]]),0)</f>
        <v>0</v>
      </c>
      <c r="N477" s="173">
        <f>MIN(Tabelle132456[[#This Row],[Jira Story Points]],Tabelle132456[[#This Row],[Carry-over]])-Tabelle132456[[#This Row],[SP Initially Planned (COS)]]</f>
        <v>0</v>
      </c>
      <c r="O47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77" s="173">
        <f>IFERROR(IF(Tabelle132456[[#This Row],[Status]]=$I$5,MIN(Tabelle132456[[#This Row],[Jira Story Points]],Tabelle132456[[#This Row],[Carry-over]]),0),0)</f>
        <v>0</v>
      </c>
      <c r="Q477" s="173">
        <f>IFERROR(IF(Tabelle132456[[#This Row],[Status]]=$I$5,0,MIN(Tabelle132456[[#This Row],[Jira Story Points]],Tabelle132456[[#This Row],[Carry-over]])-Tabelle132456[[#This Row],[SP Completed (COS &amp; SOS)]]),0)</f>
        <v>0</v>
      </c>
    </row>
    <row r="478" spans="1:17" s="46" customFormat="1" ht="13.5" customHeight="1">
      <c r="A478" s="117"/>
      <c r="B478" s="47"/>
      <c r="C478" s="76"/>
      <c r="D478" s="76"/>
      <c r="E478" s="76"/>
      <c r="F478" s="104"/>
      <c r="G478" s="76"/>
      <c r="H478" s="83"/>
      <c r="I478" s="103"/>
      <c r="J478" s="76"/>
      <c r="K478" s="104"/>
      <c r="L478" s="104"/>
      <c r="M478" s="174">
        <f>IF(Tabelle132456[[#This Row],[Pulled after Start]]="",MIN(Tabelle132456[[#This Row],[Jira Story Points]],Tabelle132456[[#This Row],[Carry-over]]),0)</f>
        <v>0</v>
      </c>
      <c r="N478" s="173">
        <f>MIN(Tabelle132456[[#This Row],[Jira Story Points]],Tabelle132456[[#This Row],[Carry-over]])-Tabelle132456[[#This Row],[SP Initially Planned (COS)]]</f>
        <v>0</v>
      </c>
      <c r="O47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78" s="173">
        <f>IFERROR(IF(Tabelle132456[[#This Row],[Status]]=$I$5,MIN(Tabelle132456[[#This Row],[Jira Story Points]],Tabelle132456[[#This Row],[Carry-over]]),0),0)</f>
        <v>0</v>
      </c>
      <c r="Q478" s="173">
        <f>IFERROR(IF(Tabelle132456[[#This Row],[Status]]=$I$5,0,MIN(Tabelle132456[[#This Row],[Jira Story Points]],Tabelle132456[[#This Row],[Carry-over]])-Tabelle132456[[#This Row],[SP Completed (COS &amp; SOS)]]),0)</f>
        <v>0</v>
      </c>
    </row>
    <row r="479" spans="1:17" s="46" customFormat="1" ht="13.5" customHeight="1">
      <c r="A479" s="117"/>
      <c r="B479" s="47"/>
      <c r="C479" s="76"/>
      <c r="D479" s="76"/>
      <c r="E479" s="76"/>
      <c r="F479" s="104"/>
      <c r="G479" s="76"/>
      <c r="H479" s="83"/>
      <c r="I479" s="103"/>
      <c r="J479" s="76"/>
      <c r="K479" s="104"/>
      <c r="L479" s="104"/>
      <c r="M479" s="174">
        <f>IF(Tabelle132456[[#This Row],[Pulled after Start]]="",MIN(Tabelle132456[[#This Row],[Jira Story Points]],Tabelle132456[[#This Row],[Carry-over]]),0)</f>
        <v>0</v>
      </c>
      <c r="N479" s="173">
        <f>MIN(Tabelle132456[[#This Row],[Jira Story Points]],Tabelle132456[[#This Row],[Carry-over]])-Tabelle132456[[#This Row],[SP Initially Planned (COS)]]</f>
        <v>0</v>
      </c>
      <c r="O47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79" s="173">
        <f>IFERROR(IF(Tabelle132456[[#This Row],[Status]]=$I$5,MIN(Tabelle132456[[#This Row],[Jira Story Points]],Tabelle132456[[#This Row],[Carry-over]]),0),0)</f>
        <v>0</v>
      </c>
      <c r="Q479" s="173">
        <f>IFERROR(IF(Tabelle132456[[#This Row],[Status]]=$I$5,0,MIN(Tabelle132456[[#This Row],[Jira Story Points]],Tabelle132456[[#This Row],[Carry-over]])-Tabelle132456[[#This Row],[SP Completed (COS &amp; SOS)]]),0)</f>
        <v>0</v>
      </c>
    </row>
    <row r="480" spans="1:17" s="46" customFormat="1" ht="13.5" customHeight="1">
      <c r="A480" s="117"/>
      <c r="B480" s="47"/>
      <c r="C480" s="76"/>
      <c r="D480" s="76"/>
      <c r="E480" s="76"/>
      <c r="F480" s="104"/>
      <c r="G480" s="76"/>
      <c r="H480" s="83"/>
      <c r="I480" s="103"/>
      <c r="J480" s="76"/>
      <c r="K480" s="104"/>
      <c r="L480" s="104"/>
      <c r="M480" s="174">
        <f>IF(Tabelle132456[[#This Row],[Pulled after Start]]="",MIN(Tabelle132456[[#This Row],[Jira Story Points]],Tabelle132456[[#This Row],[Carry-over]]),0)</f>
        <v>0</v>
      </c>
      <c r="N480" s="173">
        <f>MIN(Tabelle132456[[#This Row],[Jira Story Points]],Tabelle132456[[#This Row],[Carry-over]])-Tabelle132456[[#This Row],[SP Initially Planned (COS)]]</f>
        <v>0</v>
      </c>
      <c r="O48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80" s="173">
        <f>IFERROR(IF(Tabelle132456[[#This Row],[Status]]=$I$5,MIN(Tabelle132456[[#This Row],[Jira Story Points]],Tabelle132456[[#This Row],[Carry-over]]),0),0)</f>
        <v>0</v>
      </c>
      <c r="Q480" s="173">
        <f>IFERROR(IF(Tabelle132456[[#This Row],[Status]]=$I$5,0,MIN(Tabelle132456[[#This Row],[Jira Story Points]],Tabelle132456[[#This Row],[Carry-over]])-Tabelle132456[[#This Row],[SP Completed (COS &amp; SOS)]]),0)</f>
        <v>0</v>
      </c>
    </row>
    <row r="481" spans="1:17" s="46" customFormat="1" ht="13.5" customHeight="1">
      <c r="A481" s="117"/>
      <c r="B481" s="47"/>
      <c r="C481" s="76"/>
      <c r="D481" s="76"/>
      <c r="E481" s="76"/>
      <c r="F481" s="104"/>
      <c r="G481" s="76"/>
      <c r="H481" s="83"/>
      <c r="I481" s="103"/>
      <c r="J481" s="76"/>
      <c r="K481" s="104"/>
      <c r="L481" s="104"/>
      <c r="M481" s="174">
        <f>IF(Tabelle132456[[#This Row],[Pulled after Start]]="",MIN(Tabelle132456[[#This Row],[Jira Story Points]],Tabelle132456[[#This Row],[Carry-over]]),0)</f>
        <v>0</v>
      </c>
      <c r="N481" s="173">
        <f>MIN(Tabelle132456[[#This Row],[Jira Story Points]],Tabelle132456[[#This Row],[Carry-over]])-Tabelle132456[[#This Row],[SP Initially Planned (COS)]]</f>
        <v>0</v>
      </c>
      <c r="O48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81" s="173">
        <f>IFERROR(IF(Tabelle132456[[#This Row],[Status]]=$I$5,MIN(Tabelle132456[[#This Row],[Jira Story Points]],Tabelle132456[[#This Row],[Carry-over]]),0),0)</f>
        <v>0</v>
      </c>
      <c r="Q481" s="173">
        <f>IFERROR(IF(Tabelle132456[[#This Row],[Status]]=$I$5,0,MIN(Tabelle132456[[#This Row],[Jira Story Points]],Tabelle132456[[#This Row],[Carry-over]])-Tabelle132456[[#This Row],[SP Completed (COS &amp; SOS)]]),0)</f>
        <v>0</v>
      </c>
    </row>
    <row r="482" spans="1:17" s="46" customFormat="1" ht="13.5" customHeight="1">
      <c r="A482" s="117"/>
      <c r="B482" s="47"/>
      <c r="C482" s="76"/>
      <c r="D482" s="76"/>
      <c r="E482" s="76"/>
      <c r="F482" s="104"/>
      <c r="G482" s="76"/>
      <c r="H482" s="83"/>
      <c r="I482" s="103"/>
      <c r="J482" s="76"/>
      <c r="K482" s="104"/>
      <c r="L482" s="104"/>
      <c r="M482" s="174">
        <f>IF(Tabelle132456[[#This Row],[Pulled after Start]]="",MIN(Tabelle132456[[#This Row],[Jira Story Points]],Tabelle132456[[#This Row],[Carry-over]]),0)</f>
        <v>0</v>
      </c>
      <c r="N482" s="173">
        <f>MIN(Tabelle132456[[#This Row],[Jira Story Points]],Tabelle132456[[#This Row],[Carry-over]])-Tabelle132456[[#This Row],[SP Initially Planned (COS)]]</f>
        <v>0</v>
      </c>
      <c r="O48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82" s="173">
        <f>IFERROR(IF(Tabelle132456[[#This Row],[Status]]=$I$5,MIN(Tabelle132456[[#This Row],[Jira Story Points]],Tabelle132456[[#This Row],[Carry-over]]),0),0)</f>
        <v>0</v>
      </c>
      <c r="Q482" s="173">
        <f>IFERROR(IF(Tabelle132456[[#This Row],[Status]]=$I$5,0,MIN(Tabelle132456[[#This Row],[Jira Story Points]],Tabelle132456[[#This Row],[Carry-over]])-Tabelle132456[[#This Row],[SP Completed (COS &amp; SOS)]]),0)</f>
        <v>0</v>
      </c>
    </row>
    <row r="483" spans="1:17" s="46" customFormat="1" ht="13.5" customHeight="1">
      <c r="A483" s="117"/>
      <c r="B483" s="47"/>
      <c r="C483" s="76"/>
      <c r="D483" s="76"/>
      <c r="E483" s="76"/>
      <c r="F483" s="104"/>
      <c r="G483" s="76"/>
      <c r="H483" s="83"/>
      <c r="I483" s="103"/>
      <c r="J483" s="76"/>
      <c r="K483" s="104"/>
      <c r="L483" s="104"/>
      <c r="M483" s="174">
        <f>IF(Tabelle132456[[#This Row],[Pulled after Start]]="",MIN(Tabelle132456[[#This Row],[Jira Story Points]],Tabelle132456[[#This Row],[Carry-over]]),0)</f>
        <v>0</v>
      </c>
      <c r="N483" s="173">
        <f>MIN(Tabelle132456[[#This Row],[Jira Story Points]],Tabelle132456[[#This Row],[Carry-over]])-Tabelle132456[[#This Row],[SP Initially Planned (COS)]]</f>
        <v>0</v>
      </c>
      <c r="O48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83" s="173">
        <f>IFERROR(IF(Tabelle132456[[#This Row],[Status]]=$I$5,MIN(Tabelle132456[[#This Row],[Jira Story Points]],Tabelle132456[[#This Row],[Carry-over]]),0),0)</f>
        <v>0</v>
      </c>
      <c r="Q483" s="173">
        <f>IFERROR(IF(Tabelle132456[[#This Row],[Status]]=$I$5,0,MIN(Tabelle132456[[#This Row],[Jira Story Points]],Tabelle132456[[#This Row],[Carry-over]])-Tabelle132456[[#This Row],[SP Completed (COS &amp; SOS)]]),0)</f>
        <v>0</v>
      </c>
    </row>
    <row r="484" spans="1:17" s="46" customFormat="1" ht="13.5" customHeight="1">
      <c r="A484" s="117"/>
      <c r="B484" s="47"/>
      <c r="C484" s="76"/>
      <c r="D484" s="76"/>
      <c r="E484" s="76"/>
      <c r="F484" s="104"/>
      <c r="G484" s="76"/>
      <c r="H484" s="83"/>
      <c r="I484" s="103"/>
      <c r="J484" s="76"/>
      <c r="K484" s="104"/>
      <c r="L484" s="104"/>
      <c r="M484" s="174">
        <f>IF(Tabelle132456[[#This Row],[Pulled after Start]]="",MIN(Tabelle132456[[#This Row],[Jira Story Points]],Tabelle132456[[#This Row],[Carry-over]]),0)</f>
        <v>0</v>
      </c>
      <c r="N484" s="173">
        <f>MIN(Tabelle132456[[#This Row],[Jira Story Points]],Tabelle132456[[#This Row],[Carry-over]])-Tabelle132456[[#This Row],[SP Initially Planned (COS)]]</f>
        <v>0</v>
      </c>
      <c r="O48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84" s="173">
        <f>IFERROR(IF(Tabelle132456[[#This Row],[Status]]=$I$5,MIN(Tabelle132456[[#This Row],[Jira Story Points]],Tabelle132456[[#This Row],[Carry-over]]),0),0)</f>
        <v>0</v>
      </c>
      <c r="Q484" s="173">
        <f>IFERROR(IF(Tabelle132456[[#This Row],[Status]]=$I$5,0,MIN(Tabelle132456[[#This Row],[Jira Story Points]],Tabelle132456[[#This Row],[Carry-over]])-Tabelle132456[[#This Row],[SP Completed (COS &amp; SOS)]]),0)</f>
        <v>0</v>
      </c>
    </row>
    <row r="485" spans="1:17" s="46" customFormat="1" ht="13.5" customHeight="1">
      <c r="A485" s="117"/>
      <c r="B485" s="47"/>
      <c r="C485" s="76"/>
      <c r="D485" s="76"/>
      <c r="E485" s="76"/>
      <c r="F485" s="104"/>
      <c r="G485" s="76"/>
      <c r="H485" s="83"/>
      <c r="I485" s="103"/>
      <c r="J485" s="76"/>
      <c r="K485" s="104"/>
      <c r="L485" s="104"/>
      <c r="M485" s="174">
        <f>IF(Tabelle132456[[#This Row],[Pulled after Start]]="",MIN(Tabelle132456[[#This Row],[Jira Story Points]],Tabelle132456[[#This Row],[Carry-over]]),0)</f>
        <v>0</v>
      </c>
      <c r="N485" s="173">
        <f>MIN(Tabelle132456[[#This Row],[Jira Story Points]],Tabelle132456[[#This Row],[Carry-over]])-Tabelle132456[[#This Row],[SP Initially Planned (COS)]]</f>
        <v>0</v>
      </c>
      <c r="O48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85" s="173">
        <f>IFERROR(IF(Tabelle132456[[#This Row],[Status]]=$I$5,MIN(Tabelle132456[[#This Row],[Jira Story Points]],Tabelle132456[[#This Row],[Carry-over]]),0),0)</f>
        <v>0</v>
      </c>
      <c r="Q485" s="173">
        <f>IFERROR(IF(Tabelle132456[[#This Row],[Status]]=$I$5,0,MIN(Tabelle132456[[#This Row],[Jira Story Points]],Tabelle132456[[#This Row],[Carry-over]])-Tabelle132456[[#This Row],[SP Completed (COS &amp; SOS)]]),0)</f>
        <v>0</v>
      </c>
    </row>
    <row r="486" spans="1:17" s="46" customFormat="1" ht="13.5" customHeight="1">
      <c r="A486" s="117"/>
      <c r="B486" s="47"/>
      <c r="C486" s="76"/>
      <c r="D486" s="76"/>
      <c r="E486" s="76"/>
      <c r="F486" s="104"/>
      <c r="G486" s="76"/>
      <c r="H486" s="83"/>
      <c r="I486" s="103"/>
      <c r="J486" s="76"/>
      <c r="K486" s="104"/>
      <c r="L486" s="104"/>
      <c r="M486" s="174">
        <f>IF(Tabelle132456[[#This Row],[Pulled after Start]]="",MIN(Tabelle132456[[#This Row],[Jira Story Points]],Tabelle132456[[#This Row],[Carry-over]]),0)</f>
        <v>0</v>
      </c>
      <c r="N486" s="173">
        <f>MIN(Tabelle132456[[#This Row],[Jira Story Points]],Tabelle132456[[#This Row],[Carry-over]])-Tabelle132456[[#This Row],[SP Initially Planned (COS)]]</f>
        <v>0</v>
      </c>
      <c r="O48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86" s="173">
        <f>IFERROR(IF(Tabelle132456[[#This Row],[Status]]=$I$5,MIN(Tabelle132456[[#This Row],[Jira Story Points]],Tabelle132456[[#This Row],[Carry-over]]),0),0)</f>
        <v>0</v>
      </c>
      <c r="Q486" s="173">
        <f>IFERROR(IF(Tabelle132456[[#This Row],[Status]]=$I$5,0,MIN(Tabelle132456[[#This Row],[Jira Story Points]],Tabelle132456[[#This Row],[Carry-over]])-Tabelle132456[[#This Row],[SP Completed (COS &amp; SOS)]]),0)</f>
        <v>0</v>
      </c>
    </row>
    <row r="487" spans="1:17" s="46" customFormat="1" ht="13.5" customHeight="1">
      <c r="A487" s="117"/>
      <c r="B487" s="47"/>
      <c r="C487" s="76"/>
      <c r="D487" s="76"/>
      <c r="E487" s="76"/>
      <c r="F487" s="104"/>
      <c r="G487" s="76"/>
      <c r="H487" s="83"/>
      <c r="I487" s="103"/>
      <c r="J487" s="76"/>
      <c r="K487" s="104"/>
      <c r="L487" s="104"/>
      <c r="M487" s="174">
        <f>IF(Tabelle132456[[#This Row],[Pulled after Start]]="",MIN(Tabelle132456[[#This Row],[Jira Story Points]],Tabelle132456[[#This Row],[Carry-over]]),0)</f>
        <v>0</v>
      </c>
      <c r="N487" s="173">
        <f>MIN(Tabelle132456[[#This Row],[Jira Story Points]],Tabelle132456[[#This Row],[Carry-over]])-Tabelle132456[[#This Row],[SP Initially Planned (COS)]]</f>
        <v>0</v>
      </c>
      <c r="O48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87" s="173">
        <f>IFERROR(IF(Tabelle132456[[#This Row],[Status]]=$I$5,MIN(Tabelle132456[[#This Row],[Jira Story Points]],Tabelle132456[[#This Row],[Carry-over]]),0),0)</f>
        <v>0</v>
      </c>
      <c r="Q487" s="173">
        <f>IFERROR(IF(Tabelle132456[[#This Row],[Status]]=$I$5,0,MIN(Tabelle132456[[#This Row],[Jira Story Points]],Tabelle132456[[#This Row],[Carry-over]])-Tabelle132456[[#This Row],[SP Completed (COS &amp; SOS)]]),0)</f>
        <v>0</v>
      </c>
    </row>
    <row r="488" spans="1:17" s="46" customFormat="1" ht="13.5" customHeight="1">
      <c r="A488" s="117"/>
      <c r="B488" s="47"/>
      <c r="C488" s="76"/>
      <c r="D488" s="76"/>
      <c r="E488" s="76"/>
      <c r="F488" s="104"/>
      <c r="G488" s="76"/>
      <c r="H488" s="83"/>
      <c r="I488" s="103"/>
      <c r="J488" s="76"/>
      <c r="K488" s="104"/>
      <c r="L488" s="104"/>
      <c r="M488" s="174">
        <f>IF(Tabelle132456[[#This Row],[Pulled after Start]]="",MIN(Tabelle132456[[#This Row],[Jira Story Points]],Tabelle132456[[#This Row],[Carry-over]]),0)</f>
        <v>0</v>
      </c>
      <c r="N488" s="173">
        <f>MIN(Tabelle132456[[#This Row],[Jira Story Points]],Tabelle132456[[#This Row],[Carry-over]])-Tabelle132456[[#This Row],[SP Initially Planned (COS)]]</f>
        <v>0</v>
      </c>
      <c r="O48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88" s="173">
        <f>IFERROR(IF(Tabelle132456[[#This Row],[Status]]=$I$5,MIN(Tabelle132456[[#This Row],[Jira Story Points]],Tabelle132456[[#This Row],[Carry-over]]),0),0)</f>
        <v>0</v>
      </c>
      <c r="Q488" s="173">
        <f>IFERROR(IF(Tabelle132456[[#This Row],[Status]]=$I$5,0,MIN(Tabelle132456[[#This Row],[Jira Story Points]],Tabelle132456[[#This Row],[Carry-over]])-Tabelle132456[[#This Row],[SP Completed (COS &amp; SOS)]]),0)</f>
        <v>0</v>
      </c>
    </row>
    <row r="489" spans="1:17" s="46" customFormat="1" ht="13.5" customHeight="1">
      <c r="A489" s="117"/>
      <c r="B489" s="47"/>
      <c r="C489" s="76"/>
      <c r="D489" s="76"/>
      <c r="E489" s="76"/>
      <c r="F489" s="104"/>
      <c r="G489" s="76"/>
      <c r="H489" s="83"/>
      <c r="I489" s="103"/>
      <c r="J489" s="76"/>
      <c r="K489" s="104"/>
      <c r="L489" s="104"/>
      <c r="M489" s="174">
        <f>IF(Tabelle132456[[#This Row],[Pulled after Start]]="",MIN(Tabelle132456[[#This Row],[Jira Story Points]],Tabelle132456[[#This Row],[Carry-over]]),0)</f>
        <v>0</v>
      </c>
      <c r="N489" s="173">
        <f>MIN(Tabelle132456[[#This Row],[Jira Story Points]],Tabelle132456[[#This Row],[Carry-over]])-Tabelle132456[[#This Row],[SP Initially Planned (COS)]]</f>
        <v>0</v>
      </c>
      <c r="O48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89" s="173">
        <f>IFERROR(IF(Tabelle132456[[#This Row],[Status]]=$I$5,MIN(Tabelle132456[[#This Row],[Jira Story Points]],Tabelle132456[[#This Row],[Carry-over]]),0),0)</f>
        <v>0</v>
      </c>
      <c r="Q489" s="173">
        <f>IFERROR(IF(Tabelle132456[[#This Row],[Status]]=$I$5,0,MIN(Tabelle132456[[#This Row],[Jira Story Points]],Tabelle132456[[#This Row],[Carry-over]])-Tabelle132456[[#This Row],[SP Completed (COS &amp; SOS)]]),0)</f>
        <v>0</v>
      </c>
    </row>
    <row r="490" spans="1:17" s="46" customFormat="1" ht="13.5" customHeight="1">
      <c r="A490" s="117"/>
      <c r="B490" s="47"/>
      <c r="C490" s="76"/>
      <c r="D490" s="76"/>
      <c r="E490" s="76"/>
      <c r="F490" s="104"/>
      <c r="G490" s="76"/>
      <c r="H490" s="83"/>
      <c r="I490" s="103"/>
      <c r="J490" s="76"/>
      <c r="K490" s="104"/>
      <c r="L490" s="104"/>
      <c r="M490" s="174">
        <f>IF(Tabelle132456[[#This Row],[Pulled after Start]]="",MIN(Tabelle132456[[#This Row],[Jira Story Points]],Tabelle132456[[#This Row],[Carry-over]]),0)</f>
        <v>0</v>
      </c>
      <c r="N490" s="173">
        <f>MIN(Tabelle132456[[#This Row],[Jira Story Points]],Tabelle132456[[#This Row],[Carry-over]])-Tabelle132456[[#This Row],[SP Initially Planned (COS)]]</f>
        <v>0</v>
      </c>
      <c r="O49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90" s="173">
        <f>IFERROR(IF(Tabelle132456[[#This Row],[Status]]=$I$5,MIN(Tabelle132456[[#This Row],[Jira Story Points]],Tabelle132456[[#This Row],[Carry-over]]),0),0)</f>
        <v>0</v>
      </c>
      <c r="Q490" s="173">
        <f>IFERROR(IF(Tabelle132456[[#This Row],[Status]]=$I$5,0,MIN(Tabelle132456[[#This Row],[Jira Story Points]],Tabelle132456[[#This Row],[Carry-over]])-Tabelle132456[[#This Row],[SP Completed (COS &amp; SOS)]]),0)</f>
        <v>0</v>
      </c>
    </row>
    <row r="491" spans="1:17" s="46" customFormat="1" ht="13.5" customHeight="1">
      <c r="A491" s="117"/>
      <c r="B491" s="47"/>
      <c r="C491" s="76"/>
      <c r="D491" s="76"/>
      <c r="E491" s="76"/>
      <c r="F491" s="104"/>
      <c r="G491" s="76"/>
      <c r="H491" s="83"/>
      <c r="I491" s="103"/>
      <c r="J491" s="76"/>
      <c r="K491" s="104"/>
      <c r="L491" s="104"/>
      <c r="M491" s="174">
        <f>IF(Tabelle132456[[#This Row],[Pulled after Start]]="",MIN(Tabelle132456[[#This Row],[Jira Story Points]],Tabelle132456[[#This Row],[Carry-over]]),0)</f>
        <v>0</v>
      </c>
      <c r="N491" s="173">
        <f>MIN(Tabelle132456[[#This Row],[Jira Story Points]],Tabelle132456[[#This Row],[Carry-over]])-Tabelle132456[[#This Row],[SP Initially Planned (COS)]]</f>
        <v>0</v>
      </c>
      <c r="O49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91" s="173">
        <f>IFERROR(IF(Tabelle132456[[#This Row],[Status]]=$I$5,MIN(Tabelle132456[[#This Row],[Jira Story Points]],Tabelle132456[[#This Row],[Carry-over]]),0),0)</f>
        <v>0</v>
      </c>
      <c r="Q491" s="173">
        <f>IFERROR(IF(Tabelle132456[[#This Row],[Status]]=$I$5,0,MIN(Tabelle132456[[#This Row],[Jira Story Points]],Tabelle132456[[#This Row],[Carry-over]])-Tabelle132456[[#This Row],[SP Completed (COS &amp; SOS)]]),0)</f>
        <v>0</v>
      </c>
    </row>
    <row r="492" spans="1:17" s="46" customFormat="1" ht="13.5" customHeight="1">
      <c r="A492" s="117"/>
      <c r="B492" s="47"/>
      <c r="C492" s="76"/>
      <c r="D492" s="76"/>
      <c r="E492" s="76"/>
      <c r="F492" s="104"/>
      <c r="G492" s="76"/>
      <c r="H492" s="83"/>
      <c r="I492" s="103"/>
      <c r="J492" s="76"/>
      <c r="K492" s="104"/>
      <c r="L492" s="104"/>
      <c r="M492" s="174">
        <f>IF(Tabelle132456[[#This Row],[Pulled after Start]]="",MIN(Tabelle132456[[#This Row],[Jira Story Points]],Tabelle132456[[#This Row],[Carry-over]]),0)</f>
        <v>0</v>
      </c>
      <c r="N492" s="173">
        <f>MIN(Tabelle132456[[#This Row],[Jira Story Points]],Tabelle132456[[#This Row],[Carry-over]])-Tabelle132456[[#This Row],[SP Initially Planned (COS)]]</f>
        <v>0</v>
      </c>
      <c r="O49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92" s="173">
        <f>IFERROR(IF(Tabelle132456[[#This Row],[Status]]=$I$5,MIN(Tabelle132456[[#This Row],[Jira Story Points]],Tabelle132456[[#This Row],[Carry-over]]),0),0)</f>
        <v>0</v>
      </c>
      <c r="Q492" s="173">
        <f>IFERROR(IF(Tabelle132456[[#This Row],[Status]]=$I$5,0,MIN(Tabelle132456[[#This Row],[Jira Story Points]],Tabelle132456[[#This Row],[Carry-over]])-Tabelle132456[[#This Row],[SP Completed (COS &amp; SOS)]]),0)</f>
        <v>0</v>
      </c>
    </row>
    <row r="493" spans="1:17" s="46" customFormat="1" ht="13.5" customHeight="1">
      <c r="A493" s="117"/>
      <c r="B493" s="47"/>
      <c r="C493" s="76"/>
      <c r="D493" s="76"/>
      <c r="E493" s="76"/>
      <c r="F493" s="104"/>
      <c r="G493" s="76"/>
      <c r="H493" s="83"/>
      <c r="I493" s="103"/>
      <c r="J493" s="76"/>
      <c r="K493" s="104"/>
      <c r="L493" s="104"/>
      <c r="M493" s="174">
        <f>IF(Tabelle132456[[#This Row],[Pulled after Start]]="",MIN(Tabelle132456[[#This Row],[Jira Story Points]],Tabelle132456[[#This Row],[Carry-over]]),0)</f>
        <v>0</v>
      </c>
      <c r="N493" s="173">
        <f>MIN(Tabelle132456[[#This Row],[Jira Story Points]],Tabelle132456[[#This Row],[Carry-over]])-Tabelle132456[[#This Row],[SP Initially Planned (COS)]]</f>
        <v>0</v>
      </c>
      <c r="O49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93" s="173">
        <f>IFERROR(IF(Tabelle132456[[#This Row],[Status]]=$I$5,MIN(Tabelle132456[[#This Row],[Jira Story Points]],Tabelle132456[[#This Row],[Carry-over]]),0),0)</f>
        <v>0</v>
      </c>
      <c r="Q493" s="173">
        <f>IFERROR(IF(Tabelle132456[[#This Row],[Status]]=$I$5,0,MIN(Tabelle132456[[#This Row],[Jira Story Points]],Tabelle132456[[#This Row],[Carry-over]])-Tabelle132456[[#This Row],[SP Completed (COS &amp; SOS)]]),0)</f>
        <v>0</v>
      </c>
    </row>
    <row r="494" spans="1:17" s="46" customFormat="1" ht="13.5" customHeight="1">
      <c r="A494" s="117"/>
      <c r="B494" s="47"/>
      <c r="C494" s="76"/>
      <c r="D494" s="76"/>
      <c r="E494" s="76"/>
      <c r="F494" s="104"/>
      <c r="G494" s="76"/>
      <c r="H494" s="83"/>
      <c r="I494" s="103"/>
      <c r="J494" s="76"/>
      <c r="K494" s="104"/>
      <c r="L494" s="104"/>
      <c r="M494" s="174">
        <f>IF(Tabelle132456[[#This Row],[Pulled after Start]]="",MIN(Tabelle132456[[#This Row],[Jira Story Points]],Tabelle132456[[#This Row],[Carry-over]]),0)</f>
        <v>0</v>
      </c>
      <c r="N494" s="173">
        <f>MIN(Tabelle132456[[#This Row],[Jira Story Points]],Tabelle132456[[#This Row],[Carry-over]])-Tabelle132456[[#This Row],[SP Initially Planned (COS)]]</f>
        <v>0</v>
      </c>
      <c r="O49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94" s="173">
        <f>IFERROR(IF(Tabelle132456[[#This Row],[Status]]=$I$5,MIN(Tabelle132456[[#This Row],[Jira Story Points]],Tabelle132456[[#This Row],[Carry-over]]),0),0)</f>
        <v>0</v>
      </c>
      <c r="Q494" s="173">
        <f>IFERROR(IF(Tabelle132456[[#This Row],[Status]]=$I$5,0,MIN(Tabelle132456[[#This Row],[Jira Story Points]],Tabelle132456[[#This Row],[Carry-over]])-Tabelle132456[[#This Row],[SP Completed (COS &amp; SOS)]]),0)</f>
        <v>0</v>
      </c>
    </row>
    <row r="495" spans="1:17" s="46" customFormat="1" ht="13.5" customHeight="1">
      <c r="A495" s="117"/>
      <c r="B495" s="47"/>
      <c r="C495" s="76"/>
      <c r="D495" s="76"/>
      <c r="E495" s="76"/>
      <c r="F495" s="104"/>
      <c r="G495" s="76"/>
      <c r="H495" s="83"/>
      <c r="I495" s="103"/>
      <c r="J495" s="76"/>
      <c r="K495" s="104"/>
      <c r="L495" s="104"/>
      <c r="M495" s="174">
        <f>IF(Tabelle132456[[#This Row],[Pulled after Start]]="",MIN(Tabelle132456[[#This Row],[Jira Story Points]],Tabelle132456[[#This Row],[Carry-over]]),0)</f>
        <v>0</v>
      </c>
      <c r="N495" s="173">
        <f>MIN(Tabelle132456[[#This Row],[Jira Story Points]],Tabelle132456[[#This Row],[Carry-over]])-Tabelle132456[[#This Row],[SP Initially Planned (COS)]]</f>
        <v>0</v>
      </c>
      <c r="O49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95" s="173">
        <f>IFERROR(IF(Tabelle132456[[#This Row],[Status]]=$I$5,MIN(Tabelle132456[[#This Row],[Jira Story Points]],Tabelle132456[[#This Row],[Carry-over]]),0),0)</f>
        <v>0</v>
      </c>
      <c r="Q495" s="173">
        <f>IFERROR(IF(Tabelle132456[[#This Row],[Status]]=$I$5,0,MIN(Tabelle132456[[#This Row],[Jira Story Points]],Tabelle132456[[#This Row],[Carry-over]])-Tabelle132456[[#This Row],[SP Completed (COS &amp; SOS)]]),0)</f>
        <v>0</v>
      </c>
    </row>
    <row r="496" spans="1:17" s="46" customFormat="1" ht="13.5" customHeight="1">
      <c r="A496" s="117"/>
      <c r="B496" s="47"/>
      <c r="C496" s="76"/>
      <c r="D496" s="76"/>
      <c r="E496" s="76"/>
      <c r="F496" s="104"/>
      <c r="G496" s="76"/>
      <c r="H496" s="83"/>
      <c r="I496" s="103"/>
      <c r="J496" s="76"/>
      <c r="K496" s="104"/>
      <c r="L496" s="104"/>
      <c r="M496" s="174">
        <f>IF(Tabelle132456[[#This Row],[Pulled after Start]]="",MIN(Tabelle132456[[#This Row],[Jira Story Points]],Tabelle132456[[#This Row],[Carry-over]]),0)</f>
        <v>0</v>
      </c>
      <c r="N496" s="173">
        <f>MIN(Tabelle132456[[#This Row],[Jira Story Points]],Tabelle132456[[#This Row],[Carry-over]])-Tabelle132456[[#This Row],[SP Initially Planned (COS)]]</f>
        <v>0</v>
      </c>
      <c r="O49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96" s="173">
        <f>IFERROR(IF(Tabelle132456[[#This Row],[Status]]=$I$5,MIN(Tabelle132456[[#This Row],[Jira Story Points]],Tabelle132456[[#This Row],[Carry-over]]),0),0)</f>
        <v>0</v>
      </c>
      <c r="Q496" s="173">
        <f>IFERROR(IF(Tabelle132456[[#This Row],[Status]]=$I$5,0,MIN(Tabelle132456[[#This Row],[Jira Story Points]],Tabelle132456[[#This Row],[Carry-over]])-Tabelle132456[[#This Row],[SP Completed (COS &amp; SOS)]]),0)</f>
        <v>0</v>
      </c>
    </row>
    <row r="497" spans="1:17" s="46" customFormat="1" ht="13.5" customHeight="1">
      <c r="A497" s="117"/>
      <c r="B497" s="47"/>
      <c r="C497" s="76"/>
      <c r="D497" s="76"/>
      <c r="E497" s="76"/>
      <c r="F497" s="104"/>
      <c r="G497" s="76"/>
      <c r="H497" s="83"/>
      <c r="I497" s="103"/>
      <c r="J497" s="76"/>
      <c r="K497" s="104"/>
      <c r="L497" s="104"/>
      <c r="M497" s="174">
        <f>IF(Tabelle132456[[#This Row],[Pulled after Start]]="",MIN(Tabelle132456[[#This Row],[Jira Story Points]],Tabelle132456[[#This Row],[Carry-over]]),0)</f>
        <v>0</v>
      </c>
      <c r="N497" s="173">
        <f>MIN(Tabelle132456[[#This Row],[Jira Story Points]],Tabelle132456[[#This Row],[Carry-over]])-Tabelle132456[[#This Row],[SP Initially Planned (COS)]]</f>
        <v>0</v>
      </c>
      <c r="O49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97" s="173">
        <f>IFERROR(IF(Tabelle132456[[#This Row],[Status]]=$I$5,MIN(Tabelle132456[[#This Row],[Jira Story Points]],Tabelle132456[[#This Row],[Carry-over]]),0),0)</f>
        <v>0</v>
      </c>
      <c r="Q497" s="173">
        <f>IFERROR(IF(Tabelle132456[[#This Row],[Status]]=$I$5,0,MIN(Tabelle132456[[#This Row],[Jira Story Points]],Tabelle132456[[#This Row],[Carry-over]])-Tabelle132456[[#This Row],[SP Completed (COS &amp; SOS)]]),0)</f>
        <v>0</v>
      </c>
    </row>
    <row r="498" spans="1:17" s="46" customFormat="1" ht="13.5" customHeight="1">
      <c r="A498" s="117"/>
      <c r="B498" s="47"/>
      <c r="C498" s="76"/>
      <c r="D498" s="76"/>
      <c r="E498" s="76"/>
      <c r="F498" s="104"/>
      <c r="G498" s="76"/>
      <c r="H498" s="83"/>
      <c r="I498" s="103"/>
      <c r="J498" s="76"/>
      <c r="K498" s="104"/>
      <c r="L498" s="104"/>
      <c r="M498" s="174">
        <f>IF(Tabelle132456[[#This Row],[Pulled after Start]]="",MIN(Tabelle132456[[#This Row],[Jira Story Points]],Tabelle132456[[#This Row],[Carry-over]]),0)</f>
        <v>0</v>
      </c>
      <c r="N498" s="173">
        <f>MIN(Tabelle132456[[#This Row],[Jira Story Points]],Tabelle132456[[#This Row],[Carry-over]])-Tabelle132456[[#This Row],[SP Initially Planned (COS)]]</f>
        <v>0</v>
      </c>
      <c r="O49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98" s="173">
        <f>IFERROR(IF(Tabelle132456[[#This Row],[Status]]=$I$5,MIN(Tabelle132456[[#This Row],[Jira Story Points]],Tabelle132456[[#This Row],[Carry-over]]),0),0)</f>
        <v>0</v>
      </c>
      <c r="Q498" s="173">
        <f>IFERROR(IF(Tabelle132456[[#This Row],[Status]]=$I$5,0,MIN(Tabelle132456[[#This Row],[Jira Story Points]],Tabelle132456[[#This Row],[Carry-over]])-Tabelle132456[[#This Row],[SP Completed (COS &amp; SOS)]]),0)</f>
        <v>0</v>
      </c>
    </row>
    <row r="499" spans="1:17" s="46" customFormat="1" ht="13.5" customHeight="1">
      <c r="A499" s="117"/>
      <c r="B499" s="47"/>
      <c r="C499" s="76"/>
      <c r="D499" s="76"/>
      <c r="E499" s="76"/>
      <c r="F499" s="104"/>
      <c r="G499" s="76"/>
      <c r="H499" s="83"/>
      <c r="I499" s="103"/>
      <c r="J499" s="76"/>
      <c r="K499" s="104"/>
      <c r="L499" s="104"/>
      <c r="M499" s="174">
        <f>IF(Tabelle132456[[#This Row],[Pulled after Start]]="",MIN(Tabelle132456[[#This Row],[Jira Story Points]],Tabelle132456[[#This Row],[Carry-over]]),0)</f>
        <v>0</v>
      </c>
      <c r="N499" s="173">
        <f>MIN(Tabelle132456[[#This Row],[Jira Story Points]],Tabelle132456[[#This Row],[Carry-over]])-Tabelle132456[[#This Row],[SP Initially Planned (COS)]]</f>
        <v>0</v>
      </c>
      <c r="O49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499" s="173">
        <f>IFERROR(IF(Tabelle132456[[#This Row],[Status]]=$I$5,MIN(Tabelle132456[[#This Row],[Jira Story Points]],Tabelle132456[[#This Row],[Carry-over]]),0),0)</f>
        <v>0</v>
      </c>
      <c r="Q499" s="173">
        <f>IFERROR(IF(Tabelle132456[[#This Row],[Status]]=$I$5,0,MIN(Tabelle132456[[#This Row],[Jira Story Points]],Tabelle132456[[#This Row],[Carry-over]])-Tabelle132456[[#This Row],[SP Completed (COS &amp; SOS)]]),0)</f>
        <v>0</v>
      </c>
    </row>
    <row r="500" spans="1:17" s="46" customFormat="1" ht="13.5" customHeight="1">
      <c r="A500" s="117"/>
      <c r="B500" s="47"/>
      <c r="C500" s="76"/>
      <c r="D500" s="76"/>
      <c r="E500" s="76"/>
      <c r="F500" s="104"/>
      <c r="G500" s="76"/>
      <c r="H500" s="83"/>
      <c r="I500" s="103"/>
      <c r="J500" s="76"/>
      <c r="K500" s="104"/>
      <c r="L500" s="104"/>
      <c r="M500" s="174">
        <f>IF(Tabelle132456[[#This Row],[Pulled after Start]]="",MIN(Tabelle132456[[#This Row],[Jira Story Points]],Tabelle132456[[#This Row],[Carry-over]]),0)</f>
        <v>0</v>
      </c>
      <c r="N500" s="173">
        <f>MIN(Tabelle132456[[#This Row],[Jira Story Points]],Tabelle132456[[#This Row],[Carry-over]])-Tabelle132456[[#This Row],[SP Initially Planned (COS)]]</f>
        <v>0</v>
      </c>
      <c r="O50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00" s="173">
        <f>IFERROR(IF(Tabelle132456[[#This Row],[Status]]=$I$5,MIN(Tabelle132456[[#This Row],[Jira Story Points]],Tabelle132456[[#This Row],[Carry-over]]),0),0)</f>
        <v>0</v>
      </c>
      <c r="Q500" s="173">
        <f>IFERROR(IF(Tabelle132456[[#This Row],[Status]]=$I$5,0,MIN(Tabelle132456[[#This Row],[Jira Story Points]],Tabelle132456[[#This Row],[Carry-over]])-Tabelle132456[[#This Row],[SP Completed (COS &amp; SOS)]]),0)</f>
        <v>0</v>
      </c>
    </row>
    <row r="501" spans="1:17" s="46" customFormat="1" ht="13.5" customHeight="1">
      <c r="A501" s="117"/>
      <c r="B501" s="47"/>
      <c r="C501" s="76"/>
      <c r="D501" s="76"/>
      <c r="E501" s="76"/>
      <c r="F501" s="104"/>
      <c r="G501" s="76"/>
      <c r="H501" s="83"/>
      <c r="I501" s="103"/>
      <c r="J501" s="76"/>
      <c r="K501" s="104"/>
      <c r="L501" s="104"/>
      <c r="M501" s="174">
        <f>IF(Tabelle132456[[#This Row],[Pulled after Start]]="",MIN(Tabelle132456[[#This Row],[Jira Story Points]],Tabelle132456[[#This Row],[Carry-over]]),0)</f>
        <v>0</v>
      </c>
      <c r="N501" s="173">
        <f>MIN(Tabelle132456[[#This Row],[Jira Story Points]],Tabelle132456[[#This Row],[Carry-over]])-Tabelle132456[[#This Row],[SP Initially Planned (COS)]]</f>
        <v>0</v>
      </c>
      <c r="O50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01" s="173">
        <f>IFERROR(IF(Tabelle132456[[#This Row],[Status]]=$I$5,MIN(Tabelle132456[[#This Row],[Jira Story Points]],Tabelle132456[[#This Row],[Carry-over]]),0),0)</f>
        <v>0</v>
      </c>
      <c r="Q501" s="173">
        <f>IFERROR(IF(Tabelle132456[[#This Row],[Status]]=$I$5,0,MIN(Tabelle132456[[#This Row],[Jira Story Points]],Tabelle132456[[#This Row],[Carry-over]])-Tabelle132456[[#This Row],[SP Completed (COS &amp; SOS)]]),0)</f>
        <v>0</v>
      </c>
    </row>
    <row r="502" spans="1:17" s="46" customFormat="1" ht="13.5" customHeight="1">
      <c r="A502" s="117"/>
      <c r="B502" s="47"/>
      <c r="C502" s="76"/>
      <c r="D502" s="76"/>
      <c r="E502" s="76"/>
      <c r="F502" s="104"/>
      <c r="G502" s="76"/>
      <c r="H502" s="83"/>
      <c r="I502" s="103"/>
      <c r="J502" s="76"/>
      <c r="K502" s="104"/>
      <c r="L502" s="104"/>
      <c r="M502" s="174">
        <f>IF(Tabelle132456[[#This Row],[Pulled after Start]]="",MIN(Tabelle132456[[#This Row],[Jira Story Points]],Tabelle132456[[#This Row],[Carry-over]]),0)</f>
        <v>0</v>
      </c>
      <c r="N502" s="173">
        <f>MIN(Tabelle132456[[#This Row],[Jira Story Points]],Tabelle132456[[#This Row],[Carry-over]])-Tabelle132456[[#This Row],[SP Initially Planned (COS)]]</f>
        <v>0</v>
      </c>
      <c r="O50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02" s="173">
        <f>IFERROR(IF(Tabelle132456[[#This Row],[Status]]=$I$5,MIN(Tabelle132456[[#This Row],[Jira Story Points]],Tabelle132456[[#This Row],[Carry-over]]),0),0)</f>
        <v>0</v>
      </c>
      <c r="Q502" s="173">
        <f>IFERROR(IF(Tabelle132456[[#This Row],[Status]]=$I$5,0,MIN(Tabelle132456[[#This Row],[Jira Story Points]],Tabelle132456[[#This Row],[Carry-over]])-Tabelle132456[[#This Row],[SP Completed (COS &amp; SOS)]]),0)</f>
        <v>0</v>
      </c>
    </row>
    <row r="503" spans="1:17" s="46" customFormat="1" ht="13.5" customHeight="1">
      <c r="A503" s="117"/>
      <c r="B503" s="47"/>
      <c r="C503" s="76"/>
      <c r="D503" s="76"/>
      <c r="E503" s="76"/>
      <c r="F503" s="104"/>
      <c r="G503" s="76"/>
      <c r="H503" s="83"/>
      <c r="I503" s="103"/>
      <c r="J503" s="76"/>
      <c r="K503" s="104"/>
      <c r="L503" s="104"/>
      <c r="M503" s="174">
        <f>IF(Tabelle132456[[#This Row],[Pulled after Start]]="",MIN(Tabelle132456[[#This Row],[Jira Story Points]],Tabelle132456[[#This Row],[Carry-over]]),0)</f>
        <v>0</v>
      </c>
      <c r="N503" s="173">
        <f>MIN(Tabelle132456[[#This Row],[Jira Story Points]],Tabelle132456[[#This Row],[Carry-over]])-Tabelle132456[[#This Row],[SP Initially Planned (COS)]]</f>
        <v>0</v>
      </c>
      <c r="O50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03" s="173">
        <f>IFERROR(IF(Tabelle132456[[#This Row],[Status]]=$I$5,MIN(Tabelle132456[[#This Row],[Jira Story Points]],Tabelle132456[[#This Row],[Carry-over]]),0),0)</f>
        <v>0</v>
      </c>
      <c r="Q503" s="173">
        <f>IFERROR(IF(Tabelle132456[[#This Row],[Status]]=$I$5,0,MIN(Tabelle132456[[#This Row],[Jira Story Points]],Tabelle132456[[#This Row],[Carry-over]])-Tabelle132456[[#This Row],[SP Completed (COS &amp; SOS)]]),0)</f>
        <v>0</v>
      </c>
    </row>
    <row r="504" spans="1:17" s="46" customFormat="1" ht="13.5" customHeight="1">
      <c r="A504" s="117"/>
      <c r="B504" s="47"/>
      <c r="C504" s="76"/>
      <c r="D504" s="76"/>
      <c r="E504" s="76"/>
      <c r="F504" s="104"/>
      <c r="G504" s="76"/>
      <c r="H504" s="83"/>
      <c r="I504" s="103"/>
      <c r="J504" s="76"/>
      <c r="K504" s="104"/>
      <c r="L504" s="104"/>
      <c r="M504" s="174">
        <f>IF(Tabelle132456[[#This Row],[Pulled after Start]]="",MIN(Tabelle132456[[#This Row],[Jira Story Points]],Tabelle132456[[#This Row],[Carry-over]]),0)</f>
        <v>0</v>
      </c>
      <c r="N504" s="173">
        <f>MIN(Tabelle132456[[#This Row],[Jira Story Points]],Tabelle132456[[#This Row],[Carry-over]])-Tabelle132456[[#This Row],[SP Initially Planned (COS)]]</f>
        <v>0</v>
      </c>
      <c r="O50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04" s="173">
        <f>IFERROR(IF(Tabelle132456[[#This Row],[Status]]=$I$5,MIN(Tabelle132456[[#This Row],[Jira Story Points]],Tabelle132456[[#This Row],[Carry-over]]),0),0)</f>
        <v>0</v>
      </c>
      <c r="Q504" s="173">
        <f>IFERROR(IF(Tabelle132456[[#This Row],[Status]]=$I$5,0,MIN(Tabelle132456[[#This Row],[Jira Story Points]],Tabelle132456[[#This Row],[Carry-over]])-Tabelle132456[[#This Row],[SP Completed (COS &amp; SOS)]]),0)</f>
        <v>0</v>
      </c>
    </row>
    <row r="505" spans="1:17" s="46" customFormat="1" ht="13.5" customHeight="1">
      <c r="A505" s="117"/>
      <c r="B505" s="47"/>
      <c r="C505" s="76"/>
      <c r="D505" s="76"/>
      <c r="E505" s="76"/>
      <c r="F505" s="104"/>
      <c r="G505" s="76"/>
      <c r="H505" s="83"/>
      <c r="I505" s="103"/>
      <c r="J505" s="76"/>
      <c r="K505" s="104"/>
      <c r="L505" s="104"/>
      <c r="M505" s="174">
        <f>IF(Tabelle132456[[#This Row],[Pulled after Start]]="",MIN(Tabelle132456[[#This Row],[Jira Story Points]],Tabelle132456[[#This Row],[Carry-over]]),0)</f>
        <v>0</v>
      </c>
      <c r="N505" s="173">
        <f>MIN(Tabelle132456[[#This Row],[Jira Story Points]],Tabelle132456[[#This Row],[Carry-over]])-Tabelle132456[[#This Row],[SP Initially Planned (COS)]]</f>
        <v>0</v>
      </c>
      <c r="O50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05" s="173">
        <f>IFERROR(IF(Tabelle132456[[#This Row],[Status]]=$I$5,MIN(Tabelle132456[[#This Row],[Jira Story Points]],Tabelle132456[[#This Row],[Carry-over]]),0),0)</f>
        <v>0</v>
      </c>
      <c r="Q505" s="173">
        <f>IFERROR(IF(Tabelle132456[[#This Row],[Status]]=$I$5,0,MIN(Tabelle132456[[#This Row],[Jira Story Points]],Tabelle132456[[#This Row],[Carry-over]])-Tabelle132456[[#This Row],[SP Completed (COS &amp; SOS)]]),0)</f>
        <v>0</v>
      </c>
    </row>
    <row r="506" spans="1:17" s="46" customFormat="1" ht="13.5" customHeight="1">
      <c r="A506" s="117"/>
      <c r="B506" s="47"/>
      <c r="C506" s="76"/>
      <c r="D506" s="76"/>
      <c r="E506" s="76"/>
      <c r="F506" s="104"/>
      <c r="G506" s="76"/>
      <c r="H506" s="83"/>
      <c r="I506" s="103"/>
      <c r="J506" s="76"/>
      <c r="K506" s="104"/>
      <c r="L506" s="104"/>
      <c r="M506" s="174">
        <f>IF(Tabelle132456[[#This Row],[Pulled after Start]]="",MIN(Tabelle132456[[#This Row],[Jira Story Points]],Tabelle132456[[#This Row],[Carry-over]]),0)</f>
        <v>0</v>
      </c>
      <c r="N506" s="173">
        <f>MIN(Tabelle132456[[#This Row],[Jira Story Points]],Tabelle132456[[#This Row],[Carry-over]])-Tabelle132456[[#This Row],[SP Initially Planned (COS)]]</f>
        <v>0</v>
      </c>
      <c r="O50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06" s="173">
        <f>IFERROR(IF(Tabelle132456[[#This Row],[Status]]=$I$5,MIN(Tabelle132456[[#This Row],[Jira Story Points]],Tabelle132456[[#This Row],[Carry-over]]),0),0)</f>
        <v>0</v>
      </c>
      <c r="Q506" s="173">
        <f>IFERROR(IF(Tabelle132456[[#This Row],[Status]]=$I$5,0,MIN(Tabelle132456[[#This Row],[Jira Story Points]],Tabelle132456[[#This Row],[Carry-over]])-Tabelle132456[[#This Row],[SP Completed (COS &amp; SOS)]]),0)</f>
        <v>0</v>
      </c>
    </row>
    <row r="507" spans="1:17" s="46" customFormat="1" ht="13.5" customHeight="1">
      <c r="A507" s="117"/>
      <c r="B507" s="47"/>
      <c r="C507" s="76"/>
      <c r="D507" s="76"/>
      <c r="E507" s="76"/>
      <c r="F507" s="104"/>
      <c r="G507" s="76"/>
      <c r="H507" s="83"/>
      <c r="I507" s="103"/>
      <c r="J507" s="76"/>
      <c r="K507" s="104"/>
      <c r="L507" s="104"/>
      <c r="M507" s="174">
        <f>IF(Tabelle132456[[#This Row],[Pulled after Start]]="",MIN(Tabelle132456[[#This Row],[Jira Story Points]],Tabelle132456[[#This Row],[Carry-over]]),0)</f>
        <v>0</v>
      </c>
      <c r="N507" s="173">
        <f>MIN(Tabelle132456[[#This Row],[Jira Story Points]],Tabelle132456[[#This Row],[Carry-over]])-Tabelle132456[[#This Row],[SP Initially Planned (COS)]]</f>
        <v>0</v>
      </c>
      <c r="O50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07" s="173">
        <f>IFERROR(IF(Tabelle132456[[#This Row],[Status]]=$I$5,MIN(Tabelle132456[[#This Row],[Jira Story Points]],Tabelle132456[[#This Row],[Carry-over]]),0),0)</f>
        <v>0</v>
      </c>
      <c r="Q507" s="173">
        <f>IFERROR(IF(Tabelle132456[[#This Row],[Status]]=$I$5,0,MIN(Tabelle132456[[#This Row],[Jira Story Points]],Tabelle132456[[#This Row],[Carry-over]])-Tabelle132456[[#This Row],[SP Completed (COS &amp; SOS)]]),0)</f>
        <v>0</v>
      </c>
    </row>
    <row r="508" spans="1:17" s="46" customFormat="1" ht="13.5" customHeight="1">
      <c r="A508" s="117"/>
      <c r="B508" s="47"/>
      <c r="C508" s="76"/>
      <c r="D508" s="76"/>
      <c r="E508" s="76"/>
      <c r="F508" s="104"/>
      <c r="G508" s="76"/>
      <c r="H508" s="83"/>
      <c r="I508" s="103"/>
      <c r="J508" s="76"/>
      <c r="K508" s="104"/>
      <c r="L508" s="104"/>
      <c r="M508" s="174">
        <f>IF(Tabelle132456[[#This Row],[Pulled after Start]]="",MIN(Tabelle132456[[#This Row],[Jira Story Points]],Tabelle132456[[#This Row],[Carry-over]]),0)</f>
        <v>0</v>
      </c>
      <c r="N508" s="173">
        <f>MIN(Tabelle132456[[#This Row],[Jira Story Points]],Tabelle132456[[#This Row],[Carry-over]])-Tabelle132456[[#This Row],[SP Initially Planned (COS)]]</f>
        <v>0</v>
      </c>
      <c r="O50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08" s="173">
        <f>IFERROR(IF(Tabelle132456[[#This Row],[Status]]=$I$5,MIN(Tabelle132456[[#This Row],[Jira Story Points]],Tabelle132456[[#This Row],[Carry-over]]),0),0)</f>
        <v>0</v>
      </c>
      <c r="Q508" s="173">
        <f>IFERROR(IF(Tabelle132456[[#This Row],[Status]]=$I$5,0,MIN(Tabelle132456[[#This Row],[Jira Story Points]],Tabelle132456[[#This Row],[Carry-over]])-Tabelle132456[[#This Row],[SP Completed (COS &amp; SOS)]]),0)</f>
        <v>0</v>
      </c>
    </row>
    <row r="509" spans="1:17" s="46" customFormat="1" ht="13.5" customHeight="1">
      <c r="A509" s="117"/>
      <c r="B509" s="47"/>
      <c r="C509" s="76"/>
      <c r="D509" s="76"/>
      <c r="E509" s="76"/>
      <c r="F509" s="104"/>
      <c r="G509" s="76"/>
      <c r="H509" s="83"/>
      <c r="I509" s="103"/>
      <c r="J509" s="76"/>
      <c r="K509" s="104"/>
      <c r="L509" s="104"/>
      <c r="M509" s="174">
        <f>IF(Tabelle132456[[#This Row],[Pulled after Start]]="",MIN(Tabelle132456[[#This Row],[Jira Story Points]],Tabelle132456[[#This Row],[Carry-over]]),0)</f>
        <v>0</v>
      </c>
      <c r="N509" s="173">
        <f>MIN(Tabelle132456[[#This Row],[Jira Story Points]],Tabelle132456[[#This Row],[Carry-over]])-Tabelle132456[[#This Row],[SP Initially Planned (COS)]]</f>
        <v>0</v>
      </c>
      <c r="O50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09" s="173">
        <f>IFERROR(IF(Tabelle132456[[#This Row],[Status]]=$I$5,MIN(Tabelle132456[[#This Row],[Jira Story Points]],Tabelle132456[[#This Row],[Carry-over]]),0),0)</f>
        <v>0</v>
      </c>
      <c r="Q509" s="173">
        <f>IFERROR(IF(Tabelle132456[[#This Row],[Status]]=$I$5,0,MIN(Tabelle132456[[#This Row],[Jira Story Points]],Tabelle132456[[#This Row],[Carry-over]])-Tabelle132456[[#This Row],[SP Completed (COS &amp; SOS)]]),0)</f>
        <v>0</v>
      </c>
    </row>
    <row r="510" spans="1:17" s="46" customFormat="1" ht="13.5" customHeight="1">
      <c r="A510" s="117"/>
      <c r="B510" s="47"/>
      <c r="C510" s="76"/>
      <c r="D510" s="76"/>
      <c r="E510" s="76"/>
      <c r="F510" s="104"/>
      <c r="G510" s="76"/>
      <c r="H510" s="83"/>
      <c r="I510" s="103"/>
      <c r="J510" s="76"/>
      <c r="K510" s="104"/>
      <c r="L510" s="104"/>
      <c r="M510" s="174">
        <f>IF(Tabelle132456[[#This Row],[Pulled after Start]]="",MIN(Tabelle132456[[#This Row],[Jira Story Points]],Tabelle132456[[#This Row],[Carry-over]]),0)</f>
        <v>0</v>
      </c>
      <c r="N510" s="173">
        <f>MIN(Tabelle132456[[#This Row],[Jira Story Points]],Tabelle132456[[#This Row],[Carry-over]])-Tabelle132456[[#This Row],[SP Initially Planned (COS)]]</f>
        <v>0</v>
      </c>
      <c r="O51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10" s="173">
        <f>IFERROR(IF(Tabelle132456[[#This Row],[Status]]=$I$5,MIN(Tabelle132456[[#This Row],[Jira Story Points]],Tabelle132456[[#This Row],[Carry-over]]),0),0)</f>
        <v>0</v>
      </c>
      <c r="Q510" s="173">
        <f>IFERROR(IF(Tabelle132456[[#This Row],[Status]]=$I$5,0,MIN(Tabelle132456[[#This Row],[Jira Story Points]],Tabelle132456[[#This Row],[Carry-over]])-Tabelle132456[[#This Row],[SP Completed (COS &amp; SOS)]]),0)</f>
        <v>0</v>
      </c>
    </row>
    <row r="511" spans="1:17" s="46" customFormat="1" ht="13.5" customHeight="1">
      <c r="A511" s="117"/>
      <c r="B511" s="47"/>
      <c r="C511" s="76"/>
      <c r="D511" s="76"/>
      <c r="E511" s="76"/>
      <c r="F511" s="104"/>
      <c r="G511" s="76"/>
      <c r="H511" s="83"/>
      <c r="I511" s="103"/>
      <c r="J511" s="76"/>
      <c r="K511" s="104"/>
      <c r="L511" s="104"/>
      <c r="M511" s="174">
        <f>IF(Tabelle132456[[#This Row],[Pulled after Start]]="",MIN(Tabelle132456[[#This Row],[Jira Story Points]],Tabelle132456[[#This Row],[Carry-over]]),0)</f>
        <v>0</v>
      </c>
      <c r="N511" s="173">
        <f>MIN(Tabelle132456[[#This Row],[Jira Story Points]],Tabelle132456[[#This Row],[Carry-over]])-Tabelle132456[[#This Row],[SP Initially Planned (COS)]]</f>
        <v>0</v>
      </c>
      <c r="O51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11" s="173">
        <f>IFERROR(IF(Tabelle132456[[#This Row],[Status]]=$I$5,MIN(Tabelle132456[[#This Row],[Jira Story Points]],Tabelle132456[[#This Row],[Carry-over]]),0),0)</f>
        <v>0</v>
      </c>
      <c r="Q511" s="173">
        <f>IFERROR(IF(Tabelle132456[[#This Row],[Status]]=$I$5,0,MIN(Tabelle132456[[#This Row],[Jira Story Points]],Tabelle132456[[#This Row],[Carry-over]])-Tabelle132456[[#This Row],[SP Completed (COS &amp; SOS)]]),0)</f>
        <v>0</v>
      </c>
    </row>
    <row r="512" spans="1:17" s="46" customFormat="1" ht="13.5" customHeight="1">
      <c r="A512" s="117"/>
      <c r="B512" s="47"/>
      <c r="C512" s="76"/>
      <c r="D512" s="76"/>
      <c r="E512" s="76"/>
      <c r="F512" s="104"/>
      <c r="G512" s="76"/>
      <c r="H512" s="83"/>
      <c r="I512" s="103"/>
      <c r="J512" s="76"/>
      <c r="K512" s="104"/>
      <c r="L512" s="104"/>
      <c r="M512" s="174">
        <f>IF(Tabelle132456[[#This Row],[Pulled after Start]]="",MIN(Tabelle132456[[#This Row],[Jira Story Points]],Tabelle132456[[#This Row],[Carry-over]]),0)</f>
        <v>0</v>
      </c>
      <c r="N512" s="173">
        <f>MIN(Tabelle132456[[#This Row],[Jira Story Points]],Tabelle132456[[#This Row],[Carry-over]])-Tabelle132456[[#This Row],[SP Initially Planned (COS)]]</f>
        <v>0</v>
      </c>
      <c r="O51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12" s="173">
        <f>IFERROR(IF(Tabelle132456[[#This Row],[Status]]=$I$5,MIN(Tabelle132456[[#This Row],[Jira Story Points]],Tabelle132456[[#This Row],[Carry-over]]),0),0)</f>
        <v>0</v>
      </c>
      <c r="Q512" s="173">
        <f>IFERROR(IF(Tabelle132456[[#This Row],[Status]]=$I$5,0,MIN(Tabelle132456[[#This Row],[Jira Story Points]],Tabelle132456[[#This Row],[Carry-over]])-Tabelle132456[[#This Row],[SP Completed (COS &amp; SOS)]]),0)</f>
        <v>0</v>
      </c>
    </row>
    <row r="513" spans="1:17" s="46" customFormat="1" ht="13.5" customHeight="1">
      <c r="A513" s="117"/>
      <c r="B513" s="47"/>
      <c r="C513" s="76"/>
      <c r="D513" s="76"/>
      <c r="E513" s="76"/>
      <c r="F513" s="104"/>
      <c r="G513" s="76"/>
      <c r="H513" s="83"/>
      <c r="I513" s="103"/>
      <c r="J513" s="76"/>
      <c r="K513" s="104"/>
      <c r="L513" s="104"/>
      <c r="M513" s="174">
        <f>IF(Tabelle132456[[#This Row],[Pulled after Start]]="",MIN(Tabelle132456[[#This Row],[Jira Story Points]],Tabelle132456[[#This Row],[Carry-over]]),0)</f>
        <v>0</v>
      </c>
      <c r="N513" s="173">
        <f>MIN(Tabelle132456[[#This Row],[Jira Story Points]],Tabelle132456[[#This Row],[Carry-over]])-Tabelle132456[[#This Row],[SP Initially Planned (COS)]]</f>
        <v>0</v>
      </c>
      <c r="O51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13" s="173">
        <f>IFERROR(IF(Tabelle132456[[#This Row],[Status]]=$I$5,MIN(Tabelle132456[[#This Row],[Jira Story Points]],Tabelle132456[[#This Row],[Carry-over]]),0),0)</f>
        <v>0</v>
      </c>
      <c r="Q513" s="173">
        <f>IFERROR(IF(Tabelle132456[[#This Row],[Status]]=$I$5,0,MIN(Tabelle132456[[#This Row],[Jira Story Points]],Tabelle132456[[#This Row],[Carry-over]])-Tabelle132456[[#This Row],[SP Completed (COS &amp; SOS)]]),0)</f>
        <v>0</v>
      </c>
    </row>
    <row r="514" spans="1:17" s="46" customFormat="1" ht="13.5" customHeight="1">
      <c r="A514" s="117"/>
      <c r="B514" s="47"/>
      <c r="C514" s="76"/>
      <c r="D514" s="76"/>
      <c r="E514" s="76"/>
      <c r="F514" s="104"/>
      <c r="G514" s="76"/>
      <c r="H514" s="83"/>
      <c r="I514" s="103"/>
      <c r="J514" s="76"/>
      <c r="K514" s="104"/>
      <c r="L514" s="104"/>
      <c r="M514" s="174">
        <f>IF(Tabelle132456[[#This Row],[Pulled after Start]]="",MIN(Tabelle132456[[#This Row],[Jira Story Points]],Tabelle132456[[#This Row],[Carry-over]]),0)</f>
        <v>0</v>
      </c>
      <c r="N514" s="173">
        <f>MIN(Tabelle132456[[#This Row],[Jira Story Points]],Tabelle132456[[#This Row],[Carry-over]])-Tabelle132456[[#This Row],[SP Initially Planned (COS)]]</f>
        <v>0</v>
      </c>
      <c r="O51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14" s="173">
        <f>IFERROR(IF(Tabelle132456[[#This Row],[Status]]=$I$5,MIN(Tabelle132456[[#This Row],[Jira Story Points]],Tabelle132456[[#This Row],[Carry-over]]),0),0)</f>
        <v>0</v>
      </c>
      <c r="Q514" s="173">
        <f>IFERROR(IF(Tabelle132456[[#This Row],[Status]]=$I$5,0,MIN(Tabelle132456[[#This Row],[Jira Story Points]],Tabelle132456[[#This Row],[Carry-over]])-Tabelle132456[[#This Row],[SP Completed (COS &amp; SOS)]]),0)</f>
        <v>0</v>
      </c>
    </row>
    <row r="515" spans="1:17" s="46" customFormat="1" ht="13.5" customHeight="1">
      <c r="A515" s="117"/>
      <c r="B515" s="47"/>
      <c r="C515" s="76"/>
      <c r="D515" s="76"/>
      <c r="E515" s="76"/>
      <c r="F515" s="104"/>
      <c r="G515" s="76"/>
      <c r="H515" s="83"/>
      <c r="I515" s="103"/>
      <c r="J515" s="76"/>
      <c r="K515" s="104"/>
      <c r="L515" s="104"/>
      <c r="M515" s="174">
        <f>IF(Tabelle132456[[#This Row],[Pulled after Start]]="",MIN(Tabelle132456[[#This Row],[Jira Story Points]],Tabelle132456[[#This Row],[Carry-over]]),0)</f>
        <v>0</v>
      </c>
      <c r="N515" s="173">
        <f>MIN(Tabelle132456[[#This Row],[Jira Story Points]],Tabelle132456[[#This Row],[Carry-over]])-Tabelle132456[[#This Row],[SP Initially Planned (COS)]]</f>
        <v>0</v>
      </c>
      <c r="O51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15" s="173">
        <f>IFERROR(IF(Tabelle132456[[#This Row],[Status]]=$I$5,MIN(Tabelle132456[[#This Row],[Jira Story Points]],Tabelle132456[[#This Row],[Carry-over]]),0),0)</f>
        <v>0</v>
      </c>
      <c r="Q515" s="173">
        <f>IFERROR(IF(Tabelle132456[[#This Row],[Status]]=$I$5,0,MIN(Tabelle132456[[#This Row],[Jira Story Points]],Tabelle132456[[#This Row],[Carry-over]])-Tabelle132456[[#This Row],[SP Completed (COS &amp; SOS)]]),0)</f>
        <v>0</v>
      </c>
    </row>
    <row r="516" spans="1:17" s="46" customFormat="1" ht="13.5" customHeight="1">
      <c r="A516" s="117"/>
      <c r="B516" s="47"/>
      <c r="C516" s="76"/>
      <c r="D516" s="76"/>
      <c r="E516" s="76"/>
      <c r="F516" s="104"/>
      <c r="G516" s="76"/>
      <c r="H516" s="83"/>
      <c r="I516" s="103"/>
      <c r="J516" s="76"/>
      <c r="K516" s="104"/>
      <c r="L516" s="104"/>
      <c r="M516" s="174">
        <f>IF(Tabelle132456[[#This Row],[Pulled after Start]]="",MIN(Tabelle132456[[#This Row],[Jira Story Points]],Tabelle132456[[#This Row],[Carry-over]]),0)</f>
        <v>0</v>
      </c>
      <c r="N516" s="173">
        <f>MIN(Tabelle132456[[#This Row],[Jira Story Points]],Tabelle132456[[#This Row],[Carry-over]])-Tabelle132456[[#This Row],[SP Initially Planned (COS)]]</f>
        <v>0</v>
      </c>
      <c r="O51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16" s="173">
        <f>IFERROR(IF(Tabelle132456[[#This Row],[Status]]=$I$5,MIN(Tabelle132456[[#This Row],[Jira Story Points]],Tabelle132456[[#This Row],[Carry-over]]),0),0)</f>
        <v>0</v>
      </c>
      <c r="Q516" s="173">
        <f>IFERROR(IF(Tabelle132456[[#This Row],[Status]]=$I$5,0,MIN(Tabelle132456[[#This Row],[Jira Story Points]],Tabelle132456[[#This Row],[Carry-over]])-Tabelle132456[[#This Row],[SP Completed (COS &amp; SOS)]]),0)</f>
        <v>0</v>
      </c>
    </row>
    <row r="517" spans="1:17" s="46" customFormat="1" ht="13.5" customHeight="1">
      <c r="A517" s="117"/>
      <c r="B517" s="47"/>
      <c r="C517" s="76"/>
      <c r="D517" s="76"/>
      <c r="E517" s="76"/>
      <c r="F517" s="104"/>
      <c r="G517" s="76"/>
      <c r="H517" s="83"/>
      <c r="I517" s="103"/>
      <c r="J517" s="76"/>
      <c r="K517" s="104"/>
      <c r="L517" s="104"/>
      <c r="M517" s="174">
        <f>IF(Tabelle132456[[#This Row],[Pulled after Start]]="",MIN(Tabelle132456[[#This Row],[Jira Story Points]],Tabelle132456[[#This Row],[Carry-over]]),0)</f>
        <v>0</v>
      </c>
      <c r="N517" s="173">
        <f>MIN(Tabelle132456[[#This Row],[Jira Story Points]],Tabelle132456[[#This Row],[Carry-over]])-Tabelle132456[[#This Row],[SP Initially Planned (COS)]]</f>
        <v>0</v>
      </c>
      <c r="O51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17" s="173">
        <f>IFERROR(IF(Tabelle132456[[#This Row],[Status]]=$I$5,MIN(Tabelle132456[[#This Row],[Jira Story Points]],Tabelle132456[[#This Row],[Carry-over]]),0),0)</f>
        <v>0</v>
      </c>
      <c r="Q517" s="173">
        <f>IFERROR(IF(Tabelle132456[[#This Row],[Status]]=$I$5,0,MIN(Tabelle132456[[#This Row],[Jira Story Points]],Tabelle132456[[#This Row],[Carry-over]])-Tabelle132456[[#This Row],[SP Completed (COS &amp; SOS)]]),0)</f>
        <v>0</v>
      </c>
    </row>
    <row r="518" spans="1:17" s="46" customFormat="1" ht="13.5" customHeight="1">
      <c r="A518" s="117"/>
      <c r="B518" s="47"/>
      <c r="C518" s="76"/>
      <c r="D518" s="76"/>
      <c r="E518" s="76"/>
      <c r="F518" s="104"/>
      <c r="G518" s="76"/>
      <c r="H518" s="83"/>
      <c r="I518" s="103"/>
      <c r="J518" s="76"/>
      <c r="K518" s="104"/>
      <c r="L518" s="104"/>
      <c r="M518" s="174">
        <f>IF(Tabelle132456[[#This Row],[Pulled after Start]]="",MIN(Tabelle132456[[#This Row],[Jira Story Points]],Tabelle132456[[#This Row],[Carry-over]]),0)</f>
        <v>0</v>
      </c>
      <c r="N518" s="173">
        <f>MIN(Tabelle132456[[#This Row],[Jira Story Points]],Tabelle132456[[#This Row],[Carry-over]])-Tabelle132456[[#This Row],[SP Initially Planned (COS)]]</f>
        <v>0</v>
      </c>
      <c r="O51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18" s="173">
        <f>IFERROR(IF(Tabelle132456[[#This Row],[Status]]=$I$5,MIN(Tabelle132456[[#This Row],[Jira Story Points]],Tabelle132456[[#This Row],[Carry-over]]),0),0)</f>
        <v>0</v>
      </c>
      <c r="Q518" s="173">
        <f>IFERROR(IF(Tabelle132456[[#This Row],[Status]]=$I$5,0,MIN(Tabelle132456[[#This Row],[Jira Story Points]],Tabelle132456[[#This Row],[Carry-over]])-Tabelle132456[[#This Row],[SP Completed (COS &amp; SOS)]]),0)</f>
        <v>0</v>
      </c>
    </row>
    <row r="519" spans="1:17" s="46" customFormat="1" ht="13.5" customHeight="1">
      <c r="A519" s="117"/>
      <c r="B519" s="47"/>
      <c r="C519" s="76"/>
      <c r="D519" s="76"/>
      <c r="E519" s="76"/>
      <c r="F519" s="104"/>
      <c r="G519" s="76"/>
      <c r="H519" s="83"/>
      <c r="I519" s="103"/>
      <c r="J519" s="76"/>
      <c r="K519" s="104"/>
      <c r="L519" s="104"/>
      <c r="M519" s="174">
        <f>IF(Tabelle132456[[#This Row],[Pulled after Start]]="",MIN(Tabelle132456[[#This Row],[Jira Story Points]],Tabelle132456[[#This Row],[Carry-over]]),0)</f>
        <v>0</v>
      </c>
      <c r="N519" s="173">
        <f>MIN(Tabelle132456[[#This Row],[Jira Story Points]],Tabelle132456[[#This Row],[Carry-over]])-Tabelle132456[[#This Row],[SP Initially Planned (COS)]]</f>
        <v>0</v>
      </c>
      <c r="O51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19" s="173">
        <f>IFERROR(IF(Tabelle132456[[#This Row],[Status]]=$I$5,MIN(Tabelle132456[[#This Row],[Jira Story Points]],Tabelle132456[[#This Row],[Carry-over]]),0),0)</f>
        <v>0</v>
      </c>
      <c r="Q519" s="173">
        <f>IFERROR(IF(Tabelle132456[[#This Row],[Status]]=$I$5,0,MIN(Tabelle132456[[#This Row],[Jira Story Points]],Tabelle132456[[#This Row],[Carry-over]])-Tabelle132456[[#This Row],[SP Completed (COS &amp; SOS)]]),0)</f>
        <v>0</v>
      </c>
    </row>
    <row r="520" spans="1:17" s="46" customFormat="1" ht="13.5" customHeight="1">
      <c r="A520" s="117"/>
      <c r="B520" s="47"/>
      <c r="C520" s="76"/>
      <c r="D520" s="76"/>
      <c r="E520" s="76"/>
      <c r="F520" s="104"/>
      <c r="G520" s="76"/>
      <c r="H520" s="83"/>
      <c r="I520" s="103"/>
      <c r="J520" s="76"/>
      <c r="K520" s="104"/>
      <c r="L520" s="104"/>
      <c r="M520" s="174">
        <f>IF(Tabelle132456[[#This Row],[Pulled after Start]]="",MIN(Tabelle132456[[#This Row],[Jira Story Points]],Tabelle132456[[#This Row],[Carry-over]]),0)</f>
        <v>0</v>
      </c>
      <c r="N520" s="173">
        <f>MIN(Tabelle132456[[#This Row],[Jira Story Points]],Tabelle132456[[#This Row],[Carry-over]])-Tabelle132456[[#This Row],[SP Initially Planned (COS)]]</f>
        <v>0</v>
      </c>
      <c r="O52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20" s="173">
        <f>IFERROR(IF(Tabelle132456[[#This Row],[Status]]=$I$5,MIN(Tabelle132456[[#This Row],[Jira Story Points]],Tabelle132456[[#This Row],[Carry-over]]),0),0)</f>
        <v>0</v>
      </c>
      <c r="Q520" s="173">
        <f>IFERROR(IF(Tabelle132456[[#This Row],[Status]]=$I$5,0,MIN(Tabelle132456[[#This Row],[Jira Story Points]],Tabelle132456[[#This Row],[Carry-over]])-Tabelle132456[[#This Row],[SP Completed (COS &amp; SOS)]]),0)</f>
        <v>0</v>
      </c>
    </row>
    <row r="521" spans="1:17" s="46" customFormat="1" ht="13.5" customHeight="1">
      <c r="A521" s="117"/>
      <c r="B521" s="47"/>
      <c r="C521" s="76"/>
      <c r="D521" s="76"/>
      <c r="E521" s="76"/>
      <c r="F521" s="104"/>
      <c r="G521" s="76"/>
      <c r="H521" s="83"/>
      <c r="I521" s="103"/>
      <c r="J521" s="76"/>
      <c r="K521" s="104"/>
      <c r="L521" s="104"/>
      <c r="M521" s="174">
        <f>IF(Tabelle132456[[#This Row],[Pulled after Start]]="",MIN(Tabelle132456[[#This Row],[Jira Story Points]],Tabelle132456[[#This Row],[Carry-over]]),0)</f>
        <v>0</v>
      </c>
      <c r="N521" s="173">
        <f>MIN(Tabelle132456[[#This Row],[Jira Story Points]],Tabelle132456[[#This Row],[Carry-over]])-Tabelle132456[[#This Row],[SP Initially Planned (COS)]]</f>
        <v>0</v>
      </c>
      <c r="O52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21" s="173">
        <f>IFERROR(IF(Tabelle132456[[#This Row],[Status]]=$I$5,MIN(Tabelle132456[[#This Row],[Jira Story Points]],Tabelle132456[[#This Row],[Carry-over]]),0),0)</f>
        <v>0</v>
      </c>
      <c r="Q521" s="173">
        <f>IFERROR(IF(Tabelle132456[[#This Row],[Status]]=$I$5,0,MIN(Tabelle132456[[#This Row],[Jira Story Points]],Tabelle132456[[#This Row],[Carry-over]])-Tabelle132456[[#This Row],[SP Completed (COS &amp; SOS)]]),0)</f>
        <v>0</v>
      </c>
    </row>
    <row r="522" spans="1:17" s="46" customFormat="1" ht="13.5" customHeight="1">
      <c r="A522" s="117"/>
      <c r="B522" s="47"/>
      <c r="C522" s="76"/>
      <c r="D522" s="76"/>
      <c r="E522" s="76"/>
      <c r="F522" s="104"/>
      <c r="G522" s="76"/>
      <c r="H522" s="83"/>
      <c r="I522" s="103"/>
      <c r="J522" s="76"/>
      <c r="K522" s="104"/>
      <c r="L522" s="104"/>
      <c r="M522" s="174">
        <f>IF(Tabelle132456[[#This Row],[Pulled after Start]]="",MIN(Tabelle132456[[#This Row],[Jira Story Points]],Tabelle132456[[#This Row],[Carry-over]]),0)</f>
        <v>0</v>
      </c>
      <c r="N522" s="173">
        <f>MIN(Tabelle132456[[#This Row],[Jira Story Points]],Tabelle132456[[#This Row],[Carry-over]])-Tabelle132456[[#This Row],[SP Initially Planned (COS)]]</f>
        <v>0</v>
      </c>
      <c r="O52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22" s="173">
        <f>IFERROR(IF(Tabelle132456[[#This Row],[Status]]=$I$5,MIN(Tabelle132456[[#This Row],[Jira Story Points]],Tabelle132456[[#This Row],[Carry-over]]),0),0)</f>
        <v>0</v>
      </c>
      <c r="Q522" s="173">
        <f>IFERROR(IF(Tabelle132456[[#This Row],[Status]]=$I$5,0,MIN(Tabelle132456[[#This Row],[Jira Story Points]],Tabelle132456[[#This Row],[Carry-over]])-Tabelle132456[[#This Row],[SP Completed (COS &amp; SOS)]]),0)</f>
        <v>0</v>
      </c>
    </row>
    <row r="523" spans="1:17" s="46" customFormat="1" ht="13.5" customHeight="1">
      <c r="A523" s="117"/>
      <c r="B523" s="47"/>
      <c r="C523" s="76"/>
      <c r="D523" s="76"/>
      <c r="E523" s="76"/>
      <c r="F523" s="104"/>
      <c r="G523" s="76"/>
      <c r="H523" s="83"/>
      <c r="I523" s="103"/>
      <c r="J523" s="76"/>
      <c r="K523" s="104"/>
      <c r="L523" s="104"/>
      <c r="M523" s="174">
        <f>IF(Tabelle132456[[#This Row],[Pulled after Start]]="",MIN(Tabelle132456[[#This Row],[Jira Story Points]],Tabelle132456[[#This Row],[Carry-over]]),0)</f>
        <v>0</v>
      </c>
      <c r="N523" s="173">
        <f>MIN(Tabelle132456[[#This Row],[Jira Story Points]],Tabelle132456[[#This Row],[Carry-over]])-Tabelle132456[[#This Row],[SP Initially Planned (COS)]]</f>
        <v>0</v>
      </c>
      <c r="O52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23" s="173">
        <f>IFERROR(IF(Tabelle132456[[#This Row],[Status]]=$I$5,MIN(Tabelle132456[[#This Row],[Jira Story Points]],Tabelle132456[[#This Row],[Carry-over]]),0),0)</f>
        <v>0</v>
      </c>
      <c r="Q523" s="173">
        <f>IFERROR(IF(Tabelle132456[[#This Row],[Status]]=$I$5,0,MIN(Tabelle132456[[#This Row],[Jira Story Points]],Tabelle132456[[#This Row],[Carry-over]])-Tabelle132456[[#This Row],[SP Completed (COS &amp; SOS)]]),0)</f>
        <v>0</v>
      </c>
    </row>
    <row r="524" spans="1:17" s="46" customFormat="1" ht="13.5" customHeight="1">
      <c r="A524" s="117"/>
      <c r="B524" s="47"/>
      <c r="C524" s="76"/>
      <c r="D524" s="76"/>
      <c r="E524" s="76"/>
      <c r="F524" s="104"/>
      <c r="G524" s="76"/>
      <c r="H524" s="83"/>
      <c r="I524" s="103"/>
      <c r="J524" s="76"/>
      <c r="K524" s="104"/>
      <c r="L524" s="104"/>
      <c r="M524" s="174">
        <f>IF(Tabelle132456[[#This Row],[Pulled after Start]]="",MIN(Tabelle132456[[#This Row],[Jira Story Points]],Tabelle132456[[#This Row],[Carry-over]]),0)</f>
        <v>0</v>
      </c>
      <c r="N524" s="173">
        <f>MIN(Tabelle132456[[#This Row],[Jira Story Points]],Tabelle132456[[#This Row],[Carry-over]])-Tabelle132456[[#This Row],[SP Initially Planned (COS)]]</f>
        <v>0</v>
      </c>
      <c r="O52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24" s="173">
        <f>IFERROR(IF(Tabelle132456[[#This Row],[Status]]=$I$5,MIN(Tabelle132456[[#This Row],[Jira Story Points]],Tabelle132456[[#This Row],[Carry-over]]),0),0)</f>
        <v>0</v>
      </c>
      <c r="Q524" s="173">
        <f>IFERROR(IF(Tabelle132456[[#This Row],[Status]]=$I$5,0,MIN(Tabelle132456[[#This Row],[Jira Story Points]],Tabelle132456[[#This Row],[Carry-over]])-Tabelle132456[[#This Row],[SP Completed (COS &amp; SOS)]]),0)</f>
        <v>0</v>
      </c>
    </row>
    <row r="525" spans="1:17" s="46" customFormat="1" ht="13.5" customHeight="1">
      <c r="A525" s="117"/>
      <c r="B525" s="47"/>
      <c r="C525" s="76"/>
      <c r="D525" s="76"/>
      <c r="E525" s="76"/>
      <c r="F525" s="104"/>
      <c r="G525" s="76"/>
      <c r="H525" s="83"/>
      <c r="I525" s="103"/>
      <c r="J525" s="76"/>
      <c r="K525" s="104"/>
      <c r="L525" s="104"/>
      <c r="M525" s="174">
        <f>IF(Tabelle132456[[#This Row],[Pulled after Start]]="",MIN(Tabelle132456[[#This Row],[Jira Story Points]],Tabelle132456[[#This Row],[Carry-over]]),0)</f>
        <v>0</v>
      </c>
      <c r="N525" s="173">
        <f>MIN(Tabelle132456[[#This Row],[Jira Story Points]],Tabelle132456[[#This Row],[Carry-over]])-Tabelle132456[[#This Row],[SP Initially Planned (COS)]]</f>
        <v>0</v>
      </c>
      <c r="O52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25" s="173">
        <f>IFERROR(IF(Tabelle132456[[#This Row],[Status]]=$I$5,MIN(Tabelle132456[[#This Row],[Jira Story Points]],Tabelle132456[[#This Row],[Carry-over]]),0),0)</f>
        <v>0</v>
      </c>
      <c r="Q525" s="173">
        <f>IFERROR(IF(Tabelle132456[[#This Row],[Status]]=$I$5,0,MIN(Tabelle132456[[#This Row],[Jira Story Points]],Tabelle132456[[#This Row],[Carry-over]])-Tabelle132456[[#This Row],[SP Completed (COS &amp; SOS)]]),0)</f>
        <v>0</v>
      </c>
    </row>
    <row r="526" spans="1:17" s="46" customFormat="1" ht="13.5" customHeight="1">
      <c r="A526" s="117"/>
      <c r="B526" s="47"/>
      <c r="C526" s="76"/>
      <c r="D526" s="76"/>
      <c r="E526" s="76"/>
      <c r="F526" s="104"/>
      <c r="G526" s="76"/>
      <c r="H526" s="83"/>
      <c r="I526" s="103"/>
      <c r="J526" s="76"/>
      <c r="K526" s="104"/>
      <c r="L526" s="104"/>
      <c r="M526" s="174">
        <f>IF(Tabelle132456[[#This Row],[Pulled after Start]]="",MIN(Tabelle132456[[#This Row],[Jira Story Points]],Tabelle132456[[#This Row],[Carry-over]]),0)</f>
        <v>0</v>
      </c>
      <c r="N526" s="173">
        <f>MIN(Tabelle132456[[#This Row],[Jira Story Points]],Tabelle132456[[#This Row],[Carry-over]])-Tabelle132456[[#This Row],[SP Initially Planned (COS)]]</f>
        <v>0</v>
      </c>
      <c r="O52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26" s="173">
        <f>IFERROR(IF(Tabelle132456[[#This Row],[Status]]=$I$5,MIN(Tabelle132456[[#This Row],[Jira Story Points]],Tabelle132456[[#This Row],[Carry-over]]),0),0)</f>
        <v>0</v>
      </c>
      <c r="Q526" s="173">
        <f>IFERROR(IF(Tabelle132456[[#This Row],[Status]]=$I$5,0,MIN(Tabelle132456[[#This Row],[Jira Story Points]],Tabelle132456[[#This Row],[Carry-over]])-Tabelle132456[[#This Row],[SP Completed (COS &amp; SOS)]]),0)</f>
        <v>0</v>
      </c>
    </row>
    <row r="527" spans="1:17" s="46" customFormat="1" ht="13.5" customHeight="1">
      <c r="A527" s="117"/>
      <c r="B527" s="47"/>
      <c r="C527" s="76"/>
      <c r="D527" s="76"/>
      <c r="E527" s="76"/>
      <c r="F527" s="104"/>
      <c r="G527" s="76"/>
      <c r="H527" s="83"/>
      <c r="I527" s="103"/>
      <c r="J527" s="76"/>
      <c r="K527" s="104"/>
      <c r="L527" s="104"/>
      <c r="M527" s="174">
        <f>IF(Tabelle132456[[#This Row],[Pulled after Start]]="",MIN(Tabelle132456[[#This Row],[Jira Story Points]],Tabelle132456[[#This Row],[Carry-over]]),0)</f>
        <v>0</v>
      </c>
      <c r="N527" s="173">
        <f>MIN(Tabelle132456[[#This Row],[Jira Story Points]],Tabelle132456[[#This Row],[Carry-over]])-Tabelle132456[[#This Row],[SP Initially Planned (COS)]]</f>
        <v>0</v>
      </c>
      <c r="O52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27" s="173">
        <f>IFERROR(IF(Tabelle132456[[#This Row],[Status]]=$I$5,MIN(Tabelle132456[[#This Row],[Jira Story Points]],Tabelle132456[[#This Row],[Carry-over]]),0),0)</f>
        <v>0</v>
      </c>
      <c r="Q527" s="173">
        <f>IFERROR(IF(Tabelle132456[[#This Row],[Status]]=$I$5,0,MIN(Tabelle132456[[#This Row],[Jira Story Points]],Tabelle132456[[#This Row],[Carry-over]])-Tabelle132456[[#This Row],[SP Completed (COS &amp; SOS)]]),0)</f>
        <v>0</v>
      </c>
    </row>
    <row r="528" spans="1:17" s="46" customFormat="1" ht="13.5" customHeight="1">
      <c r="A528" s="117"/>
      <c r="B528" s="47"/>
      <c r="C528" s="76"/>
      <c r="D528" s="76"/>
      <c r="E528" s="76"/>
      <c r="F528" s="104"/>
      <c r="G528" s="76"/>
      <c r="H528" s="83"/>
      <c r="I528" s="103"/>
      <c r="J528" s="76"/>
      <c r="K528" s="104"/>
      <c r="L528" s="104"/>
      <c r="M528" s="174">
        <f>IF(Tabelle132456[[#This Row],[Pulled after Start]]="",MIN(Tabelle132456[[#This Row],[Jira Story Points]],Tabelle132456[[#This Row],[Carry-over]]),0)</f>
        <v>0</v>
      </c>
      <c r="N528" s="173">
        <f>MIN(Tabelle132456[[#This Row],[Jira Story Points]],Tabelle132456[[#This Row],[Carry-over]])-Tabelle132456[[#This Row],[SP Initially Planned (COS)]]</f>
        <v>0</v>
      </c>
      <c r="O52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28" s="173">
        <f>IFERROR(IF(Tabelle132456[[#This Row],[Status]]=$I$5,MIN(Tabelle132456[[#This Row],[Jira Story Points]],Tabelle132456[[#This Row],[Carry-over]]),0),0)</f>
        <v>0</v>
      </c>
      <c r="Q528" s="173">
        <f>IFERROR(IF(Tabelle132456[[#This Row],[Status]]=$I$5,0,MIN(Tabelle132456[[#This Row],[Jira Story Points]],Tabelle132456[[#This Row],[Carry-over]])-Tabelle132456[[#This Row],[SP Completed (COS &amp; SOS)]]),0)</f>
        <v>0</v>
      </c>
    </row>
    <row r="529" spans="1:17" s="46" customFormat="1" ht="13.5" customHeight="1">
      <c r="A529" s="117"/>
      <c r="B529" s="47"/>
      <c r="C529" s="76"/>
      <c r="D529" s="76"/>
      <c r="E529" s="76"/>
      <c r="F529" s="104"/>
      <c r="G529" s="76"/>
      <c r="H529" s="83"/>
      <c r="I529" s="103"/>
      <c r="J529" s="76"/>
      <c r="K529" s="104"/>
      <c r="L529" s="104"/>
      <c r="M529" s="174">
        <f>IF(Tabelle132456[[#This Row],[Pulled after Start]]="",MIN(Tabelle132456[[#This Row],[Jira Story Points]],Tabelle132456[[#This Row],[Carry-over]]),0)</f>
        <v>0</v>
      </c>
      <c r="N529" s="173">
        <f>MIN(Tabelle132456[[#This Row],[Jira Story Points]],Tabelle132456[[#This Row],[Carry-over]])-Tabelle132456[[#This Row],[SP Initially Planned (COS)]]</f>
        <v>0</v>
      </c>
      <c r="O52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29" s="173">
        <f>IFERROR(IF(Tabelle132456[[#This Row],[Status]]=$I$5,MIN(Tabelle132456[[#This Row],[Jira Story Points]],Tabelle132456[[#This Row],[Carry-over]]),0),0)</f>
        <v>0</v>
      </c>
      <c r="Q529" s="173">
        <f>IFERROR(IF(Tabelle132456[[#This Row],[Status]]=$I$5,0,MIN(Tabelle132456[[#This Row],[Jira Story Points]],Tabelle132456[[#This Row],[Carry-over]])-Tabelle132456[[#This Row],[SP Completed (COS &amp; SOS)]]),0)</f>
        <v>0</v>
      </c>
    </row>
    <row r="530" spans="1:17" s="46" customFormat="1" ht="13.5" customHeight="1">
      <c r="A530" s="117"/>
      <c r="B530" s="47"/>
      <c r="C530" s="76"/>
      <c r="D530" s="76"/>
      <c r="E530" s="76"/>
      <c r="F530" s="104"/>
      <c r="G530" s="76"/>
      <c r="H530" s="83"/>
      <c r="I530" s="103"/>
      <c r="J530" s="76"/>
      <c r="K530" s="104"/>
      <c r="L530" s="104"/>
      <c r="M530" s="174">
        <f>IF(Tabelle132456[[#This Row],[Pulled after Start]]="",MIN(Tabelle132456[[#This Row],[Jira Story Points]],Tabelle132456[[#This Row],[Carry-over]]),0)</f>
        <v>0</v>
      </c>
      <c r="N530" s="173">
        <f>MIN(Tabelle132456[[#This Row],[Jira Story Points]],Tabelle132456[[#This Row],[Carry-over]])-Tabelle132456[[#This Row],[SP Initially Planned (COS)]]</f>
        <v>0</v>
      </c>
      <c r="O53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30" s="173">
        <f>IFERROR(IF(Tabelle132456[[#This Row],[Status]]=$I$5,MIN(Tabelle132456[[#This Row],[Jira Story Points]],Tabelle132456[[#This Row],[Carry-over]]),0),0)</f>
        <v>0</v>
      </c>
      <c r="Q530" s="173">
        <f>IFERROR(IF(Tabelle132456[[#This Row],[Status]]=$I$5,0,MIN(Tabelle132456[[#This Row],[Jira Story Points]],Tabelle132456[[#This Row],[Carry-over]])-Tabelle132456[[#This Row],[SP Completed (COS &amp; SOS)]]),0)</f>
        <v>0</v>
      </c>
    </row>
    <row r="531" spans="1:17" s="46" customFormat="1" ht="13.5" customHeight="1">
      <c r="A531" s="117"/>
      <c r="B531" s="47"/>
      <c r="C531" s="76"/>
      <c r="D531" s="76"/>
      <c r="E531" s="76"/>
      <c r="F531" s="104"/>
      <c r="G531" s="76"/>
      <c r="H531" s="83"/>
      <c r="I531" s="103"/>
      <c r="J531" s="76"/>
      <c r="K531" s="104"/>
      <c r="L531" s="104"/>
      <c r="M531" s="174">
        <f>IF(Tabelle132456[[#This Row],[Pulled after Start]]="",MIN(Tabelle132456[[#This Row],[Jira Story Points]],Tabelle132456[[#This Row],[Carry-over]]),0)</f>
        <v>0</v>
      </c>
      <c r="N531" s="173">
        <f>MIN(Tabelle132456[[#This Row],[Jira Story Points]],Tabelle132456[[#This Row],[Carry-over]])-Tabelle132456[[#This Row],[SP Initially Planned (COS)]]</f>
        <v>0</v>
      </c>
      <c r="O53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31" s="173">
        <f>IFERROR(IF(Tabelle132456[[#This Row],[Status]]=$I$5,MIN(Tabelle132456[[#This Row],[Jira Story Points]],Tabelle132456[[#This Row],[Carry-over]]),0),0)</f>
        <v>0</v>
      </c>
      <c r="Q531" s="173">
        <f>IFERROR(IF(Tabelle132456[[#This Row],[Status]]=$I$5,0,MIN(Tabelle132456[[#This Row],[Jira Story Points]],Tabelle132456[[#This Row],[Carry-over]])-Tabelle132456[[#This Row],[SP Completed (COS &amp; SOS)]]),0)</f>
        <v>0</v>
      </c>
    </row>
    <row r="532" spans="1:17" s="46" customFormat="1" ht="13.5" customHeight="1">
      <c r="A532" s="117"/>
      <c r="B532" s="47"/>
      <c r="C532" s="76"/>
      <c r="D532" s="76"/>
      <c r="E532" s="76"/>
      <c r="F532" s="104"/>
      <c r="G532" s="76"/>
      <c r="H532" s="83"/>
      <c r="I532" s="103"/>
      <c r="J532" s="76"/>
      <c r="K532" s="104"/>
      <c r="L532" s="104"/>
      <c r="M532" s="174">
        <f>IF(Tabelle132456[[#This Row],[Pulled after Start]]="",MIN(Tabelle132456[[#This Row],[Jira Story Points]],Tabelle132456[[#This Row],[Carry-over]]),0)</f>
        <v>0</v>
      </c>
      <c r="N532" s="173">
        <f>MIN(Tabelle132456[[#This Row],[Jira Story Points]],Tabelle132456[[#This Row],[Carry-over]])-Tabelle132456[[#This Row],[SP Initially Planned (COS)]]</f>
        <v>0</v>
      </c>
      <c r="O53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32" s="173">
        <f>IFERROR(IF(Tabelle132456[[#This Row],[Status]]=$I$5,MIN(Tabelle132456[[#This Row],[Jira Story Points]],Tabelle132456[[#This Row],[Carry-over]]),0),0)</f>
        <v>0</v>
      </c>
      <c r="Q532" s="173">
        <f>IFERROR(IF(Tabelle132456[[#This Row],[Status]]=$I$5,0,MIN(Tabelle132456[[#This Row],[Jira Story Points]],Tabelle132456[[#This Row],[Carry-over]])-Tabelle132456[[#This Row],[SP Completed (COS &amp; SOS)]]),0)</f>
        <v>0</v>
      </c>
    </row>
    <row r="533" spans="1:17" s="46" customFormat="1" ht="13.5" customHeight="1">
      <c r="A533" s="117"/>
      <c r="B533" s="47"/>
      <c r="C533" s="76"/>
      <c r="D533" s="76"/>
      <c r="E533" s="76"/>
      <c r="F533" s="104"/>
      <c r="G533" s="76"/>
      <c r="H533" s="83"/>
      <c r="I533" s="103"/>
      <c r="J533" s="76"/>
      <c r="K533" s="104"/>
      <c r="L533" s="104"/>
      <c r="M533" s="174">
        <f>IF(Tabelle132456[[#This Row],[Pulled after Start]]="",MIN(Tabelle132456[[#This Row],[Jira Story Points]],Tabelle132456[[#This Row],[Carry-over]]),0)</f>
        <v>0</v>
      </c>
      <c r="N533" s="173">
        <f>MIN(Tabelle132456[[#This Row],[Jira Story Points]],Tabelle132456[[#This Row],[Carry-over]])-Tabelle132456[[#This Row],[SP Initially Planned (COS)]]</f>
        <v>0</v>
      </c>
      <c r="O53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33" s="173">
        <f>IFERROR(IF(Tabelle132456[[#This Row],[Status]]=$I$5,MIN(Tabelle132456[[#This Row],[Jira Story Points]],Tabelle132456[[#This Row],[Carry-over]]),0),0)</f>
        <v>0</v>
      </c>
      <c r="Q533" s="173">
        <f>IFERROR(IF(Tabelle132456[[#This Row],[Status]]=$I$5,0,MIN(Tabelle132456[[#This Row],[Jira Story Points]],Tabelle132456[[#This Row],[Carry-over]])-Tabelle132456[[#This Row],[SP Completed (COS &amp; SOS)]]),0)</f>
        <v>0</v>
      </c>
    </row>
    <row r="534" spans="1:17" s="46" customFormat="1" ht="13.5" customHeight="1">
      <c r="A534" s="117"/>
      <c r="B534" s="47"/>
      <c r="C534" s="76"/>
      <c r="D534" s="76"/>
      <c r="E534" s="76"/>
      <c r="F534" s="104"/>
      <c r="G534" s="76"/>
      <c r="H534" s="83"/>
      <c r="I534" s="103"/>
      <c r="J534" s="76"/>
      <c r="K534" s="104"/>
      <c r="L534" s="104"/>
      <c r="M534" s="174">
        <f>IF(Tabelle132456[[#This Row],[Pulled after Start]]="",MIN(Tabelle132456[[#This Row],[Jira Story Points]],Tabelle132456[[#This Row],[Carry-over]]),0)</f>
        <v>0</v>
      </c>
      <c r="N534" s="173">
        <f>MIN(Tabelle132456[[#This Row],[Jira Story Points]],Tabelle132456[[#This Row],[Carry-over]])-Tabelle132456[[#This Row],[SP Initially Planned (COS)]]</f>
        <v>0</v>
      </c>
      <c r="O53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34" s="173">
        <f>IFERROR(IF(Tabelle132456[[#This Row],[Status]]=$I$5,MIN(Tabelle132456[[#This Row],[Jira Story Points]],Tabelle132456[[#This Row],[Carry-over]]),0),0)</f>
        <v>0</v>
      </c>
      <c r="Q534" s="173">
        <f>IFERROR(IF(Tabelle132456[[#This Row],[Status]]=$I$5,0,MIN(Tabelle132456[[#This Row],[Jira Story Points]],Tabelle132456[[#This Row],[Carry-over]])-Tabelle132456[[#This Row],[SP Completed (COS &amp; SOS)]]),0)</f>
        <v>0</v>
      </c>
    </row>
    <row r="535" spans="1:17" s="46" customFormat="1" ht="13.5" customHeight="1">
      <c r="A535" s="117"/>
      <c r="B535" s="47"/>
      <c r="C535" s="76"/>
      <c r="D535" s="76"/>
      <c r="E535" s="76"/>
      <c r="F535" s="104"/>
      <c r="G535" s="76"/>
      <c r="H535" s="83"/>
      <c r="I535" s="103"/>
      <c r="J535" s="76"/>
      <c r="K535" s="104"/>
      <c r="L535" s="104"/>
      <c r="M535" s="174">
        <f>IF(Tabelle132456[[#This Row],[Pulled after Start]]="",MIN(Tabelle132456[[#This Row],[Jira Story Points]],Tabelle132456[[#This Row],[Carry-over]]),0)</f>
        <v>0</v>
      </c>
      <c r="N535" s="173">
        <f>MIN(Tabelle132456[[#This Row],[Jira Story Points]],Tabelle132456[[#This Row],[Carry-over]])-Tabelle132456[[#This Row],[SP Initially Planned (COS)]]</f>
        <v>0</v>
      </c>
      <c r="O53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35" s="173">
        <f>IFERROR(IF(Tabelle132456[[#This Row],[Status]]=$I$5,MIN(Tabelle132456[[#This Row],[Jira Story Points]],Tabelle132456[[#This Row],[Carry-over]]),0),0)</f>
        <v>0</v>
      </c>
      <c r="Q535" s="173">
        <f>IFERROR(IF(Tabelle132456[[#This Row],[Status]]=$I$5,0,MIN(Tabelle132456[[#This Row],[Jira Story Points]],Tabelle132456[[#This Row],[Carry-over]])-Tabelle132456[[#This Row],[SP Completed (COS &amp; SOS)]]),0)</f>
        <v>0</v>
      </c>
    </row>
    <row r="536" spans="1:17" s="46" customFormat="1" ht="13.5" customHeight="1">
      <c r="A536" s="117"/>
      <c r="B536" s="47"/>
      <c r="C536" s="76"/>
      <c r="D536" s="76"/>
      <c r="E536" s="76"/>
      <c r="F536" s="104"/>
      <c r="G536" s="76"/>
      <c r="H536" s="83"/>
      <c r="I536" s="103"/>
      <c r="J536" s="76"/>
      <c r="K536" s="104"/>
      <c r="L536" s="104"/>
      <c r="M536" s="174">
        <f>IF(Tabelle132456[[#This Row],[Pulled after Start]]="",MIN(Tabelle132456[[#This Row],[Jira Story Points]],Tabelle132456[[#This Row],[Carry-over]]),0)</f>
        <v>0</v>
      </c>
      <c r="N536" s="173">
        <f>MIN(Tabelle132456[[#This Row],[Jira Story Points]],Tabelle132456[[#This Row],[Carry-over]])-Tabelle132456[[#This Row],[SP Initially Planned (COS)]]</f>
        <v>0</v>
      </c>
      <c r="O53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36" s="173">
        <f>IFERROR(IF(Tabelle132456[[#This Row],[Status]]=$I$5,MIN(Tabelle132456[[#This Row],[Jira Story Points]],Tabelle132456[[#This Row],[Carry-over]]),0),0)</f>
        <v>0</v>
      </c>
      <c r="Q536" s="173">
        <f>IFERROR(IF(Tabelle132456[[#This Row],[Status]]=$I$5,0,MIN(Tabelle132456[[#This Row],[Jira Story Points]],Tabelle132456[[#This Row],[Carry-over]])-Tabelle132456[[#This Row],[SP Completed (COS &amp; SOS)]]),0)</f>
        <v>0</v>
      </c>
    </row>
    <row r="537" spans="1:17" s="46" customFormat="1" ht="13.5" customHeight="1">
      <c r="A537" s="117"/>
      <c r="B537" s="47"/>
      <c r="C537" s="76"/>
      <c r="D537" s="76"/>
      <c r="E537" s="76"/>
      <c r="F537" s="104"/>
      <c r="G537" s="76"/>
      <c r="H537" s="83"/>
      <c r="I537" s="103"/>
      <c r="J537" s="76"/>
      <c r="K537" s="104"/>
      <c r="L537" s="104"/>
      <c r="M537" s="174">
        <f>IF(Tabelle132456[[#This Row],[Pulled after Start]]="",MIN(Tabelle132456[[#This Row],[Jira Story Points]],Tabelle132456[[#This Row],[Carry-over]]),0)</f>
        <v>0</v>
      </c>
      <c r="N537" s="173">
        <f>MIN(Tabelle132456[[#This Row],[Jira Story Points]],Tabelle132456[[#This Row],[Carry-over]])-Tabelle132456[[#This Row],[SP Initially Planned (COS)]]</f>
        <v>0</v>
      </c>
      <c r="O53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37" s="173">
        <f>IFERROR(IF(Tabelle132456[[#This Row],[Status]]=$I$5,MIN(Tabelle132456[[#This Row],[Jira Story Points]],Tabelle132456[[#This Row],[Carry-over]]),0),0)</f>
        <v>0</v>
      </c>
      <c r="Q537" s="173">
        <f>IFERROR(IF(Tabelle132456[[#This Row],[Status]]=$I$5,0,MIN(Tabelle132456[[#This Row],[Jira Story Points]],Tabelle132456[[#This Row],[Carry-over]])-Tabelle132456[[#This Row],[SP Completed (COS &amp; SOS)]]),0)</f>
        <v>0</v>
      </c>
    </row>
    <row r="538" spans="1:17" s="46" customFormat="1" ht="13.5" customHeight="1">
      <c r="A538" s="117"/>
      <c r="B538" s="47"/>
      <c r="C538" s="76"/>
      <c r="D538" s="76"/>
      <c r="E538" s="76"/>
      <c r="F538" s="104"/>
      <c r="G538" s="76"/>
      <c r="H538" s="83"/>
      <c r="I538" s="103"/>
      <c r="J538" s="76"/>
      <c r="K538" s="104"/>
      <c r="L538" s="104"/>
      <c r="M538" s="174">
        <f>IF(Tabelle132456[[#This Row],[Pulled after Start]]="",MIN(Tabelle132456[[#This Row],[Jira Story Points]],Tabelle132456[[#This Row],[Carry-over]]),0)</f>
        <v>0</v>
      </c>
      <c r="N538" s="173">
        <f>MIN(Tabelle132456[[#This Row],[Jira Story Points]],Tabelle132456[[#This Row],[Carry-over]])-Tabelle132456[[#This Row],[SP Initially Planned (COS)]]</f>
        <v>0</v>
      </c>
      <c r="O53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38" s="173">
        <f>IFERROR(IF(Tabelle132456[[#This Row],[Status]]=$I$5,MIN(Tabelle132456[[#This Row],[Jira Story Points]],Tabelle132456[[#This Row],[Carry-over]]),0),0)</f>
        <v>0</v>
      </c>
      <c r="Q538" s="173">
        <f>IFERROR(IF(Tabelle132456[[#This Row],[Status]]=$I$5,0,MIN(Tabelle132456[[#This Row],[Jira Story Points]],Tabelle132456[[#This Row],[Carry-over]])-Tabelle132456[[#This Row],[SP Completed (COS &amp; SOS)]]),0)</f>
        <v>0</v>
      </c>
    </row>
    <row r="539" spans="1:17" s="46" customFormat="1" ht="13.5" customHeight="1">
      <c r="A539" s="117"/>
      <c r="B539" s="47"/>
      <c r="C539" s="76"/>
      <c r="D539" s="76"/>
      <c r="E539" s="76"/>
      <c r="F539" s="104"/>
      <c r="G539" s="76"/>
      <c r="H539" s="83"/>
      <c r="I539" s="103"/>
      <c r="J539" s="76"/>
      <c r="K539" s="104"/>
      <c r="L539" s="104"/>
      <c r="M539" s="174">
        <f>IF(Tabelle132456[[#This Row],[Pulled after Start]]="",MIN(Tabelle132456[[#This Row],[Jira Story Points]],Tabelle132456[[#This Row],[Carry-over]]),0)</f>
        <v>0</v>
      </c>
      <c r="N539" s="173">
        <f>MIN(Tabelle132456[[#This Row],[Jira Story Points]],Tabelle132456[[#This Row],[Carry-over]])-Tabelle132456[[#This Row],[SP Initially Planned (COS)]]</f>
        <v>0</v>
      </c>
      <c r="O53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39" s="173">
        <f>IFERROR(IF(Tabelle132456[[#This Row],[Status]]=$I$5,MIN(Tabelle132456[[#This Row],[Jira Story Points]],Tabelle132456[[#This Row],[Carry-over]]),0),0)</f>
        <v>0</v>
      </c>
      <c r="Q539" s="173">
        <f>IFERROR(IF(Tabelle132456[[#This Row],[Status]]=$I$5,0,MIN(Tabelle132456[[#This Row],[Jira Story Points]],Tabelle132456[[#This Row],[Carry-over]])-Tabelle132456[[#This Row],[SP Completed (COS &amp; SOS)]]),0)</f>
        <v>0</v>
      </c>
    </row>
    <row r="540" spans="1:17" s="46" customFormat="1" ht="13.5" customHeight="1">
      <c r="A540" s="117"/>
      <c r="B540" s="47"/>
      <c r="C540" s="76"/>
      <c r="D540" s="76"/>
      <c r="E540" s="76"/>
      <c r="F540" s="104"/>
      <c r="G540" s="76"/>
      <c r="H540" s="83"/>
      <c r="I540" s="103"/>
      <c r="J540" s="76"/>
      <c r="K540" s="104"/>
      <c r="L540" s="104"/>
      <c r="M540" s="174">
        <f>IF(Tabelle132456[[#This Row],[Pulled after Start]]="",MIN(Tabelle132456[[#This Row],[Jira Story Points]],Tabelle132456[[#This Row],[Carry-over]]),0)</f>
        <v>0</v>
      </c>
      <c r="N540" s="173">
        <f>MIN(Tabelle132456[[#This Row],[Jira Story Points]],Tabelle132456[[#This Row],[Carry-over]])-Tabelle132456[[#This Row],[SP Initially Planned (COS)]]</f>
        <v>0</v>
      </c>
      <c r="O54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40" s="173">
        <f>IFERROR(IF(Tabelle132456[[#This Row],[Status]]=$I$5,MIN(Tabelle132456[[#This Row],[Jira Story Points]],Tabelle132456[[#This Row],[Carry-over]]),0),0)</f>
        <v>0</v>
      </c>
      <c r="Q540" s="173">
        <f>IFERROR(IF(Tabelle132456[[#This Row],[Status]]=$I$5,0,MIN(Tabelle132456[[#This Row],[Jira Story Points]],Tabelle132456[[#This Row],[Carry-over]])-Tabelle132456[[#This Row],[SP Completed (COS &amp; SOS)]]),0)</f>
        <v>0</v>
      </c>
    </row>
    <row r="541" spans="1:17" s="46" customFormat="1" ht="13.5" customHeight="1">
      <c r="A541" s="117"/>
      <c r="B541" s="47"/>
      <c r="C541" s="76"/>
      <c r="D541" s="76"/>
      <c r="E541" s="76"/>
      <c r="F541" s="104"/>
      <c r="G541" s="76"/>
      <c r="H541" s="83"/>
      <c r="I541" s="103"/>
      <c r="J541" s="76"/>
      <c r="K541" s="104"/>
      <c r="L541" s="104"/>
      <c r="M541" s="174">
        <f>IF(Tabelle132456[[#This Row],[Pulled after Start]]="",MIN(Tabelle132456[[#This Row],[Jira Story Points]],Tabelle132456[[#This Row],[Carry-over]]),0)</f>
        <v>0</v>
      </c>
      <c r="N541" s="173">
        <f>MIN(Tabelle132456[[#This Row],[Jira Story Points]],Tabelle132456[[#This Row],[Carry-over]])-Tabelle132456[[#This Row],[SP Initially Planned (COS)]]</f>
        <v>0</v>
      </c>
      <c r="O54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41" s="173">
        <f>IFERROR(IF(Tabelle132456[[#This Row],[Status]]=$I$5,MIN(Tabelle132456[[#This Row],[Jira Story Points]],Tabelle132456[[#This Row],[Carry-over]]),0),0)</f>
        <v>0</v>
      </c>
      <c r="Q541" s="173">
        <f>IFERROR(IF(Tabelle132456[[#This Row],[Status]]=$I$5,0,MIN(Tabelle132456[[#This Row],[Jira Story Points]],Tabelle132456[[#This Row],[Carry-over]])-Tabelle132456[[#This Row],[SP Completed (COS &amp; SOS)]]),0)</f>
        <v>0</v>
      </c>
    </row>
    <row r="542" spans="1:17" s="46" customFormat="1" ht="13.5" customHeight="1">
      <c r="A542" s="117"/>
      <c r="B542" s="47"/>
      <c r="C542" s="76"/>
      <c r="D542" s="76"/>
      <c r="E542" s="76"/>
      <c r="F542" s="104"/>
      <c r="G542" s="76"/>
      <c r="H542" s="83"/>
      <c r="I542" s="103"/>
      <c r="J542" s="76"/>
      <c r="K542" s="104"/>
      <c r="L542" s="104"/>
      <c r="M542" s="174">
        <f>IF(Tabelle132456[[#This Row],[Pulled after Start]]="",MIN(Tabelle132456[[#This Row],[Jira Story Points]],Tabelle132456[[#This Row],[Carry-over]]),0)</f>
        <v>0</v>
      </c>
      <c r="N542" s="173">
        <f>MIN(Tabelle132456[[#This Row],[Jira Story Points]],Tabelle132456[[#This Row],[Carry-over]])-Tabelle132456[[#This Row],[SP Initially Planned (COS)]]</f>
        <v>0</v>
      </c>
      <c r="O54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42" s="173">
        <f>IFERROR(IF(Tabelle132456[[#This Row],[Status]]=$I$5,MIN(Tabelle132456[[#This Row],[Jira Story Points]],Tabelle132456[[#This Row],[Carry-over]]),0),0)</f>
        <v>0</v>
      </c>
      <c r="Q542" s="173">
        <f>IFERROR(IF(Tabelle132456[[#This Row],[Status]]=$I$5,0,MIN(Tabelle132456[[#This Row],[Jira Story Points]],Tabelle132456[[#This Row],[Carry-over]])-Tabelle132456[[#This Row],[SP Completed (COS &amp; SOS)]]),0)</f>
        <v>0</v>
      </c>
    </row>
    <row r="543" spans="1:17" s="46" customFormat="1" ht="13.5" customHeight="1">
      <c r="A543" s="117"/>
      <c r="B543" s="47"/>
      <c r="C543" s="76"/>
      <c r="D543" s="76"/>
      <c r="E543" s="76"/>
      <c r="F543" s="104"/>
      <c r="G543" s="76"/>
      <c r="H543" s="83"/>
      <c r="I543" s="103"/>
      <c r="J543" s="76"/>
      <c r="K543" s="104"/>
      <c r="L543" s="104"/>
      <c r="M543" s="174">
        <f>IF(Tabelle132456[[#This Row],[Pulled after Start]]="",MIN(Tabelle132456[[#This Row],[Jira Story Points]],Tabelle132456[[#This Row],[Carry-over]]),0)</f>
        <v>0</v>
      </c>
      <c r="N543" s="173">
        <f>MIN(Tabelle132456[[#This Row],[Jira Story Points]],Tabelle132456[[#This Row],[Carry-over]])-Tabelle132456[[#This Row],[SP Initially Planned (COS)]]</f>
        <v>0</v>
      </c>
      <c r="O54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43" s="173">
        <f>IFERROR(IF(Tabelle132456[[#This Row],[Status]]=$I$5,MIN(Tabelle132456[[#This Row],[Jira Story Points]],Tabelle132456[[#This Row],[Carry-over]]),0),0)</f>
        <v>0</v>
      </c>
      <c r="Q543" s="173">
        <f>IFERROR(IF(Tabelle132456[[#This Row],[Status]]=$I$5,0,MIN(Tabelle132456[[#This Row],[Jira Story Points]],Tabelle132456[[#This Row],[Carry-over]])-Tabelle132456[[#This Row],[SP Completed (COS &amp; SOS)]]),0)</f>
        <v>0</v>
      </c>
    </row>
    <row r="544" spans="1:17" s="46" customFormat="1" ht="13.5" customHeight="1">
      <c r="A544" s="117"/>
      <c r="B544" s="47"/>
      <c r="C544" s="76"/>
      <c r="D544" s="76"/>
      <c r="E544" s="76"/>
      <c r="F544" s="104"/>
      <c r="G544" s="76"/>
      <c r="H544" s="83"/>
      <c r="I544" s="103"/>
      <c r="J544" s="76"/>
      <c r="K544" s="104"/>
      <c r="L544" s="104"/>
      <c r="M544" s="174">
        <f>IF(Tabelle132456[[#This Row],[Pulled after Start]]="",MIN(Tabelle132456[[#This Row],[Jira Story Points]],Tabelle132456[[#This Row],[Carry-over]]),0)</f>
        <v>0</v>
      </c>
      <c r="N544" s="173">
        <f>MIN(Tabelle132456[[#This Row],[Jira Story Points]],Tabelle132456[[#This Row],[Carry-over]])-Tabelle132456[[#This Row],[SP Initially Planned (COS)]]</f>
        <v>0</v>
      </c>
      <c r="O54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44" s="173">
        <f>IFERROR(IF(Tabelle132456[[#This Row],[Status]]=$I$5,MIN(Tabelle132456[[#This Row],[Jira Story Points]],Tabelle132456[[#This Row],[Carry-over]]),0),0)</f>
        <v>0</v>
      </c>
      <c r="Q544" s="173">
        <f>IFERROR(IF(Tabelle132456[[#This Row],[Status]]=$I$5,0,MIN(Tabelle132456[[#This Row],[Jira Story Points]],Tabelle132456[[#This Row],[Carry-over]])-Tabelle132456[[#This Row],[SP Completed (COS &amp; SOS)]]),0)</f>
        <v>0</v>
      </c>
    </row>
    <row r="545" spans="1:17" s="46" customFormat="1" ht="13.5" customHeight="1">
      <c r="A545" s="117"/>
      <c r="B545" s="47"/>
      <c r="C545" s="76"/>
      <c r="D545" s="76"/>
      <c r="E545" s="76"/>
      <c r="F545" s="104"/>
      <c r="G545" s="76"/>
      <c r="H545" s="83"/>
      <c r="I545" s="103"/>
      <c r="J545" s="76"/>
      <c r="K545" s="104"/>
      <c r="L545" s="104"/>
      <c r="M545" s="174">
        <f>IF(Tabelle132456[[#This Row],[Pulled after Start]]="",MIN(Tabelle132456[[#This Row],[Jira Story Points]],Tabelle132456[[#This Row],[Carry-over]]),0)</f>
        <v>0</v>
      </c>
      <c r="N545" s="173">
        <f>MIN(Tabelle132456[[#This Row],[Jira Story Points]],Tabelle132456[[#This Row],[Carry-over]])-Tabelle132456[[#This Row],[SP Initially Planned (COS)]]</f>
        <v>0</v>
      </c>
      <c r="O54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45" s="173">
        <f>IFERROR(IF(Tabelle132456[[#This Row],[Status]]=$I$5,MIN(Tabelle132456[[#This Row],[Jira Story Points]],Tabelle132456[[#This Row],[Carry-over]]),0),0)</f>
        <v>0</v>
      </c>
      <c r="Q545" s="173">
        <f>IFERROR(IF(Tabelle132456[[#This Row],[Status]]=$I$5,0,MIN(Tabelle132456[[#This Row],[Jira Story Points]],Tabelle132456[[#This Row],[Carry-over]])-Tabelle132456[[#This Row],[SP Completed (COS &amp; SOS)]]),0)</f>
        <v>0</v>
      </c>
    </row>
    <row r="546" spans="1:17" s="46" customFormat="1" ht="13.5" customHeight="1">
      <c r="A546" s="117"/>
      <c r="B546" s="47"/>
      <c r="C546" s="76"/>
      <c r="D546" s="76"/>
      <c r="E546" s="76"/>
      <c r="F546" s="104"/>
      <c r="G546" s="76"/>
      <c r="H546" s="83"/>
      <c r="I546" s="103"/>
      <c r="J546" s="76"/>
      <c r="K546" s="104"/>
      <c r="L546" s="104"/>
      <c r="M546" s="174">
        <f>IF(Tabelle132456[[#This Row],[Pulled after Start]]="",MIN(Tabelle132456[[#This Row],[Jira Story Points]],Tabelle132456[[#This Row],[Carry-over]]),0)</f>
        <v>0</v>
      </c>
      <c r="N546" s="173">
        <f>MIN(Tabelle132456[[#This Row],[Jira Story Points]],Tabelle132456[[#This Row],[Carry-over]])-Tabelle132456[[#This Row],[SP Initially Planned (COS)]]</f>
        <v>0</v>
      </c>
      <c r="O54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46" s="173">
        <f>IFERROR(IF(Tabelle132456[[#This Row],[Status]]=$I$5,MIN(Tabelle132456[[#This Row],[Jira Story Points]],Tabelle132456[[#This Row],[Carry-over]]),0),0)</f>
        <v>0</v>
      </c>
      <c r="Q546" s="173">
        <f>IFERROR(IF(Tabelle132456[[#This Row],[Status]]=$I$5,0,MIN(Tabelle132456[[#This Row],[Jira Story Points]],Tabelle132456[[#This Row],[Carry-over]])-Tabelle132456[[#This Row],[SP Completed (COS &amp; SOS)]]),0)</f>
        <v>0</v>
      </c>
    </row>
    <row r="547" spans="1:17" s="46" customFormat="1" ht="13.5" customHeight="1">
      <c r="A547" s="117"/>
      <c r="B547" s="47"/>
      <c r="C547" s="76"/>
      <c r="D547" s="76"/>
      <c r="E547" s="76"/>
      <c r="F547" s="104"/>
      <c r="G547" s="76"/>
      <c r="H547" s="83"/>
      <c r="I547" s="103"/>
      <c r="J547" s="76"/>
      <c r="K547" s="104"/>
      <c r="L547" s="104"/>
      <c r="M547" s="174">
        <f>IF(Tabelle132456[[#This Row],[Pulled after Start]]="",MIN(Tabelle132456[[#This Row],[Jira Story Points]],Tabelle132456[[#This Row],[Carry-over]]),0)</f>
        <v>0</v>
      </c>
      <c r="N547" s="173">
        <f>MIN(Tabelle132456[[#This Row],[Jira Story Points]],Tabelle132456[[#This Row],[Carry-over]])-Tabelle132456[[#This Row],[SP Initially Planned (COS)]]</f>
        <v>0</v>
      </c>
      <c r="O54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47" s="173">
        <f>IFERROR(IF(Tabelle132456[[#This Row],[Status]]=$I$5,MIN(Tabelle132456[[#This Row],[Jira Story Points]],Tabelle132456[[#This Row],[Carry-over]]),0),0)</f>
        <v>0</v>
      </c>
      <c r="Q547" s="173">
        <f>IFERROR(IF(Tabelle132456[[#This Row],[Status]]=$I$5,0,MIN(Tabelle132456[[#This Row],[Jira Story Points]],Tabelle132456[[#This Row],[Carry-over]])-Tabelle132456[[#This Row],[SP Completed (COS &amp; SOS)]]),0)</f>
        <v>0</v>
      </c>
    </row>
    <row r="548" spans="1:17" s="46" customFormat="1" ht="13.5" customHeight="1">
      <c r="A548" s="117"/>
      <c r="B548" s="47"/>
      <c r="C548" s="76"/>
      <c r="D548" s="76"/>
      <c r="E548" s="76"/>
      <c r="F548" s="104"/>
      <c r="G548" s="76"/>
      <c r="H548" s="83"/>
      <c r="I548" s="103"/>
      <c r="J548" s="76"/>
      <c r="K548" s="104"/>
      <c r="L548" s="104"/>
      <c r="M548" s="174">
        <f>IF(Tabelle132456[[#This Row],[Pulled after Start]]="",MIN(Tabelle132456[[#This Row],[Jira Story Points]],Tabelle132456[[#This Row],[Carry-over]]),0)</f>
        <v>0</v>
      </c>
      <c r="N548" s="173">
        <f>MIN(Tabelle132456[[#This Row],[Jira Story Points]],Tabelle132456[[#This Row],[Carry-over]])-Tabelle132456[[#This Row],[SP Initially Planned (COS)]]</f>
        <v>0</v>
      </c>
      <c r="O54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48" s="173">
        <f>IFERROR(IF(Tabelle132456[[#This Row],[Status]]=$I$5,MIN(Tabelle132456[[#This Row],[Jira Story Points]],Tabelle132456[[#This Row],[Carry-over]]),0),0)</f>
        <v>0</v>
      </c>
      <c r="Q548" s="173">
        <f>IFERROR(IF(Tabelle132456[[#This Row],[Status]]=$I$5,0,MIN(Tabelle132456[[#This Row],[Jira Story Points]],Tabelle132456[[#This Row],[Carry-over]])-Tabelle132456[[#This Row],[SP Completed (COS &amp; SOS)]]),0)</f>
        <v>0</v>
      </c>
    </row>
    <row r="549" spans="1:17" s="46" customFormat="1" ht="13.5" customHeight="1">
      <c r="A549" s="117"/>
      <c r="B549" s="47"/>
      <c r="C549" s="76"/>
      <c r="D549" s="76"/>
      <c r="E549" s="76"/>
      <c r="F549" s="104"/>
      <c r="G549" s="76"/>
      <c r="H549" s="83"/>
      <c r="I549" s="103"/>
      <c r="J549" s="76"/>
      <c r="K549" s="104"/>
      <c r="L549" s="104"/>
      <c r="M549" s="174">
        <f>IF(Tabelle132456[[#This Row],[Pulled after Start]]="",MIN(Tabelle132456[[#This Row],[Jira Story Points]],Tabelle132456[[#This Row],[Carry-over]]),0)</f>
        <v>0</v>
      </c>
      <c r="N549" s="173">
        <f>MIN(Tabelle132456[[#This Row],[Jira Story Points]],Tabelle132456[[#This Row],[Carry-over]])-Tabelle132456[[#This Row],[SP Initially Planned (COS)]]</f>
        <v>0</v>
      </c>
      <c r="O54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49" s="173">
        <f>IFERROR(IF(Tabelle132456[[#This Row],[Status]]=$I$5,MIN(Tabelle132456[[#This Row],[Jira Story Points]],Tabelle132456[[#This Row],[Carry-over]]),0),0)</f>
        <v>0</v>
      </c>
      <c r="Q549" s="173">
        <f>IFERROR(IF(Tabelle132456[[#This Row],[Status]]=$I$5,0,MIN(Tabelle132456[[#This Row],[Jira Story Points]],Tabelle132456[[#This Row],[Carry-over]])-Tabelle132456[[#This Row],[SP Completed (COS &amp; SOS)]]),0)</f>
        <v>0</v>
      </c>
    </row>
    <row r="550" spans="1:17" s="46" customFormat="1" ht="13.5" customHeight="1">
      <c r="A550" s="117"/>
      <c r="B550" s="47"/>
      <c r="C550" s="76"/>
      <c r="D550" s="76"/>
      <c r="E550" s="76"/>
      <c r="F550" s="104"/>
      <c r="G550" s="76"/>
      <c r="H550" s="83"/>
      <c r="I550" s="103"/>
      <c r="J550" s="76"/>
      <c r="K550" s="104"/>
      <c r="L550" s="104"/>
      <c r="M550" s="174">
        <f>IF(Tabelle132456[[#This Row],[Pulled after Start]]="",MIN(Tabelle132456[[#This Row],[Jira Story Points]],Tabelle132456[[#This Row],[Carry-over]]),0)</f>
        <v>0</v>
      </c>
      <c r="N550" s="173">
        <f>MIN(Tabelle132456[[#This Row],[Jira Story Points]],Tabelle132456[[#This Row],[Carry-over]])-Tabelle132456[[#This Row],[SP Initially Planned (COS)]]</f>
        <v>0</v>
      </c>
      <c r="O55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50" s="173">
        <f>IFERROR(IF(Tabelle132456[[#This Row],[Status]]=$I$5,MIN(Tabelle132456[[#This Row],[Jira Story Points]],Tabelle132456[[#This Row],[Carry-over]]),0),0)</f>
        <v>0</v>
      </c>
      <c r="Q550" s="173">
        <f>IFERROR(IF(Tabelle132456[[#This Row],[Status]]=$I$5,0,MIN(Tabelle132456[[#This Row],[Jira Story Points]],Tabelle132456[[#This Row],[Carry-over]])-Tabelle132456[[#This Row],[SP Completed (COS &amp; SOS)]]),0)</f>
        <v>0</v>
      </c>
    </row>
    <row r="551" spans="1:17" s="46" customFormat="1" ht="13.5" customHeight="1">
      <c r="A551" s="117"/>
      <c r="B551" s="47"/>
      <c r="C551" s="76"/>
      <c r="D551" s="76"/>
      <c r="E551" s="76"/>
      <c r="F551" s="104"/>
      <c r="G551" s="76"/>
      <c r="H551" s="83"/>
      <c r="I551" s="103"/>
      <c r="J551" s="76"/>
      <c r="K551" s="104"/>
      <c r="L551" s="104"/>
      <c r="M551" s="174">
        <f>IF(Tabelle132456[[#This Row],[Pulled after Start]]="",MIN(Tabelle132456[[#This Row],[Jira Story Points]],Tabelle132456[[#This Row],[Carry-over]]),0)</f>
        <v>0</v>
      </c>
      <c r="N551" s="173">
        <f>MIN(Tabelle132456[[#This Row],[Jira Story Points]],Tabelle132456[[#This Row],[Carry-over]])-Tabelle132456[[#This Row],[SP Initially Planned (COS)]]</f>
        <v>0</v>
      </c>
      <c r="O55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51" s="173">
        <f>IFERROR(IF(Tabelle132456[[#This Row],[Status]]=$I$5,MIN(Tabelle132456[[#This Row],[Jira Story Points]],Tabelle132456[[#This Row],[Carry-over]]),0),0)</f>
        <v>0</v>
      </c>
      <c r="Q551" s="173">
        <f>IFERROR(IF(Tabelle132456[[#This Row],[Status]]=$I$5,0,MIN(Tabelle132456[[#This Row],[Jira Story Points]],Tabelle132456[[#This Row],[Carry-over]])-Tabelle132456[[#This Row],[SP Completed (COS &amp; SOS)]]),0)</f>
        <v>0</v>
      </c>
    </row>
    <row r="552" spans="1:17" s="46" customFormat="1" ht="13.5" customHeight="1">
      <c r="A552" s="117"/>
      <c r="B552" s="47"/>
      <c r="C552" s="76"/>
      <c r="D552" s="76"/>
      <c r="E552" s="76"/>
      <c r="F552" s="104"/>
      <c r="G552" s="76"/>
      <c r="H552" s="83"/>
      <c r="I552" s="103"/>
      <c r="J552" s="76"/>
      <c r="K552" s="104"/>
      <c r="L552" s="104"/>
      <c r="M552" s="174">
        <f>IF(Tabelle132456[[#This Row],[Pulled after Start]]="",MIN(Tabelle132456[[#This Row],[Jira Story Points]],Tabelle132456[[#This Row],[Carry-over]]),0)</f>
        <v>0</v>
      </c>
      <c r="N552" s="173">
        <f>MIN(Tabelle132456[[#This Row],[Jira Story Points]],Tabelle132456[[#This Row],[Carry-over]])-Tabelle132456[[#This Row],[SP Initially Planned (COS)]]</f>
        <v>0</v>
      </c>
      <c r="O55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52" s="173">
        <f>IFERROR(IF(Tabelle132456[[#This Row],[Status]]=$I$5,MIN(Tabelle132456[[#This Row],[Jira Story Points]],Tabelle132456[[#This Row],[Carry-over]]),0),0)</f>
        <v>0</v>
      </c>
      <c r="Q552" s="173">
        <f>IFERROR(IF(Tabelle132456[[#This Row],[Status]]=$I$5,0,MIN(Tabelle132456[[#This Row],[Jira Story Points]],Tabelle132456[[#This Row],[Carry-over]])-Tabelle132456[[#This Row],[SP Completed (COS &amp; SOS)]]),0)</f>
        <v>0</v>
      </c>
    </row>
    <row r="553" spans="1:17" s="46" customFormat="1" ht="13.5" customHeight="1">
      <c r="A553" s="117"/>
      <c r="B553" s="47"/>
      <c r="C553" s="76"/>
      <c r="D553" s="76"/>
      <c r="E553" s="76"/>
      <c r="F553" s="104"/>
      <c r="G553" s="76"/>
      <c r="H553" s="83"/>
      <c r="I553" s="103"/>
      <c r="J553" s="76"/>
      <c r="K553" s="104"/>
      <c r="L553" s="104"/>
      <c r="M553" s="174">
        <f>IF(Tabelle132456[[#This Row],[Pulled after Start]]="",MIN(Tabelle132456[[#This Row],[Jira Story Points]],Tabelle132456[[#This Row],[Carry-over]]),0)</f>
        <v>0</v>
      </c>
      <c r="N553" s="173">
        <f>MIN(Tabelle132456[[#This Row],[Jira Story Points]],Tabelle132456[[#This Row],[Carry-over]])-Tabelle132456[[#This Row],[SP Initially Planned (COS)]]</f>
        <v>0</v>
      </c>
      <c r="O55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53" s="173">
        <f>IFERROR(IF(Tabelle132456[[#This Row],[Status]]=$I$5,MIN(Tabelle132456[[#This Row],[Jira Story Points]],Tabelle132456[[#This Row],[Carry-over]]),0),0)</f>
        <v>0</v>
      </c>
      <c r="Q553" s="173">
        <f>IFERROR(IF(Tabelle132456[[#This Row],[Status]]=$I$5,0,MIN(Tabelle132456[[#This Row],[Jira Story Points]],Tabelle132456[[#This Row],[Carry-over]])-Tabelle132456[[#This Row],[SP Completed (COS &amp; SOS)]]),0)</f>
        <v>0</v>
      </c>
    </row>
    <row r="554" spans="1:17" s="46" customFormat="1" ht="13.5" customHeight="1">
      <c r="A554" s="117"/>
      <c r="B554" s="47"/>
      <c r="C554" s="76"/>
      <c r="D554" s="76"/>
      <c r="E554" s="76"/>
      <c r="F554" s="104"/>
      <c r="G554" s="76"/>
      <c r="H554" s="83"/>
      <c r="I554" s="103"/>
      <c r="J554" s="76"/>
      <c r="K554" s="104"/>
      <c r="L554" s="104"/>
      <c r="M554" s="174">
        <f>IF(Tabelle132456[[#This Row],[Pulled after Start]]="",MIN(Tabelle132456[[#This Row],[Jira Story Points]],Tabelle132456[[#This Row],[Carry-over]]),0)</f>
        <v>0</v>
      </c>
      <c r="N554" s="173">
        <f>MIN(Tabelle132456[[#This Row],[Jira Story Points]],Tabelle132456[[#This Row],[Carry-over]])-Tabelle132456[[#This Row],[SP Initially Planned (COS)]]</f>
        <v>0</v>
      </c>
      <c r="O55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54" s="173">
        <f>IFERROR(IF(Tabelle132456[[#This Row],[Status]]=$I$5,MIN(Tabelle132456[[#This Row],[Jira Story Points]],Tabelle132456[[#This Row],[Carry-over]]),0),0)</f>
        <v>0</v>
      </c>
      <c r="Q554" s="173">
        <f>IFERROR(IF(Tabelle132456[[#This Row],[Status]]=$I$5,0,MIN(Tabelle132456[[#This Row],[Jira Story Points]],Tabelle132456[[#This Row],[Carry-over]])-Tabelle132456[[#This Row],[SP Completed (COS &amp; SOS)]]),0)</f>
        <v>0</v>
      </c>
    </row>
    <row r="555" spans="1:17" s="46" customFormat="1" ht="13.5" customHeight="1">
      <c r="A555" s="117"/>
      <c r="B555" s="47"/>
      <c r="C555" s="76"/>
      <c r="D555" s="76"/>
      <c r="E555" s="76"/>
      <c r="F555" s="104"/>
      <c r="G555" s="76"/>
      <c r="H555" s="83"/>
      <c r="I555" s="103"/>
      <c r="J555" s="76"/>
      <c r="K555" s="104"/>
      <c r="L555" s="104"/>
      <c r="M555" s="174">
        <f>IF(Tabelle132456[[#This Row],[Pulled after Start]]="",MIN(Tabelle132456[[#This Row],[Jira Story Points]],Tabelle132456[[#This Row],[Carry-over]]),0)</f>
        <v>0</v>
      </c>
      <c r="N555" s="173">
        <f>MIN(Tabelle132456[[#This Row],[Jira Story Points]],Tabelle132456[[#This Row],[Carry-over]])-Tabelle132456[[#This Row],[SP Initially Planned (COS)]]</f>
        <v>0</v>
      </c>
      <c r="O55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55" s="173">
        <f>IFERROR(IF(Tabelle132456[[#This Row],[Status]]=$I$5,MIN(Tabelle132456[[#This Row],[Jira Story Points]],Tabelle132456[[#This Row],[Carry-over]]),0),0)</f>
        <v>0</v>
      </c>
      <c r="Q555" s="173">
        <f>IFERROR(IF(Tabelle132456[[#This Row],[Status]]=$I$5,0,MIN(Tabelle132456[[#This Row],[Jira Story Points]],Tabelle132456[[#This Row],[Carry-over]])-Tabelle132456[[#This Row],[SP Completed (COS &amp; SOS)]]),0)</f>
        <v>0</v>
      </c>
    </row>
    <row r="556" spans="1:17" s="46" customFormat="1" ht="13.5" customHeight="1">
      <c r="A556" s="117"/>
      <c r="B556" s="47"/>
      <c r="C556" s="76"/>
      <c r="D556" s="76"/>
      <c r="E556" s="76"/>
      <c r="F556" s="104"/>
      <c r="G556" s="76"/>
      <c r="H556" s="83"/>
      <c r="I556" s="103"/>
      <c r="J556" s="76"/>
      <c r="K556" s="104"/>
      <c r="L556" s="104"/>
      <c r="M556" s="174">
        <f>IF(Tabelle132456[[#This Row],[Pulled after Start]]="",MIN(Tabelle132456[[#This Row],[Jira Story Points]],Tabelle132456[[#This Row],[Carry-over]]),0)</f>
        <v>0</v>
      </c>
      <c r="N556" s="173">
        <f>MIN(Tabelle132456[[#This Row],[Jira Story Points]],Tabelle132456[[#This Row],[Carry-over]])-Tabelle132456[[#This Row],[SP Initially Planned (COS)]]</f>
        <v>0</v>
      </c>
      <c r="O55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56" s="173">
        <f>IFERROR(IF(Tabelle132456[[#This Row],[Status]]=$I$5,MIN(Tabelle132456[[#This Row],[Jira Story Points]],Tabelle132456[[#This Row],[Carry-over]]),0),0)</f>
        <v>0</v>
      </c>
      <c r="Q556" s="173">
        <f>IFERROR(IF(Tabelle132456[[#This Row],[Status]]=$I$5,0,MIN(Tabelle132456[[#This Row],[Jira Story Points]],Tabelle132456[[#This Row],[Carry-over]])-Tabelle132456[[#This Row],[SP Completed (COS &amp; SOS)]]),0)</f>
        <v>0</v>
      </c>
    </row>
    <row r="557" spans="1:17" s="46" customFormat="1" ht="13.5" customHeight="1">
      <c r="A557" s="117"/>
      <c r="B557" s="47"/>
      <c r="C557" s="76"/>
      <c r="D557" s="76"/>
      <c r="E557" s="76"/>
      <c r="F557" s="104"/>
      <c r="G557" s="76"/>
      <c r="H557" s="83"/>
      <c r="I557" s="103"/>
      <c r="J557" s="76"/>
      <c r="K557" s="104"/>
      <c r="L557" s="104"/>
      <c r="M557" s="174">
        <f>IF(Tabelle132456[[#This Row],[Pulled after Start]]="",MIN(Tabelle132456[[#This Row],[Jira Story Points]],Tabelle132456[[#This Row],[Carry-over]]),0)</f>
        <v>0</v>
      </c>
      <c r="N557" s="173">
        <f>MIN(Tabelle132456[[#This Row],[Jira Story Points]],Tabelle132456[[#This Row],[Carry-over]])-Tabelle132456[[#This Row],[SP Initially Planned (COS)]]</f>
        <v>0</v>
      </c>
      <c r="O55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57" s="173">
        <f>IFERROR(IF(Tabelle132456[[#This Row],[Status]]=$I$5,MIN(Tabelle132456[[#This Row],[Jira Story Points]],Tabelle132456[[#This Row],[Carry-over]]),0),0)</f>
        <v>0</v>
      </c>
      <c r="Q557" s="173">
        <f>IFERROR(IF(Tabelle132456[[#This Row],[Status]]=$I$5,0,MIN(Tabelle132456[[#This Row],[Jira Story Points]],Tabelle132456[[#This Row],[Carry-over]])-Tabelle132456[[#This Row],[SP Completed (COS &amp; SOS)]]),0)</f>
        <v>0</v>
      </c>
    </row>
    <row r="558" spans="1:17" s="46" customFormat="1" ht="13.5" customHeight="1">
      <c r="A558" s="117"/>
      <c r="B558" s="47"/>
      <c r="C558" s="76"/>
      <c r="D558" s="76"/>
      <c r="E558" s="76"/>
      <c r="F558" s="104"/>
      <c r="G558" s="76"/>
      <c r="H558" s="83"/>
      <c r="I558" s="103"/>
      <c r="J558" s="76"/>
      <c r="K558" s="104"/>
      <c r="L558" s="104"/>
      <c r="M558" s="174">
        <f>IF(Tabelle132456[[#This Row],[Pulled after Start]]="",MIN(Tabelle132456[[#This Row],[Jira Story Points]],Tabelle132456[[#This Row],[Carry-over]]),0)</f>
        <v>0</v>
      </c>
      <c r="N558" s="173">
        <f>MIN(Tabelle132456[[#This Row],[Jira Story Points]],Tabelle132456[[#This Row],[Carry-over]])-Tabelle132456[[#This Row],[SP Initially Planned (COS)]]</f>
        <v>0</v>
      </c>
      <c r="O55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58" s="173">
        <f>IFERROR(IF(Tabelle132456[[#This Row],[Status]]=$I$5,MIN(Tabelle132456[[#This Row],[Jira Story Points]],Tabelle132456[[#This Row],[Carry-over]]),0),0)</f>
        <v>0</v>
      </c>
      <c r="Q558" s="173">
        <f>IFERROR(IF(Tabelle132456[[#This Row],[Status]]=$I$5,0,MIN(Tabelle132456[[#This Row],[Jira Story Points]],Tabelle132456[[#This Row],[Carry-over]])-Tabelle132456[[#This Row],[SP Completed (COS &amp; SOS)]]),0)</f>
        <v>0</v>
      </c>
    </row>
    <row r="559" spans="1:17" s="46" customFormat="1" ht="13.5" customHeight="1">
      <c r="A559" s="117"/>
      <c r="B559" s="47"/>
      <c r="C559" s="76"/>
      <c r="D559" s="76"/>
      <c r="E559" s="76"/>
      <c r="F559" s="104"/>
      <c r="G559" s="76"/>
      <c r="H559" s="83"/>
      <c r="I559" s="103"/>
      <c r="J559" s="76"/>
      <c r="K559" s="104"/>
      <c r="L559" s="104"/>
      <c r="M559" s="174">
        <f>IF(Tabelle132456[[#This Row],[Pulled after Start]]="",MIN(Tabelle132456[[#This Row],[Jira Story Points]],Tabelle132456[[#This Row],[Carry-over]]),0)</f>
        <v>0</v>
      </c>
      <c r="N559" s="173">
        <f>MIN(Tabelle132456[[#This Row],[Jira Story Points]],Tabelle132456[[#This Row],[Carry-over]])-Tabelle132456[[#This Row],[SP Initially Planned (COS)]]</f>
        <v>0</v>
      </c>
      <c r="O55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59" s="173">
        <f>IFERROR(IF(Tabelle132456[[#This Row],[Status]]=$I$5,MIN(Tabelle132456[[#This Row],[Jira Story Points]],Tabelle132456[[#This Row],[Carry-over]]),0),0)</f>
        <v>0</v>
      </c>
      <c r="Q559" s="173">
        <f>IFERROR(IF(Tabelle132456[[#This Row],[Status]]=$I$5,0,MIN(Tabelle132456[[#This Row],[Jira Story Points]],Tabelle132456[[#This Row],[Carry-over]])-Tabelle132456[[#This Row],[SP Completed (COS &amp; SOS)]]),0)</f>
        <v>0</v>
      </c>
    </row>
    <row r="560" spans="1:17" s="46" customFormat="1" ht="13.5" customHeight="1">
      <c r="A560" s="117"/>
      <c r="B560" s="47"/>
      <c r="C560" s="76"/>
      <c r="D560" s="76"/>
      <c r="E560" s="76"/>
      <c r="F560" s="104"/>
      <c r="G560" s="76"/>
      <c r="H560" s="83"/>
      <c r="I560" s="103"/>
      <c r="J560" s="76"/>
      <c r="K560" s="104"/>
      <c r="L560" s="104"/>
      <c r="M560" s="174">
        <f>IF(Tabelle132456[[#This Row],[Pulled after Start]]="",MIN(Tabelle132456[[#This Row],[Jira Story Points]],Tabelle132456[[#This Row],[Carry-over]]),0)</f>
        <v>0</v>
      </c>
      <c r="N560" s="173">
        <f>MIN(Tabelle132456[[#This Row],[Jira Story Points]],Tabelle132456[[#This Row],[Carry-over]])-Tabelle132456[[#This Row],[SP Initially Planned (COS)]]</f>
        <v>0</v>
      </c>
      <c r="O56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60" s="173">
        <f>IFERROR(IF(Tabelle132456[[#This Row],[Status]]=$I$5,MIN(Tabelle132456[[#This Row],[Jira Story Points]],Tabelle132456[[#This Row],[Carry-over]]),0),0)</f>
        <v>0</v>
      </c>
      <c r="Q560" s="173">
        <f>IFERROR(IF(Tabelle132456[[#This Row],[Status]]=$I$5,0,MIN(Tabelle132456[[#This Row],[Jira Story Points]],Tabelle132456[[#This Row],[Carry-over]])-Tabelle132456[[#This Row],[SP Completed (COS &amp; SOS)]]),0)</f>
        <v>0</v>
      </c>
    </row>
    <row r="561" spans="1:17" s="46" customFormat="1" ht="13.5" customHeight="1">
      <c r="A561" s="117"/>
      <c r="B561" s="47"/>
      <c r="C561" s="76"/>
      <c r="D561" s="76"/>
      <c r="E561" s="76"/>
      <c r="F561" s="104"/>
      <c r="G561" s="76"/>
      <c r="H561" s="83"/>
      <c r="I561" s="103"/>
      <c r="J561" s="76"/>
      <c r="K561" s="104"/>
      <c r="L561" s="104"/>
      <c r="M561" s="174">
        <f>IF(Tabelle132456[[#This Row],[Pulled after Start]]="",MIN(Tabelle132456[[#This Row],[Jira Story Points]],Tabelle132456[[#This Row],[Carry-over]]),0)</f>
        <v>0</v>
      </c>
      <c r="N561" s="173">
        <f>MIN(Tabelle132456[[#This Row],[Jira Story Points]],Tabelle132456[[#This Row],[Carry-over]])-Tabelle132456[[#This Row],[SP Initially Planned (COS)]]</f>
        <v>0</v>
      </c>
      <c r="O56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61" s="173">
        <f>IFERROR(IF(Tabelle132456[[#This Row],[Status]]=$I$5,MIN(Tabelle132456[[#This Row],[Jira Story Points]],Tabelle132456[[#This Row],[Carry-over]]),0),0)</f>
        <v>0</v>
      </c>
      <c r="Q561" s="173">
        <f>IFERROR(IF(Tabelle132456[[#This Row],[Status]]=$I$5,0,MIN(Tabelle132456[[#This Row],[Jira Story Points]],Tabelle132456[[#This Row],[Carry-over]])-Tabelle132456[[#This Row],[SP Completed (COS &amp; SOS)]]),0)</f>
        <v>0</v>
      </c>
    </row>
    <row r="562" spans="1:17" s="46" customFormat="1" ht="13.5" customHeight="1">
      <c r="A562" s="117"/>
      <c r="B562" s="47"/>
      <c r="C562" s="76"/>
      <c r="D562" s="76"/>
      <c r="E562" s="76"/>
      <c r="F562" s="104"/>
      <c r="G562" s="76"/>
      <c r="H562" s="83"/>
      <c r="I562" s="103"/>
      <c r="J562" s="76"/>
      <c r="K562" s="104"/>
      <c r="L562" s="104"/>
      <c r="M562" s="174">
        <f>IF(Tabelle132456[[#This Row],[Pulled after Start]]="",MIN(Tabelle132456[[#This Row],[Jira Story Points]],Tabelle132456[[#This Row],[Carry-over]]),0)</f>
        <v>0</v>
      </c>
      <c r="N562" s="173">
        <f>MIN(Tabelle132456[[#This Row],[Jira Story Points]],Tabelle132456[[#This Row],[Carry-over]])-Tabelle132456[[#This Row],[SP Initially Planned (COS)]]</f>
        <v>0</v>
      </c>
      <c r="O56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62" s="173">
        <f>IFERROR(IF(Tabelle132456[[#This Row],[Status]]=$I$5,MIN(Tabelle132456[[#This Row],[Jira Story Points]],Tabelle132456[[#This Row],[Carry-over]]),0),0)</f>
        <v>0</v>
      </c>
      <c r="Q562" s="173">
        <f>IFERROR(IF(Tabelle132456[[#This Row],[Status]]=$I$5,0,MIN(Tabelle132456[[#This Row],[Jira Story Points]],Tabelle132456[[#This Row],[Carry-over]])-Tabelle132456[[#This Row],[SP Completed (COS &amp; SOS)]]),0)</f>
        <v>0</v>
      </c>
    </row>
    <row r="563" spans="1:17" s="46" customFormat="1" ht="13.5" customHeight="1">
      <c r="A563" s="117"/>
      <c r="B563" s="47"/>
      <c r="C563" s="76"/>
      <c r="D563" s="76"/>
      <c r="E563" s="76"/>
      <c r="F563" s="104"/>
      <c r="G563" s="76"/>
      <c r="H563" s="83"/>
      <c r="I563" s="103"/>
      <c r="J563" s="76"/>
      <c r="K563" s="104"/>
      <c r="L563" s="104"/>
      <c r="M563" s="174">
        <f>IF(Tabelle132456[[#This Row],[Pulled after Start]]="",MIN(Tabelle132456[[#This Row],[Jira Story Points]],Tabelle132456[[#This Row],[Carry-over]]),0)</f>
        <v>0</v>
      </c>
      <c r="N563" s="173">
        <f>MIN(Tabelle132456[[#This Row],[Jira Story Points]],Tabelle132456[[#This Row],[Carry-over]])-Tabelle132456[[#This Row],[SP Initially Planned (COS)]]</f>
        <v>0</v>
      </c>
      <c r="O56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63" s="173">
        <f>IFERROR(IF(Tabelle132456[[#This Row],[Status]]=$I$5,MIN(Tabelle132456[[#This Row],[Jira Story Points]],Tabelle132456[[#This Row],[Carry-over]]),0),0)</f>
        <v>0</v>
      </c>
      <c r="Q563" s="173">
        <f>IFERROR(IF(Tabelle132456[[#This Row],[Status]]=$I$5,0,MIN(Tabelle132456[[#This Row],[Jira Story Points]],Tabelle132456[[#This Row],[Carry-over]])-Tabelle132456[[#This Row],[SP Completed (COS &amp; SOS)]]),0)</f>
        <v>0</v>
      </c>
    </row>
    <row r="564" spans="1:17" s="46" customFormat="1" ht="13.5" customHeight="1">
      <c r="A564" s="117"/>
      <c r="B564" s="47"/>
      <c r="C564" s="76"/>
      <c r="D564" s="76"/>
      <c r="E564" s="76"/>
      <c r="F564" s="104"/>
      <c r="G564" s="76"/>
      <c r="H564" s="83"/>
      <c r="I564" s="103"/>
      <c r="J564" s="76"/>
      <c r="K564" s="104"/>
      <c r="L564" s="104"/>
      <c r="M564" s="174">
        <f>IF(Tabelle132456[[#This Row],[Pulled after Start]]="",MIN(Tabelle132456[[#This Row],[Jira Story Points]],Tabelle132456[[#This Row],[Carry-over]]),0)</f>
        <v>0</v>
      </c>
      <c r="N564" s="173">
        <f>MIN(Tabelle132456[[#This Row],[Jira Story Points]],Tabelle132456[[#This Row],[Carry-over]])-Tabelle132456[[#This Row],[SP Initially Planned (COS)]]</f>
        <v>0</v>
      </c>
      <c r="O56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64" s="173">
        <f>IFERROR(IF(Tabelle132456[[#This Row],[Status]]=$I$5,MIN(Tabelle132456[[#This Row],[Jira Story Points]],Tabelle132456[[#This Row],[Carry-over]]),0),0)</f>
        <v>0</v>
      </c>
      <c r="Q564" s="173">
        <f>IFERROR(IF(Tabelle132456[[#This Row],[Status]]=$I$5,0,MIN(Tabelle132456[[#This Row],[Jira Story Points]],Tabelle132456[[#This Row],[Carry-over]])-Tabelle132456[[#This Row],[SP Completed (COS &amp; SOS)]]),0)</f>
        <v>0</v>
      </c>
    </row>
    <row r="565" spans="1:17" s="46" customFormat="1" ht="13.5" customHeight="1">
      <c r="A565" s="117"/>
      <c r="B565" s="47"/>
      <c r="C565" s="76"/>
      <c r="D565" s="76"/>
      <c r="E565" s="76"/>
      <c r="F565" s="104"/>
      <c r="G565" s="76"/>
      <c r="H565" s="83"/>
      <c r="I565" s="103"/>
      <c r="J565" s="76"/>
      <c r="K565" s="104"/>
      <c r="L565" s="104"/>
      <c r="M565" s="174">
        <f>IF(Tabelle132456[[#This Row],[Pulled after Start]]="",MIN(Tabelle132456[[#This Row],[Jira Story Points]],Tabelle132456[[#This Row],[Carry-over]]),0)</f>
        <v>0</v>
      </c>
      <c r="N565" s="173">
        <f>MIN(Tabelle132456[[#This Row],[Jira Story Points]],Tabelle132456[[#This Row],[Carry-over]])-Tabelle132456[[#This Row],[SP Initially Planned (COS)]]</f>
        <v>0</v>
      </c>
      <c r="O56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65" s="173">
        <f>IFERROR(IF(Tabelle132456[[#This Row],[Status]]=$I$5,MIN(Tabelle132456[[#This Row],[Jira Story Points]],Tabelle132456[[#This Row],[Carry-over]]),0),0)</f>
        <v>0</v>
      </c>
      <c r="Q565" s="173">
        <f>IFERROR(IF(Tabelle132456[[#This Row],[Status]]=$I$5,0,MIN(Tabelle132456[[#This Row],[Jira Story Points]],Tabelle132456[[#This Row],[Carry-over]])-Tabelle132456[[#This Row],[SP Completed (COS &amp; SOS)]]),0)</f>
        <v>0</v>
      </c>
    </row>
    <row r="566" spans="1:17" s="46" customFormat="1" ht="13.5" customHeight="1">
      <c r="A566" s="117"/>
      <c r="B566" s="47"/>
      <c r="C566" s="76"/>
      <c r="D566" s="76"/>
      <c r="E566" s="76"/>
      <c r="F566" s="104"/>
      <c r="G566" s="76"/>
      <c r="H566" s="83"/>
      <c r="I566" s="103"/>
      <c r="J566" s="76"/>
      <c r="K566" s="104"/>
      <c r="L566" s="104"/>
      <c r="M566" s="174">
        <f>IF(Tabelle132456[[#This Row],[Pulled after Start]]="",MIN(Tabelle132456[[#This Row],[Jira Story Points]],Tabelle132456[[#This Row],[Carry-over]]),0)</f>
        <v>0</v>
      </c>
      <c r="N566" s="173">
        <f>MIN(Tabelle132456[[#This Row],[Jira Story Points]],Tabelle132456[[#This Row],[Carry-over]])-Tabelle132456[[#This Row],[SP Initially Planned (COS)]]</f>
        <v>0</v>
      </c>
      <c r="O56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66" s="173">
        <f>IFERROR(IF(Tabelle132456[[#This Row],[Status]]=$I$5,MIN(Tabelle132456[[#This Row],[Jira Story Points]],Tabelle132456[[#This Row],[Carry-over]]),0),0)</f>
        <v>0</v>
      </c>
      <c r="Q566" s="173">
        <f>IFERROR(IF(Tabelle132456[[#This Row],[Status]]=$I$5,0,MIN(Tabelle132456[[#This Row],[Jira Story Points]],Tabelle132456[[#This Row],[Carry-over]])-Tabelle132456[[#This Row],[SP Completed (COS &amp; SOS)]]),0)</f>
        <v>0</v>
      </c>
    </row>
    <row r="567" spans="1:17" s="46" customFormat="1" ht="13.5" customHeight="1">
      <c r="A567" s="117"/>
      <c r="B567" s="47"/>
      <c r="C567" s="76"/>
      <c r="D567" s="76"/>
      <c r="E567" s="76"/>
      <c r="F567" s="104"/>
      <c r="G567" s="76"/>
      <c r="H567" s="83"/>
      <c r="I567" s="103"/>
      <c r="J567" s="76"/>
      <c r="K567" s="104"/>
      <c r="L567" s="104"/>
      <c r="M567" s="174">
        <f>IF(Tabelle132456[[#This Row],[Pulled after Start]]="",MIN(Tabelle132456[[#This Row],[Jira Story Points]],Tabelle132456[[#This Row],[Carry-over]]),0)</f>
        <v>0</v>
      </c>
      <c r="N567" s="173">
        <f>MIN(Tabelle132456[[#This Row],[Jira Story Points]],Tabelle132456[[#This Row],[Carry-over]])-Tabelle132456[[#This Row],[SP Initially Planned (COS)]]</f>
        <v>0</v>
      </c>
      <c r="O56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67" s="173">
        <f>IFERROR(IF(Tabelle132456[[#This Row],[Status]]=$I$5,MIN(Tabelle132456[[#This Row],[Jira Story Points]],Tabelle132456[[#This Row],[Carry-over]]),0),0)</f>
        <v>0</v>
      </c>
      <c r="Q567" s="173">
        <f>IFERROR(IF(Tabelle132456[[#This Row],[Status]]=$I$5,0,MIN(Tabelle132456[[#This Row],[Jira Story Points]],Tabelle132456[[#This Row],[Carry-over]])-Tabelle132456[[#This Row],[SP Completed (COS &amp; SOS)]]),0)</f>
        <v>0</v>
      </c>
    </row>
    <row r="568" spans="1:17" s="46" customFormat="1" ht="13.5" customHeight="1">
      <c r="A568" s="117"/>
      <c r="B568" s="47"/>
      <c r="C568" s="76"/>
      <c r="D568" s="76"/>
      <c r="E568" s="76"/>
      <c r="F568" s="104"/>
      <c r="G568" s="76"/>
      <c r="H568" s="83"/>
      <c r="I568" s="103"/>
      <c r="J568" s="76"/>
      <c r="K568" s="104"/>
      <c r="L568" s="104"/>
      <c r="M568" s="174">
        <f>IF(Tabelle132456[[#This Row],[Pulled after Start]]="",MIN(Tabelle132456[[#This Row],[Jira Story Points]],Tabelle132456[[#This Row],[Carry-over]]),0)</f>
        <v>0</v>
      </c>
      <c r="N568" s="173">
        <f>MIN(Tabelle132456[[#This Row],[Jira Story Points]],Tabelle132456[[#This Row],[Carry-over]])-Tabelle132456[[#This Row],[SP Initially Planned (COS)]]</f>
        <v>0</v>
      </c>
      <c r="O56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68" s="173">
        <f>IFERROR(IF(Tabelle132456[[#This Row],[Status]]=$I$5,MIN(Tabelle132456[[#This Row],[Jira Story Points]],Tabelle132456[[#This Row],[Carry-over]]),0),0)</f>
        <v>0</v>
      </c>
      <c r="Q568" s="173">
        <f>IFERROR(IF(Tabelle132456[[#This Row],[Status]]=$I$5,0,MIN(Tabelle132456[[#This Row],[Jira Story Points]],Tabelle132456[[#This Row],[Carry-over]])-Tabelle132456[[#This Row],[SP Completed (COS &amp; SOS)]]),0)</f>
        <v>0</v>
      </c>
    </row>
    <row r="569" spans="1:17" s="46" customFormat="1" ht="13.5" customHeight="1">
      <c r="A569" s="117"/>
      <c r="B569" s="47"/>
      <c r="C569" s="76"/>
      <c r="D569" s="76"/>
      <c r="E569" s="76"/>
      <c r="F569" s="104"/>
      <c r="G569" s="76"/>
      <c r="H569" s="83"/>
      <c r="I569" s="103"/>
      <c r="J569" s="76"/>
      <c r="K569" s="104"/>
      <c r="L569" s="104"/>
      <c r="M569" s="174">
        <f>IF(Tabelle132456[[#This Row],[Pulled after Start]]="",MIN(Tabelle132456[[#This Row],[Jira Story Points]],Tabelle132456[[#This Row],[Carry-over]]),0)</f>
        <v>0</v>
      </c>
      <c r="N569" s="173">
        <f>MIN(Tabelle132456[[#This Row],[Jira Story Points]],Tabelle132456[[#This Row],[Carry-over]])-Tabelle132456[[#This Row],[SP Initially Planned (COS)]]</f>
        <v>0</v>
      </c>
      <c r="O56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69" s="173">
        <f>IFERROR(IF(Tabelle132456[[#This Row],[Status]]=$I$5,MIN(Tabelle132456[[#This Row],[Jira Story Points]],Tabelle132456[[#This Row],[Carry-over]]),0),0)</f>
        <v>0</v>
      </c>
      <c r="Q569" s="173">
        <f>IFERROR(IF(Tabelle132456[[#This Row],[Status]]=$I$5,0,MIN(Tabelle132456[[#This Row],[Jira Story Points]],Tabelle132456[[#This Row],[Carry-over]])-Tabelle132456[[#This Row],[SP Completed (COS &amp; SOS)]]),0)</f>
        <v>0</v>
      </c>
    </row>
    <row r="570" spans="1:17" s="46" customFormat="1" ht="13.5" customHeight="1">
      <c r="A570" s="117"/>
      <c r="B570" s="47"/>
      <c r="C570" s="76"/>
      <c r="D570" s="76"/>
      <c r="E570" s="76"/>
      <c r="F570" s="104"/>
      <c r="G570" s="76"/>
      <c r="H570" s="83"/>
      <c r="I570" s="103"/>
      <c r="J570" s="76"/>
      <c r="K570" s="104"/>
      <c r="L570" s="104"/>
      <c r="M570" s="174">
        <f>IF(Tabelle132456[[#This Row],[Pulled after Start]]="",MIN(Tabelle132456[[#This Row],[Jira Story Points]],Tabelle132456[[#This Row],[Carry-over]]),0)</f>
        <v>0</v>
      </c>
      <c r="N570" s="173">
        <f>MIN(Tabelle132456[[#This Row],[Jira Story Points]],Tabelle132456[[#This Row],[Carry-over]])-Tabelle132456[[#This Row],[SP Initially Planned (COS)]]</f>
        <v>0</v>
      </c>
      <c r="O57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70" s="173">
        <f>IFERROR(IF(Tabelle132456[[#This Row],[Status]]=$I$5,MIN(Tabelle132456[[#This Row],[Jira Story Points]],Tabelle132456[[#This Row],[Carry-over]]),0),0)</f>
        <v>0</v>
      </c>
      <c r="Q570" s="173">
        <f>IFERROR(IF(Tabelle132456[[#This Row],[Status]]=$I$5,0,MIN(Tabelle132456[[#This Row],[Jira Story Points]],Tabelle132456[[#This Row],[Carry-over]])-Tabelle132456[[#This Row],[SP Completed (COS &amp; SOS)]]),0)</f>
        <v>0</v>
      </c>
    </row>
    <row r="571" spans="1:17" s="46" customFormat="1" ht="13.5" customHeight="1">
      <c r="A571" s="117"/>
      <c r="B571" s="47"/>
      <c r="C571" s="76"/>
      <c r="D571" s="76"/>
      <c r="E571" s="76"/>
      <c r="F571" s="104"/>
      <c r="G571" s="76"/>
      <c r="H571" s="83"/>
      <c r="I571" s="103"/>
      <c r="J571" s="76"/>
      <c r="K571" s="104"/>
      <c r="L571" s="104"/>
      <c r="M571" s="174">
        <f>IF(Tabelle132456[[#This Row],[Pulled after Start]]="",MIN(Tabelle132456[[#This Row],[Jira Story Points]],Tabelle132456[[#This Row],[Carry-over]]),0)</f>
        <v>0</v>
      </c>
      <c r="N571" s="173">
        <f>MIN(Tabelle132456[[#This Row],[Jira Story Points]],Tabelle132456[[#This Row],[Carry-over]])-Tabelle132456[[#This Row],[SP Initially Planned (COS)]]</f>
        <v>0</v>
      </c>
      <c r="O57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71" s="173">
        <f>IFERROR(IF(Tabelle132456[[#This Row],[Status]]=$I$5,MIN(Tabelle132456[[#This Row],[Jira Story Points]],Tabelle132456[[#This Row],[Carry-over]]),0),0)</f>
        <v>0</v>
      </c>
      <c r="Q571" s="173">
        <f>IFERROR(IF(Tabelle132456[[#This Row],[Status]]=$I$5,0,MIN(Tabelle132456[[#This Row],[Jira Story Points]],Tabelle132456[[#This Row],[Carry-over]])-Tabelle132456[[#This Row],[SP Completed (COS &amp; SOS)]]),0)</f>
        <v>0</v>
      </c>
    </row>
    <row r="572" spans="1:17" s="46" customFormat="1" ht="13.5" customHeight="1">
      <c r="A572" s="117"/>
      <c r="B572" s="47"/>
      <c r="C572" s="76"/>
      <c r="D572" s="76"/>
      <c r="E572" s="76"/>
      <c r="F572" s="104"/>
      <c r="G572" s="76"/>
      <c r="H572" s="83"/>
      <c r="I572" s="103"/>
      <c r="J572" s="76"/>
      <c r="K572" s="104"/>
      <c r="L572" s="104"/>
      <c r="M572" s="174">
        <f>IF(Tabelle132456[[#This Row],[Pulled after Start]]="",MIN(Tabelle132456[[#This Row],[Jira Story Points]],Tabelle132456[[#This Row],[Carry-over]]),0)</f>
        <v>0</v>
      </c>
      <c r="N572" s="173">
        <f>MIN(Tabelle132456[[#This Row],[Jira Story Points]],Tabelle132456[[#This Row],[Carry-over]])-Tabelle132456[[#This Row],[SP Initially Planned (COS)]]</f>
        <v>0</v>
      </c>
      <c r="O57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72" s="173">
        <f>IFERROR(IF(Tabelle132456[[#This Row],[Status]]=$I$5,MIN(Tabelle132456[[#This Row],[Jira Story Points]],Tabelle132456[[#This Row],[Carry-over]]),0),0)</f>
        <v>0</v>
      </c>
      <c r="Q572" s="173">
        <f>IFERROR(IF(Tabelle132456[[#This Row],[Status]]=$I$5,0,MIN(Tabelle132456[[#This Row],[Jira Story Points]],Tabelle132456[[#This Row],[Carry-over]])-Tabelle132456[[#This Row],[SP Completed (COS &amp; SOS)]]),0)</f>
        <v>0</v>
      </c>
    </row>
    <row r="573" spans="1:17" s="46" customFormat="1" ht="13.5" customHeight="1">
      <c r="A573" s="117"/>
      <c r="B573" s="47"/>
      <c r="C573" s="76"/>
      <c r="D573" s="76"/>
      <c r="E573" s="76"/>
      <c r="F573" s="104"/>
      <c r="G573" s="76"/>
      <c r="H573" s="83"/>
      <c r="I573" s="103"/>
      <c r="J573" s="76"/>
      <c r="K573" s="104"/>
      <c r="L573" s="104"/>
      <c r="M573" s="174">
        <f>IF(Tabelle132456[[#This Row],[Pulled after Start]]="",MIN(Tabelle132456[[#This Row],[Jira Story Points]],Tabelle132456[[#This Row],[Carry-over]]),0)</f>
        <v>0</v>
      </c>
      <c r="N573" s="173">
        <f>MIN(Tabelle132456[[#This Row],[Jira Story Points]],Tabelle132456[[#This Row],[Carry-over]])-Tabelle132456[[#This Row],[SP Initially Planned (COS)]]</f>
        <v>0</v>
      </c>
      <c r="O57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73" s="173">
        <f>IFERROR(IF(Tabelle132456[[#This Row],[Status]]=$I$5,MIN(Tabelle132456[[#This Row],[Jira Story Points]],Tabelle132456[[#This Row],[Carry-over]]),0),0)</f>
        <v>0</v>
      </c>
      <c r="Q573" s="173">
        <f>IFERROR(IF(Tabelle132456[[#This Row],[Status]]=$I$5,0,MIN(Tabelle132456[[#This Row],[Jira Story Points]],Tabelle132456[[#This Row],[Carry-over]])-Tabelle132456[[#This Row],[SP Completed (COS &amp; SOS)]]),0)</f>
        <v>0</v>
      </c>
    </row>
    <row r="574" spans="1:17" s="46" customFormat="1" ht="13.5" customHeight="1">
      <c r="A574" s="117"/>
      <c r="B574" s="47"/>
      <c r="C574" s="76"/>
      <c r="D574" s="76"/>
      <c r="E574" s="76"/>
      <c r="F574" s="104"/>
      <c r="G574" s="76"/>
      <c r="H574" s="83"/>
      <c r="I574" s="103"/>
      <c r="J574" s="76"/>
      <c r="K574" s="104"/>
      <c r="L574" s="104"/>
      <c r="M574" s="174">
        <f>IF(Tabelle132456[[#This Row],[Pulled after Start]]="",MIN(Tabelle132456[[#This Row],[Jira Story Points]],Tabelle132456[[#This Row],[Carry-over]]),0)</f>
        <v>0</v>
      </c>
      <c r="N574" s="173">
        <f>MIN(Tabelle132456[[#This Row],[Jira Story Points]],Tabelle132456[[#This Row],[Carry-over]])-Tabelle132456[[#This Row],[SP Initially Planned (COS)]]</f>
        <v>0</v>
      </c>
      <c r="O57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74" s="173">
        <f>IFERROR(IF(Tabelle132456[[#This Row],[Status]]=$I$5,MIN(Tabelle132456[[#This Row],[Jira Story Points]],Tabelle132456[[#This Row],[Carry-over]]),0),0)</f>
        <v>0</v>
      </c>
      <c r="Q574" s="173">
        <f>IFERROR(IF(Tabelle132456[[#This Row],[Status]]=$I$5,0,MIN(Tabelle132456[[#This Row],[Jira Story Points]],Tabelle132456[[#This Row],[Carry-over]])-Tabelle132456[[#This Row],[SP Completed (COS &amp; SOS)]]),0)</f>
        <v>0</v>
      </c>
    </row>
    <row r="575" spans="1:17" s="46" customFormat="1" ht="13.5" customHeight="1">
      <c r="A575" s="117"/>
      <c r="B575" s="47"/>
      <c r="C575" s="76"/>
      <c r="D575" s="76"/>
      <c r="E575" s="76"/>
      <c r="F575" s="104"/>
      <c r="G575" s="76"/>
      <c r="H575" s="83"/>
      <c r="I575" s="103"/>
      <c r="J575" s="76"/>
      <c r="K575" s="104"/>
      <c r="L575" s="104"/>
      <c r="M575" s="174">
        <f>IF(Tabelle132456[[#This Row],[Pulled after Start]]="",MIN(Tabelle132456[[#This Row],[Jira Story Points]],Tabelle132456[[#This Row],[Carry-over]]),0)</f>
        <v>0</v>
      </c>
      <c r="N575" s="173">
        <f>MIN(Tabelle132456[[#This Row],[Jira Story Points]],Tabelle132456[[#This Row],[Carry-over]])-Tabelle132456[[#This Row],[SP Initially Planned (COS)]]</f>
        <v>0</v>
      </c>
      <c r="O57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75" s="173">
        <f>IFERROR(IF(Tabelle132456[[#This Row],[Status]]=$I$5,MIN(Tabelle132456[[#This Row],[Jira Story Points]],Tabelle132456[[#This Row],[Carry-over]]),0),0)</f>
        <v>0</v>
      </c>
      <c r="Q575" s="173">
        <f>IFERROR(IF(Tabelle132456[[#This Row],[Status]]=$I$5,0,MIN(Tabelle132456[[#This Row],[Jira Story Points]],Tabelle132456[[#This Row],[Carry-over]])-Tabelle132456[[#This Row],[SP Completed (COS &amp; SOS)]]),0)</f>
        <v>0</v>
      </c>
    </row>
    <row r="576" spans="1:17" s="46" customFormat="1" ht="13.5" customHeight="1">
      <c r="A576" s="117"/>
      <c r="B576" s="47"/>
      <c r="C576" s="76"/>
      <c r="D576" s="76"/>
      <c r="E576" s="76"/>
      <c r="F576" s="104"/>
      <c r="G576" s="76"/>
      <c r="H576" s="83"/>
      <c r="I576" s="103"/>
      <c r="J576" s="76"/>
      <c r="K576" s="104"/>
      <c r="L576" s="104"/>
      <c r="M576" s="174">
        <f>IF(Tabelle132456[[#This Row],[Pulled after Start]]="",MIN(Tabelle132456[[#This Row],[Jira Story Points]],Tabelle132456[[#This Row],[Carry-over]]),0)</f>
        <v>0</v>
      </c>
      <c r="N576" s="173">
        <f>MIN(Tabelle132456[[#This Row],[Jira Story Points]],Tabelle132456[[#This Row],[Carry-over]])-Tabelle132456[[#This Row],[SP Initially Planned (COS)]]</f>
        <v>0</v>
      </c>
      <c r="O57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76" s="173">
        <f>IFERROR(IF(Tabelle132456[[#This Row],[Status]]=$I$5,MIN(Tabelle132456[[#This Row],[Jira Story Points]],Tabelle132456[[#This Row],[Carry-over]]),0),0)</f>
        <v>0</v>
      </c>
      <c r="Q576" s="173">
        <f>IFERROR(IF(Tabelle132456[[#This Row],[Status]]=$I$5,0,MIN(Tabelle132456[[#This Row],[Jira Story Points]],Tabelle132456[[#This Row],[Carry-over]])-Tabelle132456[[#This Row],[SP Completed (COS &amp; SOS)]]),0)</f>
        <v>0</v>
      </c>
    </row>
    <row r="577" spans="1:17" s="46" customFormat="1" ht="13.5" customHeight="1">
      <c r="A577" s="117"/>
      <c r="B577" s="47"/>
      <c r="C577" s="76"/>
      <c r="D577" s="76"/>
      <c r="E577" s="76"/>
      <c r="F577" s="104"/>
      <c r="G577" s="76"/>
      <c r="H577" s="83"/>
      <c r="I577" s="103"/>
      <c r="J577" s="76"/>
      <c r="K577" s="104"/>
      <c r="L577" s="104"/>
      <c r="M577" s="174">
        <f>IF(Tabelle132456[[#This Row],[Pulled after Start]]="",MIN(Tabelle132456[[#This Row],[Jira Story Points]],Tabelle132456[[#This Row],[Carry-over]]),0)</f>
        <v>0</v>
      </c>
      <c r="N577" s="173">
        <f>MIN(Tabelle132456[[#This Row],[Jira Story Points]],Tabelle132456[[#This Row],[Carry-over]])-Tabelle132456[[#This Row],[SP Initially Planned (COS)]]</f>
        <v>0</v>
      </c>
      <c r="O57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77" s="173">
        <f>IFERROR(IF(Tabelle132456[[#This Row],[Status]]=$I$5,MIN(Tabelle132456[[#This Row],[Jira Story Points]],Tabelle132456[[#This Row],[Carry-over]]),0),0)</f>
        <v>0</v>
      </c>
      <c r="Q577" s="173">
        <f>IFERROR(IF(Tabelle132456[[#This Row],[Status]]=$I$5,0,MIN(Tabelle132456[[#This Row],[Jira Story Points]],Tabelle132456[[#This Row],[Carry-over]])-Tabelle132456[[#This Row],[SP Completed (COS &amp; SOS)]]),0)</f>
        <v>0</v>
      </c>
    </row>
    <row r="578" spans="1:17" s="46" customFormat="1" ht="13.5" customHeight="1">
      <c r="A578" s="117"/>
      <c r="B578" s="47"/>
      <c r="C578" s="76"/>
      <c r="D578" s="76"/>
      <c r="E578" s="76"/>
      <c r="F578" s="104"/>
      <c r="G578" s="76"/>
      <c r="H578" s="83"/>
      <c r="I578" s="103"/>
      <c r="J578" s="76"/>
      <c r="K578" s="104"/>
      <c r="L578" s="104"/>
      <c r="M578" s="174">
        <f>IF(Tabelle132456[[#This Row],[Pulled after Start]]="",MIN(Tabelle132456[[#This Row],[Jira Story Points]],Tabelle132456[[#This Row],[Carry-over]]),0)</f>
        <v>0</v>
      </c>
      <c r="N578" s="173">
        <f>MIN(Tabelle132456[[#This Row],[Jira Story Points]],Tabelle132456[[#This Row],[Carry-over]])-Tabelle132456[[#This Row],[SP Initially Planned (COS)]]</f>
        <v>0</v>
      </c>
      <c r="O57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78" s="173">
        <f>IFERROR(IF(Tabelle132456[[#This Row],[Status]]=$I$5,MIN(Tabelle132456[[#This Row],[Jira Story Points]],Tabelle132456[[#This Row],[Carry-over]]),0),0)</f>
        <v>0</v>
      </c>
      <c r="Q578" s="173">
        <f>IFERROR(IF(Tabelle132456[[#This Row],[Status]]=$I$5,0,MIN(Tabelle132456[[#This Row],[Jira Story Points]],Tabelle132456[[#This Row],[Carry-over]])-Tabelle132456[[#This Row],[SP Completed (COS &amp; SOS)]]),0)</f>
        <v>0</v>
      </c>
    </row>
    <row r="579" spans="1:17" s="46" customFormat="1" ht="13.5" customHeight="1">
      <c r="A579" s="117"/>
      <c r="B579" s="47"/>
      <c r="C579" s="76"/>
      <c r="D579" s="76"/>
      <c r="E579" s="76"/>
      <c r="F579" s="104"/>
      <c r="G579" s="76"/>
      <c r="H579" s="83"/>
      <c r="I579" s="103"/>
      <c r="J579" s="76"/>
      <c r="K579" s="104"/>
      <c r="L579" s="104"/>
      <c r="M579" s="174">
        <f>IF(Tabelle132456[[#This Row],[Pulled after Start]]="",MIN(Tabelle132456[[#This Row],[Jira Story Points]],Tabelle132456[[#This Row],[Carry-over]]),0)</f>
        <v>0</v>
      </c>
      <c r="N579" s="173">
        <f>MIN(Tabelle132456[[#This Row],[Jira Story Points]],Tabelle132456[[#This Row],[Carry-over]])-Tabelle132456[[#This Row],[SP Initially Planned (COS)]]</f>
        <v>0</v>
      </c>
      <c r="O57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79" s="173">
        <f>IFERROR(IF(Tabelle132456[[#This Row],[Status]]=$I$5,MIN(Tabelle132456[[#This Row],[Jira Story Points]],Tabelle132456[[#This Row],[Carry-over]]),0),0)</f>
        <v>0</v>
      </c>
      <c r="Q579" s="173">
        <f>IFERROR(IF(Tabelle132456[[#This Row],[Status]]=$I$5,0,MIN(Tabelle132456[[#This Row],[Jira Story Points]],Tabelle132456[[#This Row],[Carry-over]])-Tabelle132456[[#This Row],[SP Completed (COS &amp; SOS)]]),0)</f>
        <v>0</v>
      </c>
    </row>
    <row r="580" spans="1:17" s="46" customFormat="1" ht="13.5" customHeight="1">
      <c r="A580" s="117"/>
      <c r="B580" s="47"/>
      <c r="C580" s="76"/>
      <c r="D580" s="76"/>
      <c r="E580" s="76"/>
      <c r="F580" s="104"/>
      <c r="G580" s="76"/>
      <c r="H580" s="83"/>
      <c r="I580" s="103"/>
      <c r="J580" s="76"/>
      <c r="K580" s="104"/>
      <c r="L580" s="104"/>
      <c r="M580" s="174">
        <f>IF(Tabelle132456[[#This Row],[Pulled after Start]]="",MIN(Tabelle132456[[#This Row],[Jira Story Points]],Tabelle132456[[#This Row],[Carry-over]]),0)</f>
        <v>0</v>
      </c>
      <c r="N580" s="173">
        <f>MIN(Tabelle132456[[#This Row],[Jira Story Points]],Tabelle132456[[#This Row],[Carry-over]])-Tabelle132456[[#This Row],[SP Initially Planned (COS)]]</f>
        <v>0</v>
      </c>
      <c r="O58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80" s="173">
        <f>IFERROR(IF(Tabelle132456[[#This Row],[Status]]=$I$5,MIN(Tabelle132456[[#This Row],[Jira Story Points]],Tabelle132456[[#This Row],[Carry-over]]),0),0)</f>
        <v>0</v>
      </c>
      <c r="Q580" s="173">
        <f>IFERROR(IF(Tabelle132456[[#This Row],[Status]]=$I$5,0,MIN(Tabelle132456[[#This Row],[Jira Story Points]],Tabelle132456[[#This Row],[Carry-over]])-Tabelle132456[[#This Row],[SP Completed (COS &amp; SOS)]]),0)</f>
        <v>0</v>
      </c>
    </row>
    <row r="581" spans="1:17" s="46" customFormat="1" ht="13.5" customHeight="1">
      <c r="A581" s="117"/>
      <c r="B581" s="47"/>
      <c r="C581" s="76"/>
      <c r="D581" s="76"/>
      <c r="E581" s="76"/>
      <c r="F581" s="104"/>
      <c r="G581" s="76"/>
      <c r="H581" s="83"/>
      <c r="I581" s="103"/>
      <c r="J581" s="76"/>
      <c r="K581" s="104"/>
      <c r="L581" s="104"/>
      <c r="M581" s="174">
        <f>IF(Tabelle132456[[#This Row],[Pulled after Start]]="",MIN(Tabelle132456[[#This Row],[Jira Story Points]],Tabelle132456[[#This Row],[Carry-over]]),0)</f>
        <v>0</v>
      </c>
      <c r="N581" s="173">
        <f>MIN(Tabelle132456[[#This Row],[Jira Story Points]],Tabelle132456[[#This Row],[Carry-over]])-Tabelle132456[[#This Row],[SP Initially Planned (COS)]]</f>
        <v>0</v>
      </c>
      <c r="O58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81" s="173">
        <f>IFERROR(IF(Tabelle132456[[#This Row],[Status]]=$I$5,MIN(Tabelle132456[[#This Row],[Jira Story Points]],Tabelle132456[[#This Row],[Carry-over]]),0),0)</f>
        <v>0</v>
      </c>
      <c r="Q581" s="173">
        <f>IFERROR(IF(Tabelle132456[[#This Row],[Status]]=$I$5,0,MIN(Tabelle132456[[#This Row],[Jira Story Points]],Tabelle132456[[#This Row],[Carry-over]])-Tabelle132456[[#This Row],[SP Completed (COS &amp; SOS)]]),0)</f>
        <v>0</v>
      </c>
    </row>
    <row r="582" spans="1:17" s="46" customFormat="1" ht="13.5" customHeight="1">
      <c r="A582" s="117"/>
      <c r="B582" s="47"/>
      <c r="C582" s="76"/>
      <c r="D582" s="76"/>
      <c r="E582" s="76"/>
      <c r="F582" s="104"/>
      <c r="G582" s="76"/>
      <c r="H582" s="83"/>
      <c r="I582" s="103"/>
      <c r="J582" s="76"/>
      <c r="K582" s="104"/>
      <c r="L582" s="104"/>
      <c r="M582" s="174">
        <f>IF(Tabelle132456[[#This Row],[Pulled after Start]]="",MIN(Tabelle132456[[#This Row],[Jira Story Points]],Tabelle132456[[#This Row],[Carry-over]]),0)</f>
        <v>0</v>
      </c>
      <c r="N582" s="173">
        <f>MIN(Tabelle132456[[#This Row],[Jira Story Points]],Tabelle132456[[#This Row],[Carry-over]])-Tabelle132456[[#This Row],[SP Initially Planned (COS)]]</f>
        <v>0</v>
      </c>
      <c r="O58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82" s="173">
        <f>IFERROR(IF(Tabelle132456[[#This Row],[Status]]=$I$5,MIN(Tabelle132456[[#This Row],[Jira Story Points]],Tabelle132456[[#This Row],[Carry-over]]),0),0)</f>
        <v>0</v>
      </c>
      <c r="Q582" s="173">
        <f>IFERROR(IF(Tabelle132456[[#This Row],[Status]]=$I$5,0,MIN(Tabelle132456[[#This Row],[Jira Story Points]],Tabelle132456[[#This Row],[Carry-over]])-Tabelle132456[[#This Row],[SP Completed (COS &amp; SOS)]]),0)</f>
        <v>0</v>
      </c>
    </row>
    <row r="583" spans="1:17" s="46" customFormat="1" ht="13.5" customHeight="1">
      <c r="A583" s="117"/>
      <c r="B583" s="47"/>
      <c r="C583" s="76"/>
      <c r="D583" s="76"/>
      <c r="E583" s="76"/>
      <c r="F583" s="104"/>
      <c r="G583" s="76"/>
      <c r="H583" s="83"/>
      <c r="I583" s="103"/>
      <c r="J583" s="76"/>
      <c r="K583" s="104"/>
      <c r="L583" s="104"/>
      <c r="M583" s="174">
        <f>IF(Tabelle132456[[#This Row],[Pulled after Start]]="",MIN(Tabelle132456[[#This Row],[Jira Story Points]],Tabelle132456[[#This Row],[Carry-over]]),0)</f>
        <v>0</v>
      </c>
      <c r="N583" s="173">
        <f>MIN(Tabelle132456[[#This Row],[Jira Story Points]],Tabelle132456[[#This Row],[Carry-over]])-Tabelle132456[[#This Row],[SP Initially Planned (COS)]]</f>
        <v>0</v>
      </c>
      <c r="O58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83" s="173">
        <f>IFERROR(IF(Tabelle132456[[#This Row],[Status]]=$I$5,MIN(Tabelle132456[[#This Row],[Jira Story Points]],Tabelle132456[[#This Row],[Carry-over]]),0),0)</f>
        <v>0</v>
      </c>
      <c r="Q583" s="173">
        <f>IFERROR(IF(Tabelle132456[[#This Row],[Status]]=$I$5,0,MIN(Tabelle132456[[#This Row],[Jira Story Points]],Tabelle132456[[#This Row],[Carry-over]])-Tabelle132456[[#This Row],[SP Completed (COS &amp; SOS)]]),0)</f>
        <v>0</v>
      </c>
    </row>
    <row r="584" spans="1:17" s="46" customFormat="1" ht="13.5" customHeight="1">
      <c r="A584" s="117"/>
      <c r="B584" s="47"/>
      <c r="C584" s="76"/>
      <c r="D584" s="76"/>
      <c r="E584" s="76"/>
      <c r="F584" s="104"/>
      <c r="G584" s="76"/>
      <c r="H584" s="83"/>
      <c r="I584" s="103"/>
      <c r="J584" s="76"/>
      <c r="K584" s="104"/>
      <c r="L584" s="104"/>
      <c r="M584" s="174">
        <f>IF(Tabelle132456[[#This Row],[Pulled after Start]]="",MIN(Tabelle132456[[#This Row],[Jira Story Points]],Tabelle132456[[#This Row],[Carry-over]]),0)</f>
        <v>0</v>
      </c>
      <c r="N584" s="173">
        <f>MIN(Tabelle132456[[#This Row],[Jira Story Points]],Tabelle132456[[#This Row],[Carry-over]])-Tabelle132456[[#This Row],[SP Initially Planned (COS)]]</f>
        <v>0</v>
      </c>
      <c r="O58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84" s="173">
        <f>IFERROR(IF(Tabelle132456[[#This Row],[Status]]=$I$5,MIN(Tabelle132456[[#This Row],[Jira Story Points]],Tabelle132456[[#This Row],[Carry-over]]),0),0)</f>
        <v>0</v>
      </c>
      <c r="Q584" s="173">
        <f>IFERROR(IF(Tabelle132456[[#This Row],[Status]]=$I$5,0,MIN(Tabelle132456[[#This Row],[Jira Story Points]],Tabelle132456[[#This Row],[Carry-over]])-Tabelle132456[[#This Row],[SP Completed (COS &amp; SOS)]]),0)</f>
        <v>0</v>
      </c>
    </row>
    <row r="585" spans="1:17" s="46" customFormat="1" ht="13.5" customHeight="1">
      <c r="A585" s="117"/>
      <c r="B585" s="47"/>
      <c r="C585" s="76"/>
      <c r="D585" s="76"/>
      <c r="E585" s="76"/>
      <c r="F585" s="104"/>
      <c r="G585" s="76"/>
      <c r="H585" s="83"/>
      <c r="I585" s="103"/>
      <c r="J585" s="76"/>
      <c r="K585" s="104"/>
      <c r="L585" s="104"/>
      <c r="M585" s="174">
        <f>IF(Tabelle132456[[#This Row],[Pulled after Start]]="",MIN(Tabelle132456[[#This Row],[Jira Story Points]],Tabelle132456[[#This Row],[Carry-over]]),0)</f>
        <v>0</v>
      </c>
      <c r="N585" s="173">
        <f>MIN(Tabelle132456[[#This Row],[Jira Story Points]],Tabelle132456[[#This Row],[Carry-over]])-Tabelle132456[[#This Row],[SP Initially Planned (COS)]]</f>
        <v>0</v>
      </c>
      <c r="O58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85" s="173">
        <f>IFERROR(IF(Tabelle132456[[#This Row],[Status]]=$I$5,MIN(Tabelle132456[[#This Row],[Jira Story Points]],Tabelle132456[[#This Row],[Carry-over]]),0),0)</f>
        <v>0</v>
      </c>
      <c r="Q585" s="173">
        <f>IFERROR(IF(Tabelle132456[[#This Row],[Status]]=$I$5,0,MIN(Tabelle132456[[#This Row],[Jira Story Points]],Tabelle132456[[#This Row],[Carry-over]])-Tabelle132456[[#This Row],[SP Completed (COS &amp; SOS)]]),0)</f>
        <v>0</v>
      </c>
    </row>
    <row r="586" spans="1:17" s="46" customFormat="1" ht="13.5" customHeight="1">
      <c r="A586" s="117"/>
      <c r="B586" s="47"/>
      <c r="C586" s="76"/>
      <c r="D586" s="76"/>
      <c r="E586" s="76"/>
      <c r="F586" s="104"/>
      <c r="G586" s="76"/>
      <c r="H586" s="83"/>
      <c r="I586" s="103"/>
      <c r="J586" s="76"/>
      <c r="K586" s="104"/>
      <c r="L586" s="104"/>
      <c r="M586" s="174">
        <f>IF(Tabelle132456[[#This Row],[Pulled after Start]]="",MIN(Tabelle132456[[#This Row],[Jira Story Points]],Tabelle132456[[#This Row],[Carry-over]]),0)</f>
        <v>0</v>
      </c>
      <c r="N586" s="173">
        <f>MIN(Tabelle132456[[#This Row],[Jira Story Points]],Tabelle132456[[#This Row],[Carry-over]])-Tabelle132456[[#This Row],[SP Initially Planned (COS)]]</f>
        <v>0</v>
      </c>
      <c r="O58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86" s="173">
        <f>IFERROR(IF(Tabelle132456[[#This Row],[Status]]=$I$5,MIN(Tabelle132456[[#This Row],[Jira Story Points]],Tabelle132456[[#This Row],[Carry-over]]),0),0)</f>
        <v>0</v>
      </c>
      <c r="Q586" s="173">
        <f>IFERROR(IF(Tabelle132456[[#This Row],[Status]]=$I$5,0,MIN(Tabelle132456[[#This Row],[Jira Story Points]],Tabelle132456[[#This Row],[Carry-over]])-Tabelle132456[[#This Row],[SP Completed (COS &amp; SOS)]]),0)</f>
        <v>0</v>
      </c>
    </row>
    <row r="587" spans="1:17" s="46" customFormat="1" ht="13.5" customHeight="1">
      <c r="A587" s="117"/>
      <c r="B587" s="47"/>
      <c r="C587" s="76"/>
      <c r="D587" s="76"/>
      <c r="E587" s="76"/>
      <c r="F587" s="104"/>
      <c r="G587" s="76"/>
      <c r="H587" s="83"/>
      <c r="I587" s="103"/>
      <c r="J587" s="76"/>
      <c r="K587" s="104"/>
      <c r="L587" s="104"/>
      <c r="M587" s="174">
        <f>IF(Tabelle132456[[#This Row],[Pulled after Start]]="",MIN(Tabelle132456[[#This Row],[Jira Story Points]],Tabelle132456[[#This Row],[Carry-over]]),0)</f>
        <v>0</v>
      </c>
      <c r="N587" s="173">
        <f>MIN(Tabelle132456[[#This Row],[Jira Story Points]],Tabelle132456[[#This Row],[Carry-over]])-Tabelle132456[[#This Row],[SP Initially Planned (COS)]]</f>
        <v>0</v>
      </c>
      <c r="O58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87" s="173">
        <f>IFERROR(IF(Tabelle132456[[#This Row],[Status]]=$I$5,MIN(Tabelle132456[[#This Row],[Jira Story Points]],Tabelle132456[[#This Row],[Carry-over]]),0),0)</f>
        <v>0</v>
      </c>
      <c r="Q587" s="173">
        <f>IFERROR(IF(Tabelle132456[[#This Row],[Status]]=$I$5,0,MIN(Tabelle132456[[#This Row],[Jira Story Points]],Tabelle132456[[#This Row],[Carry-over]])-Tabelle132456[[#This Row],[SP Completed (COS &amp; SOS)]]),0)</f>
        <v>0</v>
      </c>
    </row>
    <row r="588" spans="1:17" s="46" customFormat="1" ht="13.5" customHeight="1">
      <c r="A588" s="117"/>
      <c r="B588" s="47"/>
      <c r="C588" s="76"/>
      <c r="D588" s="76"/>
      <c r="E588" s="76"/>
      <c r="F588" s="104"/>
      <c r="G588" s="76"/>
      <c r="H588" s="83"/>
      <c r="I588" s="103"/>
      <c r="J588" s="76"/>
      <c r="K588" s="104"/>
      <c r="L588" s="104"/>
      <c r="M588" s="174">
        <f>IF(Tabelle132456[[#This Row],[Pulled after Start]]="",MIN(Tabelle132456[[#This Row],[Jira Story Points]],Tabelle132456[[#This Row],[Carry-over]]),0)</f>
        <v>0</v>
      </c>
      <c r="N588" s="173">
        <f>MIN(Tabelle132456[[#This Row],[Jira Story Points]],Tabelle132456[[#This Row],[Carry-over]])-Tabelle132456[[#This Row],[SP Initially Planned (COS)]]</f>
        <v>0</v>
      </c>
      <c r="O58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88" s="173">
        <f>IFERROR(IF(Tabelle132456[[#This Row],[Status]]=$I$5,MIN(Tabelle132456[[#This Row],[Jira Story Points]],Tabelle132456[[#This Row],[Carry-over]]),0),0)</f>
        <v>0</v>
      </c>
      <c r="Q588" s="173">
        <f>IFERROR(IF(Tabelle132456[[#This Row],[Status]]=$I$5,0,MIN(Tabelle132456[[#This Row],[Jira Story Points]],Tabelle132456[[#This Row],[Carry-over]])-Tabelle132456[[#This Row],[SP Completed (COS &amp; SOS)]]),0)</f>
        <v>0</v>
      </c>
    </row>
    <row r="589" spans="1:17" s="46" customFormat="1" ht="13.5" customHeight="1">
      <c r="A589" s="117"/>
      <c r="B589" s="47"/>
      <c r="C589" s="76"/>
      <c r="D589" s="76"/>
      <c r="E589" s="76"/>
      <c r="F589" s="104"/>
      <c r="G589" s="76"/>
      <c r="H589" s="83"/>
      <c r="I589" s="103"/>
      <c r="J589" s="76"/>
      <c r="K589" s="104"/>
      <c r="L589" s="104"/>
      <c r="M589" s="174">
        <f>IF(Tabelle132456[[#This Row],[Pulled after Start]]="",MIN(Tabelle132456[[#This Row],[Jira Story Points]],Tabelle132456[[#This Row],[Carry-over]]),0)</f>
        <v>0</v>
      </c>
      <c r="N589" s="173">
        <f>MIN(Tabelle132456[[#This Row],[Jira Story Points]],Tabelle132456[[#This Row],[Carry-over]])-Tabelle132456[[#This Row],[SP Initially Planned (COS)]]</f>
        <v>0</v>
      </c>
      <c r="O58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89" s="173">
        <f>IFERROR(IF(Tabelle132456[[#This Row],[Status]]=$I$5,MIN(Tabelle132456[[#This Row],[Jira Story Points]],Tabelle132456[[#This Row],[Carry-over]]),0),0)</f>
        <v>0</v>
      </c>
      <c r="Q589" s="173">
        <f>IFERROR(IF(Tabelle132456[[#This Row],[Status]]=$I$5,0,MIN(Tabelle132456[[#This Row],[Jira Story Points]],Tabelle132456[[#This Row],[Carry-over]])-Tabelle132456[[#This Row],[SP Completed (COS &amp; SOS)]]),0)</f>
        <v>0</v>
      </c>
    </row>
    <row r="590" spans="1:17" s="46" customFormat="1" ht="13.5" customHeight="1">
      <c r="A590" s="117"/>
      <c r="B590" s="47"/>
      <c r="C590" s="76"/>
      <c r="D590" s="76"/>
      <c r="E590" s="76"/>
      <c r="F590" s="104"/>
      <c r="G590" s="76"/>
      <c r="H590" s="83"/>
      <c r="I590" s="103"/>
      <c r="J590" s="76"/>
      <c r="K590" s="104"/>
      <c r="L590" s="104"/>
      <c r="M590" s="174">
        <f>IF(Tabelle132456[[#This Row],[Pulled after Start]]="",MIN(Tabelle132456[[#This Row],[Jira Story Points]],Tabelle132456[[#This Row],[Carry-over]]),0)</f>
        <v>0</v>
      </c>
      <c r="N590" s="173">
        <f>MIN(Tabelle132456[[#This Row],[Jira Story Points]],Tabelle132456[[#This Row],[Carry-over]])-Tabelle132456[[#This Row],[SP Initially Planned (COS)]]</f>
        <v>0</v>
      </c>
      <c r="O59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90" s="173">
        <f>IFERROR(IF(Tabelle132456[[#This Row],[Status]]=$I$5,MIN(Tabelle132456[[#This Row],[Jira Story Points]],Tabelle132456[[#This Row],[Carry-over]]),0),0)</f>
        <v>0</v>
      </c>
      <c r="Q590" s="173">
        <f>IFERROR(IF(Tabelle132456[[#This Row],[Status]]=$I$5,0,MIN(Tabelle132456[[#This Row],[Jira Story Points]],Tabelle132456[[#This Row],[Carry-over]])-Tabelle132456[[#This Row],[SP Completed (COS &amp; SOS)]]),0)</f>
        <v>0</v>
      </c>
    </row>
    <row r="591" spans="1:17" s="46" customFormat="1" ht="13.5" customHeight="1">
      <c r="A591" s="117"/>
      <c r="B591" s="47"/>
      <c r="C591" s="76"/>
      <c r="D591" s="76"/>
      <c r="E591" s="76"/>
      <c r="F591" s="104"/>
      <c r="G591" s="76"/>
      <c r="H591" s="83"/>
      <c r="I591" s="103"/>
      <c r="J591" s="76"/>
      <c r="K591" s="104"/>
      <c r="L591" s="104"/>
      <c r="M591" s="174">
        <f>IF(Tabelle132456[[#This Row],[Pulled after Start]]="",MIN(Tabelle132456[[#This Row],[Jira Story Points]],Tabelle132456[[#This Row],[Carry-over]]),0)</f>
        <v>0</v>
      </c>
      <c r="N591" s="173">
        <f>MIN(Tabelle132456[[#This Row],[Jira Story Points]],Tabelle132456[[#This Row],[Carry-over]])-Tabelle132456[[#This Row],[SP Initially Planned (COS)]]</f>
        <v>0</v>
      </c>
      <c r="O59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91" s="173">
        <f>IFERROR(IF(Tabelle132456[[#This Row],[Status]]=$I$5,MIN(Tabelle132456[[#This Row],[Jira Story Points]],Tabelle132456[[#This Row],[Carry-over]]),0),0)</f>
        <v>0</v>
      </c>
      <c r="Q591" s="173">
        <f>IFERROR(IF(Tabelle132456[[#This Row],[Status]]=$I$5,0,MIN(Tabelle132456[[#This Row],[Jira Story Points]],Tabelle132456[[#This Row],[Carry-over]])-Tabelle132456[[#This Row],[SP Completed (COS &amp; SOS)]]),0)</f>
        <v>0</v>
      </c>
    </row>
    <row r="592" spans="1:17" s="46" customFormat="1" ht="13.5" customHeight="1">
      <c r="A592" s="117"/>
      <c r="B592" s="47"/>
      <c r="C592" s="76"/>
      <c r="D592" s="76"/>
      <c r="E592" s="76"/>
      <c r="F592" s="104"/>
      <c r="G592" s="76"/>
      <c r="H592" s="83"/>
      <c r="I592" s="103"/>
      <c r="J592" s="76"/>
      <c r="K592" s="104"/>
      <c r="L592" s="104"/>
      <c r="M592" s="174">
        <f>IF(Tabelle132456[[#This Row],[Pulled after Start]]="",MIN(Tabelle132456[[#This Row],[Jira Story Points]],Tabelle132456[[#This Row],[Carry-over]]),0)</f>
        <v>0</v>
      </c>
      <c r="N592" s="173">
        <f>MIN(Tabelle132456[[#This Row],[Jira Story Points]],Tabelle132456[[#This Row],[Carry-over]])-Tabelle132456[[#This Row],[SP Initially Planned (COS)]]</f>
        <v>0</v>
      </c>
      <c r="O59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92" s="173">
        <f>IFERROR(IF(Tabelle132456[[#This Row],[Status]]=$I$5,MIN(Tabelle132456[[#This Row],[Jira Story Points]],Tabelle132456[[#This Row],[Carry-over]]),0),0)</f>
        <v>0</v>
      </c>
      <c r="Q592" s="173">
        <f>IFERROR(IF(Tabelle132456[[#This Row],[Status]]=$I$5,0,MIN(Tabelle132456[[#This Row],[Jira Story Points]],Tabelle132456[[#This Row],[Carry-over]])-Tabelle132456[[#This Row],[SP Completed (COS &amp; SOS)]]),0)</f>
        <v>0</v>
      </c>
    </row>
    <row r="593" spans="1:17" s="46" customFormat="1" ht="13.5" customHeight="1">
      <c r="A593" s="117"/>
      <c r="B593" s="47"/>
      <c r="C593" s="76"/>
      <c r="D593" s="76"/>
      <c r="E593" s="76"/>
      <c r="F593" s="104"/>
      <c r="G593" s="76"/>
      <c r="H593" s="83"/>
      <c r="I593" s="103"/>
      <c r="J593" s="76"/>
      <c r="K593" s="104"/>
      <c r="L593" s="104"/>
      <c r="M593" s="174">
        <f>IF(Tabelle132456[[#This Row],[Pulled after Start]]="",MIN(Tabelle132456[[#This Row],[Jira Story Points]],Tabelle132456[[#This Row],[Carry-over]]),0)</f>
        <v>0</v>
      </c>
      <c r="N593" s="173">
        <f>MIN(Tabelle132456[[#This Row],[Jira Story Points]],Tabelle132456[[#This Row],[Carry-over]])-Tabelle132456[[#This Row],[SP Initially Planned (COS)]]</f>
        <v>0</v>
      </c>
      <c r="O59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93" s="173">
        <f>IFERROR(IF(Tabelle132456[[#This Row],[Status]]=$I$5,MIN(Tabelle132456[[#This Row],[Jira Story Points]],Tabelle132456[[#This Row],[Carry-over]]),0),0)</f>
        <v>0</v>
      </c>
      <c r="Q593" s="173">
        <f>IFERROR(IF(Tabelle132456[[#This Row],[Status]]=$I$5,0,MIN(Tabelle132456[[#This Row],[Jira Story Points]],Tabelle132456[[#This Row],[Carry-over]])-Tabelle132456[[#This Row],[SP Completed (COS &amp; SOS)]]),0)</f>
        <v>0</v>
      </c>
    </row>
    <row r="594" spans="1:17" s="46" customFormat="1" ht="13.5" customHeight="1">
      <c r="A594" s="117"/>
      <c r="B594" s="47"/>
      <c r="C594" s="76"/>
      <c r="D594" s="76"/>
      <c r="E594" s="76"/>
      <c r="F594" s="104"/>
      <c r="G594" s="76"/>
      <c r="H594" s="83"/>
      <c r="I594" s="103"/>
      <c r="J594" s="76"/>
      <c r="K594" s="104"/>
      <c r="L594" s="104"/>
      <c r="M594" s="174">
        <f>IF(Tabelle132456[[#This Row],[Pulled after Start]]="",MIN(Tabelle132456[[#This Row],[Jira Story Points]],Tabelle132456[[#This Row],[Carry-over]]),0)</f>
        <v>0</v>
      </c>
      <c r="N594" s="173">
        <f>MIN(Tabelle132456[[#This Row],[Jira Story Points]],Tabelle132456[[#This Row],[Carry-over]])-Tabelle132456[[#This Row],[SP Initially Planned (COS)]]</f>
        <v>0</v>
      </c>
      <c r="O59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94" s="173">
        <f>IFERROR(IF(Tabelle132456[[#This Row],[Status]]=$I$5,MIN(Tabelle132456[[#This Row],[Jira Story Points]],Tabelle132456[[#This Row],[Carry-over]]),0),0)</f>
        <v>0</v>
      </c>
      <c r="Q594" s="173">
        <f>IFERROR(IF(Tabelle132456[[#This Row],[Status]]=$I$5,0,MIN(Tabelle132456[[#This Row],[Jira Story Points]],Tabelle132456[[#This Row],[Carry-over]])-Tabelle132456[[#This Row],[SP Completed (COS &amp; SOS)]]),0)</f>
        <v>0</v>
      </c>
    </row>
    <row r="595" spans="1:17" s="46" customFormat="1" ht="13.5" customHeight="1">
      <c r="A595" s="117"/>
      <c r="B595" s="47"/>
      <c r="C595" s="76"/>
      <c r="D595" s="76"/>
      <c r="E595" s="76"/>
      <c r="F595" s="104"/>
      <c r="G595" s="76"/>
      <c r="H595" s="83"/>
      <c r="I595" s="103"/>
      <c r="J595" s="76"/>
      <c r="K595" s="104"/>
      <c r="L595" s="104"/>
      <c r="M595" s="174">
        <f>IF(Tabelle132456[[#This Row],[Pulled after Start]]="",MIN(Tabelle132456[[#This Row],[Jira Story Points]],Tabelle132456[[#This Row],[Carry-over]]),0)</f>
        <v>0</v>
      </c>
      <c r="N595" s="173">
        <f>MIN(Tabelle132456[[#This Row],[Jira Story Points]],Tabelle132456[[#This Row],[Carry-over]])-Tabelle132456[[#This Row],[SP Initially Planned (COS)]]</f>
        <v>0</v>
      </c>
      <c r="O59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95" s="173">
        <f>IFERROR(IF(Tabelle132456[[#This Row],[Status]]=$I$5,MIN(Tabelle132456[[#This Row],[Jira Story Points]],Tabelle132456[[#This Row],[Carry-over]]),0),0)</f>
        <v>0</v>
      </c>
      <c r="Q595" s="173">
        <f>IFERROR(IF(Tabelle132456[[#This Row],[Status]]=$I$5,0,MIN(Tabelle132456[[#This Row],[Jira Story Points]],Tabelle132456[[#This Row],[Carry-over]])-Tabelle132456[[#This Row],[SP Completed (COS &amp; SOS)]]),0)</f>
        <v>0</v>
      </c>
    </row>
    <row r="596" spans="1:17" s="46" customFormat="1" ht="13.5" customHeight="1">
      <c r="A596" s="117"/>
      <c r="B596" s="47"/>
      <c r="C596" s="76"/>
      <c r="D596" s="76"/>
      <c r="E596" s="76"/>
      <c r="F596" s="104"/>
      <c r="G596" s="76"/>
      <c r="H596" s="83"/>
      <c r="I596" s="103"/>
      <c r="J596" s="76"/>
      <c r="K596" s="104"/>
      <c r="L596" s="104"/>
      <c r="M596" s="174">
        <f>IF(Tabelle132456[[#This Row],[Pulled after Start]]="",MIN(Tabelle132456[[#This Row],[Jira Story Points]],Tabelle132456[[#This Row],[Carry-over]]),0)</f>
        <v>0</v>
      </c>
      <c r="N596" s="173">
        <f>MIN(Tabelle132456[[#This Row],[Jira Story Points]],Tabelle132456[[#This Row],[Carry-over]])-Tabelle132456[[#This Row],[SP Initially Planned (COS)]]</f>
        <v>0</v>
      </c>
      <c r="O59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96" s="173">
        <f>IFERROR(IF(Tabelle132456[[#This Row],[Status]]=$I$5,MIN(Tabelle132456[[#This Row],[Jira Story Points]],Tabelle132456[[#This Row],[Carry-over]]),0),0)</f>
        <v>0</v>
      </c>
      <c r="Q596" s="173">
        <f>IFERROR(IF(Tabelle132456[[#This Row],[Status]]=$I$5,0,MIN(Tabelle132456[[#This Row],[Jira Story Points]],Tabelle132456[[#This Row],[Carry-over]])-Tabelle132456[[#This Row],[SP Completed (COS &amp; SOS)]]),0)</f>
        <v>0</v>
      </c>
    </row>
    <row r="597" spans="1:17" s="46" customFormat="1" ht="13.5" customHeight="1">
      <c r="A597" s="117"/>
      <c r="B597" s="47"/>
      <c r="C597" s="76"/>
      <c r="D597" s="76"/>
      <c r="E597" s="76"/>
      <c r="F597" s="104"/>
      <c r="G597" s="76"/>
      <c r="H597" s="83"/>
      <c r="I597" s="103"/>
      <c r="J597" s="76"/>
      <c r="K597" s="104"/>
      <c r="L597" s="104"/>
      <c r="M597" s="174">
        <f>IF(Tabelle132456[[#This Row],[Pulled after Start]]="",MIN(Tabelle132456[[#This Row],[Jira Story Points]],Tabelle132456[[#This Row],[Carry-over]]),0)</f>
        <v>0</v>
      </c>
      <c r="N597" s="173">
        <f>MIN(Tabelle132456[[#This Row],[Jira Story Points]],Tabelle132456[[#This Row],[Carry-over]])-Tabelle132456[[#This Row],[SP Initially Planned (COS)]]</f>
        <v>0</v>
      </c>
      <c r="O59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97" s="173">
        <f>IFERROR(IF(Tabelle132456[[#This Row],[Status]]=$I$5,MIN(Tabelle132456[[#This Row],[Jira Story Points]],Tabelle132456[[#This Row],[Carry-over]]),0),0)</f>
        <v>0</v>
      </c>
      <c r="Q597" s="173">
        <f>IFERROR(IF(Tabelle132456[[#This Row],[Status]]=$I$5,0,MIN(Tabelle132456[[#This Row],[Jira Story Points]],Tabelle132456[[#This Row],[Carry-over]])-Tabelle132456[[#This Row],[SP Completed (COS &amp; SOS)]]),0)</f>
        <v>0</v>
      </c>
    </row>
    <row r="598" spans="1:17" s="46" customFormat="1" ht="13.5" customHeight="1">
      <c r="A598" s="117"/>
      <c r="B598" s="47"/>
      <c r="C598" s="76"/>
      <c r="D598" s="76"/>
      <c r="E598" s="76"/>
      <c r="F598" s="104"/>
      <c r="G598" s="76"/>
      <c r="H598" s="83"/>
      <c r="I598" s="103"/>
      <c r="J598" s="76"/>
      <c r="K598" s="104"/>
      <c r="L598" s="104"/>
      <c r="M598" s="174">
        <f>IF(Tabelle132456[[#This Row],[Pulled after Start]]="",MIN(Tabelle132456[[#This Row],[Jira Story Points]],Tabelle132456[[#This Row],[Carry-over]]),0)</f>
        <v>0</v>
      </c>
      <c r="N598" s="173">
        <f>MIN(Tabelle132456[[#This Row],[Jira Story Points]],Tabelle132456[[#This Row],[Carry-over]])-Tabelle132456[[#This Row],[SP Initially Planned (COS)]]</f>
        <v>0</v>
      </c>
      <c r="O59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98" s="173">
        <f>IFERROR(IF(Tabelle132456[[#This Row],[Status]]=$I$5,MIN(Tabelle132456[[#This Row],[Jira Story Points]],Tabelle132456[[#This Row],[Carry-over]]),0),0)</f>
        <v>0</v>
      </c>
      <c r="Q598" s="173">
        <f>IFERROR(IF(Tabelle132456[[#This Row],[Status]]=$I$5,0,MIN(Tabelle132456[[#This Row],[Jira Story Points]],Tabelle132456[[#This Row],[Carry-over]])-Tabelle132456[[#This Row],[SP Completed (COS &amp; SOS)]]),0)</f>
        <v>0</v>
      </c>
    </row>
    <row r="599" spans="1:17" s="46" customFormat="1" ht="13.5" customHeight="1">
      <c r="A599" s="117"/>
      <c r="B599" s="47"/>
      <c r="C599" s="76"/>
      <c r="D599" s="76"/>
      <c r="E599" s="76"/>
      <c r="F599" s="104"/>
      <c r="G599" s="76"/>
      <c r="H599" s="83"/>
      <c r="I599" s="103"/>
      <c r="J599" s="76"/>
      <c r="K599" s="104"/>
      <c r="L599" s="104"/>
      <c r="M599" s="174">
        <f>IF(Tabelle132456[[#This Row],[Pulled after Start]]="",MIN(Tabelle132456[[#This Row],[Jira Story Points]],Tabelle132456[[#This Row],[Carry-over]]),0)</f>
        <v>0</v>
      </c>
      <c r="N599" s="173">
        <f>MIN(Tabelle132456[[#This Row],[Jira Story Points]],Tabelle132456[[#This Row],[Carry-over]])-Tabelle132456[[#This Row],[SP Initially Planned (COS)]]</f>
        <v>0</v>
      </c>
      <c r="O59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599" s="173">
        <f>IFERROR(IF(Tabelle132456[[#This Row],[Status]]=$I$5,MIN(Tabelle132456[[#This Row],[Jira Story Points]],Tabelle132456[[#This Row],[Carry-over]]),0),0)</f>
        <v>0</v>
      </c>
      <c r="Q599" s="173">
        <f>IFERROR(IF(Tabelle132456[[#This Row],[Status]]=$I$5,0,MIN(Tabelle132456[[#This Row],[Jira Story Points]],Tabelle132456[[#This Row],[Carry-over]])-Tabelle132456[[#This Row],[SP Completed (COS &amp; SOS)]]),0)</f>
        <v>0</v>
      </c>
    </row>
    <row r="600" spans="1:17" s="46" customFormat="1" ht="13.5" customHeight="1">
      <c r="A600" s="117"/>
      <c r="B600" s="47"/>
      <c r="C600" s="76"/>
      <c r="D600" s="76"/>
      <c r="E600" s="76"/>
      <c r="F600" s="104"/>
      <c r="G600" s="76"/>
      <c r="H600" s="83"/>
      <c r="I600" s="103"/>
      <c r="J600" s="76"/>
      <c r="K600" s="104"/>
      <c r="L600" s="104"/>
      <c r="M600" s="174">
        <f>IF(Tabelle132456[[#This Row],[Pulled after Start]]="",MIN(Tabelle132456[[#This Row],[Jira Story Points]],Tabelle132456[[#This Row],[Carry-over]]),0)</f>
        <v>0</v>
      </c>
      <c r="N600" s="173">
        <f>MIN(Tabelle132456[[#This Row],[Jira Story Points]],Tabelle132456[[#This Row],[Carry-over]])-Tabelle132456[[#This Row],[SP Initially Planned (COS)]]</f>
        <v>0</v>
      </c>
      <c r="O60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00" s="173">
        <f>IFERROR(IF(Tabelle132456[[#This Row],[Status]]=$I$5,MIN(Tabelle132456[[#This Row],[Jira Story Points]],Tabelle132456[[#This Row],[Carry-over]]),0),0)</f>
        <v>0</v>
      </c>
      <c r="Q600" s="173">
        <f>IFERROR(IF(Tabelle132456[[#This Row],[Status]]=$I$5,0,MIN(Tabelle132456[[#This Row],[Jira Story Points]],Tabelle132456[[#This Row],[Carry-over]])-Tabelle132456[[#This Row],[SP Completed (COS &amp; SOS)]]),0)</f>
        <v>0</v>
      </c>
    </row>
    <row r="601" spans="1:17" s="46" customFormat="1" ht="13.5" customHeight="1">
      <c r="A601" s="117"/>
      <c r="B601" s="47"/>
      <c r="C601" s="76"/>
      <c r="D601" s="76"/>
      <c r="E601" s="76"/>
      <c r="F601" s="104"/>
      <c r="G601" s="76"/>
      <c r="H601" s="83"/>
      <c r="I601" s="103"/>
      <c r="J601" s="76"/>
      <c r="K601" s="104"/>
      <c r="L601" s="104"/>
      <c r="M601" s="174">
        <f>IF(Tabelle132456[[#This Row],[Pulled after Start]]="",MIN(Tabelle132456[[#This Row],[Jira Story Points]],Tabelle132456[[#This Row],[Carry-over]]),0)</f>
        <v>0</v>
      </c>
      <c r="N601" s="173">
        <f>MIN(Tabelle132456[[#This Row],[Jira Story Points]],Tabelle132456[[#This Row],[Carry-over]])-Tabelle132456[[#This Row],[SP Initially Planned (COS)]]</f>
        <v>0</v>
      </c>
      <c r="O60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01" s="173">
        <f>IFERROR(IF(Tabelle132456[[#This Row],[Status]]=$I$5,MIN(Tabelle132456[[#This Row],[Jira Story Points]],Tabelle132456[[#This Row],[Carry-over]]),0),0)</f>
        <v>0</v>
      </c>
      <c r="Q601" s="173">
        <f>IFERROR(IF(Tabelle132456[[#This Row],[Status]]=$I$5,0,MIN(Tabelle132456[[#This Row],[Jira Story Points]],Tabelle132456[[#This Row],[Carry-over]])-Tabelle132456[[#This Row],[SP Completed (COS &amp; SOS)]]),0)</f>
        <v>0</v>
      </c>
    </row>
    <row r="602" spans="1:17" s="46" customFormat="1" ht="13.5" customHeight="1">
      <c r="A602" s="117"/>
      <c r="B602" s="47"/>
      <c r="C602" s="76"/>
      <c r="D602" s="76"/>
      <c r="E602" s="76"/>
      <c r="F602" s="104"/>
      <c r="G602" s="76"/>
      <c r="H602" s="83"/>
      <c r="I602" s="103"/>
      <c r="J602" s="76"/>
      <c r="K602" s="104"/>
      <c r="L602" s="104"/>
      <c r="M602" s="174">
        <f>IF(Tabelle132456[[#This Row],[Pulled after Start]]="",MIN(Tabelle132456[[#This Row],[Jira Story Points]],Tabelle132456[[#This Row],[Carry-over]]),0)</f>
        <v>0</v>
      </c>
      <c r="N602" s="173">
        <f>MIN(Tabelle132456[[#This Row],[Jira Story Points]],Tabelle132456[[#This Row],[Carry-over]])-Tabelle132456[[#This Row],[SP Initially Planned (COS)]]</f>
        <v>0</v>
      </c>
      <c r="O60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02" s="173">
        <f>IFERROR(IF(Tabelle132456[[#This Row],[Status]]=$I$5,MIN(Tabelle132456[[#This Row],[Jira Story Points]],Tabelle132456[[#This Row],[Carry-over]]),0),0)</f>
        <v>0</v>
      </c>
      <c r="Q602" s="173">
        <f>IFERROR(IF(Tabelle132456[[#This Row],[Status]]=$I$5,0,MIN(Tabelle132456[[#This Row],[Jira Story Points]],Tabelle132456[[#This Row],[Carry-over]])-Tabelle132456[[#This Row],[SP Completed (COS &amp; SOS)]]),0)</f>
        <v>0</v>
      </c>
    </row>
    <row r="603" spans="1:17" s="46" customFormat="1" ht="13.5" customHeight="1">
      <c r="A603" s="117"/>
      <c r="B603" s="47"/>
      <c r="C603" s="76"/>
      <c r="D603" s="76"/>
      <c r="E603" s="76"/>
      <c r="F603" s="104"/>
      <c r="G603" s="76"/>
      <c r="H603" s="83"/>
      <c r="I603" s="103"/>
      <c r="J603" s="76"/>
      <c r="K603" s="104"/>
      <c r="L603" s="104"/>
      <c r="M603" s="174">
        <f>IF(Tabelle132456[[#This Row],[Pulled after Start]]="",MIN(Tabelle132456[[#This Row],[Jira Story Points]],Tabelle132456[[#This Row],[Carry-over]]),0)</f>
        <v>0</v>
      </c>
      <c r="N603" s="173">
        <f>MIN(Tabelle132456[[#This Row],[Jira Story Points]],Tabelle132456[[#This Row],[Carry-over]])-Tabelle132456[[#This Row],[SP Initially Planned (COS)]]</f>
        <v>0</v>
      </c>
      <c r="O60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03" s="173">
        <f>IFERROR(IF(Tabelle132456[[#This Row],[Status]]=$I$5,MIN(Tabelle132456[[#This Row],[Jira Story Points]],Tabelle132456[[#This Row],[Carry-over]]),0),0)</f>
        <v>0</v>
      </c>
      <c r="Q603" s="173">
        <f>IFERROR(IF(Tabelle132456[[#This Row],[Status]]=$I$5,0,MIN(Tabelle132456[[#This Row],[Jira Story Points]],Tabelle132456[[#This Row],[Carry-over]])-Tabelle132456[[#This Row],[SP Completed (COS &amp; SOS)]]),0)</f>
        <v>0</v>
      </c>
    </row>
    <row r="604" spans="1:17" s="46" customFormat="1" ht="13.5" customHeight="1">
      <c r="A604" s="117"/>
      <c r="B604" s="47"/>
      <c r="C604" s="76"/>
      <c r="D604" s="76"/>
      <c r="E604" s="76"/>
      <c r="F604" s="104"/>
      <c r="G604" s="76"/>
      <c r="H604" s="83"/>
      <c r="I604" s="103"/>
      <c r="J604" s="76"/>
      <c r="K604" s="104"/>
      <c r="L604" s="104"/>
      <c r="M604" s="174">
        <f>IF(Tabelle132456[[#This Row],[Pulled after Start]]="",MIN(Tabelle132456[[#This Row],[Jira Story Points]],Tabelle132456[[#This Row],[Carry-over]]),0)</f>
        <v>0</v>
      </c>
      <c r="N604" s="173">
        <f>MIN(Tabelle132456[[#This Row],[Jira Story Points]],Tabelle132456[[#This Row],[Carry-over]])-Tabelle132456[[#This Row],[SP Initially Planned (COS)]]</f>
        <v>0</v>
      </c>
      <c r="O60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04" s="173">
        <f>IFERROR(IF(Tabelle132456[[#This Row],[Status]]=$I$5,MIN(Tabelle132456[[#This Row],[Jira Story Points]],Tabelle132456[[#This Row],[Carry-over]]),0),0)</f>
        <v>0</v>
      </c>
      <c r="Q604" s="173">
        <f>IFERROR(IF(Tabelle132456[[#This Row],[Status]]=$I$5,0,MIN(Tabelle132456[[#This Row],[Jira Story Points]],Tabelle132456[[#This Row],[Carry-over]])-Tabelle132456[[#This Row],[SP Completed (COS &amp; SOS)]]),0)</f>
        <v>0</v>
      </c>
    </row>
    <row r="605" spans="1:17" s="46" customFormat="1" ht="13.5" customHeight="1">
      <c r="A605" s="117"/>
      <c r="B605" s="47"/>
      <c r="C605" s="76"/>
      <c r="D605" s="76"/>
      <c r="E605" s="76"/>
      <c r="F605" s="104"/>
      <c r="G605" s="76"/>
      <c r="H605" s="83"/>
      <c r="I605" s="103"/>
      <c r="J605" s="76"/>
      <c r="K605" s="104"/>
      <c r="L605" s="104"/>
      <c r="M605" s="174">
        <f>IF(Tabelle132456[[#This Row],[Pulled after Start]]="",MIN(Tabelle132456[[#This Row],[Jira Story Points]],Tabelle132456[[#This Row],[Carry-over]]),0)</f>
        <v>0</v>
      </c>
      <c r="N605" s="173">
        <f>MIN(Tabelle132456[[#This Row],[Jira Story Points]],Tabelle132456[[#This Row],[Carry-over]])-Tabelle132456[[#This Row],[SP Initially Planned (COS)]]</f>
        <v>0</v>
      </c>
      <c r="O60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05" s="173">
        <f>IFERROR(IF(Tabelle132456[[#This Row],[Status]]=$I$5,MIN(Tabelle132456[[#This Row],[Jira Story Points]],Tabelle132456[[#This Row],[Carry-over]]),0),0)</f>
        <v>0</v>
      </c>
      <c r="Q605" s="173">
        <f>IFERROR(IF(Tabelle132456[[#This Row],[Status]]=$I$5,0,MIN(Tabelle132456[[#This Row],[Jira Story Points]],Tabelle132456[[#This Row],[Carry-over]])-Tabelle132456[[#This Row],[SP Completed (COS &amp; SOS)]]),0)</f>
        <v>0</v>
      </c>
    </row>
    <row r="606" spans="1:17" s="46" customFormat="1" ht="13.5" customHeight="1">
      <c r="A606" s="117"/>
      <c r="B606" s="47"/>
      <c r="C606" s="76"/>
      <c r="D606" s="76"/>
      <c r="E606" s="76"/>
      <c r="F606" s="104"/>
      <c r="G606" s="76"/>
      <c r="H606" s="83"/>
      <c r="I606" s="103"/>
      <c r="J606" s="76"/>
      <c r="K606" s="104"/>
      <c r="L606" s="104"/>
      <c r="M606" s="174">
        <f>IF(Tabelle132456[[#This Row],[Pulled after Start]]="",MIN(Tabelle132456[[#This Row],[Jira Story Points]],Tabelle132456[[#This Row],[Carry-over]]),0)</f>
        <v>0</v>
      </c>
      <c r="N606" s="173">
        <f>MIN(Tabelle132456[[#This Row],[Jira Story Points]],Tabelle132456[[#This Row],[Carry-over]])-Tabelle132456[[#This Row],[SP Initially Planned (COS)]]</f>
        <v>0</v>
      </c>
      <c r="O60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06" s="173">
        <f>IFERROR(IF(Tabelle132456[[#This Row],[Status]]=$I$5,MIN(Tabelle132456[[#This Row],[Jira Story Points]],Tabelle132456[[#This Row],[Carry-over]]),0),0)</f>
        <v>0</v>
      </c>
      <c r="Q606" s="173">
        <f>IFERROR(IF(Tabelle132456[[#This Row],[Status]]=$I$5,0,MIN(Tabelle132456[[#This Row],[Jira Story Points]],Tabelle132456[[#This Row],[Carry-over]])-Tabelle132456[[#This Row],[SP Completed (COS &amp; SOS)]]),0)</f>
        <v>0</v>
      </c>
    </row>
    <row r="607" spans="1:17" s="46" customFormat="1" ht="13.5" customHeight="1">
      <c r="A607" s="117"/>
      <c r="B607" s="47"/>
      <c r="C607" s="76"/>
      <c r="D607" s="76"/>
      <c r="E607" s="76"/>
      <c r="F607" s="104"/>
      <c r="G607" s="76"/>
      <c r="H607" s="83"/>
      <c r="I607" s="103"/>
      <c r="J607" s="76"/>
      <c r="K607" s="104"/>
      <c r="L607" s="104"/>
      <c r="M607" s="174">
        <f>IF(Tabelle132456[[#This Row],[Pulled after Start]]="",MIN(Tabelle132456[[#This Row],[Jira Story Points]],Tabelle132456[[#This Row],[Carry-over]]),0)</f>
        <v>0</v>
      </c>
      <c r="N607" s="173">
        <f>MIN(Tabelle132456[[#This Row],[Jira Story Points]],Tabelle132456[[#This Row],[Carry-over]])-Tabelle132456[[#This Row],[SP Initially Planned (COS)]]</f>
        <v>0</v>
      </c>
      <c r="O60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07" s="173">
        <f>IFERROR(IF(Tabelle132456[[#This Row],[Status]]=$I$5,MIN(Tabelle132456[[#This Row],[Jira Story Points]],Tabelle132456[[#This Row],[Carry-over]]),0),0)</f>
        <v>0</v>
      </c>
      <c r="Q607" s="173">
        <f>IFERROR(IF(Tabelle132456[[#This Row],[Status]]=$I$5,0,MIN(Tabelle132456[[#This Row],[Jira Story Points]],Tabelle132456[[#This Row],[Carry-over]])-Tabelle132456[[#This Row],[SP Completed (COS &amp; SOS)]]),0)</f>
        <v>0</v>
      </c>
    </row>
    <row r="608" spans="1:17" s="46" customFormat="1" ht="13.5" customHeight="1">
      <c r="A608" s="117"/>
      <c r="B608" s="47"/>
      <c r="C608" s="76"/>
      <c r="D608" s="76"/>
      <c r="E608" s="76"/>
      <c r="F608" s="104"/>
      <c r="G608" s="76"/>
      <c r="H608" s="83"/>
      <c r="I608" s="103"/>
      <c r="J608" s="76"/>
      <c r="K608" s="104"/>
      <c r="L608" s="104"/>
      <c r="M608" s="174">
        <f>IF(Tabelle132456[[#This Row],[Pulled after Start]]="",MIN(Tabelle132456[[#This Row],[Jira Story Points]],Tabelle132456[[#This Row],[Carry-over]]),0)</f>
        <v>0</v>
      </c>
      <c r="N608" s="173">
        <f>MIN(Tabelle132456[[#This Row],[Jira Story Points]],Tabelle132456[[#This Row],[Carry-over]])-Tabelle132456[[#This Row],[SP Initially Planned (COS)]]</f>
        <v>0</v>
      </c>
      <c r="O60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08" s="173">
        <f>IFERROR(IF(Tabelle132456[[#This Row],[Status]]=$I$5,MIN(Tabelle132456[[#This Row],[Jira Story Points]],Tabelle132456[[#This Row],[Carry-over]]),0),0)</f>
        <v>0</v>
      </c>
      <c r="Q608" s="173">
        <f>IFERROR(IF(Tabelle132456[[#This Row],[Status]]=$I$5,0,MIN(Tabelle132456[[#This Row],[Jira Story Points]],Tabelle132456[[#This Row],[Carry-over]])-Tabelle132456[[#This Row],[SP Completed (COS &amp; SOS)]]),0)</f>
        <v>0</v>
      </c>
    </row>
    <row r="609" spans="1:17" s="46" customFormat="1" ht="13.5" customHeight="1">
      <c r="A609" s="117"/>
      <c r="B609" s="47"/>
      <c r="C609" s="76"/>
      <c r="D609" s="76"/>
      <c r="E609" s="76"/>
      <c r="F609" s="104"/>
      <c r="G609" s="76"/>
      <c r="H609" s="83"/>
      <c r="I609" s="103"/>
      <c r="J609" s="76"/>
      <c r="K609" s="104"/>
      <c r="L609" s="104"/>
      <c r="M609" s="174">
        <f>IF(Tabelle132456[[#This Row],[Pulled after Start]]="",MIN(Tabelle132456[[#This Row],[Jira Story Points]],Tabelle132456[[#This Row],[Carry-over]]),0)</f>
        <v>0</v>
      </c>
      <c r="N609" s="173">
        <f>MIN(Tabelle132456[[#This Row],[Jira Story Points]],Tabelle132456[[#This Row],[Carry-over]])-Tabelle132456[[#This Row],[SP Initially Planned (COS)]]</f>
        <v>0</v>
      </c>
      <c r="O60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09" s="173">
        <f>IFERROR(IF(Tabelle132456[[#This Row],[Status]]=$I$5,MIN(Tabelle132456[[#This Row],[Jira Story Points]],Tabelle132456[[#This Row],[Carry-over]]),0),0)</f>
        <v>0</v>
      </c>
      <c r="Q609" s="173">
        <f>IFERROR(IF(Tabelle132456[[#This Row],[Status]]=$I$5,0,MIN(Tabelle132456[[#This Row],[Jira Story Points]],Tabelle132456[[#This Row],[Carry-over]])-Tabelle132456[[#This Row],[SP Completed (COS &amp; SOS)]]),0)</f>
        <v>0</v>
      </c>
    </row>
    <row r="610" spans="1:17" s="46" customFormat="1" ht="13.5" customHeight="1">
      <c r="A610" s="117"/>
      <c r="B610" s="47"/>
      <c r="C610" s="76"/>
      <c r="D610" s="76"/>
      <c r="E610" s="76"/>
      <c r="F610" s="104"/>
      <c r="G610" s="76"/>
      <c r="H610" s="83"/>
      <c r="I610" s="103"/>
      <c r="J610" s="76"/>
      <c r="K610" s="104"/>
      <c r="L610" s="104"/>
      <c r="M610" s="174">
        <f>IF(Tabelle132456[[#This Row],[Pulled after Start]]="",MIN(Tabelle132456[[#This Row],[Jira Story Points]],Tabelle132456[[#This Row],[Carry-over]]),0)</f>
        <v>0</v>
      </c>
      <c r="N610" s="173">
        <f>MIN(Tabelle132456[[#This Row],[Jira Story Points]],Tabelle132456[[#This Row],[Carry-over]])-Tabelle132456[[#This Row],[SP Initially Planned (COS)]]</f>
        <v>0</v>
      </c>
      <c r="O61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10" s="173">
        <f>IFERROR(IF(Tabelle132456[[#This Row],[Status]]=$I$5,MIN(Tabelle132456[[#This Row],[Jira Story Points]],Tabelle132456[[#This Row],[Carry-over]]),0),0)</f>
        <v>0</v>
      </c>
      <c r="Q610" s="173">
        <f>IFERROR(IF(Tabelle132456[[#This Row],[Status]]=$I$5,0,MIN(Tabelle132456[[#This Row],[Jira Story Points]],Tabelle132456[[#This Row],[Carry-over]])-Tabelle132456[[#This Row],[SP Completed (COS &amp; SOS)]]),0)</f>
        <v>0</v>
      </c>
    </row>
    <row r="611" spans="1:17" s="46" customFormat="1" ht="13.5" customHeight="1">
      <c r="A611" s="117"/>
      <c r="B611" s="47"/>
      <c r="C611" s="76"/>
      <c r="D611" s="76"/>
      <c r="E611" s="76"/>
      <c r="F611" s="104"/>
      <c r="G611" s="76"/>
      <c r="H611" s="83"/>
      <c r="I611" s="103"/>
      <c r="J611" s="76"/>
      <c r="K611" s="104"/>
      <c r="L611" s="104"/>
      <c r="M611" s="174">
        <f>IF(Tabelle132456[[#This Row],[Pulled after Start]]="",MIN(Tabelle132456[[#This Row],[Jira Story Points]],Tabelle132456[[#This Row],[Carry-over]]),0)</f>
        <v>0</v>
      </c>
      <c r="N611" s="173">
        <f>MIN(Tabelle132456[[#This Row],[Jira Story Points]],Tabelle132456[[#This Row],[Carry-over]])-Tabelle132456[[#This Row],[SP Initially Planned (COS)]]</f>
        <v>0</v>
      </c>
      <c r="O61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11" s="173">
        <f>IFERROR(IF(Tabelle132456[[#This Row],[Status]]=$I$5,MIN(Tabelle132456[[#This Row],[Jira Story Points]],Tabelle132456[[#This Row],[Carry-over]]),0),0)</f>
        <v>0</v>
      </c>
      <c r="Q611" s="173">
        <f>IFERROR(IF(Tabelle132456[[#This Row],[Status]]=$I$5,0,MIN(Tabelle132456[[#This Row],[Jira Story Points]],Tabelle132456[[#This Row],[Carry-over]])-Tabelle132456[[#This Row],[SP Completed (COS &amp; SOS)]]),0)</f>
        <v>0</v>
      </c>
    </row>
    <row r="612" spans="1:17" s="46" customFormat="1" ht="13.5" customHeight="1">
      <c r="A612" s="117"/>
      <c r="B612" s="47"/>
      <c r="C612" s="76"/>
      <c r="D612" s="76"/>
      <c r="E612" s="76"/>
      <c r="F612" s="104"/>
      <c r="G612" s="76"/>
      <c r="H612" s="83"/>
      <c r="I612" s="103"/>
      <c r="J612" s="76"/>
      <c r="K612" s="104"/>
      <c r="L612" s="104"/>
      <c r="M612" s="174">
        <f>IF(Tabelle132456[[#This Row],[Pulled after Start]]="",MIN(Tabelle132456[[#This Row],[Jira Story Points]],Tabelle132456[[#This Row],[Carry-over]]),0)</f>
        <v>0</v>
      </c>
      <c r="N612" s="173">
        <f>MIN(Tabelle132456[[#This Row],[Jira Story Points]],Tabelle132456[[#This Row],[Carry-over]])-Tabelle132456[[#This Row],[SP Initially Planned (COS)]]</f>
        <v>0</v>
      </c>
      <c r="O61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12" s="173">
        <f>IFERROR(IF(Tabelle132456[[#This Row],[Status]]=$I$5,MIN(Tabelle132456[[#This Row],[Jira Story Points]],Tabelle132456[[#This Row],[Carry-over]]),0),0)</f>
        <v>0</v>
      </c>
      <c r="Q612" s="173">
        <f>IFERROR(IF(Tabelle132456[[#This Row],[Status]]=$I$5,0,MIN(Tabelle132456[[#This Row],[Jira Story Points]],Tabelle132456[[#This Row],[Carry-over]])-Tabelle132456[[#This Row],[SP Completed (COS &amp; SOS)]]),0)</f>
        <v>0</v>
      </c>
    </row>
    <row r="613" spans="1:17" s="46" customFormat="1" ht="13.5" customHeight="1">
      <c r="A613" s="117"/>
      <c r="B613" s="47"/>
      <c r="C613" s="76"/>
      <c r="D613" s="76"/>
      <c r="E613" s="76"/>
      <c r="F613" s="104"/>
      <c r="G613" s="76"/>
      <c r="H613" s="83"/>
      <c r="I613" s="103"/>
      <c r="J613" s="76"/>
      <c r="K613" s="104"/>
      <c r="L613" s="104"/>
      <c r="M613" s="174">
        <f>IF(Tabelle132456[[#This Row],[Pulled after Start]]="",MIN(Tabelle132456[[#This Row],[Jira Story Points]],Tabelle132456[[#This Row],[Carry-over]]),0)</f>
        <v>0</v>
      </c>
      <c r="N613" s="173">
        <f>MIN(Tabelle132456[[#This Row],[Jira Story Points]],Tabelle132456[[#This Row],[Carry-over]])-Tabelle132456[[#This Row],[SP Initially Planned (COS)]]</f>
        <v>0</v>
      </c>
      <c r="O61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13" s="173">
        <f>IFERROR(IF(Tabelle132456[[#This Row],[Status]]=$I$5,MIN(Tabelle132456[[#This Row],[Jira Story Points]],Tabelle132456[[#This Row],[Carry-over]]),0),0)</f>
        <v>0</v>
      </c>
      <c r="Q613" s="173">
        <f>IFERROR(IF(Tabelle132456[[#This Row],[Status]]=$I$5,0,MIN(Tabelle132456[[#This Row],[Jira Story Points]],Tabelle132456[[#This Row],[Carry-over]])-Tabelle132456[[#This Row],[SP Completed (COS &amp; SOS)]]),0)</f>
        <v>0</v>
      </c>
    </row>
    <row r="614" spans="1:17" s="46" customFormat="1" ht="13.5" customHeight="1">
      <c r="A614" s="117"/>
      <c r="B614" s="47"/>
      <c r="C614" s="76"/>
      <c r="D614" s="76"/>
      <c r="E614" s="76"/>
      <c r="F614" s="104"/>
      <c r="G614" s="76"/>
      <c r="H614" s="83"/>
      <c r="I614" s="103"/>
      <c r="J614" s="76"/>
      <c r="K614" s="104"/>
      <c r="L614" s="104"/>
      <c r="M614" s="174">
        <f>IF(Tabelle132456[[#This Row],[Pulled after Start]]="",MIN(Tabelle132456[[#This Row],[Jira Story Points]],Tabelle132456[[#This Row],[Carry-over]]),0)</f>
        <v>0</v>
      </c>
      <c r="N614" s="173">
        <f>MIN(Tabelle132456[[#This Row],[Jira Story Points]],Tabelle132456[[#This Row],[Carry-over]])-Tabelle132456[[#This Row],[SP Initially Planned (COS)]]</f>
        <v>0</v>
      </c>
      <c r="O61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14" s="173">
        <f>IFERROR(IF(Tabelle132456[[#This Row],[Status]]=$I$5,MIN(Tabelle132456[[#This Row],[Jira Story Points]],Tabelle132456[[#This Row],[Carry-over]]),0),0)</f>
        <v>0</v>
      </c>
      <c r="Q614" s="173">
        <f>IFERROR(IF(Tabelle132456[[#This Row],[Status]]=$I$5,0,MIN(Tabelle132456[[#This Row],[Jira Story Points]],Tabelle132456[[#This Row],[Carry-over]])-Tabelle132456[[#This Row],[SP Completed (COS &amp; SOS)]]),0)</f>
        <v>0</v>
      </c>
    </row>
    <row r="615" spans="1:17" s="46" customFormat="1" ht="13.5" customHeight="1">
      <c r="A615" s="117"/>
      <c r="B615" s="47"/>
      <c r="C615" s="76"/>
      <c r="D615" s="76"/>
      <c r="E615" s="76"/>
      <c r="F615" s="104"/>
      <c r="G615" s="76"/>
      <c r="H615" s="83"/>
      <c r="I615" s="103"/>
      <c r="J615" s="76"/>
      <c r="K615" s="104"/>
      <c r="L615" s="104"/>
      <c r="M615" s="174">
        <f>IF(Tabelle132456[[#This Row],[Pulled after Start]]="",MIN(Tabelle132456[[#This Row],[Jira Story Points]],Tabelle132456[[#This Row],[Carry-over]]),0)</f>
        <v>0</v>
      </c>
      <c r="N615" s="173">
        <f>MIN(Tabelle132456[[#This Row],[Jira Story Points]],Tabelle132456[[#This Row],[Carry-over]])-Tabelle132456[[#This Row],[SP Initially Planned (COS)]]</f>
        <v>0</v>
      </c>
      <c r="O61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15" s="173">
        <f>IFERROR(IF(Tabelle132456[[#This Row],[Status]]=$I$5,MIN(Tabelle132456[[#This Row],[Jira Story Points]],Tabelle132456[[#This Row],[Carry-over]]),0),0)</f>
        <v>0</v>
      </c>
      <c r="Q615" s="173">
        <f>IFERROR(IF(Tabelle132456[[#This Row],[Status]]=$I$5,0,MIN(Tabelle132456[[#This Row],[Jira Story Points]],Tabelle132456[[#This Row],[Carry-over]])-Tabelle132456[[#This Row],[SP Completed (COS &amp; SOS)]]),0)</f>
        <v>0</v>
      </c>
    </row>
    <row r="616" spans="1:17" s="46" customFormat="1" ht="13.5" customHeight="1">
      <c r="A616" s="117"/>
      <c r="B616" s="47"/>
      <c r="C616" s="76"/>
      <c r="D616" s="76"/>
      <c r="E616" s="76"/>
      <c r="F616" s="104"/>
      <c r="G616" s="76"/>
      <c r="H616" s="83"/>
      <c r="I616" s="103"/>
      <c r="J616" s="76"/>
      <c r="K616" s="104"/>
      <c r="L616" s="104"/>
      <c r="M616" s="174">
        <f>IF(Tabelle132456[[#This Row],[Pulled after Start]]="",MIN(Tabelle132456[[#This Row],[Jira Story Points]],Tabelle132456[[#This Row],[Carry-over]]),0)</f>
        <v>0</v>
      </c>
      <c r="N616" s="173">
        <f>MIN(Tabelle132456[[#This Row],[Jira Story Points]],Tabelle132456[[#This Row],[Carry-over]])-Tabelle132456[[#This Row],[SP Initially Planned (COS)]]</f>
        <v>0</v>
      </c>
      <c r="O61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16" s="173">
        <f>IFERROR(IF(Tabelle132456[[#This Row],[Status]]=$I$5,MIN(Tabelle132456[[#This Row],[Jira Story Points]],Tabelle132456[[#This Row],[Carry-over]]),0),0)</f>
        <v>0</v>
      </c>
      <c r="Q616" s="173">
        <f>IFERROR(IF(Tabelle132456[[#This Row],[Status]]=$I$5,0,MIN(Tabelle132456[[#This Row],[Jira Story Points]],Tabelle132456[[#This Row],[Carry-over]])-Tabelle132456[[#This Row],[SP Completed (COS &amp; SOS)]]),0)</f>
        <v>0</v>
      </c>
    </row>
    <row r="617" spans="1:17" s="46" customFormat="1" ht="13.5" customHeight="1">
      <c r="A617" s="117"/>
      <c r="B617" s="47"/>
      <c r="C617" s="76"/>
      <c r="D617" s="76"/>
      <c r="E617" s="76"/>
      <c r="F617" s="104"/>
      <c r="G617" s="76"/>
      <c r="H617" s="83"/>
      <c r="I617" s="103"/>
      <c r="J617" s="76"/>
      <c r="K617" s="104"/>
      <c r="L617" s="104"/>
      <c r="M617" s="174">
        <f>IF(Tabelle132456[[#This Row],[Pulled after Start]]="",MIN(Tabelle132456[[#This Row],[Jira Story Points]],Tabelle132456[[#This Row],[Carry-over]]),0)</f>
        <v>0</v>
      </c>
      <c r="N617" s="173">
        <f>MIN(Tabelle132456[[#This Row],[Jira Story Points]],Tabelle132456[[#This Row],[Carry-over]])-Tabelle132456[[#This Row],[SP Initially Planned (COS)]]</f>
        <v>0</v>
      </c>
      <c r="O61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17" s="173">
        <f>IFERROR(IF(Tabelle132456[[#This Row],[Status]]=$I$5,MIN(Tabelle132456[[#This Row],[Jira Story Points]],Tabelle132456[[#This Row],[Carry-over]]),0),0)</f>
        <v>0</v>
      </c>
      <c r="Q617" s="173">
        <f>IFERROR(IF(Tabelle132456[[#This Row],[Status]]=$I$5,0,MIN(Tabelle132456[[#This Row],[Jira Story Points]],Tabelle132456[[#This Row],[Carry-over]])-Tabelle132456[[#This Row],[SP Completed (COS &amp; SOS)]]),0)</f>
        <v>0</v>
      </c>
    </row>
    <row r="618" spans="1:17" s="46" customFormat="1" ht="13.5" customHeight="1">
      <c r="A618" s="117"/>
      <c r="B618" s="47"/>
      <c r="C618" s="76"/>
      <c r="D618" s="76"/>
      <c r="E618" s="76"/>
      <c r="F618" s="104"/>
      <c r="G618" s="76"/>
      <c r="H618" s="83"/>
      <c r="I618" s="103"/>
      <c r="J618" s="76"/>
      <c r="K618" s="104"/>
      <c r="L618" s="104"/>
      <c r="M618" s="174">
        <f>IF(Tabelle132456[[#This Row],[Pulled after Start]]="",MIN(Tabelle132456[[#This Row],[Jira Story Points]],Tabelle132456[[#This Row],[Carry-over]]),0)</f>
        <v>0</v>
      </c>
      <c r="N618" s="173">
        <f>MIN(Tabelle132456[[#This Row],[Jira Story Points]],Tabelle132456[[#This Row],[Carry-over]])-Tabelle132456[[#This Row],[SP Initially Planned (COS)]]</f>
        <v>0</v>
      </c>
      <c r="O61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18" s="173">
        <f>IFERROR(IF(Tabelle132456[[#This Row],[Status]]=$I$5,MIN(Tabelle132456[[#This Row],[Jira Story Points]],Tabelle132456[[#This Row],[Carry-over]]),0),0)</f>
        <v>0</v>
      </c>
      <c r="Q618" s="173">
        <f>IFERROR(IF(Tabelle132456[[#This Row],[Status]]=$I$5,0,MIN(Tabelle132456[[#This Row],[Jira Story Points]],Tabelle132456[[#This Row],[Carry-over]])-Tabelle132456[[#This Row],[SP Completed (COS &amp; SOS)]]),0)</f>
        <v>0</v>
      </c>
    </row>
    <row r="619" spans="1:17" s="46" customFormat="1" ht="13.5" customHeight="1">
      <c r="A619" s="117"/>
      <c r="B619" s="47"/>
      <c r="C619" s="76"/>
      <c r="D619" s="76"/>
      <c r="E619" s="76"/>
      <c r="F619" s="104"/>
      <c r="G619" s="76"/>
      <c r="H619" s="83"/>
      <c r="I619" s="103"/>
      <c r="J619" s="76"/>
      <c r="K619" s="104"/>
      <c r="L619" s="104"/>
      <c r="M619" s="174">
        <f>IF(Tabelle132456[[#This Row],[Pulled after Start]]="",MIN(Tabelle132456[[#This Row],[Jira Story Points]],Tabelle132456[[#This Row],[Carry-over]]),0)</f>
        <v>0</v>
      </c>
      <c r="N619" s="173">
        <f>MIN(Tabelle132456[[#This Row],[Jira Story Points]],Tabelle132456[[#This Row],[Carry-over]])-Tabelle132456[[#This Row],[SP Initially Planned (COS)]]</f>
        <v>0</v>
      </c>
      <c r="O61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19" s="173">
        <f>IFERROR(IF(Tabelle132456[[#This Row],[Status]]=$I$5,MIN(Tabelle132456[[#This Row],[Jira Story Points]],Tabelle132456[[#This Row],[Carry-over]]),0),0)</f>
        <v>0</v>
      </c>
      <c r="Q619" s="173">
        <f>IFERROR(IF(Tabelle132456[[#This Row],[Status]]=$I$5,0,MIN(Tabelle132456[[#This Row],[Jira Story Points]],Tabelle132456[[#This Row],[Carry-over]])-Tabelle132456[[#This Row],[SP Completed (COS &amp; SOS)]]),0)</f>
        <v>0</v>
      </c>
    </row>
    <row r="620" spans="1:17" s="46" customFormat="1" ht="13.5" customHeight="1">
      <c r="A620" s="117"/>
      <c r="B620" s="47"/>
      <c r="C620" s="76"/>
      <c r="D620" s="76"/>
      <c r="E620" s="76"/>
      <c r="F620" s="104"/>
      <c r="G620" s="76"/>
      <c r="H620" s="83"/>
      <c r="I620" s="103"/>
      <c r="J620" s="76"/>
      <c r="K620" s="104"/>
      <c r="L620" s="104"/>
      <c r="M620" s="174">
        <f>IF(Tabelle132456[[#This Row],[Pulled after Start]]="",MIN(Tabelle132456[[#This Row],[Jira Story Points]],Tabelle132456[[#This Row],[Carry-over]]),0)</f>
        <v>0</v>
      </c>
      <c r="N620" s="173">
        <f>MIN(Tabelle132456[[#This Row],[Jira Story Points]],Tabelle132456[[#This Row],[Carry-over]])-Tabelle132456[[#This Row],[SP Initially Planned (COS)]]</f>
        <v>0</v>
      </c>
      <c r="O62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20" s="173">
        <f>IFERROR(IF(Tabelle132456[[#This Row],[Status]]=$I$5,MIN(Tabelle132456[[#This Row],[Jira Story Points]],Tabelle132456[[#This Row],[Carry-over]]),0),0)</f>
        <v>0</v>
      </c>
      <c r="Q620" s="173">
        <f>IFERROR(IF(Tabelle132456[[#This Row],[Status]]=$I$5,0,MIN(Tabelle132456[[#This Row],[Jira Story Points]],Tabelle132456[[#This Row],[Carry-over]])-Tabelle132456[[#This Row],[SP Completed (COS &amp; SOS)]]),0)</f>
        <v>0</v>
      </c>
    </row>
    <row r="621" spans="1:17" s="46" customFormat="1" ht="13.5" customHeight="1">
      <c r="A621" s="117"/>
      <c r="B621" s="47"/>
      <c r="C621" s="76"/>
      <c r="D621" s="76"/>
      <c r="E621" s="76"/>
      <c r="F621" s="104"/>
      <c r="G621" s="76"/>
      <c r="H621" s="83"/>
      <c r="I621" s="103"/>
      <c r="J621" s="76"/>
      <c r="K621" s="104"/>
      <c r="L621" s="104"/>
      <c r="M621" s="174">
        <f>IF(Tabelle132456[[#This Row],[Pulled after Start]]="",MIN(Tabelle132456[[#This Row],[Jira Story Points]],Tabelle132456[[#This Row],[Carry-over]]),0)</f>
        <v>0</v>
      </c>
      <c r="N621" s="173">
        <f>MIN(Tabelle132456[[#This Row],[Jira Story Points]],Tabelle132456[[#This Row],[Carry-over]])-Tabelle132456[[#This Row],[SP Initially Planned (COS)]]</f>
        <v>0</v>
      </c>
      <c r="O62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21" s="173">
        <f>IFERROR(IF(Tabelle132456[[#This Row],[Status]]=$I$5,MIN(Tabelle132456[[#This Row],[Jira Story Points]],Tabelle132456[[#This Row],[Carry-over]]),0),0)</f>
        <v>0</v>
      </c>
      <c r="Q621" s="173">
        <f>IFERROR(IF(Tabelle132456[[#This Row],[Status]]=$I$5,0,MIN(Tabelle132456[[#This Row],[Jira Story Points]],Tabelle132456[[#This Row],[Carry-over]])-Tabelle132456[[#This Row],[SP Completed (COS &amp; SOS)]]),0)</f>
        <v>0</v>
      </c>
    </row>
    <row r="622" spans="1:17" s="46" customFormat="1" ht="13.5" customHeight="1">
      <c r="A622" s="117"/>
      <c r="B622" s="47"/>
      <c r="C622" s="76"/>
      <c r="D622" s="76"/>
      <c r="E622" s="76"/>
      <c r="F622" s="104"/>
      <c r="G622" s="76"/>
      <c r="H622" s="83"/>
      <c r="I622" s="103"/>
      <c r="J622" s="76"/>
      <c r="K622" s="104"/>
      <c r="L622" s="104"/>
      <c r="M622" s="174">
        <f>IF(Tabelle132456[[#This Row],[Pulled after Start]]="",MIN(Tabelle132456[[#This Row],[Jira Story Points]],Tabelle132456[[#This Row],[Carry-over]]),0)</f>
        <v>0</v>
      </c>
      <c r="N622" s="173">
        <f>MIN(Tabelle132456[[#This Row],[Jira Story Points]],Tabelle132456[[#This Row],[Carry-over]])-Tabelle132456[[#This Row],[SP Initially Planned (COS)]]</f>
        <v>0</v>
      </c>
      <c r="O62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22" s="173">
        <f>IFERROR(IF(Tabelle132456[[#This Row],[Status]]=$I$5,MIN(Tabelle132456[[#This Row],[Jira Story Points]],Tabelle132456[[#This Row],[Carry-over]]),0),0)</f>
        <v>0</v>
      </c>
      <c r="Q622" s="173">
        <f>IFERROR(IF(Tabelle132456[[#This Row],[Status]]=$I$5,0,MIN(Tabelle132456[[#This Row],[Jira Story Points]],Tabelle132456[[#This Row],[Carry-over]])-Tabelle132456[[#This Row],[SP Completed (COS &amp; SOS)]]),0)</f>
        <v>0</v>
      </c>
    </row>
    <row r="623" spans="1:17" s="46" customFormat="1" ht="13.5" customHeight="1">
      <c r="A623" s="117"/>
      <c r="B623" s="47"/>
      <c r="C623" s="76"/>
      <c r="D623" s="76"/>
      <c r="E623" s="76"/>
      <c r="F623" s="104"/>
      <c r="G623" s="76"/>
      <c r="H623" s="83"/>
      <c r="I623" s="103"/>
      <c r="J623" s="76"/>
      <c r="K623" s="104"/>
      <c r="L623" s="104"/>
      <c r="M623" s="174">
        <f>IF(Tabelle132456[[#This Row],[Pulled after Start]]="",MIN(Tabelle132456[[#This Row],[Jira Story Points]],Tabelle132456[[#This Row],[Carry-over]]),0)</f>
        <v>0</v>
      </c>
      <c r="N623" s="173">
        <f>MIN(Tabelle132456[[#This Row],[Jira Story Points]],Tabelle132456[[#This Row],[Carry-over]])-Tabelle132456[[#This Row],[SP Initially Planned (COS)]]</f>
        <v>0</v>
      </c>
      <c r="O62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23" s="173">
        <f>IFERROR(IF(Tabelle132456[[#This Row],[Status]]=$I$5,MIN(Tabelle132456[[#This Row],[Jira Story Points]],Tabelle132456[[#This Row],[Carry-over]]),0),0)</f>
        <v>0</v>
      </c>
      <c r="Q623" s="173">
        <f>IFERROR(IF(Tabelle132456[[#This Row],[Status]]=$I$5,0,MIN(Tabelle132456[[#This Row],[Jira Story Points]],Tabelle132456[[#This Row],[Carry-over]])-Tabelle132456[[#This Row],[SP Completed (COS &amp; SOS)]]),0)</f>
        <v>0</v>
      </c>
    </row>
    <row r="624" spans="1:17" s="46" customFormat="1" ht="13.5" customHeight="1">
      <c r="A624" s="117"/>
      <c r="B624" s="47"/>
      <c r="C624" s="76"/>
      <c r="D624" s="76"/>
      <c r="E624" s="76"/>
      <c r="F624" s="104"/>
      <c r="G624" s="76"/>
      <c r="H624" s="83"/>
      <c r="I624" s="103"/>
      <c r="J624" s="76"/>
      <c r="K624" s="104"/>
      <c r="L624" s="104"/>
      <c r="M624" s="174">
        <f>IF(Tabelle132456[[#This Row],[Pulled after Start]]="",MIN(Tabelle132456[[#This Row],[Jira Story Points]],Tabelle132456[[#This Row],[Carry-over]]),0)</f>
        <v>0</v>
      </c>
      <c r="N624" s="173">
        <f>MIN(Tabelle132456[[#This Row],[Jira Story Points]],Tabelle132456[[#This Row],[Carry-over]])-Tabelle132456[[#This Row],[SP Initially Planned (COS)]]</f>
        <v>0</v>
      </c>
      <c r="O62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24" s="173">
        <f>IFERROR(IF(Tabelle132456[[#This Row],[Status]]=$I$5,MIN(Tabelle132456[[#This Row],[Jira Story Points]],Tabelle132456[[#This Row],[Carry-over]]),0),0)</f>
        <v>0</v>
      </c>
      <c r="Q624" s="173">
        <f>IFERROR(IF(Tabelle132456[[#This Row],[Status]]=$I$5,0,MIN(Tabelle132456[[#This Row],[Jira Story Points]],Tabelle132456[[#This Row],[Carry-over]])-Tabelle132456[[#This Row],[SP Completed (COS &amp; SOS)]]),0)</f>
        <v>0</v>
      </c>
    </row>
    <row r="625" spans="1:17" s="46" customFormat="1" ht="13.5" customHeight="1">
      <c r="A625" s="117"/>
      <c r="B625" s="47"/>
      <c r="C625" s="76"/>
      <c r="D625" s="76"/>
      <c r="E625" s="76"/>
      <c r="F625" s="104"/>
      <c r="G625" s="76"/>
      <c r="H625" s="83"/>
      <c r="I625" s="103"/>
      <c r="J625" s="76"/>
      <c r="K625" s="104"/>
      <c r="L625" s="104"/>
      <c r="M625" s="174">
        <f>IF(Tabelle132456[[#This Row],[Pulled after Start]]="",MIN(Tabelle132456[[#This Row],[Jira Story Points]],Tabelle132456[[#This Row],[Carry-over]]),0)</f>
        <v>0</v>
      </c>
      <c r="N625" s="173">
        <f>MIN(Tabelle132456[[#This Row],[Jira Story Points]],Tabelle132456[[#This Row],[Carry-over]])-Tabelle132456[[#This Row],[SP Initially Planned (COS)]]</f>
        <v>0</v>
      </c>
      <c r="O62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25" s="173">
        <f>IFERROR(IF(Tabelle132456[[#This Row],[Status]]=$I$5,MIN(Tabelle132456[[#This Row],[Jira Story Points]],Tabelle132456[[#This Row],[Carry-over]]),0),0)</f>
        <v>0</v>
      </c>
      <c r="Q625" s="173">
        <f>IFERROR(IF(Tabelle132456[[#This Row],[Status]]=$I$5,0,MIN(Tabelle132456[[#This Row],[Jira Story Points]],Tabelle132456[[#This Row],[Carry-over]])-Tabelle132456[[#This Row],[SP Completed (COS &amp; SOS)]]),0)</f>
        <v>0</v>
      </c>
    </row>
    <row r="626" spans="1:17" s="46" customFormat="1" ht="13.5" customHeight="1">
      <c r="A626" s="117"/>
      <c r="B626" s="47"/>
      <c r="C626" s="76"/>
      <c r="D626" s="76"/>
      <c r="E626" s="76"/>
      <c r="F626" s="104"/>
      <c r="G626" s="76"/>
      <c r="H626" s="83"/>
      <c r="I626" s="103"/>
      <c r="J626" s="76"/>
      <c r="K626" s="104"/>
      <c r="L626" s="104"/>
      <c r="M626" s="174">
        <f>IF(Tabelle132456[[#This Row],[Pulled after Start]]="",MIN(Tabelle132456[[#This Row],[Jira Story Points]],Tabelle132456[[#This Row],[Carry-over]]),0)</f>
        <v>0</v>
      </c>
      <c r="N626" s="173">
        <f>MIN(Tabelle132456[[#This Row],[Jira Story Points]],Tabelle132456[[#This Row],[Carry-over]])-Tabelle132456[[#This Row],[SP Initially Planned (COS)]]</f>
        <v>0</v>
      </c>
      <c r="O62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26" s="173">
        <f>IFERROR(IF(Tabelle132456[[#This Row],[Status]]=$I$5,MIN(Tabelle132456[[#This Row],[Jira Story Points]],Tabelle132456[[#This Row],[Carry-over]]),0),0)</f>
        <v>0</v>
      </c>
      <c r="Q626" s="173">
        <f>IFERROR(IF(Tabelle132456[[#This Row],[Status]]=$I$5,0,MIN(Tabelle132456[[#This Row],[Jira Story Points]],Tabelle132456[[#This Row],[Carry-over]])-Tabelle132456[[#This Row],[SP Completed (COS &amp; SOS)]]),0)</f>
        <v>0</v>
      </c>
    </row>
    <row r="627" spans="1:17" s="46" customFormat="1" ht="13.5" customHeight="1">
      <c r="A627" s="117"/>
      <c r="B627" s="47"/>
      <c r="C627" s="76"/>
      <c r="D627" s="76"/>
      <c r="E627" s="76"/>
      <c r="F627" s="104"/>
      <c r="G627" s="76"/>
      <c r="H627" s="83"/>
      <c r="I627" s="103"/>
      <c r="J627" s="76"/>
      <c r="K627" s="104"/>
      <c r="L627" s="104"/>
      <c r="M627" s="174">
        <f>IF(Tabelle132456[[#This Row],[Pulled after Start]]="",MIN(Tabelle132456[[#This Row],[Jira Story Points]],Tabelle132456[[#This Row],[Carry-over]]),0)</f>
        <v>0</v>
      </c>
      <c r="N627" s="173">
        <f>MIN(Tabelle132456[[#This Row],[Jira Story Points]],Tabelle132456[[#This Row],[Carry-over]])-Tabelle132456[[#This Row],[SP Initially Planned (COS)]]</f>
        <v>0</v>
      </c>
      <c r="O62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27" s="173">
        <f>IFERROR(IF(Tabelle132456[[#This Row],[Status]]=$I$5,MIN(Tabelle132456[[#This Row],[Jira Story Points]],Tabelle132456[[#This Row],[Carry-over]]),0),0)</f>
        <v>0</v>
      </c>
      <c r="Q627" s="173">
        <f>IFERROR(IF(Tabelle132456[[#This Row],[Status]]=$I$5,0,MIN(Tabelle132456[[#This Row],[Jira Story Points]],Tabelle132456[[#This Row],[Carry-over]])-Tabelle132456[[#This Row],[SP Completed (COS &amp; SOS)]]),0)</f>
        <v>0</v>
      </c>
    </row>
    <row r="628" spans="1:17" s="46" customFormat="1" ht="13.5" customHeight="1">
      <c r="A628" s="117"/>
      <c r="B628" s="47"/>
      <c r="C628" s="76"/>
      <c r="D628" s="76"/>
      <c r="E628" s="76"/>
      <c r="F628" s="104"/>
      <c r="G628" s="76"/>
      <c r="H628" s="83"/>
      <c r="I628" s="103"/>
      <c r="J628" s="76"/>
      <c r="K628" s="104"/>
      <c r="L628" s="104"/>
      <c r="M628" s="174">
        <f>IF(Tabelle132456[[#This Row],[Pulled after Start]]="",MIN(Tabelle132456[[#This Row],[Jira Story Points]],Tabelle132456[[#This Row],[Carry-over]]),0)</f>
        <v>0</v>
      </c>
      <c r="N628" s="173">
        <f>MIN(Tabelle132456[[#This Row],[Jira Story Points]],Tabelle132456[[#This Row],[Carry-over]])-Tabelle132456[[#This Row],[SP Initially Planned (COS)]]</f>
        <v>0</v>
      </c>
      <c r="O62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28" s="173">
        <f>IFERROR(IF(Tabelle132456[[#This Row],[Status]]=$I$5,MIN(Tabelle132456[[#This Row],[Jira Story Points]],Tabelle132456[[#This Row],[Carry-over]]),0),0)</f>
        <v>0</v>
      </c>
      <c r="Q628" s="173">
        <f>IFERROR(IF(Tabelle132456[[#This Row],[Status]]=$I$5,0,MIN(Tabelle132456[[#This Row],[Jira Story Points]],Tabelle132456[[#This Row],[Carry-over]])-Tabelle132456[[#This Row],[SP Completed (COS &amp; SOS)]]),0)</f>
        <v>0</v>
      </c>
    </row>
    <row r="629" spans="1:17" s="46" customFormat="1" ht="13.5" customHeight="1">
      <c r="A629" s="117"/>
      <c r="B629" s="47"/>
      <c r="C629" s="76"/>
      <c r="D629" s="76"/>
      <c r="E629" s="76"/>
      <c r="F629" s="104"/>
      <c r="G629" s="76"/>
      <c r="H629" s="83"/>
      <c r="I629" s="103"/>
      <c r="J629" s="76"/>
      <c r="K629" s="104"/>
      <c r="L629" s="104"/>
      <c r="M629" s="174">
        <f>IF(Tabelle132456[[#This Row],[Pulled after Start]]="",MIN(Tabelle132456[[#This Row],[Jira Story Points]],Tabelle132456[[#This Row],[Carry-over]]),0)</f>
        <v>0</v>
      </c>
      <c r="N629" s="173">
        <f>MIN(Tabelle132456[[#This Row],[Jira Story Points]],Tabelle132456[[#This Row],[Carry-over]])-Tabelle132456[[#This Row],[SP Initially Planned (COS)]]</f>
        <v>0</v>
      </c>
      <c r="O62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29" s="173">
        <f>IFERROR(IF(Tabelle132456[[#This Row],[Status]]=$I$5,MIN(Tabelle132456[[#This Row],[Jira Story Points]],Tabelle132456[[#This Row],[Carry-over]]),0),0)</f>
        <v>0</v>
      </c>
      <c r="Q629" s="173">
        <f>IFERROR(IF(Tabelle132456[[#This Row],[Status]]=$I$5,0,MIN(Tabelle132456[[#This Row],[Jira Story Points]],Tabelle132456[[#This Row],[Carry-over]])-Tabelle132456[[#This Row],[SP Completed (COS &amp; SOS)]]),0)</f>
        <v>0</v>
      </c>
    </row>
    <row r="630" spans="1:17" s="46" customFormat="1" ht="13.5" customHeight="1">
      <c r="A630" s="117"/>
      <c r="B630" s="47"/>
      <c r="C630" s="76"/>
      <c r="D630" s="76"/>
      <c r="E630" s="76"/>
      <c r="F630" s="104"/>
      <c r="G630" s="76"/>
      <c r="H630" s="83"/>
      <c r="I630" s="103"/>
      <c r="J630" s="76"/>
      <c r="K630" s="104"/>
      <c r="L630" s="104"/>
      <c r="M630" s="174">
        <f>IF(Tabelle132456[[#This Row],[Pulled after Start]]="",MIN(Tabelle132456[[#This Row],[Jira Story Points]],Tabelle132456[[#This Row],[Carry-over]]),0)</f>
        <v>0</v>
      </c>
      <c r="N630" s="173">
        <f>MIN(Tabelle132456[[#This Row],[Jira Story Points]],Tabelle132456[[#This Row],[Carry-over]])-Tabelle132456[[#This Row],[SP Initially Planned (COS)]]</f>
        <v>0</v>
      </c>
      <c r="O63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30" s="173">
        <f>IFERROR(IF(Tabelle132456[[#This Row],[Status]]=$I$5,MIN(Tabelle132456[[#This Row],[Jira Story Points]],Tabelle132456[[#This Row],[Carry-over]]),0),0)</f>
        <v>0</v>
      </c>
      <c r="Q630" s="173">
        <f>IFERROR(IF(Tabelle132456[[#This Row],[Status]]=$I$5,0,MIN(Tabelle132456[[#This Row],[Jira Story Points]],Tabelle132456[[#This Row],[Carry-over]])-Tabelle132456[[#This Row],[SP Completed (COS &amp; SOS)]]),0)</f>
        <v>0</v>
      </c>
    </row>
    <row r="631" spans="1:17" s="46" customFormat="1" ht="13.5" customHeight="1">
      <c r="A631" s="117"/>
      <c r="B631" s="47"/>
      <c r="C631" s="76"/>
      <c r="D631" s="76"/>
      <c r="E631" s="76"/>
      <c r="F631" s="104"/>
      <c r="G631" s="76"/>
      <c r="H631" s="83"/>
      <c r="I631" s="103"/>
      <c r="J631" s="76"/>
      <c r="K631" s="104"/>
      <c r="L631" s="104"/>
      <c r="M631" s="174">
        <f>IF(Tabelle132456[[#This Row],[Pulled after Start]]="",MIN(Tabelle132456[[#This Row],[Jira Story Points]],Tabelle132456[[#This Row],[Carry-over]]),0)</f>
        <v>0</v>
      </c>
      <c r="N631" s="173">
        <f>MIN(Tabelle132456[[#This Row],[Jira Story Points]],Tabelle132456[[#This Row],[Carry-over]])-Tabelle132456[[#This Row],[SP Initially Planned (COS)]]</f>
        <v>0</v>
      </c>
      <c r="O63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31" s="173">
        <f>IFERROR(IF(Tabelle132456[[#This Row],[Status]]=$I$5,MIN(Tabelle132456[[#This Row],[Jira Story Points]],Tabelle132456[[#This Row],[Carry-over]]),0),0)</f>
        <v>0</v>
      </c>
      <c r="Q631" s="173">
        <f>IFERROR(IF(Tabelle132456[[#This Row],[Status]]=$I$5,0,MIN(Tabelle132456[[#This Row],[Jira Story Points]],Tabelle132456[[#This Row],[Carry-over]])-Tabelle132456[[#This Row],[SP Completed (COS &amp; SOS)]]),0)</f>
        <v>0</v>
      </c>
    </row>
    <row r="632" spans="1:17" s="46" customFormat="1" ht="13.5" customHeight="1">
      <c r="A632" s="117"/>
      <c r="B632" s="47"/>
      <c r="C632" s="76"/>
      <c r="D632" s="76"/>
      <c r="E632" s="76"/>
      <c r="F632" s="104"/>
      <c r="G632" s="76"/>
      <c r="H632" s="83"/>
      <c r="I632" s="103"/>
      <c r="J632" s="76"/>
      <c r="K632" s="104"/>
      <c r="L632" s="104"/>
      <c r="M632" s="174">
        <f>IF(Tabelle132456[[#This Row],[Pulled after Start]]="",MIN(Tabelle132456[[#This Row],[Jira Story Points]],Tabelle132456[[#This Row],[Carry-over]]),0)</f>
        <v>0</v>
      </c>
      <c r="N632" s="173">
        <f>MIN(Tabelle132456[[#This Row],[Jira Story Points]],Tabelle132456[[#This Row],[Carry-over]])-Tabelle132456[[#This Row],[SP Initially Planned (COS)]]</f>
        <v>0</v>
      </c>
      <c r="O63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32" s="173">
        <f>IFERROR(IF(Tabelle132456[[#This Row],[Status]]=$I$5,MIN(Tabelle132456[[#This Row],[Jira Story Points]],Tabelle132456[[#This Row],[Carry-over]]),0),0)</f>
        <v>0</v>
      </c>
      <c r="Q632" s="173">
        <f>IFERROR(IF(Tabelle132456[[#This Row],[Status]]=$I$5,0,MIN(Tabelle132456[[#This Row],[Jira Story Points]],Tabelle132456[[#This Row],[Carry-over]])-Tabelle132456[[#This Row],[SP Completed (COS &amp; SOS)]]),0)</f>
        <v>0</v>
      </c>
    </row>
    <row r="633" spans="1:17" s="46" customFormat="1" ht="13.5" customHeight="1">
      <c r="A633" s="117"/>
      <c r="B633" s="47"/>
      <c r="C633" s="76"/>
      <c r="D633" s="76"/>
      <c r="E633" s="76"/>
      <c r="F633" s="104"/>
      <c r="G633" s="76"/>
      <c r="H633" s="83"/>
      <c r="I633" s="103"/>
      <c r="J633" s="76"/>
      <c r="K633" s="104"/>
      <c r="L633" s="104"/>
      <c r="M633" s="174">
        <f>IF(Tabelle132456[[#This Row],[Pulled after Start]]="",MIN(Tabelle132456[[#This Row],[Jira Story Points]],Tabelle132456[[#This Row],[Carry-over]]),0)</f>
        <v>0</v>
      </c>
      <c r="N633" s="173">
        <f>MIN(Tabelle132456[[#This Row],[Jira Story Points]],Tabelle132456[[#This Row],[Carry-over]])-Tabelle132456[[#This Row],[SP Initially Planned (COS)]]</f>
        <v>0</v>
      </c>
      <c r="O63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33" s="173">
        <f>IFERROR(IF(Tabelle132456[[#This Row],[Status]]=$I$5,MIN(Tabelle132456[[#This Row],[Jira Story Points]],Tabelle132456[[#This Row],[Carry-over]]),0),0)</f>
        <v>0</v>
      </c>
      <c r="Q633" s="173">
        <f>IFERROR(IF(Tabelle132456[[#This Row],[Status]]=$I$5,0,MIN(Tabelle132456[[#This Row],[Jira Story Points]],Tabelle132456[[#This Row],[Carry-over]])-Tabelle132456[[#This Row],[SP Completed (COS &amp; SOS)]]),0)</f>
        <v>0</v>
      </c>
    </row>
    <row r="634" spans="1:17" s="46" customFormat="1" ht="13.5" customHeight="1">
      <c r="A634" s="117"/>
      <c r="B634" s="47"/>
      <c r="C634" s="76"/>
      <c r="D634" s="76"/>
      <c r="E634" s="76"/>
      <c r="F634" s="104"/>
      <c r="G634" s="76"/>
      <c r="H634" s="83"/>
      <c r="I634" s="103"/>
      <c r="J634" s="76"/>
      <c r="K634" s="104"/>
      <c r="L634" s="104"/>
      <c r="M634" s="174">
        <f>IF(Tabelle132456[[#This Row],[Pulled after Start]]="",MIN(Tabelle132456[[#This Row],[Jira Story Points]],Tabelle132456[[#This Row],[Carry-over]]),0)</f>
        <v>0</v>
      </c>
      <c r="N634" s="173">
        <f>MIN(Tabelle132456[[#This Row],[Jira Story Points]],Tabelle132456[[#This Row],[Carry-over]])-Tabelle132456[[#This Row],[SP Initially Planned (COS)]]</f>
        <v>0</v>
      </c>
      <c r="O63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34" s="173">
        <f>IFERROR(IF(Tabelle132456[[#This Row],[Status]]=$I$5,MIN(Tabelle132456[[#This Row],[Jira Story Points]],Tabelle132456[[#This Row],[Carry-over]]),0),0)</f>
        <v>0</v>
      </c>
      <c r="Q634" s="173">
        <f>IFERROR(IF(Tabelle132456[[#This Row],[Status]]=$I$5,0,MIN(Tabelle132456[[#This Row],[Jira Story Points]],Tabelle132456[[#This Row],[Carry-over]])-Tabelle132456[[#This Row],[SP Completed (COS &amp; SOS)]]),0)</f>
        <v>0</v>
      </c>
    </row>
    <row r="635" spans="1:17" s="46" customFormat="1" ht="13.5" customHeight="1">
      <c r="A635" s="117"/>
      <c r="B635" s="47"/>
      <c r="C635" s="76"/>
      <c r="D635" s="76"/>
      <c r="E635" s="76"/>
      <c r="F635" s="104"/>
      <c r="G635" s="76"/>
      <c r="H635" s="83"/>
      <c r="I635" s="103"/>
      <c r="J635" s="76"/>
      <c r="K635" s="104"/>
      <c r="L635" s="104"/>
      <c r="M635" s="174">
        <f>IF(Tabelle132456[[#This Row],[Pulled after Start]]="",MIN(Tabelle132456[[#This Row],[Jira Story Points]],Tabelle132456[[#This Row],[Carry-over]]),0)</f>
        <v>0</v>
      </c>
      <c r="N635" s="173">
        <f>MIN(Tabelle132456[[#This Row],[Jira Story Points]],Tabelle132456[[#This Row],[Carry-over]])-Tabelle132456[[#This Row],[SP Initially Planned (COS)]]</f>
        <v>0</v>
      </c>
      <c r="O63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35" s="173">
        <f>IFERROR(IF(Tabelle132456[[#This Row],[Status]]=$I$5,MIN(Tabelle132456[[#This Row],[Jira Story Points]],Tabelle132456[[#This Row],[Carry-over]]),0),0)</f>
        <v>0</v>
      </c>
      <c r="Q635" s="173">
        <f>IFERROR(IF(Tabelle132456[[#This Row],[Status]]=$I$5,0,MIN(Tabelle132456[[#This Row],[Jira Story Points]],Tabelle132456[[#This Row],[Carry-over]])-Tabelle132456[[#This Row],[SP Completed (COS &amp; SOS)]]),0)</f>
        <v>0</v>
      </c>
    </row>
    <row r="636" spans="1:17" s="46" customFormat="1" ht="13.5" customHeight="1">
      <c r="A636" s="117"/>
      <c r="B636" s="47"/>
      <c r="C636" s="76"/>
      <c r="D636" s="76"/>
      <c r="E636" s="76"/>
      <c r="F636" s="104"/>
      <c r="G636" s="76"/>
      <c r="H636" s="83"/>
      <c r="I636" s="103"/>
      <c r="J636" s="76"/>
      <c r="K636" s="104"/>
      <c r="L636" s="104"/>
      <c r="M636" s="174">
        <f>IF(Tabelle132456[[#This Row],[Pulled after Start]]="",MIN(Tabelle132456[[#This Row],[Jira Story Points]],Tabelle132456[[#This Row],[Carry-over]]),0)</f>
        <v>0</v>
      </c>
      <c r="N636" s="173">
        <f>MIN(Tabelle132456[[#This Row],[Jira Story Points]],Tabelle132456[[#This Row],[Carry-over]])-Tabelle132456[[#This Row],[SP Initially Planned (COS)]]</f>
        <v>0</v>
      </c>
      <c r="O63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36" s="173">
        <f>IFERROR(IF(Tabelle132456[[#This Row],[Status]]=$I$5,MIN(Tabelle132456[[#This Row],[Jira Story Points]],Tabelle132456[[#This Row],[Carry-over]]),0),0)</f>
        <v>0</v>
      </c>
      <c r="Q636" s="173">
        <f>IFERROR(IF(Tabelle132456[[#This Row],[Status]]=$I$5,0,MIN(Tabelle132456[[#This Row],[Jira Story Points]],Tabelle132456[[#This Row],[Carry-over]])-Tabelle132456[[#This Row],[SP Completed (COS &amp; SOS)]]),0)</f>
        <v>0</v>
      </c>
    </row>
    <row r="637" spans="1:17" s="46" customFormat="1" ht="13.5" customHeight="1">
      <c r="A637" s="117"/>
      <c r="B637" s="47"/>
      <c r="C637" s="76"/>
      <c r="D637" s="76"/>
      <c r="E637" s="76"/>
      <c r="F637" s="104"/>
      <c r="G637" s="76"/>
      <c r="H637" s="83"/>
      <c r="I637" s="103"/>
      <c r="J637" s="76"/>
      <c r="K637" s="104"/>
      <c r="L637" s="104"/>
      <c r="M637" s="174">
        <f>IF(Tabelle132456[[#This Row],[Pulled after Start]]="",MIN(Tabelle132456[[#This Row],[Jira Story Points]],Tabelle132456[[#This Row],[Carry-over]]),0)</f>
        <v>0</v>
      </c>
      <c r="N637" s="173">
        <f>MIN(Tabelle132456[[#This Row],[Jira Story Points]],Tabelle132456[[#This Row],[Carry-over]])-Tabelle132456[[#This Row],[SP Initially Planned (COS)]]</f>
        <v>0</v>
      </c>
      <c r="O63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37" s="173">
        <f>IFERROR(IF(Tabelle132456[[#This Row],[Status]]=$I$5,MIN(Tabelle132456[[#This Row],[Jira Story Points]],Tabelle132456[[#This Row],[Carry-over]]),0),0)</f>
        <v>0</v>
      </c>
      <c r="Q637" s="173">
        <f>IFERROR(IF(Tabelle132456[[#This Row],[Status]]=$I$5,0,MIN(Tabelle132456[[#This Row],[Jira Story Points]],Tabelle132456[[#This Row],[Carry-over]])-Tabelle132456[[#This Row],[SP Completed (COS &amp; SOS)]]),0)</f>
        <v>0</v>
      </c>
    </row>
    <row r="638" spans="1:17" s="46" customFormat="1" ht="13.5" customHeight="1">
      <c r="A638" s="117"/>
      <c r="B638" s="47"/>
      <c r="C638" s="76"/>
      <c r="D638" s="76"/>
      <c r="E638" s="76"/>
      <c r="F638" s="104"/>
      <c r="G638" s="76"/>
      <c r="H638" s="83"/>
      <c r="I638" s="103"/>
      <c r="J638" s="76"/>
      <c r="K638" s="104"/>
      <c r="L638" s="104"/>
      <c r="M638" s="174">
        <f>IF(Tabelle132456[[#This Row],[Pulled after Start]]="",MIN(Tabelle132456[[#This Row],[Jira Story Points]],Tabelle132456[[#This Row],[Carry-over]]),0)</f>
        <v>0</v>
      </c>
      <c r="N638" s="173">
        <f>MIN(Tabelle132456[[#This Row],[Jira Story Points]],Tabelle132456[[#This Row],[Carry-over]])-Tabelle132456[[#This Row],[SP Initially Planned (COS)]]</f>
        <v>0</v>
      </c>
      <c r="O63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38" s="173">
        <f>IFERROR(IF(Tabelle132456[[#This Row],[Status]]=$I$5,MIN(Tabelle132456[[#This Row],[Jira Story Points]],Tabelle132456[[#This Row],[Carry-over]]),0),0)</f>
        <v>0</v>
      </c>
      <c r="Q638" s="173">
        <f>IFERROR(IF(Tabelle132456[[#This Row],[Status]]=$I$5,0,MIN(Tabelle132456[[#This Row],[Jira Story Points]],Tabelle132456[[#This Row],[Carry-over]])-Tabelle132456[[#This Row],[SP Completed (COS &amp; SOS)]]),0)</f>
        <v>0</v>
      </c>
    </row>
    <row r="639" spans="1:17" s="46" customFormat="1" ht="13.5" customHeight="1">
      <c r="A639" s="117"/>
      <c r="B639" s="47"/>
      <c r="C639" s="76"/>
      <c r="D639" s="76"/>
      <c r="E639" s="76"/>
      <c r="F639" s="104"/>
      <c r="G639" s="76"/>
      <c r="H639" s="83"/>
      <c r="I639" s="103"/>
      <c r="J639" s="76"/>
      <c r="K639" s="104"/>
      <c r="L639" s="104"/>
      <c r="M639" s="174">
        <f>IF(Tabelle132456[[#This Row],[Pulled after Start]]="",MIN(Tabelle132456[[#This Row],[Jira Story Points]],Tabelle132456[[#This Row],[Carry-over]]),0)</f>
        <v>0</v>
      </c>
      <c r="N639" s="173">
        <f>MIN(Tabelle132456[[#This Row],[Jira Story Points]],Tabelle132456[[#This Row],[Carry-over]])-Tabelle132456[[#This Row],[SP Initially Planned (COS)]]</f>
        <v>0</v>
      </c>
      <c r="O63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39" s="173">
        <f>IFERROR(IF(Tabelle132456[[#This Row],[Status]]=$I$5,MIN(Tabelle132456[[#This Row],[Jira Story Points]],Tabelle132456[[#This Row],[Carry-over]]),0),0)</f>
        <v>0</v>
      </c>
      <c r="Q639" s="173">
        <f>IFERROR(IF(Tabelle132456[[#This Row],[Status]]=$I$5,0,MIN(Tabelle132456[[#This Row],[Jira Story Points]],Tabelle132456[[#This Row],[Carry-over]])-Tabelle132456[[#This Row],[SP Completed (COS &amp; SOS)]]),0)</f>
        <v>0</v>
      </c>
    </row>
    <row r="640" spans="1:17" s="46" customFormat="1" ht="13.5" customHeight="1">
      <c r="A640" s="117"/>
      <c r="B640" s="47"/>
      <c r="C640" s="76"/>
      <c r="D640" s="76"/>
      <c r="E640" s="76"/>
      <c r="F640" s="104"/>
      <c r="G640" s="76"/>
      <c r="H640" s="83"/>
      <c r="I640" s="103"/>
      <c r="J640" s="76"/>
      <c r="K640" s="104"/>
      <c r="L640" s="104"/>
      <c r="M640" s="174">
        <f>IF(Tabelle132456[[#This Row],[Pulled after Start]]="",MIN(Tabelle132456[[#This Row],[Jira Story Points]],Tabelle132456[[#This Row],[Carry-over]]),0)</f>
        <v>0</v>
      </c>
      <c r="N640" s="173">
        <f>MIN(Tabelle132456[[#This Row],[Jira Story Points]],Tabelle132456[[#This Row],[Carry-over]])-Tabelle132456[[#This Row],[SP Initially Planned (COS)]]</f>
        <v>0</v>
      </c>
      <c r="O64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40" s="173">
        <f>IFERROR(IF(Tabelle132456[[#This Row],[Status]]=$I$5,MIN(Tabelle132456[[#This Row],[Jira Story Points]],Tabelle132456[[#This Row],[Carry-over]]),0),0)</f>
        <v>0</v>
      </c>
      <c r="Q640" s="173">
        <f>IFERROR(IF(Tabelle132456[[#This Row],[Status]]=$I$5,0,MIN(Tabelle132456[[#This Row],[Jira Story Points]],Tabelle132456[[#This Row],[Carry-over]])-Tabelle132456[[#This Row],[SP Completed (COS &amp; SOS)]]),0)</f>
        <v>0</v>
      </c>
    </row>
    <row r="641" spans="1:17" s="46" customFormat="1" ht="13.5" customHeight="1">
      <c r="A641" s="117"/>
      <c r="B641" s="47"/>
      <c r="C641" s="76"/>
      <c r="D641" s="76"/>
      <c r="E641" s="76"/>
      <c r="F641" s="104"/>
      <c r="G641" s="76"/>
      <c r="H641" s="83"/>
      <c r="I641" s="103"/>
      <c r="J641" s="76"/>
      <c r="K641" s="104"/>
      <c r="L641" s="104"/>
      <c r="M641" s="174">
        <f>IF(Tabelle132456[[#This Row],[Pulled after Start]]="",MIN(Tabelle132456[[#This Row],[Jira Story Points]],Tabelle132456[[#This Row],[Carry-over]]),0)</f>
        <v>0</v>
      </c>
      <c r="N641" s="173">
        <f>MIN(Tabelle132456[[#This Row],[Jira Story Points]],Tabelle132456[[#This Row],[Carry-over]])-Tabelle132456[[#This Row],[SP Initially Planned (COS)]]</f>
        <v>0</v>
      </c>
      <c r="O64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41" s="173">
        <f>IFERROR(IF(Tabelle132456[[#This Row],[Status]]=$I$5,MIN(Tabelle132456[[#This Row],[Jira Story Points]],Tabelle132456[[#This Row],[Carry-over]]),0),0)</f>
        <v>0</v>
      </c>
      <c r="Q641" s="173">
        <f>IFERROR(IF(Tabelle132456[[#This Row],[Status]]=$I$5,0,MIN(Tabelle132456[[#This Row],[Jira Story Points]],Tabelle132456[[#This Row],[Carry-over]])-Tabelle132456[[#This Row],[SP Completed (COS &amp; SOS)]]),0)</f>
        <v>0</v>
      </c>
    </row>
    <row r="642" spans="1:17" s="46" customFormat="1" ht="13.5" customHeight="1">
      <c r="A642" s="117"/>
      <c r="B642" s="47"/>
      <c r="C642" s="76"/>
      <c r="D642" s="76"/>
      <c r="E642" s="76"/>
      <c r="F642" s="104"/>
      <c r="G642" s="76"/>
      <c r="H642" s="83"/>
      <c r="I642" s="103"/>
      <c r="J642" s="76"/>
      <c r="K642" s="104"/>
      <c r="L642" s="104"/>
      <c r="M642" s="174">
        <f>IF(Tabelle132456[[#This Row],[Pulled after Start]]="",MIN(Tabelle132456[[#This Row],[Jira Story Points]],Tabelle132456[[#This Row],[Carry-over]]),0)</f>
        <v>0</v>
      </c>
      <c r="N642" s="173">
        <f>MIN(Tabelle132456[[#This Row],[Jira Story Points]],Tabelle132456[[#This Row],[Carry-over]])-Tabelle132456[[#This Row],[SP Initially Planned (COS)]]</f>
        <v>0</v>
      </c>
      <c r="O64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42" s="173">
        <f>IFERROR(IF(Tabelle132456[[#This Row],[Status]]=$I$5,MIN(Tabelle132456[[#This Row],[Jira Story Points]],Tabelle132456[[#This Row],[Carry-over]]),0),0)</f>
        <v>0</v>
      </c>
      <c r="Q642" s="173">
        <f>IFERROR(IF(Tabelle132456[[#This Row],[Status]]=$I$5,0,MIN(Tabelle132456[[#This Row],[Jira Story Points]],Tabelle132456[[#This Row],[Carry-over]])-Tabelle132456[[#This Row],[SP Completed (COS &amp; SOS)]]),0)</f>
        <v>0</v>
      </c>
    </row>
    <row r="643" spans="1:17" s="46" customFormat="1" ht="13.5" customHeight="1">
      <c r="A643" s="117"/>
      <c r="B643" s="47"/>
      <c r="C643" s="76"/>
      <c r="D643" s="76"/>
      <c r="E643" s="76"/>
      <c r="F643" s="104"/>
      <c r="G643" s="76"/>
      <c r="H643" s="83"/>
      <c r="I643" s="103"/>
      <c r="J643" s="76"/>
      <c r="K643" s="104"/>
      <c r="L643" s="104"/>
      <c r="M643" s="174">
        <f>IF(Tabelle132456[[#This Row],[Pulled after Start]]="",MIN(Tabelle132456[[#This Row],[Jira Story Points]],Tabelle132456[[#This Row],[Carry-over]]),0)</f>
        <v>0</v>
      </c>
      <c r="N643" s="173">
        <f>MIN(Tabelle132456[[#This Row],[Jira Story Points]],Tabelle132456[[#This Row],[Carry-over]])-Tabelle132456[[#This Row],[SP Initially Planned (COS)]]</f>
        <v>0</v>
      </c>
      <c r="O64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43" s="173">
        <f>IFERROR(IF(Tabelle132456[[#This Row],[Status]]=$I$5,MIN(Tabelle132456[[#This Row],[Jira Story Points]],Tabelle132456[[#This Row],[Carry-over]]),0),0)</f>
        <v>0</v>
      </c>
      <c r="Q643" s="173">
        <f>IFERROR(IF(Tabelle132456[[#This Row],[Status]]=$I$5,0,MIN(Tabelle132456[[#This Row],[Jira Story Points]],Tabelle132456[[#This Row],[Carry-over]])-Tabelle132456[[#This Row],[SP Completed (COS &amp; SOS)]]),0)</f>
        <v>0</v>
      </c>
    </row>
    <row r="644" spans="1:17" s="46" customFormat="1" ht="13.5" customHeight="1">
      <c r="A644" s="117"/>
      <c r="B644" s="47"/>
      <c r="C644" s="76"/>
      <c r="D644" s="76"/>
      <c r="E644" s="76"/>
      <c r="F644" s="104"/>
      <c r="G644" s="76"/>
      <c r="H644" s="83"/>
      <c r="I644" s="103"/>
      <c r="J644" s="76"/>
      <c r="K644" s="104"/>
      <c r="L644" s="104"/>
      <c r="M644" s="174">
        <f>IF(Tabelle132456[[#This Row],[Pulled after Start]]="",MIN(Tabelle132456[[#This Row],[Jira Story Points]],Tabelle132456[[#This Row],[Carry-over]]),0)</f>
        <v>0</v>
      </c>
      <c r="N644" s="173">
        <f>MIN(Tabelle132456[[#This Row],[Jira Story Points]],Tabelle132456[[#This Row],[Carry-over]])-Tabelle132456[[#This Row],[SP Initially Planned (COS)]]</f>
        <v>0</v>
      </c>
      <c r="O64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44" s="173">
        <f>IFERROR(IF(Tabelle132456[[#This Row],[Status]]=$I$5,MIN(Tabelle132456[[#This Row],[Jira Story Points]],Tabelle132456[[#This Row],[Carry-over]]),0),0)</f>
        <v>0</v>
      </c>
      <c r="Q644" s="173">
        <f>IFERROR(IF(Tabelle132456[[#This Row],[Status]]=$I$5,0,MIN(Tabelle132456[[#This Row],[Jira Story Points]],Tabelle132456[[#This Row],[Carry-over]])-Tabelle132456[[#This Row],[SP Completed (COS &amp; SOS)]]),0)</f>
        <v>0</v>
      </c>
    </row>
    <row r="645" spans="1:17" s="46" customFormat="1" ht="13.5" customHeight="1">
      <c r="A645" s="117"/>
      <c r="B645" s="47"/>
      <c r="C645" s="76"/>
      <c r="D645" s="76"/>
      <c r="E645" s="76"/>
      <c r="F645" s="104"/>
      <c r="G645" s="76"/>
      <c r="H645" s="83"/>
      <c r="I645" s="103"/>
      <c r="J645" s="76"/>
      <c r="K645" s="104"/>
      <c r="L645" s="104"/>
      <c r="M645" s="174">
        <f>IF(Tabelle132456[[#This Row],[Pulled after Start]]="",MIN(Tabelle132456[[#This Row],[Jira Story Points]],Tabelle132456[[#This Row],[Carry-over]]),0)</f>
        <v>0</v>
      </c>
      <c r="N645" s="173">
        <f>MIN(Tabelle132456[[#This Row],[Jira Story Points]],Tabelle132456[[#This Row],[Carry-over]])-Tabelle132456[[#This Row],[SP Initially Planned (COS)]]</f>
        <v>0</v>
      </c>
      <c r="O64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45" s="173">
        <f>IFERROR(IF(Tabelle132456[[#This Row],[Status]]=$I$5,MIN(Tabelle132456[[#This Row],[Jira Story Points]],Tabelle132456[[#This Row],[Carry-over]]),0),0)</f>
        <v>0</v>
      </c>
      <c r="Q645" s="173">
        <f>IFERROR(IF(Tabelle132456[[#This Row],[Status]]=$I$5,0,MIN(Tabelle132456[[#This Row],[Jira Story Points]],Tabelle132456[[#This Row],[Carry-over]])-Tabelle132456[[#This Row],[SP Completed (COS &amp; SOS)]]),0)</f>
        <v>0</v>
      </c>
    </row>
    <row r="646" spans="1:17" s="46" customFormat="1" ht="13.5" customHeight="1">
      <c r="A646" s="117"/>
      <c r="B646" s="47"/>
      <c r="C646" s="76"/>
      <c r="D646" s="76"/>
      <c r="E646" s="76"/>
      <c r="F646" s="104"/>
      <c r="G646" s="76"/>
      <c r="H646" s="83"/>
      <c r="I646" s="103"/>
      <c r="J646" s="76"/>
      <c r="K646" s="104"/>
      <c r="L646" s="104"/>
      <c r="M646" s="174">
        <f>IF(Tabelle132456[[#This Row],[Pulled after Start]]="",MIN(Tabelle132456[[#This Row],[Jira Story Points]],Tabelle132456[[#This Row],[Carry-over]]),0)</f>
        <v>0</v>
      </c>
      <c r="N646" s="173">
        <f>MIN(Tabelle132456[[#This Row],[Jira Story Points]],Tabelle132456[[#This Row],[Carry-over]])-Tabelle132456[[#This Row],[SP Initially Planned (COS)]]</f>
        <v>0</v>
      </c>
      <c r="O64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46" s="173">
        <f>IFERROR(IF(Tabelle132456[[#This Row],[Status]]=$I$5,MIN(Tabelle132456[[#This Row],[Jira Story Points]],Tabelle132456[[#This Row],[Carry-over]]),0),0)</f>
        <v>0</v>
      </c>
      <c r="Q646" s="173">
        <f>IFERROR(IF(Tabelle132456[[#This Row],[Status]]=$I$5,0,MIN(Tabelle132456[[#This Row],[Jira Story Points]],Tabelle132456[[#This Row],[Carry-over]])-Tabelle132456[[#This Row],[SP Completed (COS &amp; SOS)]]),0)</f>
        <v>0</v>
      </c>
    </row>
    <row r="647" spans="1:17" s="46" customFormat="1" ht="13.5" customHeight="1">
      <c r="A647" s="117"/>
      <c r="B647" s="47"/>
      <c r="C647" s="76"/>
      <c r="D647" s="76"/>
      <c r="E647" s="76"/>
      <c r="F647" s="104"/>
      <c r="G647" s="76"/>
      <c r="H647" s="83"/>
      <c r="I647" s="103"/>
      <c r="J647" s="76"/>
      <c r="K647" s="104"/>
      <c r="L647" s="104"/>
      <c r="M647" s="174">
        <f>IF(Tabelle132456[[#This Row],[Pulled after Start]]="",MIN(Tabelle132456[[#This Row],[Jira Story Points]],Tabelle132456[[#This Row],[Carry-over]]),0)</f>
        <v>0</v>
      </c>
      <c r="N647" s="173">
        <f>MIN(Tabelle132456[[#This Row],[Jira Story Points]],Tabelle132456[[#This Row],[Carry-over]])-Tabelle132456[[#This Row],[SP Initially Planned (COS)]]</f>
        <v>0</v>
      </c>
      <c r="O64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47" s="173">
        <f>IFERROR(IF(Tabelle132456[[#This Row],[Status]]=$I$5,MIN(Tabelle132456[[#This Row],[Jira Story Points]],Tabelle132456[[#This Row],[Carry-over]]),0),0)</f>
        <v>0</v>
      </c>
      <c r="Q647" s="173">
        <f>IFERROR(IF(Tabelle132456[[#This Row],[Status]]=$I$5,0,MIN(Tabelle132456[[#This Row],[Jira Story Points]],Tabelle132456[[#This Row],[Carry-over]])-Tabelle132456[[#This Row],[SP Completed (COS &amp; SOS)]]),0)</f>
        <v>0</v>
      </c>
    </row>
    <row r="648" spans="1:17" s="46" customFormat="1" ht="13.5" customHeight="1">
      <c r="A648" s="117"/>
      <c r="B648" s="47"/>
      <c r="C648" s="76"/>
      <c r="D648" s="76"/>
      <c r="E648" s="76"/>
      <c r="F648" s="104"/>
      <c r="G648" s="76"/>
      <c r="H648" s="83"/>
      <c r="I648" s="103"/>
      <c r="J648" s="76"/>
      <c r="K648" s="104"/>
      <c r="L648" s="104"/>
      <c r="M648" s="174">
        <f>IF(Tabelle132456[[#This Row],[Pulled after Start]]="",MIN(Tabelle132456[[#This Row],[Jira Story Points]],Tabelle132456[[#This Row],[Carry-over]]),0)</f>
        <v>0</v>
      </c>
      <c r="N648" s="173">
        <f>MIN(Tabelle132456[[#This Row],[Jira Story Points]],Tabelle132456[[#This Row],[Carry-over]])-Tabelle132456[[#This Row],[SP Initially Planned (COS)]]</f>
        <v>0</v>
      </c>
      <c r="O64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48" s="173">
        <f>IFERROR(IF(Tabelle132456[[#This Row],[Status]]=$I$5,MIN(Tabelle132456[[#This Row],[Jira Story Points]],Tabelle132456[[#This Row],[Carry-over]]),0),0)</f>
        <v>0</v>
      </c>
      <c r="Q648" s="173">
        <f>IFERROR(IF(Tabelle132456[[#This Row],[Status]]=$I$5,0,MIN(Tabelle132456[[#This Row],[Jira Story Points]],Tabelle132456[[#This Row],[Carry-over]])-Tabelle132456[[#This Row],[SP Completed (COS &amp; SOS)]]),0)</f>
        <v>0</v>
      </c>
    </row>
    <row r="649" spans="1:17" s="46" customFormat="1" ht="13.5" customHeight="1">
      <c r="A649" s="117"/>
      <c r="B649" s="47"/>
      <c r="C649" s="76"/>
      <c r="D649" s="76"/>
      <c r="E649" s="76"/>
      <c r="F649" s="104"/>
      <c r="G649" s="76"/>
      <c r="H649" s="83"/>
      <c r="I649" s="103"/>
      <c r="J649" s="76"/>
      <c r="K649" s="104"/>
      <c r="L649" s="104"/>
      <c r="M649" s="174">
        <f>IF(Tabelle132456[[#This Row],[Pulled after Start]]="",MIN(Tabelle132456[[#This Row],[Jira Story Points]],Tabelle132456[[#This Row],[Carry-over]]),0)</f>
        <v>0</v>
      </c>
      <c r="N649" s="173">
        <f>MIN(Tabelle132456[[#This Row],[Jira Story Points]],Tabelle132456[[#This Row],[Carry-over]])-Tabelle132456[[#This Row],[SP Initially Planned (COS)]]</f>
        <v>0</v>
      </c>
      <c r="O64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49" s="173">
        <f>IFERROR(IF(Tabelle132456[[#This Row],[Status]]=$I$5,MIN(Tabelle132456[[#This Row],[Jira Story Points]],Tabelle132456[[#This Row],[Carry-over]]),0),0)</f>
        <v>0</v>
      </c>
      <c r="Q649" s="173">
        <f>IFERROR(IF(Tabelle132456[[#This Row],[Status]]=$I$5,0,MIN(Tabelle132456[[#This Row],[Jira Story Points]],Tabelle132456[[#This Row],[Carry-over]])-Tabelle132456[[#This Row],[SP Completed (COS &amp; SOS)]]),0)</f>
        <v>0</v>
      </c>
    </row>
    <row r="650" spans="1:17" s="46" customFormat="1" ht="13.5" customHeight="1">
      <c r="A650" s="117"/>
      <c r="B650" s="47"/>
      <c r="C650" s="76"/>
      <c r="D650" s="76"/>
      <c r="E650" s="76"/>
      <c r="F650" s="104"/>
      <c r="G650" s="76"/>
      <c r="H650" s="83"/>
      <c r="I650" s="103"/>
      <c r="J650" s="76"/>
      <c r="K650" s="104"/>
      <c r="L650" s="104"/>
      <c r="M650" s="174">
        <f>IF(Tabelle132456[[#This Row],[Pulled after Start]]="",MIN(Tabelle132456[[#This Row],[Jira Story Points]],Tabelle132456[[#This Row],[Carry-over]]),0)</f>
        <v>0</v>
      </c>
      <c r="N650" s="173">
        <f>MIN(Tabelle132456[[#This Row],[Jira Story Points]],Tabelle132456[[#This Row],[Carry-over]])-Tabelle132456[[#This Row],[SP Initially Planned (COS)]]</f>
        <v>0</v>
      </c>
      <c r="O65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50" s="173">
        <f>IFERROR(IF(Tabelle132456[[#This Row],[Status]]=$I$5,MIN(Tabelle132456[[#This Row],[Jira Story Points]],Tabelle132456[[#This Row],[Carry-over]]),0),0)</f>
        <v>0</v>
      </c>
      <c r="Q650" s="173">
        <f>IFERROR(IF(Tabelle132456[[#This Row],[Status]]=$I$5,0,MIN(Tabelle132456[[#This Row],[Jira Story Points]],Tabelle132456[[#This Row],[Carry-over]])-Tabelle132456[[#This Row],[SP Completed (COS &amp; SOS)]]),0)</f>
        <v>0</v>
      </c>
    </row>
    <row r="651" spans="1:17" s="46" customFormat="1" ht="13.5" customHeight="1">
      <c r="A651" s="117"/>
      <c r="B651" s="47"/>
      <c r="C651" s="76"/>
      <c r="D651" s="76"/>
      <c r="E651" s="76"/>
      <c r="F651" s="104"/>
      <c r="G651" s="76"/>
      <c r="H651" s="83"/>
      <c r="I651" s="103"/>
      <c r="J651" s="76"/>
      <c r="K651" s="104"/>
      <c r="L651" s="104"/>
      <c r="M651" s="174">
        <f>IF(Tabelle132456[[#This Row],[Pulled after Start]]="",MIN(Tabelle132456[[#This Row],[Jira Story Points]],Tabelle132456[[#This Row],[Carry-over]]),0)</f>
        <v>0</v>
      </c>
      <c r="N651" s="173">
        <f>MIN(Tabelle132456[[#This Row],[Jira Story Points]],Tabelle132456[[#This Row],[Carry-over]])-Tabelle132456[[#This Row],[SP Initially Planned (COS)]]</f>
        <v>0</v>
      </c>
      <c r="O65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51" s="173">
        <f>IFERROR(IF(Tabelle132456[[#This Row],[Status]]=$I$5,MIN(Tabelle132456[[#This Row],[Jira Story Points]],Tabelle132456[[#This Row],[Carry-over]]),0),0)</f>
        <v>0</v>
      </c>
      <c r="Q651" s="173">
        <f>IFERROR(IF(Tabelle132456[[#This Row],[Status]]=$I$5,0,MIN(Tabelle132456[[#This Row],[Jira Story Points]],Tabelle132456[[#This Row],[Carry-over]])-Tabelle132456[[#This Row],[SP Completed (COS &amp; SOS)]]),0)</f>
        <v>0</v>
      </c>
    </row>
    <row r="652" spans="1:17" s="46" customFormat="1" ht="13.5" customHeight="1">
      <c r="A652" s="117"/>
      <c r="B652" s="47"/>
      <c r="C652" s="76"/>
      <c r="D652" s="76"/>
      <c r="E652" s="76"/>
      <c r="F652" s="104"/>
      <c r="G652" s="76"/>
      <c r="H652" s="83"/>
      <c r="I652" s="103"/>
      <c r="J652" s="76"/>
      <c r="K652" s="104"/>
      <c r="L652" s="104"/>
      <c r="M652" s="174">
        <f>IF(Tabelle132456[[#This Row],[Pulled after Start]]="",MIN(Tabelle132456[[#This Row],[Jira Story Points]],Tabelle132456[[#This Row],[Carry-over]]),0)</f>
        <v>0</v>
      </c>
      <c r="N652" s="173">
        <f>MIN(Tabelle132456[[#This Row],[Jira Story Points]],Tabelle132456[[#This Row],[Carry-over]])-Tabelle132456[[#This Row],[SP Initially Planned (COS)]]</f>
        <v>0</v>
      </c>
      <c r="O65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52" s="173">
        <f>IFERROR(IF(Tabelle132456[[#This Row],[Status]]=$I$5,MIN(Tabelle132456[[#This Row],[Jira Story Points]],Tabelle132456[[#This Row],[Carry-over]]),0),0)</f>
        <v>0</v>
      </c>
      <c r="Q652" s="173">
        <f>IFERROR(IF(Tabelle132456[[#This Row],[Status]]=$I$5,0,MIN(Tabelle132456[[#This Row],[Jira Story Points]],Tabelle132456[[#This Row],[Carry-over]])-Tabelle132456[[#This Row],[SP Completed (COS &amp; SOS)]]),0)</f>
        <v>0</v>
      </c>
    </row>
    <row r="653" spans="1:17" s="46" customFormat="1" ht="13.5" customHeight="1">
      <c r="A653" s="117"/>
      <c r="B653" s="47"/>
      <c r="C653" s="76"/>
      <c r="D653" s="76"/>
      <c r="E653" s="76"/>
      <c r="F653" s="104"/>
      <c r="G653" s="76"/>
      <c r="H653" s="83"/>
      <c r="I653" s="103"/>
      <c r="J653" s="76"/>
      <c r="K653" s="104"/>
      <c r="L653" s="104"/>
      <c r="M653" s="174">
        <f>IF(Tabelle132456[[#This Row],[Pulled after Start]]="",MIN(Tabelle132456[[#This Row],[Jira Story Points]],Tabelle132456[[#This Row],[Carry-over]]),0)</f>
        <v>0</v>
      </c>
      <c r="N653" s="173">
        <f>MIN(Tabelle132456[[#This Row],[Jira Story Points]],Tabelle132456[[#This Row],[Carry-over]])-Tabelle132456[[#This Row],[SP Initially Planned (COS)]]</f>
        <v>0</v>
      </c>
      <c r="O65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53" s="173">
        <f>IFERROR(IF(Tabelle132456[[#This Row],[Status]]=$I$5,MIN(Tabelle132456[[#This Row],[Jira Story Points]],Tabelle132456[[#This Row],[Carry-over]]),0),0)</f>
        <v>0</v>
      </c>
      <c r="Q653" s="173">
        <f>IFERROR(IF(Tabelle132456[[#This Row],[Status]]=$I$5,0,MIN(Tabelle132456[[#This Row],[Jira Story Points]],Tabelle132456[[#This Row],[Carry-over]])-Tabelle132456[[#This Row],[SP Completed (COS &amp; SOS)]]),0)</f>
        <v>0</v>
      </c>
    </row>
    <row r="654" spans="1:17" s="46" customFormat="1" ht="13.5" customHeight="1">
      <c r="A654" s="117"/>
      <c r="B654" s="47"/>
      <c r="C654" s="76"/>
      <c r="D654" s="76"/>
      <c r="E654" s="76"/>
      <c r="F654" s="104"/>
      <c r="G654" s="76"/>
      <c r="H654" s="83"/>
      <c r="I654" s="103"/>
      <c r="J654" s="76"/>
      <c r="K654" s="104"/>
      <c r="L654" s="104"/>
      <c r="M654" s="174">
        <f>IF(Tabelle132456[[#This Row],[Pulled after Start]]="",MIN(Tabelle132456[[#This Row],[Jira Story Points]],Tabelle132456[[#This Row],[Carry-over]]),0)</f>
        <v>0</v>
      </c>
      <c r="N654" s="173">
        <f>MIN(Tabelle132456[[#This Row],[Jira Story Points]],Tabelle132456[[#This Row],[Carry-over]])-Tabelle132456[[#This Row],[SP Initially Planned (COS)]]</f>
        <v>0</v>
      </c>
      <c r="O65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54" s="173">
        <f>IFERROR(IF(Tabelle132456[[#This Row],[Status]]=$I$5,MIN(Tabelle132456[[#This Row],[Jira Story Points]],Tabelle132456[[#This Row],[Carry-over]]),0),0)</f>
        <v>0</v>
      </c>
      <c r="Q654" s="173">
        <f>IFERROR(IF(Tabelle132456[[#This Row],[Status]]=$I$5,0,MIN(Tabelle132456[[#This Row],[Jira Story Points]],Tabelle132456[[#This Row],[Carry-over]])-Tabelle132456[[#This Row],[SP Completed (COS &amp; SOS)]]),0)</f>
        <v>0</v>
      </c>
    </row>
    <row r="655" spans="1:17" s="46" customFormat="1" ht="13.5" customHeight="1">
      <c r="A655" s="117"/>
      <c r="B655" s="47"/>
      <c r="C655" s="76"/>
      <c r="D655" s="76"/>
      <c r="E655" s="76"/>
      <c r="F655" s="104"/>
      <c r="G655" s="76"/>
      <c r="H655" s="83"/>
      <c r="I655" s="103"/>
      <c r="J655" s="76"/>
      <c r="K655" s="104"/>
      <c r="L655" s="104"/>
      <c r="M655" s="174">
        <f>IF(Tabelle132456[[#This Row],[Pulled after Start]]="",MIN(Tabelle132456[[#This Row],[Jira Story Points]],Tabelle132456[[#This Row],[Carry-over]]),0)</f>
        <v>0</v>
      </c>
      <c r="N655" s="173">
        <f>MIN(Tabelle132456[[#This Row],[Jira Story Points]],Tabelle132456[[#This Row],[Carry-over]])-Tabelle132456[[#This Row],[SP Initially Planned (COS)]]</f>
        <v>0</v>
      </c>
      <c r="O65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55" s="173">
        <f>IFERROR(IF(Tabelle132456[[#This Row],[Status]]=$I$5,MIN(Tabelle132456[[#This Row],[Jira Story Points]],Tabelle132456[[#This Row],[Carry-over]]),0),0)</f>
        <v>0</v>
      </c>
      <c r="Q655" s="173">
        <f>IFERROR(IF(Tabelle132456[[#This Row],[Status]]=$I$5,0,MIN(Tabelle132456[[#This Row],[Jira Story Points]],Tabelle132456[[#This Row],[Carry-over]])-Tabelle132456[[#This Row],[SP Completed (COS &amp; SOS)]]),0)</f>
        <v>0</v>
      </c>
    </row>
    <row r="656" spans="1:17" s="46" customFormat="1" ht="13.5" customHeight="1">
      <c r="A656" s="117"/>
      <c r="B656" s="47"/>
      <c r="C656" s="76"/>
      <c r="D656" s="76"/>
      <c r="E656" s="76"/>
      <c r="F656" s="104"/>
      <c r="G656" s="76"/>
      <c r="H656" s="83"/>
      <c r="I656" s="103"/>
      <c r="J656" s="76"/>
      <c r="K656" s="104"/>
      <c r="L656" s="104"/>
      <c r="M656" s="174">
        <f>IF(Tabelle132456[[#This Row],[Pulled after Start]]="",MIN(Tabelle132456[[#This Row],[Jira Story Points]],Tabelle132456[[#This Row],[Carry-over]]),0)</f>
        <v>0</v>
      </c>
      <c r="N656" s="173">
        <f>MIN(Tabelle132456[[#This Row],[Jira Story Points]],Tabelle132456[[#This Row],[Carry-over]])-Tabelle132456[[#This Row],[SP Initially Planned (COS)]]</f>
        <v>0</v>
      </c>
      <c r="O65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56" s="173">
        <f>IFERROR(IF(Tabelle132456[[#This Row],[Status]]=$I$5,MIN(Tabelle132456[[#This Row],[Jira Story Points]],Tabelle132456[[#This Row],[Carry-over]]),0),0)</f>
        <v>0</v>
      </c>
      <c r="Q656" s="173">
        <f>IFERROR(IF(Tabelle132456[[#This Row],[Status]]=$I$5,0,MIN(Tabelle132456[[#This Row],[Jira Story Points]],Tabelle132456[[#This Row],[Carry-over]])-Tabelle132456[[#This Row],[SP Completed (COS &amp; SOS)]]),0)</f>
        <v>0</v>
      </c>
    </row>
    <row r="657" spans="1:17" s="46" customFormat="1" ht="13.5" customHeight="1">
      <c r="A657" s="117"/>
      <c r="B657" s="47"/>
      <c r="C657" s="76"/>
      <c r="D657" s="76"/>
      <c r="E657" s="76"/>
      <c r="F657" s="104"/>
      <c r="G657" s="76"/>
      <c r="H657" s="83"/>
      <c r="I657" s="103"/>
      <c r="J657" s="76"/>
      <c r="K657" s="104"/>
      <c r="L657" s="104"/>
      <c r="M657" s="174">
        <f>IF(Tabelle132456[[#This Row],[Pulled after Start]]="",MIN(Tabelle132456[[#This Row],[Jira Story Points]],Tabelle132456[[#This Row],[Carry-over]]),0)</f>
        <v>0</v>
      </c>
      <c r="N657" s="173">
        <f>MIN(Tabelle132456[[#This Row],[Jira Story Points]],Tabelle132456[[#This Row],[Carry-over]])-Tabelle132456[[#This Row],[SP Initially Planned (COS)]]</f>
        <v>0</v>
      </c>
      <c r="O65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57" s="173">
        <f>IFERROR(IF(Tabelle132456[[#This Row],[Status]]=$I$5,MIN(Tabelle132456[[#This Row],[Jira Story Points]],Tabelle132456[[#This Row],[Carry-over]]),0),0)</f>
        <v>0</v>
      </c>
      <c r="Q657" s="173">
        <f>IFERROR(IF(Tabelle132456[[#This Row],[Status]]=$I$5,0,MIN(Tabelle132456[[#This Row],[Jira Story Points]],Tabelle132456[[#This Row],[Carry-over]])-Tabelle132456[[#This Row],[SP Completed (COS &amp; SOS)]]),0)</f>
        <v>0</v>
      </c>
    </row>
    <row r="658" spans="1:17" s="46" customFormat="1" ht="13.5" customHeight="1">
      <c r="A658" s="117"/>
      <c r="B658" s="47"/>
      <c r="C658" s="76"/>
      <c r="D658" s="76"/>
      <c r="E658" s="76"/>
      <c r="F658" s="104"/>
      <c r="G658" s="76"/>
      <c r="H658" s="83"/>
      <c r="I658" s="103"/>
      <c r="J658" s="76"/>
      <c r="K658" s="104"/>
      <c r="L658" s="104"/>
      <c r="M658" s="174">
        <f>IF(Tabelle132456[[#This Row],[Pulled after Start]]="",MIN(Tabelle132456[[#This Row],[Jira Story Points]],Tabelle132456[[#This Row],[Carry-over]]),0)</f>
        <v>0</v>
      </c>
      <c r="N658" s="173">
        <f>MIN(Tabelle132456[[#This Row],[Jira Story Points]],Tabelle132456[[#This Row],[Carry-over]])-Tabelle132456[[#This Row],[SP Initially Planned (COS)]]</f>
        <v>0</v>
      </c>
      <c r="O65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58" s="173">
        <f>IFERROR(IF(Tabelle132456[[#This Row],[Status]]=$I$5,MIN(Tabelle132456[[#This Row],[Jira Story Points]],Tabelle132456[[#This Row],[Carry-over]]),0),0)</f>
        <v>0</v>
      </c>
      <c r="Q658" s="173">
        <f>IFERROR(IF(Tabelle132456[[#This Row],[Status]]=$I$5,0,MIN(Tabelle132456[[#This Row],[Jira Story Points]],Tabelle132456[[#This Row],[Carry-over]])-Tabelle132456[[#This Row],[SP Completed (COS &amp; SOS)]]),0)</f>
        <v>0</v>
      </c>
    </row>
    <row r="659" spans="1:17" s="46" customFormat="1" ht="13.5" customHeight="1">
      <c r="A659" s="117"/>
      <c r="B659" s="47"/>
      <c r="C659" s="76"/>
      <c r="D659" s="76"/>
      <c r="E659" s="76"/>
      <c r="F659" s="104"/>
      <c r="G659" s="76"/>
      <c r="H659" s="83"/>
      <c r="I659" s="103"/>
      <c r="J659" s="76"/>
      <c r="K659" s="104"/>
      <c r="L659" s="104"/>
      <c r="M659" s="174">
        <f>IF(Tabelle132456[[#This Row],[Pulled after Start]]="",MIN(Tabelle132456[[#This Row],[Jira Story Points]],Tabelle132456[[#This Row],[Carry-over]]),0)</f>
        <v>0</v>
      </c>
      <c r="N659" s="173">
        <f>MIN(Tabelle132456[[#This Row],[Jira Story Points]],Tabelle132456[[#This Row],[Carry-over]])-Tabelle132456[[#This Row],[SP Initially Planned (COS)]]</f>
        <v>0</v>
      </c>
      <c r="O65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59" s="173">
        <f>IFERROR(IF(Tabelle132456[[#This Row],[Status]]=$I$5,MIN(Tabelle132456[[#This Row],[Jira Story Points]],Tabelle132456[[#This Row],[Carry-over]]),0),0)</f>
        <v>0</v>
      </c>
      <c r="Q659" s="173">
        <f>IFERROR(IF(Tabelle132456[[#This Row],[Status]]=$I$5,0,MIN(Tabelle132456[[#This Row],[Jira Story Points]],Tabelle132456[[#This Row],[Carry-over]])-Tabelle132456[[#This Row],[SP Completed (COS &amp; SOS)]]),0)</f>
        <v>0</v>
      </c>
    </row>
    <row r="660" spans="1:17" s="46" customFormat="1" ht="13.5" customHeight="1">
      <c r="A660" s="117"/>
      <c r="B660" s="47"/>
      <c r="C660" s="76"/>
      <c r="D660" s="76"/>
      <c r="E660" s="76"/>
      <c r="F660" s="104"/>
      <c r="G660" s="76"/>
      <c r="H660" s="83"/>
      <c r="I660" s="103"/>
      <c r="J660" s="76"/>
      <c r="K660" s="104"/>
      <c r="L660" s="104"/>
      <c r="M660" s="174">
        <f>IF(Tabelle132456[[#This Row],[Pulled after Start]]="",MIN(Tabelle132456[[#This Row],[Jira Story Points]],Tabelle132456[[#This Row],[Carry-over]]),0)</f>
        <v>0</v>
      </c>
      <c r="N660" s="173">
        <f>MIN(Tabelle132456[[#This Row],[Jira Story Points]],Tabelle132456[[#This Row],[Carry-over]])-Tabelle132456[[#This Row],[SP Initially Planned (COS)]]</f>
        <v>0</v>
      </c>
      <c r="O66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60" s="173">
        <f>IFERROR(IF(Tabelle132456[[#This Row],[Status]]=$I$5,MIN(Tabelle132456[[#This Row],[Jira Story Points]],Tabelle132456[[#This Row],[Carry-over]]),0),0)</f>
        <v>0</v>
      </c>
      <c r="Q660" s="173">
        <f>IFERROR(IF(Tabelle132456[[#This Row],[Status]]=$I$5,0,MIN(Tabelle132456[[#This Row],[Jira Story Points]],Tabelle132456[[#This Row],[Carry-over]])-Tabelle132456[[#This Row],[SP Completed (COS &amp; SOS)]]),0)</f>
        <v>0</v>
      </c>
    </row>
    <row r="661" spans="1:17" s="46" customFormat="1" ht="13.5" customHeight="1">
      <c r="A661" s="117"/>
      <c r="B661" s="47"/>
      <c r="C661" s="76"/>
      <c r="D661" s="76"/>
      <c r="E661" s="76"/>
      <c r="F661" s="104"/>
      <c r="G661" s="76"/>
      <c r="H661" s="83"/>
      <c r="I661" s="103"/>
      <c r="J661" s="76"/>
      <c r="K661" s="104"/>
      <c r="L661" s="104"/>
      <c r="M661" s="174">
        <f>IF(Tabelle132456[[#This Row],[Pulled after Start]]="",MIN(Tabelle132456[[#This Row],[Jira Story Points]],Tabelle132456[[#This Row],[Carry-over]]),0)</f>
        <v>0</v>
      </c>
      <c r="N661" s="173">
        <f>MIN(Tabelle132456[[#This Row],[Jira Story Points]],Tabelle132456[[#This Row],[Carry-over]])-Tabelle132456[[#This Row],[SP Initially Planned (COS)]]</f>
        <v>0</v>
      </c>
      <c r="O66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61" s="173">
        <f>IFERROR(IF(Tabelle132456[[#This Row],[Status]]=$I$5,MIN(Tabelle132456[[#This Row],[Jira Story Points]],Tabelle132456[[#This Row],[Carry-over]]),0),0)</f>
        <v>0</v>
      </c>
      <c r="Q661" s="173">
        <f>IFERROR(IF(Tabelle132456[[#This Row],[Status]]=$I$5,0,MIN(Tabelle132456[[#This Row],[Jira Story Points]],Tabelle132456[[#This Row],[Carry-over]])-Tabelle132456[[#This Row],[SP Completed (COS &amp; SOS)]]),0)</f>
        <v>0</v>
      </c>
    </row>
    <row r="662" spans="1:17" s="46" customFormat="1" ht="13.5" customHeight="1">
      <c r="A662" s="117"/>
      <c r="B662" s="47"/>
      <c r="C662" s="76"/>
      <c r="D662" s="76"/>
      <c r="E662" s="76"/>
      <c r="F662" s="104"/>
      <c r="G662" s="76"/>
      <c r="H662" s="83"/>
      <c r="I662" s="103"/>
      <c r="J662" s="76"/>
      <c r="K662" s="104"/>
      <c r="L662" s="104"/>
      <c r="M662" s="174">
        <f>IF(Tabelle132456[[#This Row],[Pulled after Start]]="",MIN(Tabelle132456[[#This Row],[Jira Story Points]],Tabelle132456[[#This Row],[Carry-over]]),0)</f>
        <v>0</v>
      </c>
      <c r="N662" s="173">
        <f>MIN(Tabelle132456[[#This Row],[Jira Story Points]],Tabelle132456[[#This Row],[Carry-over]])-Tabelle132456[[#This Row],[SP Initially Planned (COS)]]</f>
        <v>0</v>
      </c>
      <c r="O66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62" s="173">
        <f>IFERROR(IF(Tabelle132456[[#This Row],[Status]]=$I$5,MIN(Tabelle132456[[#This Row],[Jira Story Points]],Tabelle132456[[#This Row],[Carry-over]]),0),0)</f>
        <v>0</v>
      </c>
      <c r="Q662" s="173">
        <f>IFERROR(IF(Tabelle132456[[#This Row],[Status]]=$I$5,0,MIN(Tabelle132456[[#This Row],[Jira Story Points]],Tabelle132456[[#This Row],[Carry-over]])-Tabelle132456[[#This Row],[SP Completed (COS &amp; SOS)]]),0)</f>
        <v>0</v>
      </c>
    </row>
    <row r="663" spans="1:17" s="46" customFormat="1" ht="13.5" customHeight="1">
      <c r="A663" s="117"/>
      <c r="B663" s="47"/>
      <c r="C663" s="76"/>
      <c r="D663" s="76"/>
      <c r="E663" s="76"/>
      <c r="F663" s="104"/>
      <c r="G663" s="76"/>
      <c r="H663" s="83"/>
      <c r="I663" s="103"/>
      <c r="J663" s="76"/>
      <c r="K663" s="104"/>
      <c r="L663" s="104"/>
      <c r="M663" s="174">
        <f>IF(Tabelle132456[[#This Row],[Pulled after Start]]="",MIN(Tabelle132456[[#This Row],[Jira Story Points]],Tabelle132456[[#This Row],[Carry-over]]),0)</f>
        <v>0</v>
      </c>
      <c r="N663" s="173">
        <f>MIN(Tabelle132456[[#This Row],[Jira Story Points]],Tabelle132456[[#This Row],[Carry-over]])-Tabelle132456[[#This Row],[SP Initially Planned (COS)]]</f>
        <v>0</v>
      </c>
      <c r="O66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63" s="173">
        <f>IFERROR(IF(Tabelle132456[[#This Row],[Status]]=$I$5,MIN(Tabelle132456[[#This Row],[Jira Story Points]],Tabelle132456[[#This Row],[Carry-over]]),0),0)</f>
        <v>0</v>
      </c>
      <c r="Q663" s="173">
        <f>IFERROR(IF(Tabelle132456[[#This Row],[Status]]=$I$5,0,MIN(Tabelle132456[[#This Row],[Jira Story Points]],Tabelle132456[[#This Row],[Carry-over]])-Tabelle132456[[#This Row],[SP Completed (COS &amp; SOS)]]),0)</f>
        <v>0</v>
      </c>
    </row>
    <row r="664" spans="1:17" s="46" customFormat="1" ht="13.5" customHeight="1">
      <c r="A664" s="117"/>
      <c r="B664" s="47"/>
      <c r="C664" s="76"/>
      <c r="D664" s="76"/>
      <c r="E664" s="76"/>
      <c r="F664" s="104"/>
      <c r="G664" s="76"/>
      <c r="H664" s="83"/>
      <c r="I664" s="103"/>
      <c r="J664" s="76"/>
      <c r="K664" s="104"/>
      <c r="L664" s="104"/>
      <c r="M664" s="174">
        <f>IF(Tabelle132456[[#This Row],[Pulled after Start]]="",MIN(Tabelle132456[[#This Row],[Jira Story Points]],Tabelle132456[[#This Row],[Carry-over]]),0)</f>
        <v>0</v>
      </c>
      <c r="N664" s="173">
        <f>MIN(Tabelle132456[[#This Row],[Jira Story Points]],Tabelle132456[[#This Row],[Carry-over]])-Tabelle132456[[#This Row],[SP Initially Planned (COS)]]</f>
        <v>0</v>
      </c>
      <c r="O66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64" s="173">
        <f>IFERROR(IF(Tabelle132456[[#This Row],[Status]]=$I$5,MIN(Tabelle132456[[#This Row],[Jira Story Points]],Tabelle132456[[#This Row],[Carry-over]]),0),0)</f>
        <v>0</v>
      </c>
      <c r="Q664" s="173">
        <f>IFERROR(IF(Tabelle132456[[#This Row],[Status]]=$I$5,0,MIN(Tabelle132456[[#This Row],[Jira Story Points]],Tabelle132456[[#This Row],[Carry-over]])-Tabelle132456[[#This Row],[SP Completed (COS &amp; SOS)]]),0)</f>
        <v>0</v>
      </c>
    </row>
    <row r="665" spans="1:17" s="46" customFormat="1" ht="13.5" customHeight="1">
      <c r="A665" s="117"/>
      <c r="B665" s="47"/>
      <c r="C665" s="76"/>
      <c r="D665" s="76"/>
      <c r="E665" s="76"/>
      <c r="F665" s="104"/>
      <c r="G665" s="76"/>
      <c r="H665" s="83"/>
      <c r="I665" s="103"/>
      <c r="J665" s="76"/>
      <c r="K665" s="104"/>
      <c r="L665" s="104"/>
      <c r="M665" s="174">
        <f>IF(Tabelle132456[[#This Row],[Pulled after Start]]="",MIN(Tabelle132456[[#This Row],[Jira Story Points]],Tabelle132456[[#This Row],[Carry-over]]),0)</f>
        <v>0</v>
      </c>
      <c r="N665" s="173">
        <f>MIN(Tabelle132456[[#This Row],[Jira Story Points]],Tabelle132456[[#This Row],[Carry-over]])-Tabelle132456[[#This Row],[SP Initially Planned (COS)]]</f>
        <v>0</v>
      </c>
      <c r="O66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65" s="173">
        <f>IFERROR(IF(Tabelle132456[[#This Row],[Status]]=$I$5,MIN(Tabelle132456[[#This Row],[Jira Story Points]],Tabelle132456[[#This Row],[Carry-over]]),0),0)</f>
        <v>0</v>
      </c>
      <c r="Q665" s="173">
        <f>IFERROR(IF(Tabelle132456[[#This Row],[Status]]=$I$5,0,MIN(Tabelle132456[[#This Row],[Jira Story Points]],Tabelle132456[[#This Row],[Carry-over]])-Tabelle132456[[#This Row],[SP Completed (COS &amp; SOS)]]),0)</f>
        <v>0</v>
      </c>
    </row>
    <row r="666" spans="1:17" s="46" customFormat="1" ht="13.5" customHeight="1">
      <c r="A666" s="117"/>
      <c r="B666" s="47"/>
      <c r="C666" s="76"/>
      <c r="D666" s="76"/>
      <c r="E666" s="76"/>
      <c r="F666" s="104"/>
      <c r="G666" s="76"/>
      <c r="H666" s="83"/>
      <c r="I666" s="103"/>
      <c r="J666" s="76"/>
      <c r="K666" s="104"/>
      <c r="L666" s="104"/>
      <c r="M666" s="174">
        <f>IF(Tabelle132456[[#This Row],[Pulled after Start]]="",MIN(Tabelle132456[[#This Row],[Jira Story Points]],Tabelle132456[[#This Row],[Carry-over]]),0)</f>
        <v>0</v>
      </c>
      <c r="N666" s="173">
        <f>MIN(Tabelle132456[[#This Row],[Jira Story Points]],Tabelle132456[[#This Row],[Carry-over]])-Tabelle132456[[#This Row],[SP Initially Planned (COS)]]</f>
        <v>0</v>
      </c>
      <c r="O66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66" s="173">
        <f>IFERROR(IF(Tabelle132456[[#This Row],[Status]]=$I$5,MIN(Tabelle132456[[#This Row],[Jira Story Points]],Tabelle132456[[#This Row],[Carry-over]]),0),0)</f>
        <v>0</v>
      </c>
      <c r="Q666" s="173">
        <f>IFERROR(IF(Tabelle132456[[#This Row],[Status]]=$I$5,0,MIN(Tabelle132456[[#This Row],[Jira Story Points]],Tabelle132456[[#This Row],[Carry-over]])-Tabelle132456[[#This Row],[SP Completed (COS &amp; SOS)]]),0)</f>
        <v>0</v>
      </c>
    </row>
    <row r="667" spans="1:17" s="46" customFormat="1" ht="13.5" customHeight="1">
      <c r="A667" s="117"/>
      <c r="B667" s="47"/>
      <c r="C667" s="76"/>
      <c r="D667" s="76"/>
      <c r="E667" s="76"/>
      <c r="F667" s="104"/>
      <c r="G667" s="76"/>
      <c r="H667" s="83"/>
      <c r="I667" s="103"/>
      <c r="J667" s="76"/>
      <c r="K667" s="104"/>
      <c r="L667" s="104"/>
      <c r="M667" s="174">
        <f>IF(Tabelle132456[[#This Row],[Pulled after Start]]="",MIN(Tabelle132456[[#This Row],[Jira Story Points]],Tabelle132456[[#This Row],[Carry-over]]),0)</f>
        <v>0</v>
      </c>
      <c r="N667" s="173">
        <f>MIN(Tabelle132456[[#This Row],[Jira Story Points]],Tabelle132456[[#This Row],[Carry-over]])-Tabelle132456[[#This Row],[SP Initially Planned (COS)]]</f>
        <v>0</v>
      </c>
      <c r="O66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67" s="173">
        <f>IFERROR(IF(Tabelle132456[[#This Row],[Status]]=$I$5,MIN(Tabelle132456[[#This Row],[Jira Story Points]],Tabelle132456[[#This Row],[Carry-over]]),0),0)</f>
        <v>0</v>
      </c>
      <c r="Q667" s="173">
        <f>IFERROR(IF(Tabelle132456[[#This Row],[Status]]=$I$5,0,MIN(Tabelle132456[[#This Row],[Jira Story Points]],Tabelle132456[[#This Row],[Carry-over]])-Tabelle132456[[#This Row],[SP Completed (COS &amp; SOS)]]),0)</f>
        <v>0</v>
      </c>
    </row>
    <row r="668" spans="1:17" s="46" customFormat="1" ht="13.5" customHeight="1">
      <c r="A668" s="117"/>
      <c r="B668" s="47"/>
      <c r="C668" s="76"/>
      <c r="D668" s="76"/>
      <c r="E668" s="76"/>
      <c r="F668" s="104"/>
      <c r="G668" s="76"/>
      <c r="H668" s="83"/>
      <c r="I668" s="103"/>
      <c r="J668" s="76"/>
      <c r="K668" s="104"/>
      <c r="L668" s="104"/>
      <c r="M668" s="174">
        <f>IF(Tabelle132456[[#This Row],[Pulled after Start]]="",MIN(Tabelle132456[[#This Row],[Jira Story Points]],Tabelle132456[[#This Row],[Carry-over]]),0)</f>
        <v>0</v>
      </c>
      <c r="N668" s="173">
        <f>MIN(Tabelle132456[[#This Row],[Jira Story Points]],Tabelle132456[[#This Row],[Carry-over]])-Tabelle132456[[#This Row],[SP Initially Planned (COS)]]</f>
        <v>0</v>
      </c>
      <c r="O66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68" s="173">
        <f>IFERROR(IF(Tabelle132456[[#This Row],[Status]]=$I$5,MIN(Tabelle132456[[#This Row],[Jira Story Points]],Tabelle132456[[#This Row],[Carry-over]]),0),0)</f>
        <v>0</v>
      </c>
      <c r="Q668" s="173">
        <f>IFERROR(IF(Tabelle132456[[#This Row],[Status]]=$I$5,0,MIN(Tabelle132456[[#This Row],[Jira Story Points]],Tabelle132456[[#This Row],[Carry-over]])-Tabelle132456[[#This Row],[SP Completed (COS &amp; SOS)]]),0)</f>
        <v>0</v>
      </c>
    </row>
    <row r="669" spans="1:17" s="46" customFormat="1" ht="13.5" customHeight="1">
      <c r="A669" s="117"/>
      <c r="B669" s="47"/>
      <c r="C669" s="76"/>
      <c r="D669" s="76"/>
      <c r="E669" s="76"/>
      <c r="F669" s="104"/>
      <c r="G669" s="76"/>
      <c r="H669" s="83"/>
      <c r="I669" s="103"/>
      <c r="J669" s="76"/>
      <c r="K669" s="104"/>
      <c r="L669" s="104"/>
      <c r="M669" s="174">
        <f>IF(Tabelle132456[[#This Row],[Pulled after Start]]="",MIN(Tabelle132456[[#This Row],[Jira Story Points]],Tabelle132456[[#This Row],[Carry-over]]),0)</f>
        <v>0</v>
      </c>
      <c r="N669" s="173">
        <f>MIN(Tabelle132456[[#This Row],[Jira Story Points]],Tabelle132456[[#This Row],[Carry-over]])-Tabelle132456[[#This Row],[SP Initially Planned (COS)]]</f>
        <v>0</v>
      </c>
      <c r="O66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69" s="173">
        <f>IFERROR(IF(Tabelle132456[[#This Row],[Status]]=$I$5,MIN(Tabelle132456[[#This Row],[Jira Story Points]],Tabelle132456[[#This Row],[Carry-over]]),0),0)</f>
        <v>0</v>
      </c>
      <c r="Q669" s="173">
        <f>IFERROR(IF(Tabelle132456[[#This Row],[Status]]=$I$5,0,MIN(Tabelle132456[[#This Row],[Jira Story Points]],Tabelle132456[[#This Row],[Carry-over]])-Tabelle132456[[#This Row],[SP Completed (COS &amp; SOS)]]),0)</f>
        <v>0</v>
      </c>
    </row>
    <row r="670" spans="1:17" s="46" customFormat="1" ht="13.5" customHeight="1">
      <c r="A670" s="117"/>
      <c r="B670" s="47"/>
      <c r="C670" s="76"/>
      <c r="D670" s="76"/>
      <c r="E670" s="76"/>
      <c r="F670" s="104"/>
      <c r="G670" s="76"/>
      <c r="H670" s="83"/>
      <c r="I670" s="103"/>
      <c r="J670" s="76"/>
      <c r="K670" s="104"/>
      <c r="L670" s="104"/>
      <c r="M670" s="174">
        <f>IF(Tabelle132456[[#This Row],[Pulled after Start]]="",MIN(Tabelle132456[[#This Row],[Jira Story Points]],Tabelle132456[[#This Row],[Carry-over]]),0)</f>
        <v>0</v>
      </c>
      <c r="N670" s="173">
        <f>MIN(Tabelle132456[[#This Row],[Jira Story Points]],Tabelle132456[[#This Row],[Carry-over]])-Tabelle132456[[#This Row],[SP Initially Planned (COS)]]</f>
        <v>0</v>
      </c>
      <c r="O67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70" s="173">
        <f>IFERROR(IF(Tabelle132456[[#This Row],[Status]]=$I$5,MIN(Tabelle132456[[#This Row],[Jira Story Points]],Tabelle132456[[#This Row],[Carry-over]]),0),0)</f>
        <v>0</v>
      </c>
      <c r="Q670" s="173">
        <f>IFERROR(IF(Tabelle132456[[#This Row],[Status]]=$I$5,0,MIN(Tabelle132456[[#This Row],[Jira Story Points]],Tabelle132456[[#This Row],[Carry-over]])-Tabelle132456[[#This Row],[SP Completed (COS &amp; SOS)]]),0)</f>
        <v>0</v>
      </c>
    </row>
    <row r="671" spans="1:17" s="46" customFormat="1" ht="13.5" customHeight="1">
      <c r="A671" s="117"/>
      <c r="B671" s="47"/>
      <c r="C671" s="76"/>
      <c r="D671" s="76"/>
      <c r="E671" s="76"/>
      <c r="F671" s="104"/>
      <c r="G671" s="76"/>
      <c r="H671" s="83"/>
      <c r="I671" s="103"/>
      <c r="J671" s="76"/>
      <c r="K671" s="104"/>
      <c r="L671" s="104"/>
      <c r="M671" s="174">
        <f>IF(Tabelle132456[[#This Row],[Pulled after Start]]="",MIN(Tabelle132456[[#This Row],[Jira Story Points]],Tabelle132456[[#This Row],[Carry-over]]),0)</f>
        <v>0</v>
      </c>
      <c r="N671" s="173">
        <f>MIN(Tabelle132456[[#This Row],[Jira Story Points]],Tabelle132456[[#This Row],[Carry-over]])-Tabelle132456[[#This Row],[SP Initially Planned (COS)]]</f>
        <v>0</v>
      </c>
      <c r="O67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71" s="173">
        <f>IFERROR(IF(Tabelle132456[[#This Row],[Status]]=$I$5,MIN(Tabelle132456[[#This Row],[Jira Story Points]],Tabelle132456[[#This Row],[Carry-over]]),0),0)</f>
        <v>0</v>
      </c>
      <c r="Q671" s="173">
        <f>IFERROR(IF(Tabelle132456[[#This Row],[Status]]=$I$5,0,MIN(Tabelle132456[[#This Row],[Jira Story Points]],Tabelle132456[[#This Row],[Carry-over]])-Tabelle132456[[#This Row],[SP Completed (COS &amp; SOS)]]),0)</f>
        <v>0</v>
      </c>
    </row>
    <row r="672" spans="1:17" s="46" customFormat="1" ht="13.5" customHeight="1">
      <c r="A672" s="117"/>
      <c r="B672" s="47"/>
      <c r="C672" s="76"/>
      <c r="D672" s="76"/>
      <c r="E672" s="76"/>
      <c r="F672" s="104"/>
      <c r="G672" s="76"/>
      <c r="H672" s="83"/>
      <c r="I672" s="103"/>
      <c r="J672" s="76"/>
      <c r="K672" s="104"/>
      <c r="L672" s="104"/>
      <c r="M672" s="174">
        <f>IF(Tabelle132456[[#This Row],[Pulled after Start]]="",MIN(Tabelle132456[[#This Row],[Jira Story Points]],Tabelle132456[[#This Row],[Carry-over]]),0)</f>
        <v>0</v>
      </c>
      <c r="N672" s="173">
        <f>MIN(Tabelle132456[[#This Row],[Jira Story Points]],Tabelle132456[[#This Row],[Carry-over]])-Tabelle132456[[#This Row],[SP Initially Planned (COS)]]</f>
        <v>0</v>
      </c>
      <c r="O67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72" s="173">
        <f>IFERROR(IF(Tabelle132456[[#This Row],[Status]]=$I$5,MIN(Tabelle132456[[#This Row],[Jira Story Points]],Tabelle132456[[#This Row],[Carry-over]]),0),0)</f>
        <v>0</v>
      </c>
      <c r="Q672" s="173">
        <f>IFERROR(IF(Tabelle132456[[#This Row],[Status]]=$I$5,0,MIN(Tabelle132456[[#This Row],[Jira Story Points]],Tabelle132456[[#This Row],[Carry-over]])-Tabelle132456[[#This Row],[SP Completed (COS &amp; SOS)]]),0)</f>
        <v>0</v>
      </c>
    </row>
    <row r="673" spans="1:17" s="46" customFormat="1" ht="13.5" customHeight="1">
      <c r="A673" s="117"/>
      <c r="B673" s="47"/>
      <c r="C673" s="76"/>
      <c r="D673" s="76"/>
      <c r="E673" s="76"/>
      <c r="F673" s="104"/>
      <c r="G673" s="76"/>
      <c r="H673" s="83"/>
      <c r="I673" s="103"/>
      <c r="J673" s="76"/>
      <c r="K673" s="104"/>
      <c r="L673" s="104"/>
      <c r="M673" s="174">
        <f>IF(Tabelle132456[[#This Row],[Pulled after Start]]="",MIN(Tabelle132456[[#This Row],[Jira Story Points]],Tabelle132456[[#This Row],[Carry-over]]),0)</f>
        <v>0</v>
      </c>
      <c r="N673" s="173">
        <f>MIN(Tabelle132456[[#This Row],[Jira Story Points]],Tabelle132456[[#This Row],[Carry-over]])-Tabelle132456[[#This Row],[SP Initially Planned (COS)]]</f>
        <v>0</v>
      </c>
      <c r="O67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73" s="173">
        <f>IFERROR(IF(Tabelle132456[[#This Row],[Status]]=$I$5,MIN(Tabelle132456[[#This Row],[Jira Story Points]],Tabelle132456[[#This Row],[Carry-over]]),0),0)</f>
        <v>0</v>
      </c>
      <c r="Q673" s="173">
        <f>IFERROR(IF(Tabelle132456[[#This Row],[Status]]=$I$5,0,MIN(Tabelle132456[[#This Row],[Jira Story Points]],Tabelle132456[[#This Row],[Carry-over]])-Tabelle132456[[#This Row],[SP Completed (COS &amp; SOS)]]),0)</f>
        <v>0</v>
      </c>
    </row>
    <row r="674" spans="1:17" s="46" customFormat="1" ht="13.5" customHeight="1">
      <c r="A674" s="117"/>
      <c r="B674" s="47"/>
      <c r="C674" s="76"/>
      <c r="D674" s="76"/>
      <c r="E674" s="76"/>
      <c r="F674" s="104"/>
      <c r="G674" s="76"/>
      <c r="H674" s="83"/>
      <c r="I674" s="103"/>
      <c r="J674" s="76"/>
      <c r="K674" s="104"/>
      <c r="L674" s="104"/>
      <c r="M674" s="174">
        <f>IF(Tabelle132456[[#This Row],[Pulled after Start]]="",MIN(Tabelle132456[[#This Row],[Jira Story Points]],Tabelle132456[[#This Row],[Carry-over]]),0)</f>
        <v>0</v>
      </c>
      <c r="N674" s="173">
        <f>MIN(Tabelle132456[[#This Row],[Jira Story Points]],Tabelle132456[[#This Row],[Carry-over]])-Tabelle132456[[#This Row],[SP Initially Planned (COS)]]</f>
        <v>0</v>
      </c>
      <c r="O67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74" s="173">
        <f>IFERROR(IF(Tabelle132456[[#This Row],[Status]]=$I$5,MIN(Tabelle132456[[#This Row],[Jira Story Points]],Tabelle132456[[#This Row],[Carry-over]]),0),0)</f>
        <v>0</v>
      </c>
      <c r="Q674" s="173">
        <f>IFERROR(IF(Tabelle132456[[#This Row],[Status]]=$I$5,0,MIN(Tabelle132456[[#This Row],[Jira Story Points]],Tabelle132456[[#This Row],[Carry-over]])-Tabelle132456[[#This Row],[SP Completed (COS &amp; SOS)]]),0)</f>
        <v>0</v>
      </c>
    </row>
    <row r="675" spans="1:17" s="46" customFormat="1" ht="13.5" customHeight="1">
      <c r="A675" s="117"/>
      <c r="B675" s="47"/>
      <c r="C675" s="76"/>
      <c r="D675" s="76"/>
      <c r="E675" s="76"/>
      <c r="F675" s="104"/>
      <c r="G675" s="76"/>
      <c r="H675" s="83"/>
      <c r="I675" s="103"/>
      <c r="J675" s="76"/>
      <c r="K675" s="104"/>
      <c r="L675" s="104"/>
      <c r="M675" s="174">
        <f>IF(Tabelle132456[[#This Row],[Pulled after Start]]="",MIN(Tabelle132456[[#This Row],[Jira Story Points]],Tabelle132456[[#This Row],[Carry-over]]),0)</f>
        <v>0</v>
      </c>
      <c r="N675" s="173">
        <f>MIN(Tabelle132456[[#This Row],[Jira Story Points]],Tabelle132456[[#This Row],[Carry-over]])-Tabelle132456[[#This Row],[SP Initially Planned (COS)]]</f>
        <v>0</v>
      </c>
      <c r="O67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75" s="173">
        <f>IFERROR(IF(Tabelle132456[[#This Row],[Status]]=$I$5,MIN(Tabelle132456[[#This Row],[Jira Story Points]],Tabelle132456[[#This Row],[Carry-over]]),0),0)</f>
        <v>0</v>
      </c>
      <c r="Q675" s="173">
        <f>IFERROR(IF(Tabelle132456[[#This Row],[Status]]=$I$5,0,MIN(Tabelle132456[[#This Row],[Jira Story Points]],Tabelle132456[[#This Row],[Carry-over]])-Tabelle132456[[#This Row],[SP Completed (COS &amp; SOS)]]),0)</f>
        <v>0</v>
      </c>
    </row>
    <row r="676" spans="1:17" s="46" customFormat="1" ht="13.5" customHeight="1">
      <c r="A676" s="117"/>
      <c r="B676" s="47"/>
      <c r="C676" s="76"/>
      <c r="D676" s="76"/>
      <c r="E676" s="76"/>
      <c r="F676" s="104"/>
      <c r="G676" s="76"/>
      <c r="H676" s="83"/>
      <c r="I676" s="103"/>
      <c r="J676" s="76"/>
      <c r="K676" s="104"/>
      <c r="L676" s="104"/>
      <c r="M676" s="174">
        <f>IF(Tabelle132456[[#This Row],[Pulled after Start]]="",MIN(Tabelle132456[[#This Row],[Jira Story Points]],Tabelle132456[[#This Row],[Carry-over]]),0)</f>
        <v>0</v>
      </c>
      <c r="N676" s="173">
        <f>MIN(Tabelle132456[[#This Row],[Jira Story Points]],Tabelle132456[[#This Row],[Carry-over]])-Tabelle132456[[#This Row],[SP Initially Planned (COS)]]</f>
        <v>0</v>
      </c>
      <c r="O67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76" s="173">
        <f>IFERROR(IF(Tabelle132456[[#This Row],[Status]]=$I$5,MIN(Tabelle132456[[#This Row],[Jira Story Points]],Tabelle132456[[#This Row],[Carry-over]]),0),0)</f>
        <v>0</v>
      </c>
      <c r="Q676" s="173">
        <f>IFERROR(IF(Tabelle132456[[#This Row],[Status]]=$I$5,0,MIN(Tabelle132456[[#This Row],[Jira Story Points]],Tabelle132456[[#This Row],[Carry-over]])-Tabelle132456[[#This Row],[SP Completed (COS &amp; SOS)]]),0)</f>
        <v>0</v>
      </c>
    </row>
    <row r="677" spans="1:17" s="46" customFormat="1" ht="13.5" customHeight="1">
      <c r="A677" s="117"/>
      <c r="B677" s="47"/>
      <c r="C677" s="76"/>
      <c r="D677" s="76"/>
      <c r="E677" s="76"/>
      <c r="F677" s="104"/>
      <c r="G677" s="76"/>
      <c r="H677" s="83"/>
      <c r="I677" s="103"/>
      <c r="J677" s="76"/>
      <c r="K677" s="104"/>
      <c r="L677" s="104"/>
      <c r="M677" s="174">
        <f>IF(Tabelle132456[[#This Row],[Pulled after Start]]="",MIN(Tabelle132456[[#This Row],[Jira Story Points]],Tabelle132456[[#This Row],[Carry-over]]),0)</f>
        <v>0</v>
      </c>
      <c r="N677" s="173">
        <f>MIN(Tabelle132456[[#This Row],[Jira Story Points]],Tabelle132456[[#This Row],[Carry-over]])-Tabelle132456[[#This Row],[SP Initially Planned (COS)]]</f>
        <v>0</v>
      </c>
      <c r="O67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77" s="173">
        <f>IFERROR(IF(Tabelle132456[[#This Row],[Status]]=$I$5,MIN(Tabelle132456[[#This Row],[Jira Story Points]],Tabelle132456[[#This Row],[Carry-over]]),0),0)</f>
        <v>0</v>
      </c>
      <c r="Q677" s="173">
        <f>IFERROR(IF(Tabelle132456[[#This Row],[Status]]=$I$5,0,MIN(Tabelle132456[[#This Row],[Jira Story Points]],Tabelle132456[[#This Row],[Carry-over]])-Tabelle132456[[#This Row],[SP Completed (COS &amp; SOS)]]),0)</f>
        <v>0</v>
      </c>
    </row>
    <row r="678" spans="1:17" s="46" customFormat="1" ht="13.5" customHeight="1">
      <c r="A678" s="117"/>
      <c r="B678" s="47"/>
      <c r="C678" s="76"/>
      <c r="D678" s="76"/>
      <c r="E678" s="76"/>
      <c r="F678" s="104"/>
      <c r="G678" s="76"/>
      <c r="H678" s="83"/>
      <c r="I678" s="103"/>
      <c r="J678" s="76"/>
      <c r="K678" s="104"/>
      <c r="L678" s="104"/>
      <c r="M678" s="174">
        <f>IF(Tabelle132456[[#This Row],[Pulled after Start]]="",MIN(Tabelle132456[[#This Row],[Jira Story Points]],Tabelle132456[[#This Row],[Carry-over]]),0)</f>
        <v>0</v>
      </c>
      <c r="N678" s="173">
        <f>MIN(Tabelle132456[[#This Row],[Jira Story Points]],Tabelle132456[[#This Row],[Carry-over]])-Tabelle132456[[#This Row],[SP Initially Planned (COS)]]</f>
        <v>0</v>
      </c>
      <c r="O67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78" s="173">
        <f>IFERROR(IF(Tabelle132456[[#This Row],[Status]]=$I$5,MIN(Tabelle132456[[#This Row],[Jira Story Points]],Tabelle132456[[#This Row],[Carry-over]]),0),0)</f>
        <v>0</v>
      </c>
      <c r="Q678" s="173">
        <f>IFERROR(IF(Tabelle132456[[#This Row],[Status]]=$I$5,0,MIN(Tabelle132456[[#This Row],[Jira Story Points]],Tabelle132456[[#This Row],[Carry-over]])-Tabelle132456[[#This Row],[SP Completed (COS &amp; SOS)]]),0)</f>
        <v>0</v>
      </c>
    </row>
    <row r="679" spans="1:17" s="46" customFormat="1" ht="13.5" customHeight="1">
      <c r="A679" s="117"/>
      <c r="B679" s="47"/>
      <c r="C679" s="76"/>
      <c r="D679" s="76"/>
      <c r="E679" s="76"/>
      <c r="F679" s="104"/>
      <c r="G679" s="76"/>
      <c r="H679" s="83"/>
      <c r="I679" s="103"/>
      <c r="J679" s="76"/>
      <c r="K679" s="104"/>
      <c r="L679" s="104"/>
      <c r="M679" s="174">
        <f>IF(Tabelle132456[[#This Row],[Pulled after Start]]="",MIN(Tabelle132456[[#This Row],[Jira Story Points]],Tabelle132456[[#This Row],[Carry-over]]),0)</f>
        <v>0</v>
      </c>
      <c r="N679" s="173">
        <f>MIN(Tabelle132456[[#This Row],[Jira Story Points]],Tabelle132456[[#This Row],[Carry-over]])-Tabelle132456[[#This Row],[SP Initially Planned (COS)]]</f>
        <v>0</v>
      </c>
      <c r="O67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79" s="173">
        <f>IFERROR(IF(Tabelle132456[[#This Row],[Status]]=$I$5,MIN(Tabelle132456[[#This Row],[Jira Story Points]],Tabelle132456[[#This Row],[Carry-over]]),0),0)</f>
        <v>0</v>
      </c>
      <c r="Q679" s="173">
        <f>IFERROR(IF(Tabelle132456[[#This Row],[Status]]=$I$5,0,MIN(Tabelle132456[[#This Row],[Jira Story Points]],Tabelle132456[[#This Row],[Carry-over]])-Tabelle132456[[#This Row],[SP Completed (COS &amp; SOS)]]),0)</f>
        <v>0</v>
      </c>
    </row>
    <row r="680" spans="1:17" s="46" customFormat="1" ht="13.5" customHeight="1">
      <c r="A680" s="117"/>
      <c r="B680" s="47"/>
      <c r="C680" s="76"/>
      <c r="D680" s="76"/>
      <c r="E680" s="76"/>
      <c r="F680" s="104"/>
      <c r="G680" s="76"/>
      <c r="H680" s="83"/>
      <c r="I680" s="103"/>
      <c r="J680" s="76"/>
      <c r="K680" s="104"/>
      <c r="L680" s="104"/>
      <c r="M680" s="174">
        <f>IF(Tabelle132456[[#This Row],[Pulled after Start]]="",MIN(Tabelle132456[[#This Row],[Jira Story Points]],Tabelle132456[[#This Row],[Carry-over]]),0)</f>
        <v>0</v>
      </c>
      <c r="N680" s="173">
        <f>MIN(Tabelle132456[[#This Row],[Jira Story Points]],Tabelle132456[[#This Row],[Carry-over]])-Tabelle132456[[#This Row],[SP Initially Planned (COS)]]</f>
        <v>0</v>
      </c>
      <c r="O68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80" s="173">
        <f>IFERROR(IF(Tabelle132456[[#This Row],[Status]]=$I$5,MIN(Tabelle132456[[#This Row],[Jira Story Points]],Tabelle132456[[#This Row],[Carry-over]]),0),0)</f>
        <v>0</v>
      </c>
      <c r="Q680" s="173">
        <f>IFERROR(IF(Tabelle132456[[#This Row],[Status]]=$I$5,0,MIN(Tabelle132456[[#This Row],[Jira Story Points]],Tabelle132456[[#This Row],[Carry-over]])-Tabelle132456[[#This Row],[SP Completed (COS &amp; SOS)]]),0)</f>
        <v>0</v>
      </c>
    </row>
    <row r="681" spans="1:17" s="46" customFormat="1" ht="13.5" customHeight="1">
      <c r="A681" s="117"/>
      <c r="B681" s="47"/>
      <c r="C681" s="76"/>
      <c r="D681" s="76"/>
      <c r="E681" s="76"/>
      <c r="F681" s="104"/>
      <c r="G681" s="76"/>
      <c r="H681" s="83"/>
      <c r="I681" s="103"/>
      <c r="J681" s="76"/>
      <c r="K681" s="104"/>
      <c r="L681" s="104"/>
      <c r="M681" s="174">
        <f>IF(Tabelle132456[[#This Row],[Pulled after Start]]="",MIN(Tabelle132456[[#This Row],[Jira Story Points]],Tabelle132456[[#This Row],[Carry-over]]),0)</f>
        <v>0</v>
      </c>
      <c r="N681" s="173">
        <f>MIN(Tabelle132456[[#This Row],[Jira Story Points]],Tabelle132456[[#This Row],[Carry-over]])-Tabelle132456[[#This Row],[SP Initially Planned (COS)]]</f>
        <v>0</v>
      </c>
      <c r="O68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81" s="173">
        <f>IFERROR(IF(Tabelle132456[[#This Row],[Status]]=$I$5,MIN(Tabelle132456[[#This Row],[Jira Story Points]],Tabelle132456[[#This Row],[Carry-over]]),0),0)</f>
        <v>0</v>
      </c>
      <c r="Q681" s="173">
        <f>IFERROR(IF(Tabelle132456[[#This Row],[Status]]=$I$5,0,MIN(Tabelle132456[[#This Row],[Jira Story Points]],Tabelle132456[[#This Row],[Carry-over]])-Tabelle132456[[#This Row],[SP Completed (COS &amp; SOS)]]),0)</f>
        <v>0</v>
      </c>
    </row>
    <row r="682" spans="1:17" s="46" customFormat="1" ht="13.5" customHeight="1">
      <c r="A682" s="117"/>
      <c r="B682" s="47"/>
      <c r="C682" s="76"/>
      <c r="D682" s="76"/>
      <c r="E682" s="76"/>
      <c r="F682" s="104"/>
      <c r="G682" s="76"/>
      <c r="H682" s="83"/>
      <c r="I682" s="103"/>
      <c r="J682" s="76"/>
      <c r="K682" s="104"/>
      <c r="L682" s="104"/>
      <c r="M682" s="174">
        <f>IF(Tabelle132456[[#This Row],[Pulled after Start]]="",MIN(Tabelle132456[[#This Row],[Jira Story Points]],Tabelle132456[[#This Row],[Carry-over]]),0)</f>
        <v>0</v>
      </c>
      <c r="N682" s="173">
        <f>MIN(Tabelle132456[[#This Row],[Jira Story Points]],Tabelle132456[[#This Row],[Carry-over]])-Tabelle132456[[#This Row],[SP Initially Planned (COS)]]</f>
        <v>0</v>
      </c>
      <c r="O68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82" s="173">
        <f>IFERROR(IF(Tabelle132456[[#This Row],[Status]]=$I$5,MIN(Tabelle132456[[#This Row],[Jira Story Points]],Tabelle132456[[#This Row],[Carry-over]]),0),0)</f>
        <v>0</v>
      </c>
      <c r="Q682" s="173">
        <f>IFERROR(IF(Tabelle132456[[#This Row],[Status]]=$I$5,0,MIN(Tabelle132456[[#This Row],[Jira Story Points]],Tabelle132456[[#This Row],[Carry-over]])-Tabelle132456[[#This Row],[SP Completed (COS &amp; SOS)]]),0)</f>
        <v>0</v>
      </c>
    </row>
    <row r="683" spans="1:17" s="46" customFormat="1" ht="13.5" customHeight="1">
      <c r="A683" s="117"/>
      <c r="B683" s="47"/>
      <c r="C683" s="76"/>
      <c r="D683" s="76"/>
      <c r="E683" s="76"/>
      <c r="F683" s="104"/>
      <c r="G683" s="76"/>
      <c r="H683" s="83"/>
      <c r="I683" s="103"/>
      <c r="J683" s="76"/>
      <c r="K683" s="104"/>
      <c r="L683" s="104"/>
      <c r="M683" s="174">
        <f>IF(Tabelle132456[[#This Row],[Pulled after Start]]="",MIN(Tabelle132456[[#This Row],[Jira Story Points]],Tabelle132456[[#This Row],[Carry-over]]),0)</f>
        <v>0</v>
      </c>
      <c r="N683" s="173">
        <f>MIN(Tabelle132456[[#This Row],[Jira Story Points]],Tabelle132456[[#This Row],[Carry-over]])-Tabelle132456[[#This Row],[SP Initially Planned (COS)]]</f>
        <v>0</v>
      </c>
      <c r="O68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83" s="173">
        <f>IFERROR(IF(Tabelle132456[[#This Row],[Status]]=$I$5,MIN(Tabelle132456[[#This Row],[Jira Story Points]],Tabelle132456[[#This Row],[Carry-over]]),0),0)</f>
        <v>0</v>
      </c>
      <c r="Q683" s="173">
        <f>IFERROR(IF(Tabelle132456[[#This Row],[Status]]=$I$5,0,MIN(Tabelle132456[[#This Row],[Jira Story Points]],Tabelle132456[[#This Row],[Carry-over]])-Tabelle132456[[#This Row],[SP Completed (COS &amp; SOS)]]),0)</f>
        <v>0</v>
      </c>
    </row>
    <row r="684" spans="1:17" s="46" customFormat="1" ht="13.5" customHeight="1">
      <c r="A684" s="117"/>
      <c r="B684" s="47"/>
      <c r="C684" s="76"/>
      <c r="D684" s="76"/>
      <c r="E684" s="76"/>
      <c r="F684" s="104"/>
      <c r="G684" s="76"/>
      <c r="H684" s="83"/>
      <c r="I684" s="103"/>
      <c r="J684" s="76"/>
      <c r="K684" s="104"/>
      <c r="L684" s="104"/>
      <c r="M684" s="174">
        <f>IF(Tabelle132456[[#This Row],[Pulled after Start]]="",MIN(Tabelle132456[[#This Row],[Jira Story Points]],Tabelle132456[[#This Row],[Carry-over]]),0)</f>
        <v>0</v>
      </c>
      <c r="N684" s="173">
        <f>MIN(Tabelle132456[[#This Row],[Jira Story Points]],Tabelle132456[[#This Row],[Carry-over]])-Tabelle132456[[#This Row],[SP Initially Planned (COS)]]</f>
        <v>0</v>
      </c>
      <c r="O68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84" s="173">
        <f>IFERROR(IF(Tabelle132456[[#This Row],[Status]]=$I$5,MIN(Tabelle132456[[#This Row],[Jira Story Points]],Tabelle132456[[#This Row],[Carry-over]]),0),0)</f>
        <v>0</v>
      </c>
      <c r="Q684" s="173">
        <f>IFERROR(IF(Tabelle132456[[#This Row],[Status]]=$I$5,0,MIN(Tabelle132456[[#This Row],[Jira Story Points]],Tabelle132456[[#This Row],[Carry-over]])-Tabelle132456[[#This Row],[SP Completed (COS &amp; SOS)]]),0)</f>
        <v>0</v>
      </c>
    </row>
    <row r="685" spans="1:17" s="46" customFormat="1" ht="13.5" customHeight="1">
      <c r="A685" s="117"/>
      <c r="B685" s="47"/>
      <c r="C685" s="76"/>
      <c r="D685" s="76"/>
      <c r="E685" s="76"/>
      <c r="F685" s="104"/>
      <c r="G685" s="76"/>
      <c r="H685" s="83"/>
      <c r="I685" s="103"/>
      <c r="J685" s="76"/>
      <c r="K685" s="104"/>
      <c r="L685" s="104"/>
      <c r="M685" s="174">
        <f>IF(Tabelle132456[[#This Row],[Pulled after Start]]="",MIN(Tabelle132456[[#This Row],[Jira Story Points]],Tabelle132456[[#This Row],[Carry-over]]),0)</f>
        <v>0</v>
      </c>
      <c r="N685" s="173">
        <f>MIN(Tabelle132456[[#This Row],[Jira Story Points]],Tabelle132456[[#This Row],[Carry-over]])-Tabelle132456[[#This Row],[SP Initially Planned (COS)]]</f>
        <v>0</v>
      </c>
      <c r="O68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85" s="173">
        <f>IFERROR(IF(Tabelle132456[[#This Row],[Status]]=$I$5,MIN(Tabelle132456[[#This Row],[Jira Story Points]],Tabelle132456[[#This Row],[Carry-over]]),0),0)</f>
        <v>0</v>
      </c>
      <c r="Q685" s="173">
        <f>IFERROR(IF(Tabelle132456[[#This Row],[Status]]=$I$5,0,MIN(Tabelle132456[[#This Row],[Jira Story Points]],Tabelle132456[[#This Row],[Carry-over]])-Tabelle132456[[#This Row],[SP Completed (COS &amp; SOS)]]),0)</f>
        <v>0</v>
      </c>
    </row>
    <row r="686" spans="1:17" s="46" customFormat="1" ht="13.5" customHeight="1">
      <c r="A686" s="117"/>
      <c r="B686" s="47"/>
      <c r="C686" s="76"/>
      <c r="D686" s="76"/>
      <c r="E686" s="76"/>
      <c r="F686" s="104"/>
      <c r="G686" s="76"/>
      <c r="H686" s="83"/>
      <c r="I686" s="103"/>
      <c r="J686" s="76"/>
      <c r="K686" s="104"/>
      <c r="L686" s="104"/>
      <c r="M686" s="174">
        <f>IF(Tabelle132456[[#This Row],[Pulled after Start]]="",MIN(Tabelle132456[[#This Row],[Jira Story Points]],Tabelle132456[[#This Row],[Carry-over]]),0)</f>
        <v>0</v>
      </c>
      <c r="N686" s="173">
        <f>MIN(Tabelle132456[[#This Row],[Jira Story Points]],Tabelle132456[[#This Row],[Carry-over]])-Tabelle132456[[#This Row],[SP Initially Planned (COS)]]</f>
        <v>0</v>
      </c>
      <c r="O68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86" s="173">
        <f>IFERROR(IF(Tabelle132456[[#This Row],[Status]]=$I$5,MIN(Tabelle132456[[#This Row],[Jira Story Points]],Tabelle132456[[#This Row],[Carry-over]]),0),0)</f>
        <v>0</v>
      </c>
      <c r="Q686" s="173">
        <f>IFERROR(IF(Tabelle132456[[#This Row],[Status]]=$I$5,0,MIN(Tabelle132456[[#This Row],[Jira Story Points]],Tabelle132456[[#This Row],[Carry-over]])-Tabelle132456[[#This Row],[SP Completed (COS &amp; SOS)]]),0)</f>
        <v>0</v>
      </c>
    </row>
    <row r="687" spans="1:17" s="46" customFormat="1" ht="13.5" customHeight="1">
      <c r="A687" s="117"/>
      <c r="B687" s="47"/>
      <c r="C687" s="76"/>
      <c r="D687" s="76"/>
      <c r="E687" s="76"/>
      <c r="F687" s="104"/>
      <c r="G687" s="76"/>
      <c r="H687" s="83"/>
      <c r="I687" s="103"/>
      <c r="J687" s="76"/>
      <c r="K687" s="104"/>
      <c r="L687" s="104"/>
      <c r="M687" s="174">
        <f>IF(Tabelle132456[[#This Row],[Pulled after Start]]="",MIN(Tabelle132456[[#This Row],[Jira Story Points]],Tabelle132456[[#This Row],[Carry-over]]),0)</f>
        <v>0</v>
      </c>
      <c r="N687" s="173">
        <f>MIN(Tabelle132456[[#This Row],[Jira Story Points]],Tabelle132456[[#This Row],[Carry-over]])-Tabelle132456[[#This Row],[SP Initially Planned (COS)]]</f>
        <v>0</v>
      </c>
      <c r="O68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87" s="173">
        <f>IFERROR(IF(Tabelle132456[[#This Row],[Status]]=$I$5,MIN(Tabelle132456[[#This Row],[Jira Story Points]],Tabelle132456[[#This Row],[Carry-over]]),0),0)</f>
        <v>0</v>
      </c>
      <c r="Q687" s="173">
        <f>IFERROR(IF(Tabelle132456[[#This Row],[Status]]=$I$5,0,MIN(Tabelle132456[[#This Row],[Jira Story Points]],Tabelle132456[[#This Row],[Carry-over]])-Tabelle132456[[#This Row],[SP Completed (COS &amp; SOS)]]),0)</f>
        <v>0</v>
      </c>
    </row>
    <row r="688" spans="1:17" s="46" customFormat="1" ht="13.5" customHeight="1">
      <c r="A688" s="117"/>
      <c r="B688" s="47"/>
      <c r="C688" s="76"/>
      <c r="D688" s="76"/>
      <c r="E688" s="76"/>
      <c r="F688" s="104"/>
      <c r="G688" s="76"/>
      <c r="H688" s="83"/>
      <c r="I688" s="103"/>
      <c r="J688" s="76"/>
      <c r="K688" s="104"/>
      <c r="L688" s="104"/>
      <c r="M688" s="174">
        <f>IF(Tabelle132456[[#This Row],[Pulled after Start]]="",MIN(Tabelle132456[[#This Row],[Jira Story Points]],Tabelle132456[[#This Row],[Carry-over]]),0)</f>
        <v>0</v>
      </c>
      <c r="N688" s="173">
        <f>MIN(Tabelle132456[[#This Row],[Jira Story Points]],Tabelle132456[[#This Row],[Carry-over]])-Tabelle132456[[#This Row],[SP Initially Planned (COS)]]</f>
        <v>0</v>
      </c>
      <c r="O68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88" s="173">
        <f>IFERROR(IF(Tabelle132456[[#This Row],[Status]]=$I$5,MIN(Tabelle132456[[#This Row],[Jira Story Points]],Tabelle132456[[#This Row],[Carry-over]]),0),0)</f>
        <v>0</v>
      </c>
      <c r="Q688" s="173">
        <f>IFERROR(IF(Tabelle132456[[#This Row],[Status]]=$I$5,0,MIN(Tabelle132456[[#This Row],[Jira Story Points]],Tabelle132456[[#This Row],[Carry-over]])-Tabelle132456[[#This Row],[SP Completed (COS &amp; SOS)]]),0)</f>
        <v>0</v>
      </c>
    </row>
    <row r="689" spans="1:17" s="46" customFormat="1" ht="13.5" customHeight="1">
      <c r="A689" s="117"/>
      <c r="B689" s="47"/>
      <c r="C689" s="76"/>
      <c r="D689" s="76"/>
      <c r="E689" s="76"/>
      <c r="F689" s="104"/>
      <c r="G689" s="76"/>
      <c r="H689" s="83"/>
      <c r="I689" s="103"/>
      <c r="J689" s="76"/>
      <c r="K689" s="104"/>
      <c r="L689" s="104"/>
      <c r="M689" s="174">
        <f>IF(Tabelle132456[[#This Row],[Pulled after Start]]="",MIN(Tabelle132456[[#This Row],[Jira Story Points]],Tabelle132456[[#This Row],[Carry-over]]),0)</f>
        <v>0</v>
      </c>
      <c r="N689" s="173">
        <f>MIN(Tabelle132456[[#This Row],[Jira Story Points]],Tabelle132456[[#This Row],[Carry-over]])-Tabelle132456[[#This Row],[SP Initially Planned (COS)]]</f>
        <v>0</v>
      </c>
      <c r="O68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89" s="173">
        <f>IFERROR(IF(Tabelle132456[[#This Row],[Status]]=$I$5,MIN(Tabelle132456[[#This Row],[Jira Story Points]],Tabelle132456[[#This Row],[Carry-over]]),0),0)</f>
        <v>0</v>
      </c>
      <c r="Q689" s="173">
        <f>IFERROR(IF(Tabelle132456[[#This Row],[Status]]=$I$5,0,MIN(Tabelle132456[[#This Row],[Jira Story Points]],Tabelle132456[[#This Row],[Carry-over]])-Tabelle132456[[#This Row],[SP Completed (COS &amp; SOS)]]),0)</f>
        <v>0</v>
      </c>
    </row>
    <row r="690" spans="1:17" s="46" customFormat="1" ht="13.5" customHeight="1">
      <c r="A690" s="117"/>
      <c r="B690" s="47"/>
      <c r="C690" s="76"/>
      <c r="D690" s="76"/>
      <c r="E690" s="76"/>
      <c r="F690" s="104"/>
      <c r="G690" s="76"/>
      <c r="H690" s="83"/>
      <c r="I690" s="103"/>
      <c r="J690" s="76"/>
      <c r="K690" s="104"/>
      <c r="L690" s="104"/>
      <c r="M690" s="174">
        <f>IF(Tabelle132456[[#This Row],[Pulled after Start]]="",MIN(Tabelle132456[[#This Row],[Jira Story Points]],Tabelle132456[[#This Row],[Carry-over]]),0)</f>
        <v>0</v>
      </c>
      <c r="N690" s="173">
        <f>MIN(Tabelle132456[[#This Row],[Jira Story Points]],Tabelle132456[[#This Row],[Carry-over]])-Tabelle132456[[#This Row],[SP Initially Planned (COS)]]</f>
        <v>0</v>
      </c>
      <c r="O69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90" s="173">
        <f>IFERROR(IF(Tabelle132456[[#This Row],[Status]]=$I$5,MIN(Tabelle132456[[#This Row],[Jira Story Points]],Tabelle132456[[#This Row],[Carry-over]]),0),0)</f>
        <v>0</v>
      </c>
      <c r="Q690" s="173">
        <f>IFERROR(IF(Tabelle132456[[#This Row],[Status]]=$I$5,0,MIN(Tabelle132456[[#This Row],[Jira Story Points]],Tabelle132456[[#This Row],[Carry-over]])-Tabelle132456[[#This Row],[SP Completed (COS &amp; SOS)]]),0)</f>
        <v>0</v>
      </c>
    </row>
    <row r="691" spans="1:17" s="46" customFormat="1" ht="13.5" customHeight="1">
      <c r="A691" s="117"/>
      <c r="B691" s="47"/>
      <c r="C691" s="76"/>
      <c r="D691" s="76"/>
      <c r="E691" s="76"/>
      <c r="F691" s="104"/>
      <c r="G691" s="76"/>
      <c r="H691" s="83"/>
      <c r="I691" s="103"/>
      <c r="J691" s="76"/>
      <c r="K691" s="104"/>
      <c r="L691" s="104"/>
      <c r="M691" s="174">
        <f>IF(Tabelle132456[[#This Row],[Pulled after Start]]="",MIN(Tabelle132456[[#This Row],[Jira Story Points]],Tabelle132456[[#This Row],[Carry-over]]),0)</f>
        <v>0</v>
      </c>
      <c r="N691" s="173">
        <f>MIN(Tabelle132456[[#This Row],[Jira Story Points]],Tabelle132456[[#This Row],[Carry-over]])-Tabelle132456[[#This Row],[SP Initially Planned (COS)]]</f>
        <v>0</v>
      </c>
      <c r="O69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91" s="173">
        <f>IFERROR(IF(Tabelle132456[[#This Row],[Status]]=$I$5,MIN(Tabelle132456[[#This Row],[Jira Story Points]],Tabelle132456[[#This Row],[Carry-over]]),0),0)</f>
        <v>0</v>
      </c>
      <c r="Q691" s="173">
        <f>IFERROR(IF(Tabelle132456[[#This Row],[Status]]=$I$5,0,MIN(Tabelle132456[[#This Row],[Jira Story Points]],Tabelle132456[[#This Row],[Carry-over]])-Tabelle132456[[#This Row],[SP Completed (COS &amp; SOS)]]),0)</f>
        <v>0</v>
      </c>
    </row>
    <row r="692" spans="1:17" s="46" customFormat="1" ht="13.5" customHeight="1">
      <c r="A692" s="117"/>
      <c r="B692" s="47"/>
      <c r="C692" s="76"/>
      <c r="D692" s="76"/>
      <c r="E692" s="76"/>
      <c r="F692" s="104"/>
      <c r="G692" s="76"/>
      <c r="H692" s="83"/>
      <c r="I692" s="103"/>
      <c r="J692" s="76"/>
      <c r="K692" s="104"/>
      <c r="L692" s="104"/>
      <c r="M692" s="174">
        <f>IF(Tabelle132456[[#This Row],[Pulled after Start]]="",MIN(Tabelle132456[[#This Row],[Jira Story Points]],Tabelle132456[[#This Row],[Carry-over]]),0)</f>
        <v>0</v>
      </c>
      <c r="N692" s="173">
        <f>MIN(Tabelle132456[[#This Row],[Jira Story Points]],Tabelle132456[[#This Row],[Carry-over]])-Tabelle132456[[#This Row],[SP Initially Planned (COS)]]</f>
        <v>0</v>
      </c>
      <c r="O69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92" s="173">
        <f>IFERROR(IF(Tabelle132456[[#This Row],[Status]]=$I$5,MIN(Tabelle132456[[#This Row],[Jira Story Points]],Tabelle132456[[#This Row],[Carry-over]]),0),0)</f>
        <v>0</v>
      </c>
      <c r="Q692" s="173">
        <f>IFERROR(IF(Tabelle132456[[#This Row],[Status]]=$I$5,0,MIN(Tabelle132456[[#This Row],[Jira Story Points]],Tabelle132456[[#This Row],[Carry-over]])-Tabelle132456[[#This Row],[SP Completed (COS &amp; SOS)]]),0)</f>
        <v>0</v>
      </c>
    </row>
    <row r="693" spans="1:17" s="46" customFormat="1" ht="13.5" customHeight="1">
      <c r="A693" s="117"/>
      <c r="B693" s="47"/>
      <c r="C693" s="76"/>
      <c r="D693" s="76"/>
      <c r="E693" s="76"/>
      <c r="F693" s="104"/>
      <c r="G693" s="76"/>
      <c r="H693" s="83"/>
      <c r="I693" s="103"/>
      <c r="J693" s="76"/>
      <c r="K693" s="104"/>
      <c r="L693" s="104"/>
      <c r="M693" s="174">
        <f>IF(Tabelle132456[[#This Row],[Pulled after Start]]="",MIN(Tabelle132456[[#This Row],[Jira Story Points]],Tabelle132456[[#This Row],[Carry-over]]),0)</f>
        <v>0</v>
      </c>
      <c r="N693" s="173">
        <f>MIN(Tabelle132456[[#This Row],[Jira Story Points]],Tabelle132456[[#This Row],[Carry-over]])-Tabelle132456[[#This Row],[SP Initially Planned (COS)]]</f>
        <v>0</v>
      </c>
      <c r="O69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93" s="173">
        <f>IFERROR(IF(Tabelle132456[[#This Row],[Status]]=$I$5,MIN(Tabelle132456[[#This Row],[Jira Story Points]],Tabelle132456[[#This Row],[Carry-over]]),0),0)</f>
        <v>0</v>
      </c>
      <c r="Q693" s="173">
        <f>IFERROR(IF(Tabelle132456[[#This Row],[Status]]=$I$5,0,MIN(Tabelle132456[[#This Row],[Jira Story Points]],Tabelle132456[[#This Row],[Carry-over]])-Tabelle132456[[#This Row],[SP Completed (COS &amp; SOS)]]),0)</f>
        <v>0</v>
      </c>
    </row>
    <row r="694" spans="1:17" s="46" customFormat="1" ht="13.5" customHeight="1">
      <c r="A694" s="117"/>
      <c r="B694" s="47"/>
      <c r="C694" s="76"/>
      <c r="D694" s="76"/>
      <c r="E694" s="76"/>
      <c r="F694" s="104"/>
      <c r="G694" s="76"/>
      <c r="H694" s="83"/>
      <c r="I694" s="103"/>
      <c r="J694" s="76"/>
      <c r="K694" s="104"/>
      <c r="L694" s="104"/>
      <c r="M694" s="174">
        <f>IF(Tabelle132456[[#This Row],[Pulled after Start]]="",MIN(Tabelle132456[[#This Row],[Jira Story Points]],Tabelle132456[[#This Row],[Carry-over]]),0)</f>
        <v>0</v>
      </c>
      <c r="N694" s="173">
        <f>MIN(Tabelle132456[[#This Row],[Jira Story Points]],Tabelle132456[[#This Row],[Carry-over]])-Tabelle132456[[#This Row],[SP Initially Planned (COS)]]</f>
        <v>0</v>
      </c>
      <c r="O69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94" s="173">
        <f>IFERROR(IF(Tabelle132456[[#This Row],[Status]]=$I$5,MIN(Tabelle132456[[#This Row],[Jira Story Points]],Tabelle132456[[#This Row],[Carry-over]]),0),0)</f>
        <v>0</v>
      </c>
      <c r="Q694" s="173">
        <f>IFERROR(IF(Tabelle132456[[#This Row],[Status]]=$I$5,0,MIN(Tabelle132456[[#This Row],[Jira Story Points]],Tabelle132456[[#This Row],[Carry-over]])-Tabelle132456[[#This Row],[SP Completed (COS &amp; SOS)]]),0)</f>
        <v>0</v>
      </c>
    </row>
    <row r="695" spans="1:17" s="46" customFormat="1" ht="13.5" customHeight="1">
      <c r="A695" s="117"/>
      <c r="B695" s="47"/>
      <c r="C695" s="76"/>
      <c r="D695" s="76"/>
      <c r="E695" s="76"/>
      <c r="F695" s="104"/>
      <c r="G695" s="76"/>
      <c r="H695" s="83"/>
      <c r="I695" s="103"/>
      <c r="J695" s="76"/>
      <c r="K695" s="104"/>
      <c r="L695" s="104"/>
      <c r="M695" s="174">
        <f>IF(Tabelle132456[[#This Row],[Pulled after Start]]="",MIN(Tabelle132456[[#This Row],[Jira Story Points]],Tabelle132456[[#This Row],[Carry-over]]),0)</f>
        <v>0</v>
      </c>
      <c r="N695" s="173">
        <f>MIN(Tabelle132456[[#This Row],[Jira Story Points]],Tabelle132456[[#This Row],[Carry-over]])-Tabelle132456[[#This Row],[SP Initially Planned (COS)]]</f>
        <v>0</v>
      </c>
      <c r="O69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95" s="173">
        <f>IFERROR(IF(Tabelle132456[[#This Row],[Status]]=$I$5,MIN(Tabelle132456[[#This Row],[Jira Story Points]],Tabelle132456[[#This Row],[Carry-over]]),0),0)</f>
        <v>0</v>
      </c>
      <c r="Q695" s="173">
        <f>IFERROR(IF(Tabelle132456[[#This Row],[Status]]=$I$5,0,MIN(Tabelle132456[[#This Row],[Jira Story Points]],Tabelle132456[[#This Row],[Carry-over]])-Tabelle132456[[#This Row],[SP Completed (COS &amp; SOS)]]),0)</f>
        <v>0</v>
      </c>
    </row>
    <row r="696" spans="1:17" s="46" customFormat="1" ht="13.5" customHeight="1">
      <c r="A696" s="117"/>
      <c r="B696" s="47"/>
      <c r="C696" s="76"/>
      <c r="D696" s="76"/>
      <c r="E696" s="76"/>
      <c r="F696" s="104"/>
      <c r="G696" s="76"/>
      <c r="H696" s="83"/>
      <c r="I696" s="103"/>
      <c r="J696" s="76"/>
      <c r="K696" s="104"/>
      <c r="L696" s="104"/>
      <c r="M696" s="174">
        <f>IF(Tabelle132456[[#This Row],[Pulled after Start]]="",MIN(Tabelle132456[[#This Row],[Jira Story Points]],Tabelle132456[[#This Row],[Carry-over]]),0)</f>
        <v>0</v>
      </c>
      <c r="N696" s="173">
        <f>MIN(Tabelle132456[[#This Row],[Jira Story Points]],Tabelle132456[[#This Row],[Carry-over]])-Tabelle132456[[#This Row],[SP Initially Planned (COS)]]</f>
        <v>0</v>
      </c>
      <c r="O69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96" s="173">
        <f>IFERROR(IF(Tabelle132456[[#This Row],[Status]]=$I$5,MIN(Tabelle132456[[#This Row],[Jira Story Points]],Tabelle132456[[#This Row],[Carry-over]]),0),0)</f>
        <v>0</v>
      </c>
      <c r="Q696" s="173">
        <f>IFERROR(IF(Tabelle132456[[#This Row],[Status]]=$I$5,0,MIN(Tabelle132456[[#This Row],[Jira Story Points]],Tabelle132456[[#This Row],[Carry-over]])-Tabelle132456[[#This Row],[SP Completed (COS &amp; SOS)]]),0)</f>
        <v>0</v>
      </c>
    </row>
    <row r="697" spans="1:17" s="46" customFormat="1" ht="13.5" customHeight="1">
      <c r="A697" s="117"/>
      <c r="B697" s="47"/>
      <c r="C697" s="76"/>
      <c r="D697" s="76"/>
      <c r="E697" s="76"/>
      <c r="F697" s="104"/>
      <c r="G697" s="76"/>
      <c r="H697" s="83"/>
      <c r="I697" s="103"/>
      <c r="J697" s="76"/>
      <c r="K697" s="104"/>
      <c r="L697" s="104"/>
      <c r="M697" s="174">
        <f>IF(Tabelle132456[[#This Row],[Pulled after Start]]="",MIN(Tabelle132456[[#This Row],[Jira Story Points]],Tabelle132456[[#This Row],[Carry-over]]),0)</f>
        <v>0</v>
      </c>
      <c r="N697" s="173">
        <f>MIN(Tabelle132456[[#This Row],[Jira Story Points]],Tabelle132456[[#This Row],[Carry-over]])-Tabelle132456[[#This Row],[SP Initially Planned (COS)]]</f>
        <v>0</v>
      </c>
      <c r="O69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97" s="173">
        <f>IFERROR(IF(Tabelle132456[[#This Row],[Status]]=$I$5,MIN(Tabelle132456[[#This Row],[Jira Story Points]],Tabelle132456[[#This Row],[Carry-over]]),0),0)</f>
        <v>0</v>
      </c>
      <c r="Q697" s="173">
        <f>IFERROR(IF(Tabelle132456[[#This Row],[Status]]=$I$5,0,MIN(Tabelle132456[[#This Row],[Jira Story Points]],Tabelle132456[[#This Row],[Carry-over]])-Tabelle132456[[#This Row],[SP Completed (COS &amp; SOS)]]),0)</f>
        <v>0</v>
      </c>
    </row>
    <row r="698" spans="1:17" s="46" customFormat="1" ht="13.5" customHeight="1">
      <c r="A698" s="117"/>
      <c r="B698" s="47"/>
      <c r="C698" s="76"/>
      <c r="D698" s="76"/>
      <c r="E698" s="76"/>
      <c r="F698" s="104"/>
      <c r="G698" s="76"/>
      <c r="H698" s="83"/>
      <c r="I698" s="103"/>
      <c r="J698" s="76"/>
      <c r="K698" s="104"/>
      <c r="L698" s="104"/>
      <c r="M698" s="174">
        <f>IF(Tabelle132456[[#This Row],[Pulled after Start]]="",MIN(Tabelle132456[[#This Row],[Jira Story Points]],Tabelle132456[[#This Row],[Carry-over]]),0)</f>
        <v>0</v>
      </c>
      <c r="N698" s="173">
        <f>MIN(Tabelle132456[[#This Row],[Jira Story Points]],Tabelle132456[[#This Row],[Carry-over]])-Tabelle132456[[#This Row],[SP Initially Planned (COS)]]</f>
        <v>0</v>
      </c>
      <c r="O69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98" s="173">
        <f>IFERROR(IF(Tabelle132456[[#This Row],[Status]]=$I$5,MIN(Tabelle132456[[#This Row],[Jira Story Points]],Tabelle132456[[#This Row],[Carry-over]]),0),0)</f>
        <v>0</v>
      </c>
      <c r="Q698" s="173">
        <f>IFERROR(IF(Tabelle132456[[#This Row],[Status]]=$I$5,0,MIN(Tabelle132456[[#This Row],[Jira Story Points]],Tabelle132456[[#This Row],[Carry-over]])-Tabelle132456[[#This Row],[SP Completed (COS &amp; SOS)]]),0)</f>
        <v>0</v>
      </c>
    </row>
    <row r="699" spans="1:17" s="46" customFormat="1" ht="13.5" customHeight="1">
      <c r="A699" s="117"/>
      <c r="B699" s="47"/>
      <c r="C699" s="76"/>
      <c r="D699" s="76"/>
      <c r="E699" s="76"/>
      <c r="F699" s="104"/>
      <c r="G699" s="76"/>
      <c r="H699" s="83"/>
      <c r="I699" s="103"/>
      <c r="J699" s="76"/>
      <c r="K699" s="104"/>
      <c r="L699" s="104"/>
      <c r="M699" s="174">
        <f>IF(Tabelle132456[[#This Row],[Pulled after Start]]="",MIN(Tabelle132456[[#This Row],[Jira Story Points]],Tabelle132456[[#This Row],[Carry-over]]),0)</f>
        <v>0</v>
      </c>
      <c r="N699" s="173">
        <f>MIN(Tabelle132456[[#This Row],[Jira Story Points]],Tabelle132456[[#This Row],[Carry-over]])-Tabelle132456[[#This Row],[SP Initially Planned (COS)]]</f>
        <v>0</v>
      </c>
      <c r="O69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699" s="173">
        <f>IFERROR(IF(Tabelle132456[[#This Row],[Status]]=$I$5,MIN(Tabelle132456[[#This Row],[Jira Story Points]],Tabelle132456[[#This Row],[Carry-over]]),0),0)</f>
        <v>0</v>
      </c>
      <c r="Q699" s="173">
        <f>IFERROR(IF(Tabelle132456[[#This Row],[Status]]=$I$5,0,MIN(Tabelle132456[[#This Row],[Jira Story Points]],Tabelle132456[[#This Row],[Carry-over]])-Tabelle132456[[#This Row],[SP Completed (COS &amp; SOS)]]),0)</f>
        <v>0</v>
      </c>
    </row>
    <row r="700" spans="1:17" s="46" customFormat="1" ht="13.5" customHeight="1">
      <c r="A700" s="117"/>
      <c r="B700" s="47"/>
      <c r="C700" s="76"/>
      <c r="D700" s="76"/>
      <c r="E700" s="76"/>
      <c r="F700" s="104"/>
      <c r="G700" s="76"/>
      <c r="H700" s="83"/>
      <c r="I700" s="103"/>
      <c r="J700" s="76"/>
      <c r="K700" s="104"/>
      <c r="L700" s="104"/>
      <c r="M700" s="174">
        <f>IF(Tabelle132456[[#This Row],[Pulled after Start]]="",MIN(Tabelle132456[[#This Row],[Jira Story Points]],Tabelle132456[[#This Row],[Carry-over]]),0)</f>
        <v>0</v>
      </c>
      <c r="N700" s="173">
        <f>MIN(Tabelle132456[[#This Row],[Jira Story Points]],Tabelle132456[[#This Row],[Carry-over]])-Tabelle132456[[#This Row],[SP Initially Planned (COS)]]</f>
        <v>0</v>
      </c>
      <c r="O70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00" s="173">
        <f>IFERROR(IF(Tabelle132456[[#This Row],[Status]]=$I$5,MIN(Tabelle132456[[#This Row],[Jira Story Points]],Tabelle132456[[#This Row],[Carry-over]]),0),0)</f>
        <v>0</v>
      </c>
      <c r="Q700" s="173">
        <f>IFERROR(IF(Tabelle132456[[#This Row],[Status]]=$I$5,0,MIN(Tabelle132456[[#This Row],[Jira Story Points]],Tabelle132456[[#This Row],[Carry-over]])-Tabelle132456[[#This Row],[SP Completed (COS &amp; SOS)]]),0)</f>
        <v>0</v>
      </c>
    </row>
    <row r="701" spans="1:17" s="46" customFormat="1" ht="13.5" customHeight="1">
      <c r="A701" s="117"/>
      <c r="B701" s="47"/>
      <c r="C701" s="76"/>
      <c r="D701" s="76"/>
      <c r="E701" s="76"/>
      <c r="F701" s="104"/>
      <c r="G701" s="76"/>
      <c r="H701" s="83"/>
      <c r="I701" s="103"/>
      <c r="J701" s="76"/>
      <c r="K701" s="104"/>
      <c r="L701" s="104"/>
      <c r="M701" s="174">
        <f>IF(Tabelle132456[[#This Row],[Pulled after Start]]="",MIN(Tabelle132456[[#This Row],[Jira Story Points]],Tabelle132456[[#This Row],[Carry-over]]),0)</f>
        <v>0</v>
      </c>
      <c r="N701" s="173">
        <f>MIN(Tabelle132456[[#This Row],[Jira Story Points]],Tabelle132456[[#This Row],[Carry-over]])-Tabelle132456[[#This Row],[SP Initially Planned (COS)]]</f>
        <v>0</v>
      </c>
      <c r="O70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01" s="173">
        <f>IFERROR(IF(Tabelle132456[[#This Row],[Status]]=$I$5,MIN(Tabelle132456[[#This Row],[Jira Story Points]],Tabelle132456[[#This Row],[Carry-over]]),0),0)</f>
        <v>0</v>
      </c>
      <c r="Q701" s="173">
        <f>IFERROR(IF(Tabelle132456[[#This Row],[Status]]=$I$5,0,MIN(Tabelle132456[[#This Row],[Jira Story Points]],Tabelle132456[[#This Row],[Carry-over]])-Tabelle132456[[#This Row],[SP Completed (COS &amp; SOS)]]),0)</f>
        <v>0</v>
      </c>
    </row>
    <row r="702" spans="1:17" s="46" customFormat="1" ht="13.5" customHeight="1">
      <c r="A702" s="117"/>
      <c r="B702" s="47"/>
      <c r="C702" s="76"/>
      <c r="D702" s="76"/>
      <c r="E702" s="76"/>
      <c r="F702" s="104"/>
      <c r="G702" s="76"/>
      <c r="H702" s="83"/>
      <c r="I702" s="103"/>
      <c r="J702" s="76"/>
      <c r="K702" s="104"/>
      <c r="L702" s="104"/>
      <c r="M702" s="174">
        <f>IF(Tabelle132456[[#This Row],[Pulled after Start]]="",MIN(Tabelle132456[[#This Row],[Jira Story Points]],Tabelle132456[[#This Row],[Carry-over]]),0)</f>
        <v>0</v>
      </c>
      <c r="N702" s="173">
        <f>MIN(Tabelle132456[[#This Row],[Jira Story Points]],Tabelle132456[[#This Row],[Carry-over]])-Tabelle132456[[#This Row],[SP Initially Planned (COS)]]</f>
        <v>0</v>
      </c>
      <c r="O70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02" s="173">
        <f>IFERROR(IF(Tabelle132456[[#This Row],[Status]]=$I$5,MIN(Tabelle132456[[#This Row],[Jira Story Points]],Tabelle132456[[#This Row],[Carry-over]]),0),0)</f>
        <v>0</v>
      </c>
      <c r="Q702" s="173">
        <f>IFERROR(IF(Tabelle132456[[#This Row],[Status]]=$I$5,0,MIN(Tabelle132456[[#This Row],[Jira Story Points]],Tabelle132456[[#This Row],[Carry-over]])-Tabelle132456[[#This Row],[SP Completed (COS &amp; SOS)]]),0)</f>
        <v>0</v>
      </c>
    </row>
    <row r="703" spans="1:17" s="46" customFormat="1" ht="13.5" customHeight="1">
      <c r="A703" s="117"/>
      <c r="B703" s="47"/>
      <c r="C703" s="76"/>
      <c r="D703" s="76"/>
      <c r="E703" s="76"/>
      <c r="F703" s="104"/>
      <c r="G703" s="76"/>
      <c r="H703" s="83"/>
      <c r="I703" s="103"/>
      <c r="J703" s="76"/>
      <c r="K703" s="104"/>
      <c r="L703" s="104"/>
      <c r="M703" s="174">
        <f>IF(Tabelle132456[[#This Row],[Pulled after Start]]="",MIN(Tabelle132456[[#This Row],[Jira Story Points]],Tabelle132456[[#This Row],[Carry-over]]),0)</f>
        <v>0</v>
      </c>
      <c r="N703" s="173">
        <f>MIN(Tabelle132456[[#This Row],[Jira Story Points]],Tabelle132456[[#This Row],[Carry-over]])-Tabelle132456[[#This Row],[SP Initially Planned (COS)]]</f>
        <v>0</v>
      </c>
      <c r="O70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03" s="173">
        <f>IFERROR(IF(Tabelle132456[[#This Row],[Status]]=$I$5,MIN(Tabelle132456[[#This Row],[Jira Story Points]],Tabelle132456[[#This Row],[Carry-over]]),0),0)</f>
        <v>0</v>
      </c>
      <c r="Q703" s="173">
        <f>IFERROR(IF(Tabelle132456[[#This Row],[Status]]=$I$5,0,MIN(Tabelle132456[[#This Row],[Jira Story Points]],Tabelle132456[[#This Row],[Carry-over]])-Tabelle132456[[#This Row],[SP Completed (COS &amp; SOS)]]),0)</f>
        <v>0</v>
      </c>
    </row>
    <row r="704" spans="1:17" s="46" customFormat="1" ht="13.5" customHeight="1">
      <c r="A704" s="117"/>
      <c r="B704" s="47"/>
      <c r="C704" s="76"/>
      <c r="D704" s="76"/>
      <c r="E704" s="76"/>
      <c r="F704" s="104"/>
      <c r="G704" s="76"/>
      <c r="H704" s="83"/>
      <c r="I704" s="103"/>
      <c r="J704" s="76"/>
      <c r="K704" s="104"/>
      <c r="L704" s="104"/>
      <c r="M704" s="174">
        <f>IF(Tabelle132456[[#This Row],[Pulled after Start]]="",MIN(Tabelle132456[[#This Row],[Jira Story Points]],Tabelle132456[[#This Row],[Carry-over]]),0)</f>
        <v>0</v>
      </c>
      <c r="N704" s="173">
        <f>MIN(Tabelle132456[[#This Row],[Jira Story Points]],Tabelle132456[[#This Row],[Carry-over]])-Tabelle132456[[#This Row],[SP Initially Planned (COS)]]</f>
        <v>0</v>
      </c>
      <c r="O70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04" s="173">
        <f>IFERROR(IF(Tabelle132456[[#This Row],[Status]]=$I$5,MIN(Tabelle132456[[#This Row],[Jira Story Points]],Tabelle132456[[#This Row],[Carry-over]]),0),0)</f>
        <v>0</v>
      </c>
      <c r="Q704" s="173">
        <f>IFERROR(IF(Tabelle132456[[#This Row],[Status]]=$I$5,0,MIN(Tabelle132456[[#This Row],[Jira Story Points]],Tabelle132456[[#This Row],[Carry-over]])-Tabelle132456[[#This Row],[SP Completed (COS &amp; SOS)]]),0)</f>
        <v>0</v>
      </c>
    </row>
    <row r="705" spans="1:17" s="46" customFormat="1" ht="13.5" customHeight="1">
      <c r="A705" s="117"/>
      <c r="B705" s="47"/>
      <c r="C705" s="76"/>
      <c r="D705" s="76"/>
      <c r="E705" s="76"/>
      <c r="F705" s="104"/>
      <c r="G705" s="76"/>
      <c r="H705" s="83"/>
      <c r="I705" s="103"/>
      <c r="J705" s="76"/>
      <c r="K705" s="104"/>
      <c r="L705" s="104"/>
      <c r="M705" s="174">
        <f>IF(Tabelle132456[[#This Row],[Pulled after Start]]="",MIN(Tabelle132456[[#This Row],[Jira Story Points]],Tabelle132456[[#This Row],[Carry-over]]),0)</f>
        <v>0</v>
      </c>
      <c r="N705" s="173">
        <f>MIN(Tabelle132456[[#This Row],[Jira Story Points]],Tabelle132456[[#This Row],[Carry-over]])-Tabelle132456[[#This Row],[SP Initially Planned (COS)]]</f>
        <v>0</v>
      </c>
      <c r="O70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05" s="173">
        <f>IFERROR(IF(Tabelle132456[[#This Row],[Status]]=$I$5,MIN(Tabelle132456[[#This Row],[Jira Story Points]],Tabelle132456[[#This Row],[Carry-over]]),0),0)</f>
        <v>0</v>
      </c>
      <c r="Q705" s="173">
        <f>IFERROR(IF(Tabelle132456[[#This Row],[Status]]=$I$5,0,MIN(Tabelle132456[[#This Row],[Jira Story Points]],Tabelle132456[[#This Row],[Carry-over]])-Tabelle132456[[#This Row],[SP Completed (COS &amp; SOS)]]),0)</f>
        <v>0</v>
      </c>
    </row>
    <row r="706" spans="1:17" s="46" customFormat="1" ht="13.5" customHeight="1">
      <c r="A706" s="117"/>
      <c r="B706" s="47"/>
      <c r="C706" s="76"/>
      <c r="D706" s="76"/>
      <c r="E706" s="76"/>
      <c r="F706" s="104"/>
      <c r="G706" s="76"/>
      <c r="H706" s="83"/>
      <c r="I706" s="103"/>
      <c r="J706" s="76"/>
      <c r="K706" s="104"/>
      <c r="L706" s="104"/>
      <c r="M706" s="174">
        <f>IF(Tabelle132456[[#This Row],[Pulled after Start]]="",MIN(Tabelle132456[[#This Row],[Jira Story Points]],Tabelle132456[[#This Row],[Carry-over]]),0)</f>
        <v>0</v>
      </c>
      <c r="N706" s="173">
        <f>MIN(Tabelle132456[[#This Row],[Jira Story Points]],Tabelle132456[[#This Row],[Carry-over]])-Tabelle132456[[#This Row],[SP Initially Planned (COS)]]</f>
        <v>0</v>
      </c>
      <c r="O70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06" s="173">
        <f>IFERROR(IF(Tabelle132456[[#This Row],[Status]]=$I$5,MIN(Tabelle132456[[#This Row],[Jira Story Points]],Tabelle132456[[#This Row],[Carry-over]]),0),0)</f>
        <v>0</v>
      </c>
      <c r="Q706" s="173">
        <f>IFERROR(IF(Tabelle132456[[#This Row],[Status]]=$I$5,0,MIN(Tabelle132456[[#This Row],[Jira Story Points]],Tabelle132456[[#This Row],[Carry-over]])-Tabelle132456[[#This Row],[SP Completed (COS &amp; SOS)]]),0)</f>
        <v>0</v>
      </c>
    </row>
    <row r="707" spans="1:17" s="46" customFormat="1" ht="13.5" customHeight="1">
      <c r="A707" s="117"/>
      <c r="B707" s="47"/>
      <c r="C707" s="76"/>
      <c r="D707" s="76"/>
      <c r="E707" s="76"/>
      <c r="F707" s="104"/>
      <c r="G707" s="76"/>
      <c r="H707" s="83"/>
      <c r="I707" s="103"/>
      <c r="J707" s="76"/>
      <c r="K707" s="104"/>
      <c r="L707" s="104"/>
      <c r="M707" s="174">
        <f>IF(Tabelle132456[[#This Row],[Pulled after Start]]="",MIN(Tabelle132456[[#This Row],[Jira Story Points]],Tabelle132456[[#This Row],[Carry-over]]),0)</f>
        <v>0</v>
      </c>
      <c r="N707" s="173">
        <f>MIN(Tabelle132456[[#This Row],[Jira Story Points]],Tabelle132456[[#This Row],[Carry-over]])-Tabelle132456[[#This Row],[SP Initially Planned (COS)]]</f>
        <v>0</v>
      </c>
      <c r="O70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07" s="173">
        <f>IFERROR(IF(Tabelle132456[[#This Row],[Status]]=$I$5,MIN(Tabelle132456[[#This Row],[Jira Story Points]],Tabelle132456[[#This Row],[Carry-over]]),0),0)</f>
        <v>0</v>
      </c>
      <c r="Q707" s="173">
        <f>IFERROR(IF(Tabelle132456[[#This Row],[Status]]=$I$5,0,MIN(Tabelle132456[[#This Row],[Jira Story Points]],Tabelle132456[[#This Row],[Carry-over]])-Tabelle132456[[#This Row],[SP Completed (COS &amp; SOS)]]),0)</f>
        <v>0</v>
      </c>
    </row>
    <row r="708" spans="1:17" s="46" customFormat="1" ht="13.5" customHeight="1">
      <c r="A708" s="117"/>
      <c r="B708" s="47"/>
      <c r="C708" s="76"/>
      <c r="D708" s="76"/>
      <c r="E708" s="76"/>
      <c r="F708" s="104"/>
      <c r="G708" s="76"/>
      <c r="H708" s="83"/>
      <c r="I708" s="103"/>
      <c r="J708" s="76"/>
      <c r="K708" s="104"/>
      <c r="L708" s="104"/>
      <c r="M708" s="174">
        <f>IF(Tabelle132456[[#This Row],[Pulled after Start]]="",MIN(Tabelle132456[[#This Row],[Jira Story Points]],Tabelle132456[[#This Row],[Carry-over]]),0)</f>
        <v>0</v>
      </c>
      <c r="N708" s="173">
        <f>MIN(Tabelle132456[[#This Row],[Jira Story Points]],Tabelle132456[[#This Row],[Carry-over]])-Tabelle132456[[#This Row],[SP Initially Planned (COS)]]</f>
        <v>0</v>
      </c>
      <c r="O70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08" s="173">
        <f>IFERROR(IF(Tabelle132456[[#This Row],[Status]]=$I$5,MIN(Tabelle132456[[#This Row],[Jira Story Points]],Tabelle132456[[#This Row],[Carry-over]]),0),0)</f>
        <v>0</v>
      </c>
      <c r="Q708" s="173">
        <f>IFERROR(IF(Tabelle132456[[#This Row],[Status]]=$I$5,0,MIN(Tabelle132456[[#This Row],[Jira Story Points]],Tabelle132456[[#This Row],[Carry-over]])-Tabelle132456[[#This Row],[SP Completed (COS &amp; SOS)]]),0)</f>
        <v>0</v>
      </c>
    </row>
    <row r="709" spans="1:17" s="46" customFormat="1" ht="13.5" customHeight="1">
      <c r="A709" s="117"/>
      <c r="B709" s="47"/>
      <c r="C709" s="76"/>
      <c r="D709" s="76"/>
      <c r="E709" s="76"/>
      <c r="F709" s="104"/>
      <c r="G709" s="76"/>
      <c r="H709" s="83"/>
      <c r="I709" s="103"/>
      <c r="J709" s="76"/>
      <c r="K709" s="104"/>
      <c r="L709" s="104"/>
      <c r="M709" s="174">
        <f>IF(Tabelle132456[[#This Row],[Pulled after Start]]="",MIN(Tabelle132456[[#This Row],[Jira Story Points]],Tabelle132456[[#This Row],[Carry-over]]),0)</f>
        <v>0</v>
      </c>
      <c r="N709" s="173">
        <f>MIN(Tabelle132456[[#This Row],[Jira Story Points]],Tabelle132456[[#This Row],[Carry-over]])-Tabelle132456[[#This Row],[SP Initially Planned (COS)]]</f>
        <v>0</v>
      </c>
      <c r="O70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09" s="173">
        <f>IFERROR(IF(Tabelle132456[[#This Row],[Status]]=$I$5,MIN(Tabelle132456[[#This Row],[Jira Story Points]],Tabelle132456[[#This Row],[Carry-over]]),0),0)</f>
        <v>0</v>
      </c>
      <c r="Q709" s="173">
        <f>IFERROR(IF(Tabelle132456[[#This Row],[Status]]=$I$5,0,MIN(Tabelle132456[[#This Row],[Jira Story Points]],Tabelle132456[[#This Row],[Carry-over]])-Tabelle132456[[#This Row],[SP Completed (COS &amp; SOS)]]),0)</f>
        <v>0</v>
      </c>
    </row>
    <row r="710" spans="1:17" s="46" customFormat="1" ht="13.5" customHeight="1">
      <c r="A710" s="117"/>
      <c r="B710" s="47"/>
      <c r="C710" s="76"/>
      <c r="D710" s="76"/>
      <c r="E710" s="76"/>
      <c r="F710" s="104"/>
      <c r="G710" s="76"/>
      <c r="H710" s="83"/>
      <c r="I710" s="103"/>
      <c r="J710" s="76"/>
      <c r="K710" s="104"/>
      <c r="L710" s="104"/>
      <c r="M710" s="174">
        <f>IF(Tabelle132456[[#This Row],[Pulled after Start]]="",MIN(Tabelle132456[[#This Row],[Jira Story Points]],Tabelle132456[[#This Row],[Carry-over]]),0)</f>
        <v>0</v>
      </c>
      <c r="N710" s="173">
        <f>MIN(Tabelle132456[[#This Row],[Jira Story Points]],Tabelle132456[[#This Row],[Carry-over]])-Tabelle132456[[#This Row],[SP Initially Planned (COS)]]</f>
        <v>0</v>
      </c>
      <c r="O71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10" s="173">
        <f>IFERROR(IF(Tabelle132456[[#This Row],[Status]]=$I$5,MIN(Tabelle132456[[#This Row],[Jira Story Points]],Tabelle132456[[#This Row],[Carry-over]]),0),0)</f>
        <v>0</v>
      </c>
      <c r="Q710" s="173">
        <f>IFERROR(IF(Tabelle132456[[#This Row],[Status]]=$I$5,0,MIN(Tabelle132456[[#This Row],[Jira Story Points]],Tabelle132456[[#This Row],[Carry-over]])-Tabelle132456[[#This Row],[SP Completed (COS &amp; SOS)]]),0)</f>
        <v>0</v>
      </c>
    </row>
    <row r="711" spans="1:17" s="46" customFormat="1" ht="13.5" customHeight="1">
      <c r="A711" s="117"/>
      <c r="B711" s="47"/>
      <c r="C711" s="76"/>
      <c r="D711" s="76"/>
      <c r="E711" s="76"/>
      <c r="F711" s="104"/>
      <c r="G711" s="76"/>
      <c r="H711" s="83"/>
      <c r="I711" s="103"/>
      <c r="J711" s="76"/>
      <c r="K711" s="104"/>
      <c r="L711" s="104"/>
      <c r="M711" s="174">
        <f>IF(Tabelle132456[[#This Row],[Pulled after Start]]="",MIN(Tabelle132456[[#This Row],[Jira Story Points]],Tabelle132456[[#This Row],[Carry-over]]),0)</f>
        <v>0</v>
      </c>
      <c r="N711" s="173">
        <f>MIN(Tabelle132456[[#This Row],[Jira Story Points]],Tabelle132456[[#This Row],[Carry-over]])-Tabelle132456[[#This Row],[SP Initially Planned (COS)]]</f>
        <v>0</v>
      </c>
      <c r="O71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11" s="173">
        <f>IFERROR(IF(Tabelle132456[[#This Row],[Status]]=$I$5,MIN(Tabelle132456[[#This Row],[Jira Story Points]],Tabelle132456[[#This Row],[Carry-over]]),0),0)</f>
        <v>0</v>
      </c>
      <c r="Q711" s="173">
        <f>IFERROR(IF(Tabelle132456[[#This Row],[Status]]=$I$5,0,MIN(Tabelle132456[[#This Row],[Jira Story Points]],Tabelle132456[[#This Row],[Carry-over]])-Tabelle132456[[#This Row],[SP Completed (COS &amp; SOS)]]),0)</f>
        <v>0</v>
      </c>
    </row>
    <row r="712" spans="1:17" s="46" customFormat="1" ht="13.5" customHeight="1">
      <c r="A712" s="117"/>
      <c r="B712" s="47"/>
      <c r="C712" s="76"/>
      <c r="D712" s="76"/>
      <c r="E712" s="76"/>
      <c r="F712" s="104"/>
      <c r="G712" s="76"/>
      <c r="H712" s="83"/>
      <c r="I712" s="103"/>
      <c r="J712" s="76"/>
      <c r="K712" s="104"/>
      <c r="L712" s="104"/>
      <c r="M712" s="174">
        <f>IF(Tabelle132456[[#This Row],[Pulled after Start]]="",MIN(Tabelle132456[[#This Row],[Jira Story Points]],Tabelle132456[[#This Row],[Carry-over]]),0)</f>
        <v>0</v>
      </c>
      <c r="N712" s="173">
        <f>MIN(Tabelle132456[[#This Row],[Jira Story Points]],Tabelle132456[[#This Row],[Carry-over]])-Tabelle132456[[#This Row],[SP Initially Planned (COS)]]</f>
        <v>0</v>
      </c>
      <c r="O71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12" s="173">
        <f>IFERROR(IF(Tabelle132456[[#This Row],[Status]]=$I$5,MIN(Tabelle132456[[#This Row],[Jira Story Points]],Tabelle132456[[#This Row],[Carry-over]]),0),0)</f>
        <v>0</v>
      </c>
      <c r="Q712" s="173">
        <f>IFERROR(IF(Tabelle132456[[#This Row],[Status]]=$I$5,0,MIN(Tabelle132456[[#This Row],[Jira Story Points]],Tabelle132456[[#This Row],[Carry-over]])-Tabelle132456[[#This Row],[SP Completed (COS &amp; SOS)]]),0)</f>
        <v>0</v>
      </c>
    </row>
    <row r="713" spans="1:17" s="46" customFormat="1" ht="13.5" customHeight="1">
      <c r="A713" s="117"/>
      <c r="B713" s="47"/>
      <c r="C713" s="76"/>
      <c r="D713" s="76"/>
      <c r="E713" s="76"/>
      <c r="F713" s="104"/>
      <c r="G713" s="76"/>
      <c r="H713" s="83"/>
      <c r="I713" s="103"/>
      <c r="J713" s="76"/>
      <c r="K713" s="104"/>
      <c r="L713" s="104"/>
      <c r="M713" s="174">
        <f>IF(Tabelle132456[[#This Row],[Pulled after Start]]="",MIN(Tabelle132456[[#This Row],[Jira Story Points]],Tabelle132456[[#This Row],[Carry-over]]),0)</f>
        <v>0</v>
      </c>
      <c r="N713" s="173">
        <f>MIN(Tabelle132456[[#This Row],[Jira Story Points]],Tabelle132456[[#This Row],[Carry-over]])-Tabelle132456[[#This Row],[SP Initially Planned (COS)]]</f>
        <v>0</v>
      </c>
      <c r="O71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13" s="173">
        <f>IFERROR(IF(Tabelle132456[[#This Row],[Status]]=$I$5,MIN(Tabelle132456[[#This Row],[Jira Story Points]],Tabelle132456[[#This Row],[Carry-over]]),0),0)</f>
        <v>0</v>
      </c>
      <c r="Q713" s="173">
        <f>IFERROR(IF(Tabelle132456[[#This Row],[Status]]=$I$5,0,MIN(Tabelle132456[[#This Row],[Jira Story Points]],Tabelle132456[[#This Row],[Carry-over]])-Tabelle132456[[#This Row],[SP Completed (COS &amp; SOS)]]),0)</f>
        <v>0</v>
      </c>
    </row>
    <row r="714" spans="1:17" s="46" customFormat="1" ht="13.5" customHeight="1">
      <c r="A714" s="117"/>
      <c r="B714" s="47"/>
      <c r="C714" s="76"/>
      <c r="D714" s="76"/>
      <c r="E714" s="76"/>
      <c r="F714" s="104"/>
      <c r="G714" s="76"/>
      <c r="H714" s="83"/>
      <c r="I714" s="103"/>
      <c r="J714" s="76"/>
      <c r="K714" s="104"/>
      <c r="L714" s="104"/>
      <c r="M714" s="174">
        <f>IF(Tabelle132456[[#This Row],[Pulled after Start]]="",MIN(Tabelle132456[[#This Row],[Jira Story Points]],Tabelle132456[[#This Row],[Carry-over]]),0)</f>
        <v>0</v>
      </c>
      <c r="N714" s="173">
        <f>MIN(Tabelle132456[[#This Row],[Jira Story Points]],Tabelle132456[[#This Row],[Carry-over]])-Tabelle132456[[#This Row],[SP Initially Planned (COS)]]</f>
        <v>0</v>
      </c>
      <c r="O71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14" s="173">
        <f>IFERROR(IF(Tabelle132456[[#This Row],[Status]]=$I$5,MIN(Tabelle132456[[#This Row],[Jira Story Points]],Tabelle132456[[#This Row],[Carry-over]]),0),0)</f>
        <v>0</v>
      </c>
      <c r="Q714" s="173">
        <f>IFERROR(IF(Tabelle132456[[#This Row],[Status]]=$I$5,0,MIN(Tabelle132456[[#This Row],[Jira Story Points]],Tabelle132456[[#This Row],[Carry-over]])-Tabelle132456[[#This Row],[SP Completed (COS &amp; SOS)]]),0)</f>
        <v>0</v>
      </c>
    </row>
    <row r="715" spans="1:17" s="46" customFormat="1" ht="13.5" customHeight="1">
      <c r="A715" s="117"/>
      <c r="B715" s="47"/>
      <c r="C715" s="76"/>
      <c r="D715" s="76"/>
      <c r="E715" s="76"/>
      <c r="F715" s="104"/>
      <c r="G715" s="76"/>
      <c r="H715" s="83"/>
      <c r="I715" s="103"/>
      <c r="J715" s="76"/>
      <c r="K715" s="104"/>
      <c r="L715" s="104"/>
      <c r="M715" s="174">
        <f>IF(Tabelle132456[[#This Row],[Pulled after Start]]="",MIN(Tabelle132456[[#This Row],[Jira Story Points]],Tabelle132456[[#This Row],[Carry-over]]),0)</f>
        <v>0</v>
      </c>
      <c r="N715" s="173">
        <f>MIN(Tabelle132456[[#This Row],[Jira Story Points]],Tabelle132456[[#This Row],[Carry-over]])-Tabelle132456[[#This Row],[SP Initially Planned (COS)]]</f>
        <v>0</v>
      </c>
      <c r="O71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15" s="173">
        <f>IFERROR(IF(Tabelle132456[[#This Row],[Status]]=$I$5,MIN(Tabelle132456[[#This Row],[Jira Story Points]],Tabelle132456[[#This Row],[Carry-over]]),0),0)</f>
        <v>0</v>
      </c>
      <c r="Q715" s="173">
        <f>IFERROR(IF(Tabelle132456[[#This Row],[Status]]=$I$5,0,MIN(Tabelle132456[[#This Row],[Jira Story Points]],Tabelle132456[[#This Row],[Carry-over]])-Tabelle132456[[#This Row],[SP Completed (COS &amp; SOS)]]),0)</f>
        <v>0</v>
      </c>
    </row>
    <row r="716" spans="1:17" s="46" customFormat="1" ht="13.5" customHeight="1">
      <c r="A716" s="117"/>
      <c r="B716" s="47"/>
      <c r="C716" s="76"/>
      <c r="D716" s="76"/>
      <c r="E716" s="76"/>
      <c r="F716" s="104"/>
      <c r="G716" s="76"/>
      <c r="H716" s="83"/>
      <c r="I716" s="103"/>
      <c r="J716" s="76"/>
      <c r="K716" s="104"/>
      <c r="L716" s="104"/>
      <c r="M716" s="174">
        <f>IF(Tabelle132456[[#This Row],[Pulled after Start]]="",MIN(Tabelle132456[[#This Row],[Jira Story Points]],Tabelle132456[[#This Row],[Carry-over]]),0)</f>
        <v>0</v>
      </c>
      <c r="N716" s="173">
        <f>MIN(Tabelle132456[[#This Row],[Jira Story Points]],Tabelle132456[[#This Row],[Carry-over]])-Tabelle132456[[#This Row],[SP Initially Planned (COS)]]</f>
        <v>0</v>
      </c>
      <c r="O71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16" s="173">
        <f>IFERROR(IF(Tabelle132456[[#This Row],[Status]]=$I$5,MIN(Tabelle132456[[#This Row],[Jira Story Points]],Tabelle132456[[#This Row],[Carry-over]]),0),0)</f>
        <v>0</v>
      </c>
      <c r="Q716" s="173">
        <f>IFERROR(IF(Tabelle132456[[#This Row],[Status]]=$I$5,0,MIN(Tabelle132456[[#This Row],[Jira Story Points]],Tabelle132456[[#This Row],[Carry-over]])-Tabelle132456[[#This Row],[SP Completed (COS &amp; SOS)]]),0)</f>
        <v>0</v>
      </c>
    </row>
    <row r="717" spans="1:17" s="46" customFormat="1" ht="13.5" customHeight="1">
      <c r="A717" s="117"/>
      <c r="B717" s="47"/>
      <c r="C717" s="76"/>
      <c r="D717" s="76"/>
      <c r="E717" s="76"/>
      <c r="F717" s="104"/>
      <c r="G717" s="76"/>
      <c r="H717" s="83"/>
      <c r="I717" s="103"/>
      <c r="J717" s="76"/>
      <c r="K717" s="104"/>
      <c r="L717" s="104"/>
      <c r="M717" s="174">
        <f>IF(Tabelle132456[[#This Row],[Pulled after Start]]="",MIN(Tabelle132456[[#This Row],[Jira Story Points]],Tabelle132456[[#This Row],[Carry-over]]),0)</f>
        <v>0</v>
      </c>
      <c r="N717" s="173">
        <f>MIN(Tabelle132456[[#This Row],[Jira Story Points]],Tabelle132456[[#This Row],[Carry-over]])-Tabelle132456[[#This Row],[SP Initially Planned (COS)]]</f>
        <v>0</v>
      </c>
      <c r="O71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17" s="173">
        <f>IFERROR(IF(Tabelle132456[[#This Row],[Status]]=$I$5,MIN(Tabelle132456[[#This Row],[Jira Story Points]],Tabelle132456[[#This Row],[Carry-over]]),0),0)</f>
        <v>0</v>
      </c>
      <c r="Q717" s="173">
        <f>IFERROR(IF(Tabelle132456[[#This Row],[Status]]=$I$5,0,MIN(Tabelle132456[[#This Row],[Jira Story Points]],Tabelle132456[[#This Row],[Carry-over]])-Tabelle132456[[#This Row],[SP Completed (COS &amp; SOS)]]),0)</f>
        <v>0</v>
      </c>
    </row>
    <row r="718" spans="1:17" s="46" customFormat="1" ht="13.5" customHeight="1">
      <c r="A718" s="117"/>
      <c r="B718" s="47"/>
      <c r="C718" s="76"/>
      <c r="D718" s="76"/>
      <c r="E718" s="76"/>
      <c r="F718" s="104"/>
      <c r="G718" s="76"/>
      <c r="H718" s="83"/>
      <c r="I718" s="103"/>
      <c r="J718" s="76"/>
      <c r="K718" s="104"/>
      <c r="L718" s="104"/>
      <c r="M718" s="174">
        <f>IF(Tabelle132456[[#This Row],[Pulled after Start]]="",MIN(Tabelle132456[[#This Row],[Jira Story Points]],Tabelle132456[[#This Row],[Carry-over]]),0)</f>
        <v>0</v>
      </c>
      <c r="N718" s="173">
        <f>MIN(Tabelle132456[[#This Row],[Jira Story Points]],Tabelle132456[[#This Row],[Carry-over]])-Tabelle132456[[#This Row],[SP Initially Planned (COS)]]</f>
        <v>0</v>
      </c>
      <c r="O71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18" s="173">
        <f>IFERROR(IF(Tabelle132456[[#This Row],[Status]]=$I$5,MIN(Tabelle132456[[#This Row],[Jira Story Points]],Tabelle132456[[#This Row],[Carry-over]]),0),0)</f>
        <v>0</v>
      </c>
      <c r="Q718" s="173">
        <f>IFERROR(IF(Tabelle132456[[#This Row],[Status]]=$I$5,0,MIN(Tabelle132456[[#This Row],[Jira Story Points]],Tabelle132456[[#This Row],[Carry-over]])-Tabelle132456[[#This Row],[SP Completed (COS &amp; SOS)]]),0)</f>
        <v>0</v>
      </c>
    </row>
    <row r="719" spans="1:17" s="46" customFormat="1" ht="13.5" customHeight="1">
      <c r="A719" s="117"/>
      <c r="B719" s="47"/>
      <c r="C719" s="76"/>
      <c r="D719" s="76"/>
      <c r="E719" s="76"/>
      <c r="F719" s="104"/>
      <c r="G719" s="76"/>
      <c r="H719" s="83"/>
      <c r="I719" s="103"/>
      <c r="J719" s="76"/>
      <c r="K719" s="104"/>
      <c r="L719" s="104"/>
      <c r="M719" s="174">
        <f>IF(Tabelle132456[[#This Row],[Pulled after Start]]="",MIN(Tabelle132456[[#This Row],[Jira Story Points]],Tabelle132456[[#This Row],[Carry-over]]),0)</f>
        <v>0</v>
      </c>
      <c r="N719" s="173">
        <f>MIN(Tabelle132456[[#This Row],[Jira Story Points]],Tabelle132456[[#This Row],[Carry-over]])-Tabelle132456[[#This Row],[SP Initially Planned (COS)]]</f>
        <v>0</v>
      </c>
      <c r="O71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19" s="173">
        <f>IFERROR(IF(Tabelle132456[[#This Row],[Status]]=$I$5,MIN(Tabelle132456[[#This Row],[Jira Story Points]],Tabelle132456[[#This Row],[Carry-over]]),0),0)</f>
        <v>0</v>
      </c>
      <c r="Q719" s="173">
        <f>IFERROR(IF(Tabelle132456[[#This Row],[Status]]=$I$5,0,MIN(Tabelle132456[[#This Row],[Jira Story Points]],Tabelle132456[[#This Row],[Carry-over]])-Tabelle132456[[#This Row],[SP Completed (COS &amp; SOS)]]),0)</f>
        <v>0</v>
      </c>
    </row>
    <row r="720" spans="1:17" s="46" customFormat="1" ht="13.5" customHeight="1">
      <c r="A720" s="117"/>
      <c r="B720" s="47"/>
      <c r="C720" s="76"/>
      <c r="D720" s="76"/>
      <c r="E720" s="76"/>
      <c r="F720" s="104"/>
      <c r="G720" s="76"/>
      <c r="H720" s="83"/>
      <c r="I720" s="103"/>
      <c r="J720" s="76"/>
      <c r="K720" s="104"/>
      <c r="L720" s="104"/>
      <c r="M720" s="174">
        <f>IF(Tabelle132456[[#This Row],[Pulled after Start]]="",MIN(Tabelle132456[[#This Row],[Jira Story Points]],Tabelle132456[[#This Row],[Carry-over]]),0)</f>
        <v>0</v>
      </c>
      <c r="N720" s="173">
        <f>MIN(Tabelle132456[[#This Row],[Jira Story Points]],Tabelle132456[[#This Row],[Carry-over]])-Tabelle132456[[#This Row],[SP Initially Planned (COS)]]</f>
        <v>0</v>
      </c>
      <c r="O72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20" s="173">
        <f>IFERROR(IF(Tabelle132456[[#This Row],[Status]]=$I$5,MIN(Tabelle132456[[#This Row],[Jira Story Points]],Tabelle132456[[#This Row],[Carry-over]]),0),0)</f>
        <v>0</v>
      </c>
      <c r="Q720" s="173">
        <f>IFERROR(IF(Tabelle132456[[#This Row],[Status]]=$I$5,0,MIN(Tabelle132456[[#This Row],[Jira Story Points]],Tabelle132456[[#This Row],[Carry-over]])-Tabelle132456[[#This Row],[SP Completed (COS &amp; SOS)]]),0)</f>
        <v>0</v>
      </c>
    </row>
    <row r="721" spans="1:17" s="46" customFormat="1" ht="13.5" customHeight="1">
      <c r="A721" s="117"/>
      <c r="B721" s="47"/>
      <c r="C721" s="76"/>
      <c r="D721" s="76"/>
      <c r="E721" s="76"/>
      <c r="F721" s="104"/>
      <c r="G721" s="76"/>
      <c r="H721" s="83"/>
      <c r="I721" s="103"/>
      <c r="J721" s="76"/>
      <c r="K721" s="104"/>
      <c r="L721" s="104"/>
      <c r="M721" s="174">
        <f>IF(Tabelle132456[[#This Row],[Pulled after Start]]="",MIN(Tabelle132456[[#This Row],[Jira Story Points]],Tabelle132456[[#This Row],[Carry-over]]),0)</f>
        <v>0</v>
      </c>
      <c r="N721" s="173">
        <f>MIN(Tabelle132456[[#This Row],[Jira Story Points]],Tabelle132456[[#This Row],[Carry-over]])-Tabelle132456[[#This Row],[SP Initially Planned (COS)]]</f>
        <v>0</v>
      </c>
      <c r="O72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21" s="173">
        <f>IFERROR(IF(Tabelle132456[[#This Row],[Status]]=$I$5,MIN(Tabelle132456[[#This Row],[Jira Story Points]],Tabelle132456[[#This Row],[Carry-over]]),0),0)</f>
        <v>0</v>
      </c>
      <c r="Q721" s="173">
        <f>IFERROR(IF(Tabelle132456[[#This Row],[Status]]=$I$5,0,MIN(Tabelle132456[[#This Row],[Jira Story Points]],Tabelle132456[[#This Row],[Carry-over]])-Tabelle132456[[#This Row],[SP Completed (COS &amp; SOS)]]),0)</f>
        <v>0</v>
      </c>
    </row>
    <row r="722" spans="1:17" s="46" customFormat="1" ht="13.5" customHeight="1">
      <c r="A722" s="117"/>
      <c r="B722" s="47"/>
      <c r="C722" s="76"/>
      <c r="D722" s="76"/>
      <c r="E722" s="76"/>
      <c r="F722" s="104"/>
      <c r="G722" s="76"/>
      <c r="H722" s="83"/>
      <c r="I722" s="103"/>
      <c r="J722" s="76"/>
      <c r="K722" s="104"/>
      <c r="L722" s="104"/>
      <c r="M722" s="174">
        <f>IF(Tabelle132456[[#This Row],[Pulled after Start]]="",MIN(Tabelle132456[[#This Row],[Jira Story Points]],Tabelle132456[[#This Row],[Carry-over]]),0)</f>
        <v>0</v>
      </c>
      <c r="N722" s="173">
        <f>MIN(Tabelle132456[[#This Row],[Jira Story Points]],Tabelle132456[[#This Row],[Carry-over]])-Tabelle132456[[#This Row],[SP Initially Planned (COS)]]</f>
        <v>0</v>
      </c>
      <c r="O72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22" s="173">
        <f>IFERROR(IF(Tabelle132456[[#This Row],[Status]]=$I$5,MIN(Tabelle132456[[#This Row],[Jira Story Points]],Tabelle132456[[#This Row],[Carry-over]]),0),0)</f>
        <v>0</v>
      </c>
      <c r="Q722" s="173">
        <f>IFERROR(IF(Tabelle132456[[#This Row],[Status]]=$I$5,0,MIN(Tabelle132456[[#This Row],[Jira Story Points]],Tabelle132456[[#This Row],[Carry-over]])-Tabelle132456[[#This Row],[SP Completed (COS &amp; SOS)]]),0)</f>
        <v>0</v>
      </c>
    </row>
    <row r="723" spans="1:17" s="46" customFormat="1" ht="13.5" customHeight="1">
      <c r="A723" s="117"/>
      <c r="B723" s="47"/>
      <c r="C723" s="76"/>
      <c r="D723" s="76"/>
      <c r="E723" s="76"/>
      <c r="F723" s="104"/>
      <c r="G723" s="76"/>
      <c r="H723" s="83"/>
      <c r="I723" s="103"/>
      <c r="J723" s="76"/>
      <c r="K723" s="104"/>
      <c r="L723" s="104"/>
      <c r="M723" s="174">
        <f>IF(Tabelle132456[[#This Row],[Pulled after Start]]="",MIN(Tabelle132456[[#This Row],[Jira Story Points]],Tabelle132456[[#This Row],[Carry-over]]),0)</f>
        <v>0</v>
      </c>
      <c r="N723" s="173">
        <f>MIN(Tabelle132456[[#This Row],[Jira Story Points]],Tabelle132456[[#This Row],[Carry-over]])-Tabelle132456[[#This Row],[SP Initially Planned (COS)]]</f>
        <v>0</v>
      </c>
      <c r="O72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23" s="173">
        <f>IFERROR(IF(Tabelle132456[[#This Row],[Status]]=$I$5,MIN(Tabelle132456[[#This Row],[Jira Story Points]],Tabelle132456[[#This Row],[Carry-over]]),0),0)</f>
        <v>0</v>
      </c>
      <c r="Q723" s="173">
        <f>IFERROR(IF(Tabelle132456[[#This Row],[Status]]=$I$5,0,MIN(Tabelle132456[[#This Row],[Jira Story Points]],Tabelle132456[[#This Row],[Carry-over]])-Tabelle132456[[#This Row],[SP Completed (COS &amp; SOS)]]),0)</f>
        <v>0</v>
      </c>
    </row>
    <row r="724" spans="1:17" s="46" customFormat="1" ht="13.5" customHeight="1">
      <c r="A724" s="117"/>
      <c r="B724" s="47"/>
      <c r="C724" s="76"/>
      <c r="D724" s="76"/>
      <c r="E724" s="76"/>
      <c r="F724" s="104"/>
      <c r="G724" s="76"/>
      <c r="H724" s="83"/>
      <c r="I724" s="103"/>
      <c r="J724" s="76"/>
      <c r="K724" s="104"/>
      <c r="L724" s="104"/>
      <c r="M724" s="174">
        <f>IF(Tabelle132456[[#This Row],[Pulled after Start]]="",MIN(Tabelle132456[[#This Row],[Jira Story Points]],Tabelle132456[[#This Row],[Carry-over]]),0)</f>
        <v>0</v>
      </c>
      <c r="N724" s="173">
        <f>MIN(Tabelle132456[[#This Row],[Jira Story Points]],Tabelle132456[[#This Row],[Carry-over]])-Tabelle132456[[#This Row],[SP Initially Planned (COS)]]</f>
        <v>0</v>
      </c>
      <c r="O72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24" s="173">
        <f>IFERROR(IF(Tabelle132456[[#This Row],[Status]]=$I$5,MIN(Tabelle132456[[#This Row],[Jira Story Points]],Tabelle132456[[#This Row],[Carry-over]]),0),0)</f>
        <v>0</v>
      </c>
      <c r="Q724" s="173">
        <f>IFERROR(IF(Tabelle132456[[#This Row],[Status]]=$I$5,0,MIN(Tabelle132456[[#This Row],[Jira Story Points]],Tabelle132456[[#This Row],[Carry-over]])-Tabelle132456[[#This Row],[SP Completed (COS &amp; SOS)]]),0)</f>
        <v>0</v>
      </c>
    </row>
    <row r="725" spans="1:17" s="46" customFormat="1" ht="13.5" customHeight="1">
      <c r="A725" s="117"/>
      <c r="B725" s="47"/>
      <c r="C725" s="76"/>
      <c r="D725" s="76"/>
      <c r="E725" s="76"/>
      <c r="F725" s="104"/>
      <c r="G725" s="76"/>
      <c r="H725" s="83"/>
      <c r="I725" s="103"/>
      <c r="J725" s="76"/>
      <c r="K725" s="104"/>
      <c r="L725" s="104"/>
      <c r="M725" s="174">
        <f>IF(Tabelle132456[[#This Row],[Pulled after Start]]="",MIN(Tabelle132456[[#This Row],[Jira Story Points]],Tabelle132456[[#This Row],[Carry-over]]),0)</f>
        <v>0</v>
      </c>
      <c r="N725" s="173">
        <f>MIN(Tabelle132456[[#This Row],[Jira Story Points]],Tabelle132456[[#This Row],[Carry-over]])-Tabelle132456[[#This Row],[SP Initially Planned (COS)]]</f>
        <v>0</v>
      </c>
      <c r="O72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25" s="173">
        <f>IFERROR(IF(Tabelle132456[[#This Row],[Status]]=$I$5,MIN(Tabelle132456[[#This Row],[Jira Story Points]],Tabelle132456[[#This Row],[Carry-over]]),0),0)</f>
        <v>0</v>
      </c>
      <c r="Q725" s="173">
        <f>IFERROR(IF(Tabelle132456[[#This Row],[Status]]=$I$5,0,MIN(Tabelle132456[[#This Row],[Jira Story Points]],Tabelle132456[[#This Row],[Carry-over]])-Tabelle132456[[#This Row],[SP Completed (COS &amp; SOS)]]),0)</f>
        <v>0</v>
      </c>
    </row>
    <row r="726" spans="1:17" s="46" customFormat="1" ht="13.5" customHeight="1">
      <c r="A726" s="117"/>
      <c r="B726" s="47"/>
      <c r="C726" s="76"/>
      <c r="D726" s="76"/>
      <c r="E726" s="76"/>
      <c r="F726" s="104"/>
      <c r="G726" s="76"/>
      <c r="H726" s="83"/>
      <c r="I726" s="103"/>
      <c r="J726" s="76"/>
      <c r="K726" s="104"/>
      <c r="L726" s="104"/>
      <c r="M726" s="174">
        <f>IF(Tabelle132456[[#This Row],[Pulled after Start]]="",MIN(Tabelle132456[[#This Row],[Jira Story Points]],Tabelle132456[[#This Row],[Carry-over]]),0)</f>
        <v>0</v>
      </c>
      <c r="N726" s="173">
        <f>MIN(Tabelle132456[[#This Row],[Jira Story Points]],Tabelle132456[[#This Row],[Carry-over]])-Tabelle132456[[#This Row],[SP Initially Planned (COS)]]</f>
        <v>0</v>
      </c>
      <c r="O72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26" s="173">
        <f>IFERROR(IF(Tabelle132456[[#This Row],[Status]]=$I$5,MIN(Tabelle132456[[#This Row],[Jira Story Points]],Tabelle132456[[#This Row],[Carry-over]]),0),0)</f>
        <v>0</v>
      </c>
      <c r="Q726" s="173">
        <f>IFERROR(IF(Tabelle132456[[#This Row],[Status]]=$I$5,0,MIN(Tabelle132456[[#This Row],[Jira Story Points]],Tabelle132456[[#This Row],[Carry-over]])-Tabelle132456[[#This Row],[SP Completed (COS &amp; SOS)]]),0)</f>
        <v>0</v>
      </c>
    </row>
    <row r="727" spans="1:17" s="46" customFormat="1" ht="13.5" customHeight="1">
      <c r="A727" s="117"/>
      <c r="B727" s="47"/>
      <c r="C727" s="76"/>
      <c r="D727" s="76"/>
      <c r="E727" s="76"/>
      <c r="F727" s="104"/>
      <c r="G727" s="76"/>
      <c r="H727" s="83"/>
      <c r="I727" s="103"/>
      <c r="J727" s="76"/>
      <c r="K727" s="104"/>
      <c r="L727" s="104"/>
      <c r="M727" s="174">
        <f>IF(Tabelle132456[[#This Row],[Pulled after Start]]="",MIN(Tabelle132456[[#This Row],[Jira Story Points]],Tabelle132456[[#This Row],[Carry-over]]),0)</f>
        <v>0</v>
      </c>
      <c r="N727" s="173">
        <f>MIN(Tabelle132456[[#This Row],[Jira Story Points]],Tabelle132456[[#This Row],[Carry-over]])-Tabelle132456[[#This Row],[SP Initially Planned (COS)]]</f>
        <v>0</v>
      </c>
      <c r="O72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27" s="173">
        <f>IFERROR(IF(Tabelle132456[[#This Row],[Status]]=$I$5,MIN(Tabelle132456[[#This Row],[Jira Story Points]],Tabelle132456[[#This Row],[Carry-over]]),0),0)</f>
        <v>0</v>
      </c>
      <c r="Q727" s="173">
        <f>IFERROR(IF(Tabelle132456[[#This Row],[Status]]=$I$5,0,MIN(Tabelle132456[[#This Row],[Jira Story Points]],Tabelle132456[[#This Row],[Carry-over]])-Tabelle132456[[#This Row],[SP Completed (COS &amp; SOS)]]),0)</f>
        <v>0</v>
      </c>
    </row>
    <row r="728" spans="1:17" s="46" customFormat="1" ht="13.5" customHeight="1">
      <c r="A728" s="117"/>
      <c r="B728" s="47"/>
      <c r="C728" s="76"/>
      <c r="D728" s="76"/>
      <c r="E728" s="76"/>
      <c r="F728" s="104"/>
      <c r="G728" s="76"/>
      <c r="H728" s="83"/>
      <c r="I728" s="103"/>
      <c r="J728" s="76"/>
      <c r="K728" s="104"/>
      <c r="L728" s="104"/>
      <c r="M728" s="174">
        <f>IF(Tabelle132456[[#This Row],[Pulled after Start]]="",MIN(Tabelle132456[[#This Row],[Jira Story Points]],Tabelle132456[[#This Row],[Carry-over]]),0)</f>
        <v>0</v>
      </c>
      <c r="N728" s="173">
        <f>MIN(Tabelle132456[[#This Row],[Jira Story Points]],Tabelle132456[[#This Row],[Carry-over]])-Tabelle132456[[#This Row],[SP Initially Planned (COS)]]</f>
        <v>0</v>
      </c>
      <c r="O72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28" s="173">
        <f>IFERROR(IF(Tabelle132456[[#This Row],[Status]]=$I$5,MIN(Tabelle132456[[#This Row],[Jira Story Points]],Tabelle132456[[#This Row],[Carry-over]]),0),0)</f>
        <v>0</v>
      </c>
      <c r="Q728" s="173">
        <f>IFERROR(IF(Tabelle132456[[#This Row],[Status]]=$I$5,0,MIN(Tabelle132456[[#This Row],[Jira Story Points]],Tabelle132456[[#This Row],[Carry-over]])-Tabelle132456[[#This Row],[SP Completed (COS &amp; SOS)]]),0)</f>
        <v>0</v>
      </c>
    </row>
    <row r="729" spans="1:17" s="46" customFormat="1" ht="13.5" customHeight="1">
      <c r="A729" s="117"/>
      <c r="B729" s="47"/>
      <c r="C729" s="76"/>
      <c r="D729" s="76"/>
      <c r="E729" s="76"/>
      <c r="F729" s="104"/>
      <c r="G729" s="76"/>
      <c r="H729" s="83"/>
      <c r="I729" s="103"/>
      <c r="J729" s="76"/>
      <c r="K729" s="104"/>
      <c r="L729" s="104"/>
      <c r="M729" s="174">
        <f>IF(Tabelle132456[[#This Row],[Pulled after Start]]="",MIN(Tabelle132456[[#This Row],[Jira Story Points]],Tabelle132456[[#This Row],[Carry-over]]),0)</f>
        <v>0</v>
      </c>
      <c r="N729" s="173">
        <f>MIN(Tabelle132456[[#This Row],[Jira Story Points]],Tabelle132456[[#This Row],[Carry-over]])-Tabelle132456[[#This Row],[SP Initially Planned (COS)]]</f>
        <v>0</v>
      </c>
      <c r="O72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29" s="173">
        <f>IFERROR(IF(Tabelle132456[[#This Row],[Status]]=$I$5,MIN(Tabelle132456[[#This Row],[Jira Story Points]],Tabelle132456[[#This Row],[Carry-over]]),0),0)</f>
        <v>0</v>
      </c>
      <c r="Q729" s="173">
        <f>IFERROR(IF(Tabelle132456[[#This Row],[Status]]=$I$5,0,MIN(Tabelle132456[[#This Row],[Jira Story Points]],Tabelle132456[[#This Row],[Carry-over]])-Tabelle132456[[#This Row],[SP Completed (COS &amp; SOS)]]),0)</f>
        <v>0</v>
      </c>
    </row>
    <row r="730" spans="1:17" s="46" customFormat="1" ht="13.5" customHeight="1">
      <c r="A730" s="117"/>
      <c r="B730" s="47"/>
      <c r="C730" s="76"/>
      <c r="D730" s="76"/>
      <c r="E730" s="76"/>
      <c r="F730" s="104"/>
      <c r="G730" s="76"/>
      <c r="H730" s="83"/>
      <c r="I730" s="103"/>
      <c r="J730" s="76"/>
      <c r="K730" s="104"/>
      <c r="L730" s="104"/>
      <c r="M730" s="174">
        <f>IF(Tabelle132456[[#This Row],[Pulled after Start]]="",MIN(Tabelle132456[[#This Row],[Jira Story Points]],Tabelle132456[[#This Row],[Carry-over]]),0)</f>
        <v>0</v>
      </c>
      <c r="N730" s="173">
        <f>MIN(Tabelle132456[[#This Row],[Jira Story Points]],Tabelle132456[[#This Row],[Carry-over]])-Tabelle132456[[#This Row],[SP Initially Planned (COS)]]</f>
        <v>0</v>
      </c>
      <c r="O73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30" s="173">
        <f>IFERROR(IF(Tabelle132456[[#This Row],[Status]]=$I$5,MIN(Tabelle132456[[#This Row],[Jira Story Points]],Tabelle132456[[#This Row],[Carry-over]]),0),0)</f>
        <v>0</v>
      </c>
      <c r="Q730" s="173">
        <f>IFERROR(IF(Tabelle132456[[#This Row],[Status]]=$I$5,0,MIN(Tabelle132456[[#This Row],[Jira Story Points]],Tabelle132456[[#This Row],[Carry-over]])-Tabelle132456[[#This Row],[SP Completed (COS &amp; SOS)]]),0)</f>
        <v>0</v>
      </c>
    </row>
    <row r="731" spans="1:17" s="46" customFormat="1" ht="13.5" customHeight="1">
      <c r="A731" s="117"/>
      <c r="B731" s="47"/>
      <c r="C731" s="76"/>
      <c r="D731" s="76"/>
      <c r="E731" s="76"/>
      <c r="F731" s="104"/>
      <c r="G731" s="76"/>
      <c r="H731" s="83"/>
      <c r="I731" s="103"/>
      <c r="J731" s="76"/>
      <c r="K731" s="104"/>
      <c r="L731" s="104"/>
      <c r="M731" s="174">
        <f>IF(Tabelle132456[[#This Row],[Pulled after Start]]="",MIN(Tabelle132456[[#This Row],[Jira Story Points]],Tabelle132456[[#This Row],[Carry-over]]),0)</f>
        <v>0</v>
      </c>
      <c r="N731" s="173">
        <f>MIN(Tabelle132456[[#This Row],[Jira Story Points]],Tabelle132456[[#This Row],[Carry-over]])-Tabelle132456[[#This Row],[SP Initially Planned (COS)]]</f>
        <v>0</v>
      </c>
      <c r="O73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31" s="173">
        <f>IFERROR(IF(Tabelle132456[[#This Row],[Status]]=$I$5,MIN(Tabelle132456[[#This Row],[Jira Story Points]],Tabelle132456[[#This Row],[Carry-over]]),0),0)</f>
        <v>0</v>
      </c>
      <c r="Q731" s="173">
        <f>IFERROR(IF(Tabelle132456[[#This Row],[Status]]=$I$5,0,MIN(Tabelle132456[[#This Row],[Jira Story Points]],Tabelle132456[[#This Row],[Carry-over]])-Tabelle132456[[#This Row],[SP Completed (COS &amp; SOS)]]),0)</f>
        <v>0</v>
      </c>
    </row>
    <row r="732" spans="1:17" s="46" customFormat="1" ht="13.5" customHeight="1">
      <c r="A732" s="117"/>
      <c r="B732" s="47"/>
      <c r="C732" s="76"/>
      <c r="D732" s="76"/>
      <c r="E732" s="76"/>
      <c r="F732" s="104"/>
      <c r="G732" s="76"/>
      <c r="H732" s="83"/>
      <c r="I732" s="103"/>
      <c r="J732" s="76"/>
      <c r="K732" s="104"/>
      <c r="L732" s="104"/>
      <c r="M732" s="174">
        <f>IF(Tabelle132456[[#This Row],[Pulled after Start]]="",MIN(Tabelle132456[[#This Row],[Jira Story Points]],Tabelle132456[[#This Row],[Carry-over]]),0)</f>
        <v>0</v>
      </c>
      <c r="N732" s="173">
        <f>MIN(Tabelle132456[[#This Row],[Jira Story Points]],Tabelle132456[[#This Row],[Carry-over]])-Tabelle132456[[#This Row],[SP Initially Planned (COS)]]</f>
        <v>0</v>
      </c>
      <c r="O73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32" s="173">
        <f>IFERROR(IF(Tabelle132456[[#This Row],[Status]]=$I$5,MIN(Tabelle132456[[#This Row],[Jira Story Points]],Tabelle132456[[#This Row],[Carry-over]]),0),0)</f>
        <v>0</v>
      </c>
      <c r="Q732" s="173">
        <f>IFERROR(IF(Tabelle132456[[#This Row],[Status]]=$I$5,0,MIN(Tabelle132456[[#This Row],[Jira Story Points]],Tabelle132456[[#This Row],[Carry-over]])-Tabelle132456[[#This Row],[SP Completed (COS &amp; SOS)]]),0)</f>
        <v>0</v>
      </c>
    </row>
    <row r="733" spans="1:17" s="46" customFormat="1" ht="13.5" customHeight="1">
      <c r="A733" s="117"/>
      <c r="B733" s="47"/>
      <c r="C733" s="76"/>
      <c r="D733" s="76"/>
      <c r="E733" s="76"/>
      <c r="F733" s="104"/>
      <c r="G733" s="76"/>
      <c r="H733" s="83"/>
      <c r="I733" s="103"/>
      <c r="J733" s="76"/>
      <c r="K733" s="104"/>
      <c r="L733" s="104"/>
      <c r="M733" s="174">
        <f>IF(Tabelle132456[[#This Row],[Pulled after Start]]="",MIN(Tabelle132456[[#This Row],[Jira Story Points]],Tabelle132456[[#This Row],[Carry-over]]),0)</f>
        <v>0</v>
      </c>
      <c r="N733" s="173">
        <f>MIN(Tabelle132456[[#This Row],[Jira Story Points]],Tabelle132456[[#This Row],[Carry-over]])-Tabelle132456[[#This Row],[SP Initially Planned (COS)]]</f>
        <v>0</v>
      </c>
      <c r="O73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33" s="173">
        <f>IFERROR(IF(Tabelle132456[[#This Row],[Status]]=$I$5,MIN(Tabelle132456[[#This Row],[Jira Story Points]],Tabelle132456[[#This Row],[Carry-over]]),0),0)</f>
        <v>0</v>
      </c>
      <c r="Q733" s="173">
        <f>IFERROR(IF(Tabelle132456[[#This Row],[Status]]=$I$5,0,MIN(Tabelle132456[[#This Row],[Jira Story Points]],Tabelle132456[[#This Row],[Carry-over]])-Tabelle132456[[#This Row],[SP Completed (COS &amp; SOS)]]),0)</f>
        <v>0</v>
      </c>
    </row>
    <row r="734" spans="1:17" s="46" customFormat="1" ht="13.5" customHeight="1">
      <c r="A734" s="117"/>
      <c r="B734" s="47"/>
      <c r="C734" s="76"/>
      <c r="D734" s="76"/>
      <c r="E734" s="76"/>
      <c r="F734" s="104"/>
      <c r="G734" s="76"/>
      <c r="H734" s="83"/>
      <c r="I734" s="103"/>
      <c r="J734" s="76"/>
      <c r="K734" s="104"/>
      <c r="L734" s="104"/>
      <c r="M734" s="174">
        <f>IF(Tabelle132456[[#This Row],[Pulled after Start]]="",MIN(Tabelle132456[[#This Row],[Jira Story Points]],Tabelle132456[[#This Row],[Carry-over]]),0)</f>
        <v>0</v>
      </c>
      <c r="N734" s="173">
        <f>MIN(Tabelle132456[[#This Row],[Jira Story Points]],Tabelle132456[[#This Row],[Carry-over]])-Tabelle132456[[#This Row],[SP Initially Planned (COS)]]</f>
        <v>0</v>
      </c>
      <c r="O73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34" s="173">
        <f>IFERROR(IF(Tabelle132456[[#This Row],[Status]]=$I$5,MIN(Tabelle132456[[#This Row],[Jira Story Points]],Tabelle132456[[#This Row],[Carry-over]]),0),0)</f>
        <v>0</v>
      </c>
      <c r="Q734" s="173">
        <f>IFERROR(IF(Tabelle132456[[#This Row],[Status]]=$I$5,0,MIN(Tabelle132456[[#This Row],[Jira Story Points]],Tabelle132456[[#This Row],[Carry-over]])-Tabelle132456[[#This Row],[SP Completed (COS &amp; SOS)]]),0)</f>
        <v>0</v>
      </c>
    </row>
    <row r="735" spans="1:17" s="46" customFormat="1" ht="13.5" customHeight="1">
      <c r="A735" s="117"/>
      <c r="B735" s="47"/>
      <c r="C735" s="76"/>
      <c r="D735" s="76"/>
      <c r="E735" s="76"/>
      <c r="F735" s="104"/>
      <c r="G735" s="76"/>
      <c r="H735" s="83"/>
      <c r="I735" s="103"/>
      <c r="J735" s="76"/>
      <c r="K735" s="104"/>
      <c r="L735" s="104"/>
      <c r="M735" s="174">
        <f>IF(Tabelle132456[[#This Row],[Pulled after Start]]="",MIN(Tabelle132456[[#This Row],[Jira Story Points]],Tabelle132456[[#This Row],[Carry-over]]),0)</f>
        <v>0</v>
      </c>
      <c r="N735" s="173">
        <f>MIN(Tabelle132456[[#This Row],[Jira Story Points]],Tabelle132456[[#This Row],[Carry-over]])-Tabelle132456[[#This Row],[SP Initially Planned (COS)]]</f>
        <v>0</v>
      </c>
      <c r="O73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35" s="173">
        <f>IFERROR(IF(Tabelle132456[[#This Row],[Status]]=$I$5,MIN(Tabelle132456[[#This Row],[Jira Story Points]],Tabelle132456[[#This Row],[Carry-over]]),0),0)</f>
        <v>0</v>
      </c>
      <c r="Q735" s="173">
        <f>IFERROR(IF(Tabelle132456[[#This Row],[Status]]=$I$5,0,MIN(Tabelle132456[[#This Row],[Jira Story Points]],Tabelle132456[[#This Row],[Carry-over]])-Tabelle132456[[#This Row],[SP Completed (COS &amp; SOS)]]),0)</f>
        <v>0</v>
      </c>
    </row>
    <row r="736" spans="1:17" s="46" customFormat="1" ht="13.5" customHeight="1">
      <c r="A736" s="117"/>
      <c r="B736" s="47"/>
      <c r="C736" s="76"/>
      <c r="D736" s="76"/>
      <c r="E736" s="76"/>
      <c r="F736" s="104"/>
      <c r="G736" s="76"/>
      <c r="H736" s="83"/>
      <c r="I736" s="103"/>
      <c r="J736" s="76"/>
      <c r="K736" s="104"/>
      <c r="L736" s="104"/>
      <c r="M736" s="174">
        <f>IF(Tabelle132456[[#This Row],[Pulled after Start]]="",MIN(Tabelle132456[[#This Row],[Jira Story Points]],Tabelle132456[[#This Row],[Carry-over]]),0)</f>
        <v>0</v>
      </c>
      <c r="N736" s="173">
        <f>MIN(Tabelle132456[[#This Row],[Jira Story Points]],Tabelle132456[[#This Row],[Carry-over]])-Tabelle132456[[#This Row],[SP Initially Planned (COS)]]</f>
        <v>0</v>
      </c>
      <c r="O73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36" s="173">
        <f>IFERROR(IF(Tabelle132456[[#This Row],[Status]]=$I$5,MIN(Tabelle132456[[#This Row],[Jira Story Points]],Tabelle132456[[#This Row],[Carry-over]]),0),0)</f>
        <v>0</v>
      </c>
      <c r="Q736" s="173">
        <f>IFERROR(IF(Tabelle132456[[#This Row],[Status]]=$I$5,0,MIN(Tabelle132456[[#This Row],[Jira Story Points]],Tabelle132456[[#This Row],[Carry-over]])-Tabelle132456[[#This Row],[SP Completed (COS &amp; SOS)]]),0)</f>
        <v>0</v>
      </c>
    </row>
    <row r="737" spans="1:17" s="46" customFormat="1" ht="13.5" customHeight="1">
      <c r="A737" s="117"/>
      <c r="B737" s="47"/>
      <c r="C737" s="76"/>
      <c r="D737" s="76"/>
      <c r="E737" s="76"/>
      <c r="F737" s="104"/>
      <c r="G737" s="76"/>
      <c r="H737" s="83"/>
      <c r="I737" s="103"/>
      <c r="J737" s="76"/>
      <c r="K737" s="104"/>
      <c r="L737" s="104"/>
      <c r="M737" s="174">
        <f>IF(Tabelle132456[[#This Row],[Pulled after Start]]="",MIN(Tabelle132456[[#This Row],[Jira Story Points]],Tabelle132456[[#This Row],[Carry-over]]),0)</f>
        <v>0</v>
      </c>
      <c r="N737" s="173">
        <f>MIN(Tabelle132456[[#This Row],[Jira Story Points]],Tabelle132456[[#This Row],[Carry-over]])-Tabelle132456[[#This Row],[SP Initially Planned (COS)]]</f>
        <v>0</v>
      </c>
      <c r="O73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37" s="173">
        <f>IFERROR(IF(Tabelle132456[[#This Row],[Status]]=$I$5,MIN(Tabelle132456[[#This Row],[Jira Story Points]],Tabelle132456[[#This Row],[Carry-over]]),0),0)</f>
        <v>0</v>
      </c>
      <c r="Q737" s="173">
        <f>IFERROR(IF(Tabelle132456[[#This Row],[Status]]=$I$5,0,MIN(Tabelle132456[[#This Row],[Jira Story Points]],Tabelle132456[[#This Row],[Carry-over]])-Tabelle132456[[#This Row],[SP Completed (COS &amp; SOS)]]),0)</f>
        <v>0</v>
      </c>
    </row>
    <row r="738" spans="1:17" s="46" customFormat="1" ht="13.5" customHeight="1">
      <c r="A738" s="117"/>
      <c r="B738" s="47"/>
      <c r="C738" s="76"/>
      <c r="D738" s="76"/>
      <c r="E738" s="76"/>
      <c r="F738" s="104"/>
      <c r="G738" s="76"/>
      <c r="H738" s="83"/>
      <c r="I738" s="103"/>
      <c r="J738" s="76"/>
      <c r="K738" s="104"/>
      <c r="L738" s="104"/>
      <c r="M738" s="174">
        <f>IF(Tabelle132456[[#This Row],[Pulled after Start]]="",MIN(Tabelle132456[[#This Row],[Jira Story Points]],Tabelle132456[[#This Row],[Carry-over]]),0)</f>
        <v>0</v>
      </c>
      <c r="N738" s="173">
        <f>MIN(Tabelle132456[[#This Row],[Jira Story Points]],Tabelle132456[[#This Row],[Carry-over]])-Tabelle132456[[#This Row],[SP Initially Planned (COS)]]</f>
        <v>0</v>
      </c>
      <c r="O73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38" s="173">
        <f>IFERROR(IF(Tabelle132456[[#This Row],[Status]]=$I$5,MIN(Tabelle132456[[#This Row],[Jira Story Points]],Tabelle132456[[#This Row],[Carry-over]]),0),0)</f>
        <v>0</v>
      </c>
      <c r="Q738" s="173">
        <f>IFERROR(IF(Tabelle132456[[#This Row],[Status]]=$I$5,0,MIN(Tabelle132456[[#This Row],[Jira Story Points]],Tabelle132456[[#This Row],[Carry-over]])-Tabelle132456[[#This Row],[SP Completed (COS &amp; SOS)]]),0)</f>
        <v>0</v>
      </c>
    </row>
    <row r="739" spans="1:17" s="46" customFormat="1" ht="13.5" customHeight="1">
      <c r="A739" s="117"/>
      <c r="B739" s="47"/>
      <c r="C739" s="76"/>
      <c r="D739" s="76"/>
      <c r="E739" s="76"/>
      <c r="F739" s="104"/>
      <c r="G739" s="76"/>
      <c r="H739" s="83"/>
      <c r="I739" s="103"/>
      <c r="J739" s="76"/>
      <c r="K739" s="104"/>
      <c r="L739" s="104"/>
      <c r="M739" s="174">
        <f>IF(Tabelle132456[[#This Row],[Pulled after Start]]="",MIN(Tabelle132456[[#This Row],[Jira Story Points]],Tabelle132456[[#This Row],[Carry-over]]),0)</f>
        <v>0</v>
      </c>
      <c r="N739" s="173">
        <f>MIN(Tabelle132456[[#This Row],[Jira Story Points]],Tabelle132456[[#This Row],[Carry-over]])-Tabelle132456[[#This Row],[SP Initially Planned (COS)]]</f>
        <v>0</v>
      </c>
      <c r="O73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39" s="173">
        <f>IFERROR(IF(Tabelle132456[[#This Row],[Status]]=$I$5,MIN(Tabelle132456[[#This Row],[Jira Story Points]],Tabelle132456[[#This Row],[Carry-over]]),0),0)</f>
        <v>0</v>
      </c>
      <c r="Q739" s="173">
        <f>IFERROR(IF(Tabelle132456[[#This Row],[Status]]=$I$5,0,MIN(Tabelle132456[[#This Row],[Jira Story Points]],Tabelle132456[[#This Row],[Carry-over]])-Tabelle132456[[#This Row],[SP Completed (COS &amp; SOS)]]),0)</f>
        <v>0</v>
      </c>
    </row>
    <row r="740" spans="1:17" s="46" customFormat="1" ht="13.5" customHeight="1">
      <c r="A740" s="117"/>
      <c r="B740" s="47"/>
      <c r="C740" s="76"/>
      <c r="D740" s="76"/>
      <c r="E740" s="76"/>
      <c r="F740" s="104"/>
      <c r="G740" s="76"/>
      <c r="H740" s="83"/>
      <c r="I740" s="103"/>
      <c r="J740" s="76"/>
      <c r="K740" s="104"/>
      <c r="L740" s="104"/>
      <c r="M740" s="174">
        <f>IF(Tabelle132456[[#This Row],[Pulled after Start]]="",MIN(Tabelle132456[[#This Row],[Jira Story Points]],Tabelle132456[[#This Row],[Carry-over]]),0)</f>
        <v>0</v>
      </c>
      <c r="N740" s="173">
        <f>MIN(Tabelle132456[[#This Row],[Jira Story Points]],Tabelle132456[[#This Row],[Carry-over]])-Tabelle132456[[#This Row],[SP Initially Planned (COS)]]</f>
        <v>0</v>
      </c>
      <c r="O74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40" s="173">
        <f>IFERROR(IF(Tabelle132456[[#This Row],[Status]]=$I$5,MIN(Tabelle132456[[#This Row],[Jira Story Points]],Tabelle132456[[#This Row],[Carry-over]]),0),0)</f>
        <v>0</v>
      </c>
      <c r="Q740" s="173">
        <f>IFERROR(IF(Tabelle132456[[#This Row],[Status]]=$I$5,0,MIN(Tabelle132456[[#This Row],[Jira Story Points]],Tabelle132456[[#This Row],[Carry-over]])-Tabelle132456[[#This Row],[SP Completed (COS &amp; SOS)]]),0)</f>
        <v>0</v>
      </c>
    </row>
    <row r="741" spans="1:17" s="46" customFormat="1" ht="13.5" customHeight="1">
      <c r="A741" s="117"/>
      <c r="B741" s="47"/>
      <c r="C741" s="76"/>
      <c r="D741" s="76"/>
      <c r="E741" s="76"/>
      <c r="F741" s="104"/>
      <c r="G741" s="76"/>
      <c r="H741" s="83"/>
      <c r="I741" s="103"/>
      <c r="J741" s="76"/>
      <c r="K741" s="104"/>
      <c r="L741" s="104"/>
      <c r="M741" s="174">
        <f>IF(Tabelle132456[[#This Row],[Pulled after Start]]="",MIN(Tabelle132456[[#This Row],[Jira Story Points]],Tabelle132456[[#This Row],[Carry-over]]),0)</f>
        <v>0</v>
      </c>
      <c r="N741" s="173">
        <f>MIN(Tabelle132456[[#This Row],[Jira Story Points]],Tabelle132456[[#This Row],[Carry-over]])-Tabelle132456[[#This Row],[SP Initially Planned (COS)]]</f>
        <v>0</v>
      </c>
      <c r="O74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41" s="173">
        <f>IFERROR(IF(Tabelle132456[[#This Row],[Status]]=$I$5,MIN(Tabelle132456[[#This Row],[Jira Story Points]],Tabelle132456[[#This Row],[Carry-over]]),0),0)</f>
        <v>0</v>
      </c>
      <c r="Q741" s="173">
        <f>IFERROR(IF(Tabelle132456[[#This Row],[Status]]=$I$5,0,MIN(Tabelle132456[[#This Row],[Jira Story Points]],Tabelle132456[[#This Row],[Carry-over]])-Tabelle132456[[#This Row],[SP Completed (COS &amp; SOS)]]),0)</f>
        <v>0</v>
      </c>
    </row>
    <row r="742" spans="1:17" s="46" customFormat="1" ht="13.5" customHeight="1">
      <c r="A742" s="117"/>
      <c r="B742" s="47"/>
      <c r="C742" s="76"/>
      <c r="D742" s="76"/>
      <c r="E742" s="76"/>
      <c r="F742" s="104"/>
      <c r="G742" s="76"/>
      <c r="H742" s="83"/>
      <c r="I742" s="103"/>
      <c r="J742" s="76"/>
      <c r="K742" s="104"/>
      <c r="L742" s="104"/>
      <c r="M742" s="174">
        <f>IF(Tabelle132456[[#This Row],[Pulled after Start]]="",MIN(Tabelle132456[[#This Row],[Jira Story Points]],Tabelle132456[[#This Row],[Carry-over]]),0)</f>
        <v>0</v>
      </c>
      <c r="N742" s="173">
        <f>MIN(Tabelle132456[[#This Row],[Jira Story Points]],Tabelle132456[[#This Row],[Carry-over]])-Tabelle132456[[#This Row],[SP Initially Planned (COS)]]</f>
        <v>0</v>
      </c>
      <c r="O74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42" s="173">
        <f>IFERROR(IF(Tabelle132456[[#This Row],[Status]]=$I$5,MIN(Tabelle132456[[#This Row],[Jira Story Points]],Tabelle132456[[#This Row],[Carry-over]]),0),0)</f>
        <v>0</v>
      </c>
      <c r="Q742" s="173">
        <f>IFERROR(IF(Tabelle132456[[#This Row],[Status]]=$I$5,0,MIN(Tabelle132456[[#This Row],[Jira Story Points]],Tabelle132456[[#This Row],[Carry-over]])-Tabelle132456[[#This Row],[SP Completed (COS &amp; SOS)]]),0)</f>
        <v>0</v>
      </c>
    </row>
    <row r="743" spans="1:17" s="46" customFormat="1" ht="13.5" customHeight="1">
      <c r="A743" s="117"/>
      <c r="B743" s="47"/>
      <c r="C743" s="76"/>
      <c r="D743" s="76"/>
      <c r="E743" s="76"/>
      <c r="F743" s="104"/>
      <c r="G743" s="76"/>
      <c r="H743" s="83"/>
      <c r="I743" s="103"/>
      <c r="J743" s="76"/>
      <c r="K743" s="104"/>
      <c r="L743" s="104"/>
      <c r="M743" s="174">
        <f>IF(Tabelle132456[[#This Row],[Pulled after Start]]="",MIN(Tabelle132456[[#This Row],[Jira Story Points]],Tabelle132456[[#This Row],[Carry-over]]),0)</f>
        <v>0</v>
      </c>
      <c r="N743" s="173">
        <f>MIN(Tabelle132456[[#This Row],[Jira Story Points]],Tabelle132456[[#This Row],[Carry-over]])-Tabelle132456[[#This Row],[SP Initially Planned (COS)]]</f>
        <v>0</v>
      </c>
      <c r="O74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43" s="173">
        <f>IFERROR(IF(Tabelle132456[[#This Row],[Status]]=$I$5,MIN(Tabelle132456[[#This Row],[Jira Story Points]],Tabelle132456[[#This Row],[Carry-over]]),0),0)</f>
        <v>0</v>
      </c>
      <c r="Q743" s="173">
        <f>IFERROR(IF(Tabelle132456[[#This Row],[Status]]=$I$5,0,MIN(Tabelle132456[[#This Row],[Jira Story Points]],Tabelle132456[[#This Row],[Carry-over]])-Tabelle132456[[#This Row],[SP Completed (COS &amp; SOS)]]),0)</f>
        <v>0</v>
      </c>
    </row>
    <row r="744" spans="1:17" s="46" customFormat="1" ht="13.5" customHeight="1">
      <c r="A744" s="117"/>
      <c r="B744" s="47"/>
      <c r="C744" s="76"/>
      <c r="D744" s="76"/>
      <c r="E744" s="76"/>
      <c r="F744" s="104"/>
      <c r="G744" s="76"/>
      <c r="H744" s="83"/>
      <c r="I744" s="103"/>
      <c r="J744" s="76"/>
      <c r="K744" s="104"/>
      <c r="L744" s="104"/>
      <c r="M744" s="174">
        <f>IF(Tabelle132456[[#This Row],[Pulled after Start]]="",MIN(Tabelle132456[[#This Row],[Jira Story Points]],Tabelle132456[[#This Row],[Carry-over]]),0)</f>
        <v>0</v>
      </c>
      <c r="N744" s="173">
        <f>MIN(Tabelle132456[[#This Row],[Jira Story Points]],Tabelle132456[[#This Row],[Carry-over]])-Tabelle132456[[#This Row],[SP Initially Planned (COS)]]</f>
        <v>0</v>
      </c>
      <c r="O74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44" s="173">
        <f>IFERROR(IF(Tabelle132456[[#This Row],[Status]]=$I$5,MIN(Tabelle132456[[#This Row],[Jira Story Points]],Tabelle132456[[#This Row],[Carry-over]]),0),0)</f>
        <v>0</v>
      </c>
      <c r="Q744" s="173">
        <f>IFERROR(IF(Tabelle132456[[#This Row],[Status]]=$I$5,0,MIN(Tabelle132456[[#This Row],[Jira Story Points]],Tabelle132456[[#This Row],[Carry-over]])-Tabelle132456[[#This Row],[SP Completed (COS &amp; SOS)]]),0)</f>
        <v>0</v>
      </c>
    </row>
    <row r="745" spans="1:17" s="46" customFormat="1" ht="13.5" customHeight="1">
      <c r="A745" s="117"/>
      <c r="B745" s="47"/>
      <c r="C745" s="76"/>
      <c r="D745" s="76"/>
      <c r="E745" s="76"/>
      <c r="F745" s="104"/>
      <c r="G745" s="76"/>
      <c r="H745" s="83"/>
      <c r="I745" s="103"/>
      <c r="J745" s="76"/>
      <c r="K745" s="104"/>
      <c r="L745" s="104"/>
      <c r="M745" s="174">
        <f>IF(Tabelle132456[[#This Row],[Pulled after Start]]="",MIN(Tabelle132456[[#This Row],[Jira Story Points]],Tabelle132456[[#This Row],[Carry-over]]),0)</f>
        <v>0</v>
      </c>
      <c r="N745" s="173">
        <f>MIN(Tabelle132456[[#This Row],[Jira Story Points]],Tabelle132456[[#This Row],[Carry-over]])-Tabelle132456[[#This Row],[SP Initially Planned (COS)]]</f>
        <v>0</v>
      </c>
      <c r="O74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45" s="173">
        <f>IFERROR(IF(Tabelle132456[[#This Row],[Status]]=$I$5,MIN(Tabelle132456[[#This Row],[Jira Story Points]],Tabelle132456[[#This Row],[Carry-over]]),0),0)</f>
        <v>0</v>
      </c>
      <c r="Q745" s="173">
        <f>IFERROR(IF(Tabelle132456[[#This Row],[Status]]=$I$5,0,MIN(Tabelle132456[[#This Row],[Jira Story Points]],Tabelle132456[[#This Row],[Carry-over]])-Tabelle132456[[#This Row],[SP Completed (COS &amp; SOS)]]),0)</f>
        <v>0</v>
      </c>
    </row>
    <row r="746" spans="1:17" s="46" customFormat="1" ht="13.5" customHeight="1">
      <c r="A746" s="117"/>
      <c r="B746" s="47"/>
      <c r="C746" s="76"/>
      <c r="D746" s="76"/>
      <c r="E746" s="76"/>
      <c r="F746" s="104"/>
      <c r="G746" s="76"/>
      <c r="H746" s="83"/>
      <c r="I746" s="103"/>
      <c r="J746" s="76"/>
      <c r="K746" s="104"/>
      <c r="L746" s="104"/>
      <c r="M746" s="174">
        <f>IF(Tabelle132456[[#This Row],[Pulled after Start]]="",MIN(Tabelle132456[[#This Row],[Jira Story Points]],Tabelle132456[[#This Row],[Carry-over]]),0)</f>
        <v>0</v>
      </c>
      <c r="N746" s="173">
        <f>MIN(Tabelle132456[[#This Row],[Jira Story Points]],Tabelle132456[[#This Row],[Carry-over]])-Tabelle132456[[#This Row],[SP Initially Planned (COS)]]</f>
        <v>0</v>
      </c>
      <c r="O74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46" s="173">
        <f>IFERROR(IF(Tabelle132456[[#This Row],[Status]]=$I$5,MIN(Tabelle132456[[#This Row],[Jira Story Points]],Tabelle132456[[#This Row],[Carry-over]]),0),0)</f>
        <v>0</v>
      </c>
      <c r="Q746" s="173">
        <f>IFERROR(IF(Tabelle132456[[#This Row],[Status]]=$I$5,0,MIN(Tabelle132456[[#This Row],[Jira Story Points]],Tabelle132456[[#This Row],[Carry-over]])-Tabelle132456[[#This Row],[SP Completed (COS &amp; SOS)]]),0)</f>
        <v>0</v>
      </c>
    </row>
    <row r="747" spans="1:17" s="46" customFormat="1" ht="13.5" customHeight="1">
      <c r="A747" s="117"/>
      <c r="B747" s="47"/>
      <c r="C747" s="76"/>
      <c r="D747" s="76"/>
      <c r="E747" s="76"/>
      <c r="F747" s="104"/>
      <c r="G747" s="76"/>
      <c r="H747" s="83"/>
      <c r="I747" s="103"/>
      <c r="J747" s="76"/>
      <c r="K747" s="104"/>
      <c r="L747" s="104"/>
      <c r="M747" s="174">
        <f>IF(Tabelle132456[[#This Row],[Pulled after Start]]="",MIN(Tabelle132456[[#This Row],[Jira Story Points]],Tabelle132456[[#This Row],[Carry-over]]),0)</f>
        <v>0</v>
      </c>
      <c r="N747" s="173">
        <f>MIN(Tabelle132456[[#This Row],[Jira Story Points]],Tabelle132456[[#This Row],[Carry-over]])-Tabelle132456[[#This Row],[SP Initially Planned (COS)]]</f>
        <v>0</v>
      </c>
      <c r="O74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47" s="173">
        <f>IFERROR(IF(Tabelle132456[[#This Row],[Status]]=$I$5,MIN(Tabelle132456[[#This Row],[Jira Story Points]],Tabelle132456[[#This Row],[Carry-over]]),0),0)</f>
        <v>0</v>
      </c>
      <c r="Q747" s="173">
        <f>IFERROR(IF(Tabelle132456[[#This Row],[Status]]=$I$5,0,MIN(Tabelle132456[[#This Row],[Jira Story Points]],Tabelle132456[[#This Row],[Carry-over]])-Tabelle132456[[#This Row],[SP Completed (COS &amp; SOS)]]),0)</f>
        <v>0</v>
      </c>
    </row>
    <row r="748" spans="1:17" s="46" customFormat="1" ht="13.5" customHeight="1">
      <c r="A748" s="117"/>
      <c r="B748" s="47"/>
      <c r="C748" s="76"/>
      <c r="D748" s="76"/>
      <c r="E748" s="76"/>
      <c r="F748" s="104"/>
      <c r="G748" s="76"/>
      <c r="H748" s="83"/>
      <c r="I748" s="103"/>
      <c r="J748" s="76"/>
      <c r="K748" s="104"/>
      <c r="L748" s="104"/>
      <c r="M748" s="174">
        <f>IF(Tabelle132456[[#This Row],[Pulled after Start]]="",MIN(Tabelle132456[[#This Row],[Jira Story Points]],Tabelle132456[[#This Row],[Carry-over]]),0)</f>
        <v>0</v>
      </c>
      <c r="N748" s="173">
        <f>MIN(Tabelle132456[[#This Row],[Jira Story Points]],Tabelle132456[[#This Row],[Carry-over]])-Tabelle132456[[#This Row],[SP Initially Planned (COS)]]</f>
        <v>0</v>
      </c>
      <c r="O74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48" s="173">
        <f>IFERROR(IF(Tabelle132456[[#This Row],[Status]]=$I$5,MIN(Tabelle132456[[#This Row],[Jira Story Points]],Tabelle132456[[#This Row],[Carry-over]]),0),0)</f>
        <v>0</v>
      </c>
      <c r="Q748" s="173">
        <f>IFERROR(IF(Tabelle132456[[#This Row],[Status]]=$I$5,0,MIN(Tabelle132456[[#This Row],[Jira Story Points]],Tabelle132456[[#This Row],[Carry-over]])-Tabelle132456[[#This Row],[SP Completed (COS &amp; SOS)]]),0)</f>
        <v>0</v>
      </c>
    </row>
    <row r="749" spans="1:17" s="46" customFormat="1" ht="13.5" customHeight="1">
      <c r="A749" s="117"/>
      <c r="B749" s="47"/>
      <c r="C749" s="76"/>
      <c r="D749" s="76"/>
      <c r="E749" s="76"/>
      <c r="F749" s="104"/>
      <c r="G749" s="76"/>
      <c r="H749" s="83"/>
      <c r="I749" s="103"/>
      <c r="J749" s="76"/>
      <c r="K749" s="104"/>
      <c r="L749" s="104"/>
      <c r="M749" s="174">
        <f>IF(Tabelle132456[[#This Row],[Pulled after Start]]="",MIN(Tabelle132456[[#This Row],[Jira Story Points]],Tabelle132456[[#This Row],[Carry-over]]),0)</f>
        <v>0</v>
      </c>
      <c r="N749" s="173">
        <f>MIN(Tabelle132456[[#This Row],[Jira Story Points]],Tabelle132456[[#This Row],[Carry-over]])-Tabelle132456[[#This Row],[SP Initially Planned (COS)]]</f>
        <v>0</v>
      </c>
      <c r="O74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49" s="173">
        <f>IFERROR(IF(Tabelle132456[[#This Row],[Status]]=$I$5,MIN(Tabelle132456[[#This Row],[Jira Story Points]],Tabelle132456[[#This Row],[Carry-over]]),0),0)</f>
        <v>0</v>
      </c>
      <c r="Q749" s="173">
        <f>IFERROR(IF(Tabelle132456[[#This Row],[Status]]=$I$5,0,MIN(Tabelle132456[[#This Row],[Jira Story Points]],Tabelle132456[[#This Row],[Carry-over]])-Tabelle132456[[#This Row],[SP Completed (COS &amp; SOS)]]),0)</f>
        <v>0</v>
      </c>
    </row>
    <row r="750" spans="1:17" s="46" customFormat="1" ht="13.5" customHeight="1">
      <c r="A750" s="117"/>
      <c r="B750" s="47"/>
      <c r="C750" s="76"/>
      <c r="D750" s="76"/>
      <c r="E750" s="76"/>
      <c r="F750" s="104"/>
      <c r="G750" s="76"/>
      <c r="H750" s="83"/>
      <c r="I750" s="103"/>
      <c r="J750" s="76"/>
      <c r="K750" s="104"/>
      <c r="L750" s="104"/>
      <c r="M750" s="174">
        <f>IF(Tabelle132456[[#This Row],[Pulled after Start]]="",MIN(Tabelle132456[[#This Row],[Jira Story Points]],Tabelle132456[[#This Row],[Carry-over]]),0)</f>
        <v>0</v>
      </c>
      <c r="N750" s="173">
        <f>MIN(Tabelle132456[[#This Row],[Jira Story Points]],Tabelle132456[[#This Row],[Carry-over]])-Tabelle132456[[#This Row],[SP Initially Planned (COS)]]</f>
        <v>0</v>
      </c>
      <c r="O75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50" s="173">
        <f>IFERROR(IF(Tabelle132456[[#This Row],[Status]]=$I$5,MIN(Tabelle132456[[#This Row],[Jira Story Points]],Tabelle132456[[#This Row],[Carry-over]]),0),0)</f>
        <v>0</v>
      </c>
      <c r="Q750" s="173">
        <f>IFERROR(IF(Tabelle132456[[#This Row],[Status]]=$I$5,0,MIN(Tabelle132456[[#This Row],[Jira Story Points]],Tabelle132456[[#This Row],[Carry-over]])-Tabelle132456[[#This Row],[SP Completed (COS &amp; SOS)]]),0)</f>
        <v>0</v>
      </c>
    </row>
    <row r="751" spans="1:17" s="46" customFormat="1" ht="13.5" customHeight="1">
      <c r="A751" s="117"/>
      <c r="B751" s="47"/>
      <c r="C751" s="76"/>
      <c r="D751" s="76"/>
      <c r="E751" s="76"/>
      <c r="F751" s="104"/>
      <c r="G751" s="76"/>
      <c r="H751" s="83"/>
      <c r="I751" s="103"/>
      <c r="J751" s="76"/>
      <c r="K751" s="104"/>
      <c r="L751" s="104"/>
      <c r="M751" s="174">
        <f>IF(Tabelle132456[[#This Row],[Pulled after Start]]="",MIN(Tabelle132456[[#This Row],[Jira Story Points]],Tabelle132456[[#This Row],[Carry-over]]),0)</f>
        <v>0</v>
      </c>
      <c r="N751" s="173">
        <f>MIN(Tabelle132456[[#This Row],[Jira Story Points]],Tabelle132456[[#This Row],[Carry-over]])-Tabelle132456[[#This Row],[SP Initially Planned (COS)]]</f>
        <v>0</v>
      </c>
      <c r="O75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51" s="173">
        <f>IFERROR(IF(Tabelle132456[[#This Row],[Status]]=$I$5,MIN(Tabelle132456[[#This Row],[Jira Story Points]],Tabelle132456[[#This Row],[Carry-over]]),0),0)</f>
        <v>0</v>
      </c>
      <c r="Q751" s="173">
        <f>IFERROR(IF(Tabelle132456[[#This Row],[Status]]=$I$5,0,MIN(Tabelle132456[[#This Row],[Jira Story Points]],Tabelle132456[[#This Row],[Carry-over]])-Tabelle132456[[#This Row],[SP Completed (COS &amp; SOS)]]),0)</f>
        <v>0</v>
      </c>
    </row>
    <row r="752" spans="1:17" s="46" customFormat="1" ht="13.5" customHeight="1">
      <c r="A752" s="117"/>
      <c r="B752" s="47"/>
      <c r="C752" s="76"/>
      <c r="D752" s="76"/>
      <c r="E752" s="76"/>
      <c r="F752" s="104"/>
      <c r="G752" s="76"/>
      <c r="H752" s="83"/>
      <c r="I752" s="103"/>
      <c r="J752" s="76"/>
      <c r="K752" s="104"/>
      <c r="L752" s="104"/>
      <c r="M752" s="174">
        <f>IF(Tabelle132456[[#This Row],[Pulled after Start]]="",MIN(Tabelle132456[[#This Row],[Jira Story Points]],Tabelle132456[[#This Row],[Carry-over]]),0)</f>
        <v>0</v>
      </c>
      <c r="N752" s="173">
        <f>MIN(Tabelle132456[[#This Row],[Jira Story Points]],Tabelle132456[[#This Row],[Carry-over]])-Tabelle132456[[#This Row],[SP Initially Planned (COS)]]</f>
        <v>0</v>
      </c>
      <c r="O75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52" s="173">
        <f>IFERROR(IF(Tabelle132456[[#This Row],[Status]]=$I$5,MIN(Tabelle132456[[#This Row],[Jira Story Points]],Tabelle132456[[#This Row],[Carry-over]]),0),0)</f>
        <v>0</v>
      </c>
      <c r="Q752" s="173">
        <f>IFERROR(IF(Tabelle132456[[#This Row],[Status]]=$I$5,0,MIN(Tabelle132456[[#This Row],[Jira Story Points]],Tabelle132456[[#This Row],[Carry-over]])-Tabelle132456[[#This Row],[SP Completed (COS &amp; SOS)]]),0)</f>
        <v>0</v>
      </c>
    </row>
    <row r="753" spans="1:17" s="46" customFormat="1" ht="13.5" customHeight="1">
      <c r="A753" s="117"/>
      <c r="B753" s="47"/>
      <c r="C753" s="76"/>
      <c r="D753" s="76"/>
      <c r="E753" s="76"/>
      <c r="F753" s="104"/>
      <c r="G753" s="76"/>
      <c r="H753" s="83"/>
      <c r="I753" s="103"/>
      <c r="J753" s="76"/>
      <c r="K753" s="104"/>
      <c r="L753" s="104"/>
      <c r="M753" s="174">
        <f>IF(Tabelle132456[[#This Row],[Pulled after Start]]="",MIN(Tabelle132456[[#This Row],[Jira Story Points]],Tabelle132456[[#This Row],[Carry-over]]),0)</f>
        <v>0</v>
      </c>
      <c r="N753" s="173">
        <f>MIN(Tabelle132456[[#This Row],[Jira Story Points]],Tabelle132456[[#This Row],[Carry-over]])-Tabelle132456[[#This Row],[SP Initially Planned (COS)]]</f>
        <v>0</v>
      </c>
      <c r="O75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53" s="173">
        <f>IFERROR(IF(Tabelle132456[[#This Row],[Status]]=$I$5,MIN(Tabelle132456[[#This Row],[Jira Story Points]],Tabelle132456[[#This Row],[Carry-over]]),0),0)</f>
        <v>0</v>
      </c>
      <c r="Q753" s="173">
        <f>IFERROR(IF(Tabelle132456[[#This Row],[Status]]=$I$5,0,MIN(Tabelle132456[[#This Row],[Jira Story Points]],Tabelle132456[[#This Row],[Carry-over]])-Tabelle132456[[#This Row],[SP Completed (COS &amp; SOS)]]),0)</f>
        <v>0</v>
      </c>
    </row>
    <row r="754" spans="1:17" s="46" customFormat="1" ht="13.5" customHeight="1">
      <c r="A754" s="117"/>
      <c r="B754" s="47"/>
      <c r="C754" s="76"/>
      <c r="D754" s="76"/>
      <c r="E754" s="76"/>
      <c r="F754" s="104"/>
      <c r="G754" s="76"/>
      <c r="H754" s="83"/>
      <c r="I754" s="103"/>
      <c r="J754" s="76"/>
      <c r="K754" s="104"/>
      <c r="L754" s="104"/>
      <c r="M754" s="174">
        <f>IF(Tabelle132456[[#This Row],[Pulled after Start]]="",MIN(Tabelle132456[[#This Row],[Jira Story Points]],Tabelle132456[[#This Row],[Carry-over]]),0)</f>
        <v>0</v>
      </c>
      <c r="N754" s="173">
        <f>MIN(Tabelle132456[[#This Row],[Jira Story Points]],Tabelle132456[[#This Row],[Carry-over]])-Tabelle132456[[#This Row],[SP Initially Planned (COS)]]</f>
        <v>0</v>
      </c>
      <c r="O75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54" s="173">
        <f>IFERROR(IF(Tabelle132456[[#This Row],[Status]]=$I$5,MIN(Tabelle132456[[#This Row],[Jira Story Points]],Tabelle132456[[#This Row],[Carry-over]]),0),0)</f>
        <v>0</v>
      </c>
      <c r="Q754" s="173">
        <f>IFERROR(IF(Tabelle132456[[#This Row],[Status]]=$I$5,0,MIN(Tabelle132456[[#This Row],[Jira Story Points]],Tabelle132456[[#This Row],[Carry-over]])-Tabelle132456[[#This Row],[SP Completed (COS &amp; SOS)]]),0)</f>
        <v>0</v>
      </c>
    </row>
    <row r="755" spans="1:17" s="46" customFormat="1" ht="13.5" customHeight="1">
      <c r="A755" s="117"/>
      <c r="B755" s="47"/>
      <c r="C755" s="76"/>
      <c r="D755" s="76"/>
      <c r="E755" s="76"/>
      <c r="F755" s="104"/>
      <c r="G755" s="76"/>
      <c r="H755" s="83"/>
      <c r="I755" s="103"/>
      <c r="J755" s="76"/>
      <c r="K755" s="104"/>
      <c r="L755" s="104"/>
      <c r="M755" s="174">
        <f>IF(Tabelle132456[[#This Row],[Pulled after Start]]="",MIN(Tabelle132456[[#This Row],[Jira Story Points]],Tabelle132456[[#This Row],[Carry-over]]),0)</f>
        <v>0</v>
      </c>
      <c r="N755" s="173">
        <f>MIN(Tabelle132456[[#This Row],[Jira Story Points]],Tabelle132456[[#This Row],[Carry-over]])-Tabelle132456[[#This Row],[SP Initially Planned (COS)]]</f>
        <v>0</v>
      </c>
      <c r="O75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55" s="173">
        <f>IFERROR(IF(Tabelle132456[[#This Row],[Status]]=$I$5,MIN(Tabelle132456[[#This Row],[Jira Story Points]],Tabelle132456[[#This Row],[Carry-over]]),0),0)</f>
        <v>0</v>
      </c>
      <c r="Q755" s="173">
        <f>IFERROR(IF(Tabelle132456[[#This Row],[Status]]=$I$5,0,MIN(Tabelle132456[[#This Row],[Jira Story Points]],Tabelle132456[[#This Row],[Carry-over]])-Tabelle132456[[#This Row],[SP Completed (COS &amp; SOS)]]),0)</f>
        <v>0</v>
      </c>
    </row>
    <row r="756" spans="1:17" s="46" customFormat="1" ht="13.5" customHeight="1">
      <c r="A756" s="117"/>
      <c r="B756" s="47"/>
      <c r="C756" s="76"/>
      <c r="D756" s="76"/>
      <c r="E756" s="76"/>
      <c r="F756" s="104"/>
      <c r="G756" s="76"/>
      <c r="H756" s="83"/>
      <c r="I756" s="103"/>
      <c r="J756" s="76"/>
      <c r="K756" s="104"/>
      <c r="L756" s="104"/>
      <c r="M756" s="174">
        <f>IF(Tabelle132456[[#This Row],[Pulled after Start]]="",MIN(Tabelle132456[[#This Row],[Jira Story Points]],Tabelle132456[[#This Row],[Carry-over]]),0)</f>
        <v>0</v>
      </c>
      <c r="N756" s="173">
        <f>MIN(Tabelle132456[[#This Row],[Jira Story Points]],Tabelle132456[[#This Row],[Carry-over]])-Tabelle132456[[#This Row],[SP Initially Planned (COS)]]</f>
        <v>0</v>
      </c>
      <c r="O75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56" s="173">
        <f>IFERROR(IF(Tabelle132456[[#This Row],[Status]]=$I$5,MIN(Tabelle132456[[#This Row],[Jira Story Points]],Tabelle132456[[#This Row],[Carry-over]]),0),0)</f>
        <v>0</v>
      </c>
      <c r="Q756" s="173">
        <f>IFERROR(IF(Tabelle132456[[#This Row],[Status]]=$I$5,0,MIN(Tabelle132456[[#This Row],[Jira Story Points]],Tabelle132456[[#This Row],[Carry-over]])-Tabelle132456[[#This Row],[SP Completed (COS &amp; SOS)]]),0)</f>
        <v>0</v>
      </c>
    </row>
    <row r="757" spans="1:17" s="46" customFormat="1" ht="13.5" customHeight="1">
      <c r="A757" s="117"/>
      <c r="B757" s="47"/>
      <c r="C757" s="76"/>
      <c r="D757" s="76"/>
      <c r="E757" s="76"/>
      <c r="F757" s="104"/>
      <c r="G757" s="76"/>
      <c r="H757" s="83"/>
      <c r="I757" s="103"/>
      <c r="J757" s="76"/>
      <c r="K757" s="104"/>
      <c r="L757" s="104"/>
      <c r="M757" s="174">
        <f>IF(Tabelle132456[[#This Row],[Pulled after Start]]="",MIN(Tabelle132456[[#This Row],[Jira Story Points]],Tabelle132456[[#This Row],[Carry-over]]),0)</f>
        <v>0</v>
      </c>
      <c r="N757" s="173">
        <f>MIN(Tabelle132456[[#This Row],[Jira Story Points]],Tabelle132456[[#This Row],[Carry-over]])-Tabelle132456[[#This Row],[SP Initially Planned (COS)]]</f>
        <v>0</v>
      </c>
      <c r="O75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57" s="173">
        <f>IFERROR(IF(Tabelle132456[[#This Row],[Status]]=$I$5,MIN(Tabelle132456[[#This Row],[Jira Story Points]],Tabelle132456[[#This Row],[Carry-over]]),0),0)</f>
        <v>0</v>
      </c>
      <c r="Q757" s="173">
        <f>IFERROR(IF(Tabelle132456[[#This Row],[Status]]=$I$5,0,MIN(Tabelle132456[[#This Row],[Jira Story Points]],Tabelle132456[[#This Row],[Carry-over]])-Tabelle132456[[#This Row],[SP Completed (COS &amp; SOS)]]),0)</f>
        <v>0</v>
      </c>
    </row>
    <row r="758" spans="1:17" s="46" customFormat="1" ht="13.5" customHeight="1">
      <c r="A758" s="117"/>
      <c r="B758" s="47"/>
      <c r="C758" s="76"/>
      <c r="D758" s="76"/>
      <c r="E758" s="76"/>
      <c r="F758" s="104"/>
      <c r="G758" s="76"/>
      <c r="H758" s="83"/>
      <c r="I758" s="103"/>
      <c r="J758" s="76"/>
      <c r="K758" s="104"/>
      <c r="L758" s="104"/>
      <c r="M758" s="174">
        <f>IF(Tabelle132456[[#This Row],[Pulled after Start]]="",MIN(Tabelle132456[[#This Row],[Jira Story Points]],Tabelle132456[[#This Row],[Carry-over]]),0)</f>
        <v>0</v>
      </c>
      <c r="N758" s="173">
        <f>MIN(Tabelle132456[[#This Row],[Jira Story Points]],Tabelle132456[[#This Row],[Carry-over]])-Tabelle132456[[#This Row],[SP Initially Planned (COS)]]</f>
        <v>0</v>
      </c>
      <c r="O75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58" s="173">
        <f>IFERROR(IF(Tabelle132456[[#This Row],[Status]]=$I$5,MIN(Tabelle132456[[#This Row],[Jira Story Points]],Tabelle132456[[#This Row],[Carry-over]]),0),0)</f>
        <v>0</v>
      </c>
      <c r="Q758" s="173">
        <f>IFERROR(IF(Tabelle132456[[#This Row],[Status]]=$I$5,0,MIN(Tabelle132456[[#This Row],[Jira Story Points]],Tabelle132456[[#This Row],[Carry-over]])-Tabelle132456[[#This Row],[SP Completed (COS &amp; SOS)]]),0)</f>
        <v>0</v>
      </c>
    </row>
    <row r="759" spans="1:17" s="46" customFormat="1" ht="13.5" customHeight="1">
      <c r="A759" s="117"/>
      <c r="B759" s="47"/>
      <c r="C759" s="76"/>
      <c r="D759" s="76"/>
      <c r="E759" s="76"/>
      <c r="F759" s="104"/>
      <c r="G759" s="76"/>
      <c r="H759" s="83"/>
      <c r="I759" s="103"/>
      <c r="J759" s="76"/>
      <c r="K759" s="104"/>
      <c r="L759" s="104"/>
      <c r="M759" s="174">
        <f>IF(Tabelle132456[[#This Row],[Pulled after Start]]="",MIN(Tabelle132456[[#This Row],[Jira Story Points]],Tabelle132456[[#This Row],[Carry-over]]),0)</f>
        <v>0</v>
      </c>
      <c r="N759" s="173">
        <f>MIN(Tabelle132456[[#This Row],[Jira Story Points]],Tabelle132456[[#This Row],[Carry-over]])-Tabelle132456[[#This Row],[SP Initially Planned (COS)]]</f>
        <v>0</v>
      </c>
      <c r="O75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59" s="173">
        <f>IFERROR(IF(Tabelle132456[[#This Row],[Status]]=$I$5,MIN(Tabelle132456[[#This Row],[Jira Story Points]],Tabelle132456[[#This Row],[Carry-over]]),0),0)</f>
        <v>0</v>
      </c>
      <c r="Q759" s="173">
        <f>IFERROR(IF(Tabelle132456[[#This Row],[Status]]=$I$5,0,MIN(Tabelle132456[[#This Row],[Jira Story Points]],Tabelle132456[[#This Row],[Carry-over]])-Tabelle132456[[#This Row],[SP Completed (COS &amp; SOS)]]),0)</f>
        <v>0</v>
      </c>
    </row>
    <row r="760" spans="1:17" s="46" customFormat="1" ht="13.5" customHeight="1">
      <c r="A760" s="117"/>
      <c r="B760" s="47"/>
      <c r="C760" s="76"/>
      <c r="D760" s="76"/>
      <c r="E760" s="76"/>
      <c r="F760" s="104"/>
      <c r="G760" s="76"/>
      <c r="H760" s="83"/>
      <c r="I760" s="103"/>
      <c r="J760" s="76"/>
      <c r="K760" s="104"/>
      <c r="L760" s="104"/>
      <c r="M760" s="174">
        <f>IF(Tabelle132456[[#This Row],[Pulled after Start]]="",MIN(Tabelle132456[[#This Row],[Jira Story Points]],Tabelle132456[[#This Row],[Carry-over]]),0)</f>
        <v>0</v>
      </c>
      <c r="N760" s="173">
        <f>MIN(Tabelle132456[[#This Row],[Jira Story Points]],Tabelle132456[[#This Row],[Carry-over]])-Tabelle132456[[#This Row],[SP Initially Planned (COS)]]</f>
        <v>0</v>
      </c>
      <c r="O76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60" s="173">
        <f>IFERROR(IF(Tabelle132456[[#This Row],[Status]]=$I$5,MIN(Tabelle132456[[#This Row],[Jira Story Points]],Tabelle132456[[#This Row],[Carry-over]]),0),0)</f>
        <v>0</v>
      </c>
      <c r="Q760" s="173">
        <f>IFERROR(IF(Tabelle132456[[#This Row],[Status]]=$I$5,0,MIN(Tabelle132456[[#This Row],[Jira Story Points]],Tabelle132456[[#This Row],[Carry-over]])-Tabelle132456[[#This Row],[SP Completed (COS &amp; SOS)]]),0)</f>
        <v>0</v>
      </c>
    </row>
    <row r="761" spans="1:17" s="46" customFormat="1" ht="13.5" customHeight="1">
      <c r="A761" s="117"/>
      <c r="B761" s="47"/>
      <c r="C761" s="76"/>
      <c r="D761" s="76"/>
      <c r="E761" s="76"/>
      <c r="F761" s="104"/>
      <c r="G761" s="76"/>
      <c r="H761" s="83"/>
      <c r="I761" s="103"/>
      <c r="J761" s="76"/>
      <c r="K761" s="104"/>
      <c r="L761" s="104"/>
      <c r="M761" s="174">
        <f>IF(Tabelle132456[[#This Row],[Pulled after Start]]="",MIN(Tabelle132456[[#This Row],[Jira Story Points]],Tabelle132456[[#This Row],[Carry-over]]),0)</f>
        <v>0</v>
      </c>
      <c r="N761" s="173">
        <f>MIN(Tabelle132456[[#This Row],[Jira Story Points]],Tabelle132456[[#This Row],[Carry-over]])-Tabelle132456[[#This Row],[SP Initially Planned (COS)]]</f>
        <v>0</v>
      </c>
      <c r="O76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61" s="173">
        <f>IFERROR(IF(Tabelle132456[[#This Row],[Status]]=$I$5,MIN(Tabelle132456[[#This Row],[Jira Story Points]],Tabelle132456[[#This Row],[Carry-over]]),0),0)</f>
        <v>0</v>
      </c>
      <c r="Q761" s="173">
        <f>IFERROR(IF(Tabelle132456[[#This Row],[Status]]=$I$5,0,MIN(Tabelle132456[[#This Row],[Jira Story Points]],Tabelle132456[[#This Row],[Carry-over]])-Tabelle132456[[#This Row],[SP Completed (COS &amp; SOS)]]),0)</f>
        <v>0</v>
      </c>
    </row>
    <row r="762" spans="1:17" s="46" customFormat="1" ht="13.5" customHeight="1">
      <c r="A762" s="117"/>
      <c r="B762" s="47"/>
      <c r="C762" s="76"/>
      <c r="D762" s="76"/>
      <c r="E762" s="76"/>
      <c r="F762" s="104"/>
      <c r="G762" s="76"/>
      <c r="H762" s="83"/>
      <c r="I762" s="103"/>
      <c r="J762" s="76"/>
      <c r="K762" s="104"/>
      <c r="L762" s="104"/>
      <c r="M762" s="174">
        <f>IF(Tabelle132456[[#This Row],[Pulled after Start]]="",MIN(Tabelle132456[[#This Row],[Jira Story Points]],Tabelle132456[[#This Row],[Carry-over]]),0)</f>
        <v>0</v>
      </c>
      <c r="N762" s="173">
        <f>MIN(Tabelle132456[[#This Row],[Jira Story Points]],Tabelle132456[[#This Row],[Carry-over]])-Tabelle132456[[#This Row],[SP Initially Planned (COS)]]</f>
        <v>0</v>
      </c>
      <c r="O76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62" s="173">
        <f>IFERROR(IF(Tabelle132456[[#This Row],[Status]]=$I$5,MIN(Tabelle132456[[#This Row],[Jira Story Points]],Tabelle132456[[#This Row],[Carry-over]]),0),0)</f>
        <v>0</v>
      </c>
      <c r="Q762" s="173">
        <f>IFERROR(IF(Tabelle132456[[#This Row],[Status]]=$I$5,0,MIN(Tabelle132456[[#This Row],[Jira Story Points]],Tabelle132456[[#This Row],[Carry-over]])-Tabelle132456[[#This Row],[SP Completed (COS &amp; SOS)]]),0)</f>
        <v>0</v>
      </c>
    </row>
    <row r="763" spans="1:17" s="46" customFormat="1" ht="13.5" customHeight="1">
      <c r="A763" s="117"/>
      <c r="B763" s="47"/>
      <c r="C763" s="76"/>
      <c r="D763" s="76"/>
      <c r="E763" s="76"/>
      <c r="F763" s="104"/>
      <c r="G763" s="76"/>
      <c r="H763" s="83"/>
      <c r="I763" s="103"/>
      <c r="J763" s="76"/>
      <c r="K763" s="104"/>
      <c r="L763" s="104"/>
      <c r="M763" s="174">
        <f>IF(Tabelle132456[[#This Row],[Pulled after Start]]="",MIN(Tabelle132456[[#This Row],[Jira Story Points]],Tabelle132456[[#This Row],[Carry-over]]),0)</f>
        <v>0</v>
      </c>
      <c r="N763" s="173">
        <f>MIN(Tabelle132456[[#This Row],[Jira Story Points]],Tabelle132456[[#This Row],[Carry-over]])-Tabelle132456[[#This Row],[SP Initially Planned (COS)]]</f>
        <v>0</v>
      </c>
      <c r="O76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63" s="173">
        <f>IFERROR(IF(Tabelle132456[[#This Row],[Status]]=$I$5,MIN(Tabelle132456[[#This Row],[Jira Story Points]],Tabelle132456[[#This Row],[Carry-over]]),0),0)</f>
        <v>0</v>
      </c>
      <c r="Q763" s="173">
        <f>IFERROR(IF(Tabelle132456[[#This Row],[Status]]=$I$5,0,MIN(Tabelle132456[[#This Row],[Jira Story Points]],Tabelle132456[[#This Row],[Carry-over]])-Tabelle132456[[#This Row],[SP Completed (COS &amp; SOS)]]),0)</f>
        <v>0</v>
      </c>
    </row>
    <row r="764" spans="1:17" s="46" customFormat="1" ht="13.5" customHeight="1">
      <c r="A764" s="117"/>
      <c r="B764" s="47"/>
      <c r="C764" s="76"/>
      <c r="D764" s="76"/>
      <c r="E764" s="76"/>
      <c r="F764" s="104"/>
      <c r="G764" s="76"/>
      <c r="H764" s="83"/>
      <c r="I764" s="103"/>
      <c r="J764" s="76"/>
      <c r="K764" s="104"/>
      <c r="L764" s="104"/>
      <c r="M764" s="174">
        <f>IF(Tabelle132456[[#This Row],[Pulled after Start]]="",MIN(Tabelle132456[[#This Row],[Jira Story Points]],Tabelle132456[[#This Row],[Carry-over]]),0)</f>
        <v>0</v>
      </c>
      <c r="N764" s="173">
        <f>MIN(Tabelle132456[[#This Row],[Jira Story Points]],Tabelle132456[[#This Row],[Carry-over]])-Tabelle132456[[#This Row],[SP Initially Planned (COS)]]</f>
        <v>0</v>
      </c>
      <c r="O76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64" s="173">
        <f>IFERROR(IF(Tabelle132456[[#This Row],[Status]]=$I$5,MIN(Tabelle132456[[#This Row],[Jira Story Points]],Tabelle132456[[#This Row],[Carry-over]]),0),0)</f>
        <v>0</v>
      </c>
      <c r="Q764" s="173">
        <f>IFERROR(IF(Tabelle132456[[#This Row],[Status]]=$I$5,0,MIN(Tabelle132456[[#This Row],[Jira Story Points]],Tabelle132456[[#This Row],[Carry-over]])-Tabelle132456[[#This Row],[SP Completed (COS &amp; SOS)]]),0)</f>
        <v>0</v>
      </c>
    </row>
    <row r="765" spans="1:17" s="46" customFormat="1" ht="13.5" customHeight="1">
      <c r="A765" s="117"/>
      <c r="B765" s="47"/>
      <c r="C765" s="76"/>
      <c r="D765" s="76"/>
      <c r="E765" s="76"/>
      <c r="F765" s="104"/>
      <c r="G765" s="76"/>
      <c r="H765" s="83"/>
      <c r="I765" s="103"/>
      <c r="J765" s="76"/>
      <c r="K765" s="104"/>
      <c r="L765" s="104"/>
      <c r="M765" s="174">
        <f>IF(Tabelle132456[[#This Row],[Pulled after Start]]="",MIN(Tabelle132456[[#This Row],[Jira Story Points]],Tabelle132456[[#This Row],[Carry-over]]),0)</f>
        <v>0</v>
      </c>
      <c r="N765" s="173">
        <f>MIN(Tabelle132456[[#This Row],[Jira Story Points]],Tabelle132456[[#This Row],[Carry-over]])-Tabelle132456[[#This Row],[SP Initially Planned (COS)]]</f>
        <v>0</v>
      </c>
      <c r="O76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65" s="173">
        <f>IFERROR(IF(Tabelle132456[[#This Row],[Status]]=$I$5,MIN(Tabelle132456[[#This Row],[Jira Story Points]],Tabelle132456[[#This Row],[Carry-over]]),0),0)</f>
        <v>0</v>
      </c>
      <c r="Q765" s="173">
        <f>IFERROR(IF(Tabelle132456[[#This Row],[Status]]=$I$5,0,MIN(Tabelle132456[[#This Row],[Jira Story Points]],Tabelle132456[[#This Row],[Carry-over]])-Tabelle132456[[#This Row],[SP Completed (COS &amp; SOS)]]),0)</f>
        <v>0</v>
      </c>
    </row>
    <row r="766" spans="1:17" s="46" customFormat="1" ht="13.5" customHeight="1">
      <c r="A766" s="117"/>
      <c r="B766" s="47"/>
      <c r="C766" s="76"/>
      <c r="D766" s="76"/>
      <c r="E766" s="76"/>
      <c r="F766" s="104"/>
      <c r="G766" s="76"/>
      <c r="H766" s="83"/>
      <c r="I766" s="103"/>
      <c r="J766" s="76"/>
      <c r="K766" s="104"/>
      <c r="L766" s="104"/>
      <c r="M766" s="174">
        <f>IF(Tabelle132456[[#This Row],[Pulled after Start]]="",MIN(Tabelle132456[[#This Row],[Jira Story Points]],Tabelle132456[[#This Row],[Carry-over]]),0)</f>
        <v>0</v>
      </c>
      <c r="N766" s="173">
        <f>MIN(Tabelle132456[[#This Row],[Jira Story Points]],Tabelle132456[[#This Row],[Carry-over]])-Tabelle132456[[#This Row],[SP Initially Planned (COS)]]</f>
        <v>0</v>
      </c>
      <c r="O76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66" s="173">
        <f>IFERROR(IF(Tabelle132456[[#This Row],[Status]]=$I$5,MIN(Tabelle132456[[#This Row],[Jira Story Points]],Tabelle132456[[#This Row],[Carry-over]]),0),0)</f>
        <v>0</v>
      </c>
      <c r="Q766" s="173">
        <f>IFERROR(IF(Tabelle132456[[#This Row],[Status]]=$I$5,0,MIN(Tabelle132456[[#This Row],[Jira Story Points]],Tabelle132456[[#This Row],[Carry-over]])-Tabelle132456[[#This Row],[SP Completed (COS &amp; SOS)]]),0)</f>
        <v>0</v>
      </c>
    </row>
    <row r="767" spans="1:17" s="46" customFormat="1" ht="13.5" customHeight="1">
      <c r="A767" s="117"/>
      <c r="B767" s="47"/>
      <c r="C767" s="76"/>
      <c r="D767" s="76"/>
      <c r="E767" s="76"/>
      <c r="F767" s="104"/>
      <c r="G767" s="76"/>
      <c r="H767" s="83"/>
      <c r="I767" s="103"/>
      <c r="J767" s="76"/>
      <c r="K767" s="104"/>
      <c r="L767" s="104"/>
      <c r="M767" s="174">
        <f>IF(Tabelle132456[[#This Row],[Pulled after Start]]="",MIN(Tabelle132456[[#This Row],[Jira Story Points]],Tabelle132456[[#This Row],[Carry-over]]),0)</f>
        <v>0</v>
      </c>
      <c r="N767" s="173">
        <f>MIN(Tabelle132456[[#This Row],[Jira Story Points]],Tabelle132456[[#This Row],[Carry-over]])-Tabelle132456[[#This Row],[SP Initially Planned (COS)]]</f>
        <v>0</v>
      </c>
      <c r="O76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67" s="173">
        <f>IFERROR(IF(Tabelle132456[[#This Row],[Status]]=$I$5,MIN(Tabelle132456[[#This Row],[Jira Story Points]],Tabelle132456[[#This Row],[Carry-over]]),0),0)</f>
        <v>0</v>
      </c>
      <c r="Q767" s="173">
        <f>IFERROR(IF(Tabelle132456[[#This Row],[Status]]=$I$5,0,MIN(Tabelle132456[[#This Row],[Jira Story Points]],Tabelle132456[[#This Row],[Carry-over]])-Tabelle132456[[#This Row],[SP Completed (COS &amp; SOS)]]),0)</f>
        <v>0</v>
      </c>
    </row>
    <row r="768" spans="1:17" s="46" customFormat="1" ht="13.5" customHeight="1">
      <c r="A768" s="117"/>
      <c r="B768" s="47"/>
      <c r="C768" s="76"/>
      <c r="D768" s="76"/>
      <c r="E768" s="76"/>
      <c r="F768" s="104"/>
      <c r="G768" s="76"/>
      <c r="H768" s="83"/>
      <c r="I768" s="103"/>
      <c r="J768" s="76"/>
      <c r="K768" s="104"/>
      <c r="L768" s="104"/>
      <c r="M768" s="174">
        <f>IF(Tabelle132456[[#This Row],[Pulled after Start]]="",MIN(Tabelle132456[[#This Row],[Jira Story Points]],Tabelle132456[[#This Row],[Carry-over]]),0)</f>
        <v>0</v>
      </c>
      <c r="N768" s="173">
        <f>MIN(Tabelle132456[[#This Row],[Jira Story Points]],Tabelle132456[[#This Row],[Carry-over]])-Tabelle132456[[#This Row],[SP Initially Planned (COS)]]</f>
        <v>0</v>
      </c>
      <c r="O76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68" s="173">
        <f>IFERROR(IF(Tabelle132456[[#This Row],[Status]]=$I$5,MIN(Tabelle132456[[#This Row],[Jira Story Points]],Tabelle132456[[#This Row],[Carry-over]]),0),0)</f>
        <v>0</v>
      </c>
      <c r="Q768" s="173">
        <f>IFERROR(IF(Tabelle132456[[#This Row],[Status]]=$I$5,0,MIN(Tabelle132456[[#This Row],[Jira Story Points]],Tabelle132456[[#This Row],[Carry-over]])-Tabelle132456[[#This Row],[SP Completed (COS &amp; SOS)]]),0)</f>
        <v>0</v>
      </c>
    </row>
    <row r="769" spans="1:17" s="46" customFormat="1" ht="13.5" customHeight="1">
      <c r="A769" s="117"/>
      <c r="B769" s="47"/>
      <c r="C769" s="76"/>
      <c r="D769" s="76"/>
      <c r="E769" s="76"/>
      <c r="F769" s="104"/>
      <c r="G769" s="76"/>
      <c r="H769" s="83"/>
      <c r="I769" s="103"/>
      <c r="J769" s="76"/>
      <c r="K769" s="104"/>
      <c r="L769" s="104"/>
      <c r="M769" s="174">
        <f>IF(Tabelle132456[[#This Row],[Pulled after Start]]="",MIN(Tabelle132456[[#This Row],[Jira Story Points]],Tabelle132456[[#This Row],[Carry-over]]),0)</f>
        <v>0</v>
      </c>
      <c r="N769" s="173">
        <f>MIN(Tabelle132456[[#This Row],[Jira Story Points]],Tabelle132456[[#This Row],[Carry-over]])-Tabelle132456[[#This Row],[SP Initially Planned (COS)]]</f>
        <v>0</v>
      </c>
      <c r="O76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69" s="173">
        <f>IFERROR(IF(Tabelle132456[[#This Row],[Status]]=$I$5,MIN(Tabelle132456[[#This Row],[Jira Story Points]],Tabelle132456[[#This Row],[Carry-over]]),0),0)</f>
        <v>0</v>
      </c>
      <c r="Q769" s="173">
        <f>IFERROR(IF(Tabelle132456[[#This Row],[Status]]=$I$5,0,MIN(Tabelle132456[[#This Row],[Jira Story Points]],Tabelle132456[[#This Row],[Carry-over]])-Tabelle132456[[#This Row],[SP Completed (COS &amp; SOS)]]),0)</f>
        <v>0</v>
      </c>
    </row>
    <row r="770" spans="1:17" s="46" customFormat="1" ht="13.5" customHeight="1">
      <c r="A770" s="117"/>
      <c r="B770" s="47"/>
      <c r="C770" s="76"/>
      <c r="D770" s="76"/>
      <c r="E770" s="76"/>
      <c r="F770" s="104"/>
      <c r="G770" s="76"/>
      <c r="H770" s="83"/>
      <c r="I770" s="103"/>
      <c r="J770" s="76"/>
      <c r="K770" s="104"/>
      <c r="L770" s="104"/>
      <c r="M770" s="174">
        <f>IF(Tabelle132456[[#This Row],[Pulled after Start]]="",MIN(Tabelle132456[[#This Row],[Jira Story Points]],Tabelle132456[[#This Row],[Carry-over]]),0)</f>
        <v>0</v>
      </c>
      <c r="N770" s="173">
        <f>MIN(Tabelle132456[[#This Row],[Jira Story Points]],Tabelle132456[[#This Row],[Carry-over]])-Tabelle132456[[#This Row],[SP Initially Planned (COS)]]</f>
        <v>0</v>
      </c>
      <c r="O77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70" s="173">
        <f>IFERROR(IF(Tabelle132456[[#This Row],[Status]]=$I$5,MIN(Tabelle132456[[#This Row],[Jira Story Points]],Tabelle132456[[#This Row],[Carry-over]]),0),0)</f>
        <v>0</v>
      </c>
      <c r="Q770" s="173">
        <f>IFERROR(IF(Tabelle132456[[#This Row],[Status]]=$I$5,0,MIN(Tabelle132456[[#This Row],[Jira Story Points]],Tabelle132456[[#This Row],[Carry-over]])-Tabelle132456[[#This Row],[SP Completed (COS &amp; SOS)]]),0)</f>
        <v>0</v>
      </c>
    </row>
    <row r="771" spans="1:17" s="46" customFormat="1" ht="13.5" customHeight="1">
      <c r="A771" s="117"/>
      <c r="B771" s="47"/>
      <c r="C771" s="76"/>
      <c r="D771" s="76"/>
      <c r="E771" s="76"/>
      <c r="F771" s="104"/>
      <c r="G771" s="76"/>
      <c r="H771" s="83"/>
      <c r="I771" s="103"/>
      <c r="J771" s="76"/>
      <c r="K771" s="104"/>
      <c r="L771" s="104"/>
      <c r="M771" s="174">
        <f>IF(Tabelle132456[[#This Row],[Pulled after Start]]="",MIN(Tabelle132456[[#This Row],[Jira Story Points]],Tabelle132456[[#This Row],[Carry-over]]),0)</f>
        <v>0</v>
      </c>
      <c r="N771" s="173">
        <f>MIN(Tabelle132456[[#This Row],[Jira Story Points]],Tabelle132456[[#This Row],[Carry-over]])-Tabelle132456[[#This Row],[SP Initially Planned (COS)]]</f>
        <v>0</v>
      </c>
      <c r="O77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71" s="173">
        <f>IFERROR(IF(Tabelle132456[[#This Row],[Status]]=$I$5,MIN(Tabelle132456[[#This Row],[Jira Story Points]],Tabelle132456[[#This Row],[Carry-over]]),0),0)</f>
        <v>0</v>
      </c>
      <c r="Q771" s="173">
        <f>IFERROR(IF(Tabelle132456[[#This Row],[Status]]=$I$5,0,MIN(Tabelle132456[[#This Row],[Jira Story Points]],Tabelle132456[[#This Row],[Carry-over]])-Tabelle132456[[#This Row],[SP Completed (COS &amp; SOS)]]),0)</f>
        <v>0</v>
      </c>
    </row>
    <row r="772" spans="1:17" s="46" customFormat="1" ht="13.5" customHeight="1">
      <c r="A772" s="117"/>
      <c r="B772" s="47"/>
      <c r="C772" s="76"/>
      <c r="D772" s="76"/>
      <c r="E772" s="76"/>
      <c r="F772" s="104"/>
      <c r="G772" s="76"/>
      <c r="H772" s="83"/>
      <c r="I772" s="103"/>
      <c r="J772" s="76"/>
      <c r="K772" s="104"/>
      <c r="L772" s="104"/>
      <c r="M772" s="174">
        <f>IF(Tabelle132456[[#This Row],[Pulled after Start]]="",MIN(Tabelle132456[[#This Row],[Jira Story Points]],Tabelle132456[[#This Row],[Carry-over]]),0)</f>
        <v>0</v>
      </c>
      <c r="N772" s="173">
        <f>MIN(Tabelle132456[[#This Row],[Jira Story Points]],Tabelle132456[[#This Row],[Carry-over]])-Tabelle132456[[#This Row],[SP Initially Planned (COS)]]</f>
        <v>0</v>
      </c>
      <c r="O77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72" s="173">
        <f>IFERROR(IF(Tabelle132456[[#This Row],[Status]]=$I$5,MIN(Tabelle132456[[#This Row],[Jira Story Points]],Tabelle132456[[#This Row],[Carry-over]]),0),0)</f>
        <v>0</v>
      </c>
      <c r="Q772" s="173">
        <f>IFERROR(IF(Tabelle132456[[#This Row],[Status]]=$I$5,0,MIN(Tabelle132456[[#This Row],[Jira Story Points]],Tabelle132456[[#This Row],[Carry-over]])-Tabelle132456[[#This Row],[SP Completed (COS &amp; SOS)]]),0)</f>
        <v>0</v>
      </c>
    </row>
    <row r="773" spans="1:17" s="46" customFormat="1" ht="13.5" customHeight="1">
      <c r="A773" s="117"/>
      <c r="B773" s="47"/>
      <c r="C773" s="76"/>
      <c r="D773" s="76"/>
      <c r="E773" s="76"/>
      <c r="F773" s="104"/>
      <c r="G773" s="76"/>
      <c r="H773" s="83"/>
      <c r="I773" s="103"/>
      <c r="J773" s="76"/>
      <c r="K773" s="104"/>
      <c r="L773" s="104"/>
      <c r="M773" s="174">
        <f>IF(Tabelle132456[[#This Row],[Pulled after Start]]="",MIN(Tabelle132456[[#This Row],[Jira Story Points]],Tabelle132456[[#This Row],[Carry-over]]),0)</f>
        <v>0</v>
      </c>
      <c r="N773" s="173">
        <f>MIN(Tabelle132456[[#This Row],[Jira Story Points]],Tabelle132456[[#This Row],[Carry-over]])-Tabelle132456[[#This Row],[SP Initially Planned (COS)]]</f>
        <v>0</v>
      </c>
      <c r="O77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73" s="173">
        <f>IFERROR(IF(Tabelle132456[[#This Row],[Status]]=$I$5,MIN(Tabelle132456[[#This Row],[Jira Story Points]],Tabelle132456[[#This Row],[Carry-over]]),0),0)</f>
        <v>0</v>
      </c>
      <c r="Q773" s="173">
        <f>IFERROR(IF(Tabelle132456[[#This Row],[Status]]=$I$5,0,MIN(Tabelle132456[[#This Row],[Jira Story Points]],Tabelle132456[[#This Row],[Carry-over]])-Tabelle132456[[#This Row],[SP Completed (COS &amp; SOS)]]),0)</f>
        <v>0</v>
      </c>
    </row>
    <row r="774" spans="1:17" s="46" customFormat="1" ht="13.5" customHeight="1">
      <c r="A774" s="117"/>
      <c r="B774" s="47"/>
      <c r="C774" s="76"/>
      <c r="D774" s="76"/>
      <c r="E774" s="76"/>
      <c r="F774" s="104"/>
      <c r="G774" s="76"/>
      <c r="H774" s="83"/>
      <c r="I774" s="103"/>
      <c r="J774" s="76"/>
      <c r="K774" s="104"/>
      <c r="L774" s="104"/>
      <c r="M774" s="174">
        <f>IF(Tabelle132456[[#This Row],[Pulled after Start]]="",MIN(Tabelle132456[[#This Row],[Jira Story Points]],Tabelle132456[[#This Row],[Carry-over]]),0)</f>
        <v>0</v>
      </c>
      <c r="N774" s="173">
        <f>MIN(Tabelle132456[[#This Row],[Jira Story Points]],Tabelle132456[[#This Row],[Carry-over]])-Tabelle132456[[#This Row],[SP Initially Planned (COS)]]</f>
        <v>0</v>
      </c>
      <c r="O77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74" s="173">
        <f>IFERROR(IF(Tabelle132456[[#This Row],[Status]]=$I$5,MIN(Tabelle132456[[#This Row],[Jira Story Points]],Tabelle132456[[#This Row],[Carry-over]]),0),0)</f>
        <v>0</v>
      </c>
      <c r="Q774" s="173">
        <f>IFERROR(IF(Tabelle132456[[#This Row],[Status]]=$I$5,0,MIN(Tabelle132456[[#This Row],[Jira Story Points]],Tabelle132456[[#This Row],[Carry-over]])-Tabelle132456[[#This Row],[SP Completed (COS &amp; SOS)]]),0)</f>
        <v>0</v>
      </c>
    </row>
    <row r="775" spans="1:17" s="46" customFormat="1" ht="13.5" customHeight="1">
      <c r="A775" s="117"/>
      <c r="B775" s="47"/>
      <c r="C775" s="76"/>
      <c r="D775" s="76"/>
      <c r="E775" s="76"/>
      <c r="F775" s="104"/>
      <c r="G775" s="76"/>
      <c r="H775" s="83"/>
      <c r="I775" s="103"/>
      <c r="J775" s="76"/>
      <c r="K775" s="104"/>
      <c r="L775" s="104"/>
      <c r="M775" s="174">
        <f>IF(Tabelle132456[[#This Row],[Pulled after Start]]="",MIN(Tabelle132456[[#This Row],[Jira Story Points]],Tabelle132456[[#This Row],[Carry-over]]),0)</f>
        <v>0</v>
      </c>
      <c r="N775" s="173">
        <f>MIN(Tabelle132456[[#This Row],[Jira Story Points]],Tabelle132456[[#This Row],[Carry-over]])-Tabelle132456[[#This Row],[SP Initially Planned (COS)]]</f>
        <v>0</v>
      </c>
      <c r="O77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75" s="173">
        <f>IFERROR(IF(Tabelle132456[[#This Row],[Status]]=$I$5,MIN(Tabelle132456[[#This Row],[Jira Story Points]],Tabelle132456[[#This Row],[Carry-over]]),0),0)</f>
        <v>0</v>
      </c>
      <c r="Q775" s="173">
        <f>IFERROR(IF(Tabelle132456[[#This Row],[Status]]=$I$5,0,MIN(Tabelle132456[[#This Row],[Jira Story Points]],Tabelle132456[[#This Row],[Carry-over]])-Tabelle132456[[#This Row],[SP Completed (COS &amp; SOS)]]),0)</f>
        <v>0</v>
      </c>
    </row>
    <row r="776" spans="1:17" s="46" customFormat="1" ht="13.5" customHeight="1">
      <c r="A776" s="117"/>
      <c r="B776" s="47"/>
      <c r="C776" s="76"/>
      <c r="D776" s="76"/>
      <c r="E776" s="76"/>
      <c r="F776" s="104"/>
      <c r="G776" s="76"/>
      <c r="H776" s="83"/>
      <c r="I776" s="103"/>
      <c r="J776" s="76"/>
      <c r="K776" s="104"/>
      <c r="L776" s="104"/>
      <c r="M776" s="174">
        <f>IF(Tabelle132456[[#This Row],[Pulled after Start]]="",MIN(Tabelle132456[[#This Row],[Jira Story Points]],Tabelle132456[[#This Row],[Carry-over]]),0)</f>
        <v>0</v>
      </c>
      <c r="N776" s="173">
        <f>MIN(Tabelle132456[[#This Row],[Jira Story Points]],Tabelle132456[[#This Row],[Carry-over]])-Tabelle132456[[#This Row],[SP Initially Planned (COS)]]</f>
        <v>0</v>
      </c>
      <c r="O77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76" s="173">
        <f>IFERROR(IF(Tabelle132456[[#This Row],[Status]]=$I$5,MIN(Tabelle132456[[#This Row],[Jira Story Points]],Tabelle132456[[#This Row],[Carry-over]]),0),0)</f>
        <v>0</v>
      </c>
      <c r="Q776" s="173">
        <f>IFERROR(IF(Tabelle132456[[#This Row],[Status]]=$I$5,0,MIN(Tabelle132456[[#This Row],[Jira Story Points]],Tabelle132456[[#This Row],[Carry-over]])-Tabelle132456[[#This Row],[SP Completed (COS &amp; SOS)]]),0)</f>
        <v>0</v>
      </c>
    </row>
    <row r="777" spans="1:17" s="46" customFormat="1" ht="13.5" customHeight="1">
      <c r="A777" s="117"/>
      <c r="B777" s="47"/>
      <c r="C777" s="76"/>
      <c r="D777" s="76"/>
      <c r="E777" s="76"/>
      <c r="F777" s="104"/>
      <c r="G777" s="76"/>
      <c r="H777" s="83"/>
      <c r="I777" s="103"/>
      <c r="J777" s="76"/>
      <c r="K777" s="104"/>
      <c r="L777" s="104"/>
      <c r="M777" s="174">
        <f>IF(Tabelle132456[[#This Row],[Pulled after Start]]="",MIN(Tabelle132456[[#This Row],[Jira Story Points]],Tabelle132456[[#This Row],[Carry-over]]),0)</f>
        <v>0</v>
      </c>
      <c r="N777" s="173">
        <f>MIN(Tabelle132456[[#This Row],[Jira Story Points]],Tabelle132456[[#This Row],[Carry-over]])-Tabelle132456[[#This Row],[SP Initially Planned (COS)]]</f>
        <v>0</v>
      </c>
      <c r="O77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77" s="173">
        <f>IFERROR(IF(Tabelle132456[[#This Row],[Status]]=$I$5,MIN(Tabelle132456[[#This Row],[Jira Story Points]],Tabelle132456[[#This Row],[Carry-over]]),0),0)</f>
        <v>0</v>
      </c>
      <c r="Q777" s="173">
        <f>IFERROR(IF(Tabelle132456[[#This Row],[Status]]=$I$5,0,MIN(Tabelle132456[[#This Row],[Jira Story Points]],Tabelle132456[[#This Row],[Carry-over]])-Tabelle132456[[#This Row],[SP Completed (COS &amp; SOS)]]),0)</f>
        <v>0</v>
      </c>
    </row>
    <row r="778" spans="1:17" s="46" customFormat="1" ht="13.5" customHeight="1">
      <c r="A778" s="117"/>
      <c r="B778" s="47"/>
      <c r="C778" s="76"/>
      <c r="D778" s="76"/>
      <c r="E778" s="76"/>
      <c r="F778" s="104"/>
      <c r="G778" s="76"/>
      <c r="H778" s="83"/>
      <c r="I778" s="103"/>
      <c r="J778" s="76"/>
      <c r="K778" s="104"/>
      <c r="L778" s="104"/>
      <c r="M778" s="174">
        <f>IF(Tabelle132456[[#This Row],[Pulled after Start]]="",MIN(Tabelle132456[[#This Row],[Jira Story Points]],Tabelle132456[[#This Row],[Carry-over]]),0)</f>
        <v>0</v>
      </c>
      <c r="N778" s="173">
        <f>MIN(Tabelle132456[[#This Row],[Jira Story Points]],Tabelle132456[[#This Row],[Carry-over]])-Tabelle132456[[#This Row],[SP Initially Planned (COS)]]</f>
        <v>0</v>
      </c>
      <c r="O77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78" s="173">
        <f>IFERROR(IF(Tabelle132456[[#This Row],[Status]]=$I$5,MIN(Tabelle132456[[#This Row],[Jira Story Points]],Tabelle132456[[#This Row],[Carry-over]]),0),0)</f>
        <v>0</v>
      </c>
      <c r="Q778" s="173">
        <f>IFERROR(IF(Tabelle132456[[#This Row],[Status]]=$I$5,0,MIN(Tabelle132456[[#This Row],[Jira Story Points]],Tabelle132456[[#This Row],[Carry-over]])-Tabelle132456[[#This Row],[SP Completed (COS &amp; SOS)]]),0)</f>
        <v>0</v>
      </c>
    </row>
    <row r="779" spans="1:17" s="46" customFormat="1" ht="13.5" customHeight="1">
      <c r="A779" s="117"/>
      <c r="B779" s="47"/>
      <c r="C779" s="76"/>
      <c r="D779" s="76"/>
      <c r="E779" s="76"/>
      <c r="F779" s="104"/>
      <c r="G779" s="76"/>
      <c r="H779" s="83"/>
      <c r="I779" s="103"/>
      <c r="J779" s="76"/>
      <c r="K779" s="104"/>
      <c r="L779" s="104"/>
      <c r="M779" s="174">
        <f>IF(Tabelle132456[[#This Row],[Pulled after Start]]="",MIN(Tabelle132456[[#This Row],[Jira Story Points]],Tabelle132456[[#This Row],[Carry-over]]),0)</f>
        <v>0</v>
      </c>
      <c r="N779" s="173">
        <f>MIN(Tabelle132456[[#This Row],[Jira Story Points]],Tabelle132456[[#This Row],[Carry-over]])-Tabelle132456[[#This Row],[SP Initially Planned (COS)]]</f>
        <v>0</v>
      </c>
      <c r="O77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79" s="173">
        <f>IFERROR(IF(Tabelle132456[[#This Row],[Status]]=$I$5,MIN(Tabelle132456[[#This Row],[Jira Story Points]],Tabelle132456[[#This Row],[Carry-over]]),0),0)</f>
        <v>0</v>
      </c>
      <c r="Q779" s="173">
        <f>IFERROR(IF(Tabelle132456[[#This Row],[Status]]=$I$5,0,MIN(Tabelle132456[[#This Row],[Jira Story Points]],Tabelle132456[[#This Row],[Carry-over]])-Tabelle132456[[#This Row],[SP Completed (COS &amp; SOS)]]),0)</f>
        <v>0</v>
      </c>
    </row>
    <row r="780" spans="1:17" s="46" customFormat="1" ht="13.5" customHeight="1">
      <c r="A780" s="117"/>
      <c r="B780" s="47"/>
      <c r="C780" s="76"/>
      <c r="D780" s="76"/>
      <c r="E780" s="76"/>
      <c r="F780" s="104"/>
      <c r="G780" s="76"/>
      <c r="H780" s="83"/>
      <c r="I780" s="103"/>
      <c r="J780" s="76"/>
      <c r="K780" s="104"/>
      <c r="L780" s="104"/>
      <c r="M780" s="174">
        <f>IF(Tabelle132456[[#This Row],[Pulled after Start]]="",MIN(Tabelle132456[[#This Row],[Jira Story Points]],Tabelle132456[[#This Row],[Carry-over]]),0)</f>
        <v>0</v>
      </c>
      <c r="N780" s="173">
        <f>MIN(Tabelle132456[[#This Row],[Jira Story Points]],Tabelle132456[[#This Row],[Carry-over]])-Tabelle132456[[#This Row],[SP Initially Planned (COS)]]</f>
        <v>0</v>
      </c>
      <c r="O78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80" s="173">
        <f>IFERROR(IF(Tabelle132456[[#This Row],[Status]]=$I$5,MIN(Tabelle132456[[#This Row],[Jira Story Points]],Tabelle132456[[#This Row],[Carry-over]]),0),0)</f>
        <v>0</v>
      </c>
      <c r="Q780" s="173">
        <f>IFERROR(IF(Tabelle132456[[#This Row],[Status]]=$I$5,0,MIN(Tabelle132456[[#This Row],[Jira Story Points]],Tabelle132456[[#This Row],[Carry-over]])-Tabelle132456[[#This Row],[SP Completed (COS &amp; SOS)]]),0)</f>
        <v>0</v>
      </c>
    </row>
    <row r="781" spans="1:17" s="46" customFormat="1" ht="13.5" customHeight="1">
      <c r="A781" s="117"/>
      <c r="B781" s="47"/>
      <c r="C781" s="76"/>
      <c r="D781" s="76"/>
      <c r="E781" s="76"/>
      <c r="F781" s="104"/>
      <c r="G781" s="76"/>
      <c r="H781" s="83"/>
      <c r="I781" s="103"/>
      <c r="J781" s="76"/>
      <c r="K781" s="104"/>
      <c r="L781" s="104"/>
      <c r="M781" s="174">
        <f>IF(Tabelle132456[[#This Row],[Pulled after Start]]="",MIN(Tabelle132456[[#This Row],[Jira Story Points]],Tabelle132456[[#This Row],[Carry-over]]),0)</f>
        <v>0</v>
      </c>
      <c r="N781" s="173">
        <f>MIN(Tabelle132456[[#This Row],[Jira Story Points]],Tabelle132456[[#This Row],[Carry-over]])-Tabelle132456[[#This Row],[SP Initially Planned (COS)]]</f>
        <v>0</v>
      </c>
      <c r="O78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81" s="173">
        <f>IFERROR(IF(Tabelle132456[[#This Row],[Status]]=$I$5,MIN(Tabelle132456[[#This Row],[Jira Story Points]],Tabelle132456[[#This Row],[Carry-over]]),0),0)</f>
        <v>0</v>
      </c>
      <c r="Q781" s="173">
        <f>IFERROR(IF(Tabelle132456[[#This Row],[Status]]=$I$5,0,MIN(Tabelle132456[[#This Row],[Jira Story Points]],Tabelle132456[[#This Row],[Carry-over]])-Tabelle132456[[#This Row],[SP Completed (COS &amp; SOS)]]),0)</f>
        <v>0</v>
      </c>
    </row>
    <row r="782" spans="1:17" s="46" customFormat="1" ht="13.5" customHeight="1">
      <c r="A782" s="117"/>
      <c r="B782" s="47"/>
      <c r="C782" s="76"/>
      <c r="D782" s="76"/>
      <c r="E782" s="76"/>
      <c r="F782" s="104"/>
      <c r="G782" s="76"/>
      <c r="H782" s="83"/>
      <c r="I782" s="103"/>
      <c r="J782" s="76"/>
      <c r="K782" s="104"/>
      <c r="L782" s="104"/>
      <c r="M782" s="174">
        <f>IF(Tabelle132456[[#This Row],[Pulled after Start]]="",MIN(Tabelle132456[[#This Row],[Jira Story Points]],Tabelle132456[[#This Row],[Carry-over]]),0)</f>
        <v>0</v>
      </c>
      <c r="N782" s="173">
        <f>MIN(Tabelle132456[[#This Row],[Jira Story Points]],Tabelle132456[[#This Row],[Carry-over]])-Tabelle132456[[#This Row],[SP Initially Planned (COS)]]</f>
        <v>0</v>
      </c>
      <c r="O78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82" s="173">
        <f>IFERROR(IF(Tabelle132456[[#This Row],[Status]]=$I$5,MIN(Tabelle132456[[#This Row],[Jira Story Points]],Tabelle132456[[#This Row],[Carry-over]]),0),0)</f>
        <v>0</v>
      </c>
      <c r="Q782" s="173">
        <f>IFERROR(IF(Tabelle132456[[#This Row],[Status]]=$I$5,0,MIN(Tabelle132456[[#This Row],[Jira Story Points]],Tabelle132456[[#This Row],[Carry-over]])-Tabelle132456[[#This Row],[SP Completed (COS &amp; SOS)]]),0)</f>
        <v>0</v>
      </c>
    </row>
    <row r="783" spans="1:17" s="46" customFormat="1" ht="13.5" customHeight="1">
      <c r="A783" s="117"/>
      <c r="B783" s="47"/>
      <c r="C783" s="76"/>
      <c r="D783" s="76"/>
      <c r="E783" s="76"/>
      <c r="F783" s="104"/>
      <c r="G783" s="76"/>
      <c r="H783" s="83"/>
      <c r="I783" s="103"/>
      <c r="J783" s="76"/>
      <c r="K783" s="104"/>
      <c r="L783" s="104"/>
      <c r="M783" s="174">
        <f>IF(Tabelle132456[[#This Row],[Pulled after Start]]="",MIN(Tabelle132456[[#This Row],[Jira Story Points]],Tabelle132456[[#This Row],[Carry-over]]),0)</f>
        <v>0</v>
      </c>
      <c r="N783" s="173">
        <f>MIN(Tabelle132456[[#This Row],[Jira Story Points]],Tabelle132456[[#This Row],[Carry-over]])-Tabelle132456[[#This Row],[SP Initially Planned (COS)]]</f>
        <v>0</v>
      </c>
      <c r="O78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83" s="173">
        <f>IFERROR(IF(Tabelle132456[[#This Row],[Status]]=$I$5,MIN(Tabelle132456[[#This Row],[Jira Story Points]],Tabelle132456[[#This Row],[Carry-over]]),0),0)</f>
        <v>0</v>
      </c>
      <c r="Q783" s="173">
        <f>IFERROR(IF(Tabelle132456[[#This Row],[Status]]=$I$5,0,MIN(Tabelle132456[[#This Row],[Jira Story Points]],Tabelle132456[[#This Row],[Carry-over]])-Tabelle132456[[#This Row],[SP Completed (COS &amp; SOS)]]),0)</f>
        <v>0</v>
      </c>
    </row>
    <row r="784" spans="1:17" s="46" customFormat="1" ht="13.5" customHeight="1">
      <c r="A784" s="117"/>
      <c r="B784" s="47"/>
      <c r="C784" s="76"/>
      <c r="D784" s="76"/>
      <c r="E784" s="76"/>
      <c r="F784" s="104"/>
      <c r="G784" s="76"/>
      <c r="H784" s="83"/>
      <c r="I784" s="103"/>
      <c r="J784" s="76"/>
      <c r="K784" s="104"/>
      <c r="L784" s="104"/>
      <c r="M784" s="174">
        <f>IF(Tabelle132456[[#This Row],[Pulled after Start]]="",MIN(Tabelle132456[[#This Row],[Jira Story Points]],Tabelle132456[[#This Row],[Carry-over]]),0)</f>
        <v>0</v>
      </c>
      <c r="N784" s="173">
        <f>MIN(Tabelle132456[[#This Row],[Jira Story Points]],Tabelle132456[[#This Row],[Carry-over]])-Tabelle132456[[#This Row],[SP Initially Planned (COS)]]</f>
        <v>0</v>
      </c>
      <c r="O78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84" s="173">
        <f>IFERROR(IF(Tabelle132456[[#This Row],[Status]]=$I$5,MIN(Tabelle132456[[#This Row],[Jira Story Points]],Tabelle132456[[#This Row],[Carry-over]]),0),0)</f>
        <v>0</v>
      </c>
      <c r="Q784" s="173">
        <f>IFERROR(IF(Tabelle132456[[#This Row],[Status]]=$I$5,0,MIN(Tabelle132456[[#This Row],[Jira Story Points]],Tabelle132456[[#This Row],[Carry-over]])-Tabelle132456[[#This Row],[SP Completed (COS &amp; SOS)]]),0)</f>
        <v>0</v>
      </c>
    </row>
    <row r="785" spans="1:17" s="46" customFormat="1" ht="13.5" customHeight="1">
      <c r="A785" s="117"/>
      <c r="B785" s="47"/>
      <c r="C785" s="76"/>
      <c r="D785" s="76"/>
      <c r="E785" s="76"/>
      <c r="F785" s="104"/>
      <c r="G785" s="76"/>
      <c r="H785" s="83"/>
      <c r="I785" s="103"/>
      <c r="J785" s="76"/>
      <c r="K785" s="104"/>
      <c r="L785" s="104"/>
      <c r="M785" s="174">
        <f>IF(Tabelle132456[[#This Row],[Pulled after Start]]="",MIN(Tabelle132456[[#This Row],[Jira Story Points]],Tabelle132456[[#This Row],[Carry-over]]),0)</f>
        <v>0</v>
      </c>
      <c r="N785" s="173">
        <f>MIN(Tabelle132456[[#This Row],[Jira Story Points]],Tabelle132456[[#This Row],[Carry-over]])-Tabelle132456[[#This Row],[SP Initially Planned (COS)]]</f>
        <v>0</v>
      </c>
      <c r="O78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85" s="173">
        <f>IFERROR(IF(Tabelle132456[[#This Row],[Status]]=$I$5,MIN(Tabelle132456[[#This Row],[Jira Story Points]],Tabelle132456[[#This Row],[Carry-over]]),0),0)</f>
        <v>0</v>
      </c>
      <c r="Q785" s="173">
        <f>IFERROR(IF(Tabelle132456[[#This Row],[Status]]=$I$5,0,MIN(Tabelle132456[[#This Row],[Jira Story Points]],Tabelle132456[[#This Row],[Carry-over]])-Tabelle132456[[#This Row],[SP Completed (COS &amp; SOS)]]),0)</f>
        <v>0</v>
      </c>
    </row>
    <row r="786" spans="1:17" s="46" customFormat="1" ht="13.5" customHeight="1">
      <c r="A786" s="117"/>
      <c r="B786" s="47"/>
      <c r="C786" s="76"/>
      <c r="D786" s="76"/>
      <c r="E786" s="76"/>
      <c r="F786" s="104"/>
      <c r="G786" s="76"/>
      <c r="H786" s="83"/>
      <c r="I786" s="103"/>
      <c r="J786" s="76"/>
      <c r="K786" s="104"/>
      <c r="L786" s="104"/>
      <c r="M786" s="174">
        <f>IF(Tabelle132456[[#This Row],[Pulled after Start]]="",MIN(Tabelle132456[[#This Row],[Jira Story Points]],Tabelle132456[[#This Row],[Carry-over]]),0)</f>
        <v>0</v>
      </c>
      <c r="N786" s="173">
        <f>MIN(Tabelle132456[[#This Row],[Jira Story Points]],Tabelle132456[[#This Row],[Carry-over]])-Tabelle132456[[#This Row],[SP Initially Planned (COS)]]</f>
        <v>0</v>
      </c>
      <c r="O78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86" s="173">
        <f>IFERROR(IF(Tabelle132456[[#This Row],[Status]]=$I$5,MIN(Tabelle132456[[#This Row],[Jira Story Points]],Tabelle132456[[#This Row],[Carry-over]]),0),0)</f>
        <v>0</v>
      </c>
      <c r="Q786" s="173">
        <f>IFERROR(IF(Tabelle132456[[#This Row],[Status]]=$I$5,0,MIN(Tabelle132456[[#This Row],[Jira Story Points]],Tabelle132456[[#This Row],[Carry-over]])-Tabelle132456[[#This Row],[SP Completed (COS &amp; SOS)]]),0)</f>
        <v>0</v>
      </c>
    </row>
    <row r="787" spans="1:17" s="46" customFormat="1" ht="13.5" customHeight="1">
      <c r="A787" s="117"/>
      <c r="B787" s="47"/>
      <c r="C787" s="76"/>
      <c r="D787" s="76"/>
      <c r="E787" s="76"/>
      <c r="F787" s="104"/>
      <c r="G787" s="76"/>
      <c r="H787" s="83"/>
      <c r="I787" s="103"/>
      <c r="J787" s="76"/>
      <c r="K787" s="104"/>
      <c r="L787" s="104"/>
      <c r="M787" s="174">
        <f>IF(Tabelle132456[[#This Row],[Pulled after Start]]="",MIN(Tabelle132456[[#This Row],[Jira Story Points]],Tabelle132456[[#This Row],[Carry-over]]),0)</f>
        <v>0</v>
      </c>
      <c r="N787" s="173">
        <f>MIN(Tabelle132456[[#This Row],[Jira Story Points]],Tabelle132456[[#This Row],[Carry-over]])-Tabelle132456[[#This Row],[SP Initially Planned (COS)]]</f>
        <v>0</v>
      </c>
      <c r="O78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87" s="173">
        <f>IFERROR(IF(Tabelle132456[[#This Row],[Status]]=$I$5,MIN(Tabelle132456[[#This Row],[Jira Story Points]],Tabelle132456[[#This Row],[Carry-over]]),0),0)</f>
        <v>0</v>
      </c>
      <c r="Q787" s="173">
        <f>IFERROR(IF(Tabelle132456[[#This Row],[Status]]=$I$5,0,MIN(Tabelle132456[[#This Row],[Jira Story Points]],Tabelle132456[[#This Row],[Carry-over]])-Tabelle132456[[#This Row],[SP Completed (COS &amp; SOS)]]),0)</f>
        <v>0</v>
      </c>
    </row>
    <row r="788" spans="1:17" s="46" customFormat="1" ht="13.5" customHeight="1">
      <c r="A788" s="117"/>
      <c r="B788" s="47"/>
      <c r="C788" s="76"/>
      <c r="D788" s="76"/>
      <c r="E788" s="76"/>
      <c r="F788" s="104"/>
      <c r="G788" s="76"/>
      <c r="H788" s="83"/>
      <c r="I788" s="103"/>
      <c r="J788" s="76"/>
      <c r="K788" s="104"/>
      <c r="L788" s="104"/>
      <c r="M788" s="174">
        <f>IF(Tabelle132456[[#This Row],[Pulled after Start]]="",MIN(Tabelle132456[[#This Row],[Jira Story Points]],Tabelle132456[[#This Row],[Carry-over]]),0)</f>
        <v>0</v>
      </c>
      <c r="N788" s="173">
        <f>MIN(Tabelle132456[[#This Row],[Jira Story Points]],Tabelle132456[[#This Row],[Carry-over]])-Tabelle132456[[#This Row],[SP Initially Planned (COS)]]</f>
        <v>0</v>
      </c>
      <c r="O78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88" s="173">
        <f>IFERROR(IF(Tabelle132456[[#This Row],[Status]]=$I$5,MIN(Tabelle132456[[#This Row],[Jira Story Points]],Tabelle132456[[#This Row],[Carry-over]]),0),0)</f>
        <v>0</v>
      </c>
      <c r="Q788" s="173">
        <f>IFERROR(IF(Tabelle132456[[#This Row],[Status]]=$I$5,0,MIN(Tabelle132456[[#This Row],[Jira Story Points]],Tabelle132456[[#This Row],[Carry-over]])-Tabelle132456[[#This Row],[SP Completed (COS &amp; SOS)]]),0)</f>
        <v>0</v>
      </c>
    </row>
    <row r="789" spans="1:17" s="46" customFormat="1" ht="13.5" customHeight="1">
      <c r="A789" s="117"/>
      <c r="B789" s="47"/>
      <c r="C789" s="76"/>
      <c r="D789" s="76"/>
      <c r="E789" s="76"/>
      <c r="F789" s="104"/>
      <c r="G789" s="76"/>
      <c r="H789" s="83"/>
      <c r="I789" s="103"/>
      <c r="J789" s="76"/>
      <c r="K789" s="104"/>
      <c r="L789" s="104"/>
      <c r="M789" s="174">
        <f>IF(Tabelle132456[[#This Row],[Pulled after Start]]="",MIN(Tabelle132456[[#This Row],[Jira Story Points]],Tabelle132456[[#This Row],[Carry-over]]),0)</f>
        <v>0</v>
      </c>
      <c r="N789" s="173">
        <f>MIN(Tabelle132456[[#This Row],[Jira Story Points]],Tabelle132456[[#This Row],[Carry-over]])-Tabelle132456[[#This Row],[SP Initially Planned (COS)]]</f>
        <v>0</v>
      </c>
      <c r="O78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89" s="173">
        <f>IFERROR(IF(Tabelle132456[[#This Row],[Status]]=$I$5,MIN(Tabelle132456[[#This Row],[Jira Story Points]],Tabelle132456[[#This Row],[Carry-over]]),0),0)</f>
        <v>0</v>
      </c>
      <c r="Q789" s="173">
        <f>IFERROR(IF(Tabelle132456[[#This Row],[Status]]=$I$5,0,MIN(Tabelle132456[[#This Row],[Jira Story Points]],Tabelle132456[[#This Row],[Carry-over]])-Tabelle132456[[#This Row],[SP Completed (COS &amp; SOS)]]),0)</f>
        <v>0</v>
      </c>
    </row>
    <row r="790" spans="1:17" s="46" customFormat="1" ht="13.5" customHeight="1">
      <c r="A790" s="117"/>
      <c r="B790" s="47"/>
      <c r="C790" s="76"/>
      <c r="D790" s="76"/>
      <c r="E790" s="76"/>
      <c r="F790" s="104"/>
      <c r="G790" s="76"/>
      <c r="H790" s="83"/>
      <c r="I790" s="103"/>
      <c r="J790" s="76"/>
      <c r="K790" s="104"/>
      <c r="L790" s="104"/>
      <c r="M790" s="174">
        <f>IF(Tabelle132456[[#This Row],[Pulled after Start]]="",MIN(Tabelle132456[[#This Row],[Jira Story Points]],Tabelle132456[[#This Row],[Carry-over]]),0)</f>
        <v>0</v>
      </c>
      <c r="N790" s="173">
        <f>MIN(Tabelle132456[[#This Row],[Jira Story Points]],Tabelle132456[[#This Row],[Carry-over]])-Tabelle132456[[#This Row],[SP Initially Planned (COS)]]</f>
        <v>0</v>
      </c>
      <c r="O79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90" s="173">
        <f>IFERROR(IF(Tabelle132456[[#This Row],[Status]]=$I$5,MIN(Tabelle132456[[#This Row],[Jira Story Points]],Tabelle132456[[#This Row],[Carry-over]]),0),0)</f>
        <v>0</v>
      </c>
      <c r="Q790" s="173">
        <f>IFERROR(IF(Tabelle132456[[#This Row],[Status]]=$I$5,0,MIN(Tabelle132456[[#This Row],[Jira Story Points]],Tabelle132456[[#This Row],[Carry-over]])-Tabelle132456[[#This Row],[SP Completed (COS &amp; SOS)]]),0)</f>
        <v>0</v>
      </c>
    </row>
    <row r="791" spans="1:17" s="46" customFormat="1" ht="13.5" customHeight="1">
      <c r="A791" s="117"/>
      <c r="B791" s="47"/>
      <c r="C791" s="76"/>
      <c r="D791" s="76"/>
      <c r="E791" s="76"/>
      <c r="F791" s="104"/>
      <c r="G791" s="76"/>
      <c r="H791" s="83"/>
      <c r="I791" s="103"/>
      <c r="J791" s="76"/>
      <c r="K791" s="104"/>
      <c r="L791" s="104"/>
      <c r="M791" s="174">
        <f>IF(Tabelle132456[[#This Row],[Pulled after Start]]="",MIN(Tabelle132456[[#This Row],[Jira Story Points]],Tabelle132456[[#This Row],[Carry-over]]),0)</f>
        <v>0</v>
      </c>
      <c r="N791" s="173">
        <f>MIN(Tabelle132456[[#This Row],[Jira Story Points]],Tabelle132456[[#This Row],[Carry-over]])-Tabelle132456[[#This Row],[SP Initially Planned (COS)]]</f>
        <v>0</v>
      </c>
      <c r="O79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91" s="173">
        <f>IFERROR(IF(Tabelle132456[[#This Row],[Status]]=$I$5,MIN(Tabelle132456[[#This Row],[Jira Story Points]],Tabelle132456[[#This Row],[Carry-over]]),0),0)</f>
        <v>0</v>
      </c>
      <c r="Q791" s="173">
        <f>IFERROR(IF(Tabelle132456[[#This Row],[Status]]=$I$5,0,MIN(Tabelle132456[[#This Row],[Jira Story Points]],Tabelle132456[[#This Row],[Carry-over]])-Tabelle132456[[#This Row],[SP Completed (COS &amp; SOS)]]),0)</f>
        <v>0</v>
      </c>
    </row>
    <row r="792" spans="1:17" s="46" customFormat="1" ht="13.5" customHeight="1">
      <c r="A792" s="117"/>
      <c r="B792" s="47"/>
      <c r="C792" s="76"/>
      <c r="D792" s="76"/>
      <c r="E792" s="76"/>
      <c r="F792" s="104"/>
      <c r="G792" s="76"/>
      <c r="H792" s="83"/>
      <c r="I792" s="103"/>
      <c r="J792" s="76"/>
      <c r="K792" s="104"/>
      <c r="L792" s="104"/>
      <c r="M792" s="174">
        <f>IF(Tabelle132456[[#This Row],[Pulled after Start]]="",MIN(Tabelle132456[[#This Row],[Jira Story Points]],Tabelle132456[[#This Row],[Carry-over]]),0)</f>
        <v>0</v>
      </c>
      <c r="N792" s="173">
        <f>MIN(Tabelle132456[[#This Row],[Jira Story Points]],Tabelle132456[[#This Row],[Carry-over]])-Tabelle132456[[#This Row],[SP Initially Planned (COS)]]</f>
        <v>0</v>
      </c>
      <c r="O79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92" s="173">
        <f>IFERROR(IF(Tabelle132456[[#This Row],[Status]]=$I$5,MIN(Tabelle132456[[#This Row],[Jira Story Points]],Tabelle132456[[#This Row],[Carry-over]]),0),0)</f>
        <v>0</v>
      </c>
      <c r="Q792" s="173">
        <f>IFERROR(IF(Tabelle132456[[#This Row],[Status]]=$I$5,0,MIN(Tabelle132456[[#This Row],[Jira Story Points]],Tabelle132456[[#This Row],[Carry-over]])-Tabelle132456[[#This Row],[SP Completed (COS &amp; SOS)]]),0)</f>
        <v>0</v>
      </c>
    </row>
    <row r="793" spans="1:17" s="46" customFormat="1" ht="13.5" customHeight="1">
      <c r="A793" s="117"/>
      <c r="B793" s="47"/>
      <c r="C793" s="76"/>
      <c r="D793" s="76"/>
      <c r="E793" s="76"/>
      <c r="F793" s="104"/>
      <c r="G793" s="76"/>
      <c r="H793" s="83"/>
      <c r="I793" s="103"/>
      <c r="J793" s="76"/>
      <c r="K793" s="104"/>
      <c r="L793" s="104"/>
      <c r="M793" s="174">
        <f>IF(Tabelle132456[[#This Row],[Pulled after Start]]="",MIN(Tabelle132456[[#This Row],[Jira Story Points]],Tabelle132456[[#This Row],[Carry-over]]),0)</f>
        <v>0</v>
      </c>
      <c r="N793" s="173">
        <f>MIN(Tabelle132456[[#This Row],[Jira Story Points]],Tabelle132456[[#This Row],[Carry-over]])-Tabelle132456[[#This Row],[SP Initially Planned (COS)]]</f>
        <v>0</v>
      </c>
      <c r="O79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93" s="173">
        <f>IFERROR(IF(Tabelle132456[[#This Row],[Status]]=$I$5,MIN(Tabelle132456[[#This Row],[Jira Story Points]],Tabelle132456[[#This Row],[Carry-over]]),0),0)</f>
        <v>0</v>
      </c>
      <c r="Q793" s="173">
        <f>IFERROR(IF(Tabelle132456[[#This Row],[Status]]=$I$5,0,MIN(Tabelle132456[[#This Row],[Jira Story Points]],Tabelle132456[[#This Row],[Carry-over]])-Tabelle132456[[#This Row],[SP Completed (COS &amp; SOS)]]),0)</f>
        <v>0</v>
      </c>
    </row>
    <row r="794" spans="1:17" s="46" customFormat="1" ht="13.5" customHeight="1">
      <c r="A794" s="117"/>
      <c r="B794" s="47"/>
      <c r="C794" s="76"/>
      <c r="D794" s="76"/>
      <c r="E794" s="76"/>
      <c r="F794" s="104"/>
      <c r="G794" s="76"/>
      <c r="H794" s="83"/>
      <c r="I794" s="103"/>
      <c r="J794" s="76"/>
      <c r="K794" s="104"/>
      <c r="L794" s="104"/>
      <c r="M794" s="174">
        <f>IF(Tabelle132456[[#This Row],[Pulled after Start]]="",MIN(Tabelle132456[[#This Row],[Jira Story Points]],Tabelle132456[[#This Row],[Carry-over]]),0)</f>
        <v>0</v>
      </c>
      <c r="N794" s="173">
        <f>MIN(Tabelle132456[[#This Row],[Jira Story Points]],Tabelle132456[[#This Row],[Carry-over]])-Tabelle132456[[#This Row],[SP Initially Planned (COS)]]</f>
        <v>0</v>
      </c>
      <c r="O79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94" s="173">
        <f>IFERROR(IF(Tabelle132456[[#This Row],[Status]]=$I$5,MIN(Tabelle132456[[#This Row],[Jira Story Points]],Tabelle132456[[#This Row],[Carry-over]]),0),0)</f>
        <v>0</v>
      </c>
      <c r="Q794" s="173">
        <f>IFERROR(IF(Tabelle132456[[#This Row],[Status]]=$I$5,0,MIN(Tabelle132456[[#This Row],[Jira Story Points]],Tabelle132456[[#This Row],[Carry-over]])-Tabelle132456[[#This Row],[SP Completed (COS &amp; SOS)]]),0)</f>
        <v>0</v>
      </c>
    </row>
    <row r="795" spans="1:17" s="46" customFormat="1" ht="13.5" customHeight="1">
      <c r="A795" s="117"/>
      <c r="B795" s="47"/>
      <c r="C795" s="76"/>
      <c r="D795" s="76"/>
      <c r="E795" s="76"/>
      <c r="F795" s="104"/>
      <c r="G795" s="76"/>
      <c r="H795" s="83"/>
      <c r="I795" s="103"/>
      <c r="J795" s="76"/>
      <c r="K795" s="104"/>
      <c r="L795" s="104"/>
      <c r="M795" s="174">
        <f>IF(Tabelle132456[[#This Row],[Pulled after Start]]="",MIN(Tabelle132456[[#This Row],[Jira Story Points]],Tabelle132456[[#This Row],[Carry-over]]),0)</f>
        <v>0</v>
      </c>
      <c r="N795" s="173">
        <f>MIN(Tabelle132456[[#This Row],[Jira Story Points]],Tabelle132456[[#This Row],[Carry-over]])-Tabelle132456[[#This Row],[SP Initially Planned (COS)]]</f>
        <v>0</v>
      </c>
      <c r="O79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95" s="173">
        <f>IFERROR(IF(Tabelle132456[[#This Row],[Status]]=$I$5,MIN(Tabelle132456[[#This Row],[Jira Story Points]],Tabelle132456[[#This Row],[Carry-over]]),0),0)</f>
        <v>0</v>
      </c>
      <c r="Q795" s="173">
        <f>IFERROR(IF(Tabelle132456[[#This Row],[Status]]=$I$5,0,MIN(Tabelle132456[[#This Row],[Jira Story Points]],Tabelle132456[[#This Row],[Carry-over]])-Tabelle132456[[#This Row],[SP Completed (COS &amp; SOS)]]),0)</f>
        <v>0</v>
      </c>
    </row>
    <row r="796" spans="1:17" s="46" customFormat="1" ht="13.5" customHeight="1">
      <c r="A796" s="117"/>
      <c r="B796" s="47"/>
      <c r="C796" s="76"/>
      <c r="D796" s="76"/>
      <c r="E796" s="76"/>
      <c r="F796" s="104"/>
      <c r="G796" s="76"/>
      <c r="H796" s="83"/>
      <c r="I796" s="103"/>
      <c r="J796" s="76"/>
      <c r="K796" s="104"/>
      <c r="L796" s="104"/>
      <c r="M796" s="174">
        <f>IF(Tabelle132456[[#This Row],[Pulled after Start]]="",MIN(Tabelle132456[[#This Row],[Jira Story Points]],Tabelle132456[[#This Row],[Carry-over]]),0)</f>
        <v>0</v>
      </c>
      <c r="N796" s="173">
        <f>MIN(Tabelle132456[[#This Row],[Jira Story Points]],Tabelle132456[[#This Row],[Carry-over]])-Tabelle132456[[#This Row],[SP Initially Planned (COS)]]</f>
        <v>0</v>
      </c>
      <c r="O79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96" s="173">
        <f>IFERROR(IF(Tabelle132456[[#This Row],[Status]]=$I$5,MIN(Tabelle132456[[#This Row],[Jira Story Points]],Tabelle132456[[#This Row],[Carry-over]]),0),0)</f>
        <v>0</v>
      </c>
      <c r="Q796" s="173">
        <f>IFERROR(IF(Tabelle132456[[#This Row],[Status]]=$I$5,0,MIN(Tabelle132456[[#This Row],[Jira Story Points]],Tabelle132456[[#This Row],[Carry-over]])-Tabelle132456[[#This Row],[SP Completed (COS &amp; SOS)]]),0)</f>
        <v>0</v>
      </c>
    </row>
    <row r="797" spans="1:17" s="46" customFormat="1" ht="13.5" customHeight="1">
      <c r="A797" s="117"/>
      <c r="B797" s="47"/>
      <c r="C797" s="76"/>
      <c r="D797" s="76"/>
      <c r="E797" s="76"/>
      <c r="F797" s="104"/>
      <c r="G797" s="76"/>
      <c r="H797" s="83"/>
      <c r="I797" s="103"/>
      <c r="J797" s="76"/>
      <c r="K797" s="104"/>
      <c r="L797" s="104"/>
      <c r="M797" s="174">
        <f>IF(Tabelle132456[[#This Row],[Pulled after Start]]="",MIN(Tabelle132456[[#This Row],[Jira Story Points]],Tabelle132456[[#This Row],[Carry-over]]),0)</f>
        <v>0</v>
      </c>
      <c r="N797" s="173">
        <f>MIN(Tabelle132456[[#This Row],[Jira Story Points]],Tabelle132456[[#This Row],[Carry-over]])-Tabelle132456[[#This Row],[SP Initially Planned (COS)]]</f>
        <v>0</v>
      </c>
      <c r="O79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97" s="173">
        <f>IFERROR(IF(Tabelle132456[[#This Row],[Status]]=$I$5,MIN(Tabelle132456[[#This Row],[Jira Story Points]],Tabelle132456[[#This Row],[Carry-over]]),0),0)</f>
        <v>0</v>
      </c>
      <c r="Q797" s="173">
        <f>IFERROR(IF(Tabelle132456[[#This Row],[Status]]=$I$5,0,MIN(Tabelle132456[[#This Row],[Jira Story Points]],Tabelle132456[[#This Row],[Carry-over]])-Tabelle132456[[#This Row],[SP Completed (COS &amp; SOS)]]),0)</f>
        <v>0</v>
      </c>
    </row>
    <row r="798" spans="1:17" s="46" customFormat="1" ht="13.5" customHeight="1">
      <c r="A798" s="117"/>
      <c r="B798" s="47"/>
      <c r="C798" s="76"/>
      <c r="D798" s="76"/>
      <c r="E798" s="76"/>
      <c r="F798" s="104"/>
      <c r="G798" s="76"/>
      <c r="H798" s="83"/>
      <c r="I798" s="103"/>
      <c r="J798" s="76"/>
      <c r="K798" s="104"/>
      <c r="L798" s="104"/>
      <c r="M798" s="174">
        <f>IF(Tabelle132456[[#This Row],[Pulled after Start]]="",MIN(Tabelle132456[[#This Row],[Jira Story Points]],Tabelle132456[[#This Row],[Carry-over]]),0)</f>
        <v>0</v>
      </c>
      <c r="N798" s="173">
        <f>MIN(Tabelle132456[[#This Row],[Jira Story Points]],Tabelle132456[[#This Row],[Carry-over]])-Tabelle132456[[#This Row],[SP Initially Planned (COS)]]</f>
        <v>0</v>
      </c>
      <c r="O79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98" s="173">
        <f>IFERROR(IF(Tabelle132456[[#This Row],[Status]]=$I$5,MIN(Tabelle132456[[#This Row],[Jira Story Points]],Tabelle132456[[#This Row],[Carry-over]]),0),0)</f>
        <v>0</v>
      </c>
      <c r="Q798" s="173">
        <f>IFERROR(IF(Tabelle132456[[#This Row],[Status]]=$I$5,0,MIN(Tabelle132456[[#This Row],[Jira Story Points]],Tabelle132456[[#This Row],[Carry-over]])-Tabelle132456[[#This Row],[SP Completed (COS &amp; SOS)]]),0)</f>
        <v>0</v>
      </c>
    </row>
    <row r="799" spans="1:17" s="46" customFormat="1" ht="13.5" customHeight="1">
      <c r="A799" s="117"/>
      <c r="B799" s="47"/>
      <c r="C799" s="76"/>
      <c r="D799" s="76"/>
      <c r="E799" s="76"/>
      <c r="F799" s="104"/>
      <c r="G799" s="76"/>
      <c r="H799" s="83"/>
      <c r="I799" s="103"/>
      <c r="J799" s="76"/>
      <c r="K799" s="104"/>
      <c r="L799" s="104"/>
      <c r="M799" s="174">
        <f>IF(Tabelle132456[[#This Row],[Pulled after Start]]="",MIN(Tabelle132456[[#This Row],[Jira Story Points]],Tabelle132456[[#This Row],[Carry-over]]),0)</f>
        <v>0</v>
      </c>
      <c r="N799" s="173">
        <f>MIN(Tabelle132456[[#This Row],[Jira Story Points]],Tabelle132456[[#This Row],[Carry-over]])-Tabelle132456[[#This Row],[SP Initially Planned (COS)]]</f>
        <v>0</v>
      </c>
      <c r="O79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799" s="173">
        <f>IFERROR(IF(Tabelle132456[[#This Row],[Status]]=$I$5,MIN(Tabelle132456[[#This Row],[Jira Story Points]],Tabelle132456[[#This Row],[Carry-over]]),0),0)</f>
        <v>0</v>
      </c>
      <c r="Q799" s="173">
        <f>IFERROR(IF(Tabelle132456[[#This Row],[Status]]=$I$5,0,MIN(Tabelle132456[[#This Row],[Jira Story Points]],Tabelle132456[[#This Row],[Carry-over]])-Tabelle132456[[#This Row],[SP Completed (COS &amp; SOS)]]),0)</f>
        <v>0</v>
      </c>
    </row>
    <row r="800" spans="1:17" s="46" customFormat="1" ht="13.5" customHeight="1">
      <c r="A800" s="117"/>
      <c r="B800" s="47"/>
      <c r="C800" s="76"/>
      <c r="D800" s="76"/>
      <c r="E800" s="76"/>
      <c r="F800" s="104"/>
      <c r="G800" s="76"/>
      <c r="H800" s="83"/>
      <c r="I800" s="103"/>
      <c r="J800" s="76"/>
      <c r="K800" s="104"/>
      <c r="L800" s="104"/>
      <c r="M800" s="174">
        <f>IF(Tabelle132456[[#This Row],[Pulled after Start]]="",MIN(Tabelle132456[[#This Row],[Jira Story Points]],Tabelle132456[[#This Row],[Carry-over]]),0)</f>
        <v>0</v>
      </c>
      <c r="N800" s="173">
        <f>MIN(Tabelle132456[[#This Row],[Jira Story Points]],Tabelle132456[[#This Row],[Carry-over]])-Tabelle132456[[#This Row],[SP Initially Planned (COS)]]</f>
        <v>0</v>
      </c>
      <c r="O80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00" s="173">
        <f>IFERROR(IF(Tabelle132456[[#This Row],[Status]]=$I$5,MIN(Tabelle132456[[#This Row],[Jira Story Points]],Tabelle132456[[#This Row],[Carry-over]]),0),0)</f>
        <v>0</v>
      </c>
      <c r="Q800" s="173">
        <f>IFERROR(IF(Tabelle132456[[#This Row],[Status]]=$I$5,0,MIN(Tabelle132456[[#This Row],[Jira Story Points]],Tabelle132456[[#This Row],[Carry-over]])-Tabelle132456[[#This Row],[SP Completed (COS &amp; SOS)]]),0)</f>
        <v>0</v>
      </c>
    </row>
    <row r="801" spans="1:17" s="46" customFormat="1" ht="13.5" customHeight="1">
      <c r="A801" s="117"/>
      <c r="B801" s="47"/>
      <c r="C801" s="76"/>
      <c r="D801" s="76"/>
      <c r="E801" s="76"/>
      <c r="F801" s="104"/>
      <c r="G801" s="76"/>
      <c r="H801" s="83"/>
      <c r="I801" s="103"/>
      <c r="J801" s="76"/>
      <c r="K801" s="104"/>
      <c r="L801" s="104"/>
      <c r="M801" s="174">
        <f>IF(Tabelle132456[[#This Row],[Pulled after Start]]="",MIN(Tabelle132456[[#This Row],[Jira Story Points]],Tabelle132456[[#This Row],[Carry-over]]),0)</f>
        <v>0</v>
      </c>
      <c r="N801" s="173">
        <f>MIN(Tabelle132456[[#This Row],[Jira Story Points]],Tabelle132456[[#This Row],[Carry-over]])-Tabelle132456[[#This Row],[SP Initially Planned (COS)]]</f>
        <v>0</v>
      </c>
      <c r="O80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01" s="173">
        <f>IFERROR(IF(Tabelle132456[[#This Row],[Status]]=$I$5,MIN(Tabelle132456[[#This Row],[Jira Story Points]],Tabelle132456[[#This Row],[Carry-over]]),0),0)</f>
        <v>0</v>
      </c>
      <c r="Q801" s="173">
        <f>IFERROR(IF(Tabelle132456[[#This Row],[Status]]=$I$5,0,MIN(Tabelle132456[[#This Row],[Jira Story Points]],Tabelle132456[[#This Row],[Carry-over]])-Tabelle132456[[#This Row],[SP Completed (COS &amp; SOS)]]),0)</f>
        <v>0</v>
      </c>
    </row>
    <row r="802" spans="1:17" s="46" customFormat="1" ht="13.5" customHeight="1">
      <c r="A802" s="117"/>
      <c r="B802" s="47"/>
      <c r="C802" s="76"/>
      <c r="D802" s="76"/>
      <c r="E802" s="76"/>
      <c r="F802" s="104"/>
      <c r="G802" s="76"/>
      <c r="H802" s="83"/>
      <c r="I802" s="103"/>
      <c r="J802" s="76"/>
      <c r="K802" s="104"/>
      <c r="L802" s="104"/>
      <c r="M802" s="174">
        <f>IF(Tabelle132456[[#This Row],[Pulled after Start]]="",MIN(Tabelle132456[[#This Row],[Jira Story Points]],Tabelle132456[[#This Row],[Carry-over]]),0)</f>
        <v>0</v>
      </c>
      <c r="N802" s="173">
        <f>MIN(Tabelle132456[[#This Row],[Jira Story Points]],Tabelle132456[[#This Row],[Carry-over]])-Tabelle132456[[#This Row],[SP Initially Planned (COS)]]</f>
        <v>0</v>
      </c>
      <c r="O80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02" s="173">
        <f>IFERROR(IF(Tabelle132456[[#This Row],[Status]]=$I$5,MIN(Tabelle132456[[#This Row],[Jira Story Points]],Tabelle132456[[#This Row],[Carry-over]]),0),0)</f>
        <v>0</v>
      </c>
      <c r="Q802" s="173">
        <f>IFERROR(IF(Tabelle132456[[#This Row],[Status]]=$I$5,0,MIN(Tabelle132456[[#This Row],[Jira Story Points]],Tabelle132456[[#This Row],[Carry-over]])-Tabelle132456[[#This Row],[SP Completed (COS &amp; SOS)]]),0)</f>
        <v>0</v>
      </c>
    </row>
    <row r="803" spans="1:17" s="46" customFormat="1" ht="13.5" customHeight="1">
      <c r="A803" s="117"/>
      <c r="B803" s="47"/>
      <c r="C803" s="76"/>
      <c r="D803" s="76"/>
      <c r="E803" s="76"/>
      <c r="F803" s="104"/>
      <c r="G803" s="76"/>
      <c r="H803" s="83"/>
      <c r="I803" s="103"/>
      <c r="J803" s="76"/>
      <c r="K803" s="104"/>
      <c r="L803" s="104"/>
      <c r="M803" s="174">
        <f>IF(Tabelle132456[[#This Row],[Pulled after Start]]="",MIN(Tabelle132456[[#This Row],[Jira Story Points]],Tabelle132456[[#This Row],[Carry-over]]),0)</f>
        <v>0</v>
      </c>
      <c r="N803" s="173">
        <f>MIN(Tabelle132456[[#This Row],[Jira Story Points]],Tabelle132456[[#This Row],[Carry-over]])-Tabelle132456[[#This Row],[SP Initially Planned (COS)]]</f>
        <v>0</v>
      </c>
      <c r="O80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03" s="173">
        <f>IFERROR(IF(Tabelle132456[[#This Row],[Status]]=$I$5,MIN(Tabelle132456[[#This Row],[Jira Story Points]],Tabelle132456[[#This Row],[Carry-over]]),0),0)</f>
        <v>0</v>
      </c>
      <c r="Q803" s="173">
        <f>IFERROR(IF(Tabelle132456[[#This Row],[Status]]=$I$5,0,MIN(Tabelle132456[[#This Row],[Jira Story Points]],Tabelle132456[[#This Row],[Carry-over]])-Tabelle132456[[#This Row],[SP Completed (COS &amp; SOS)]]),0)</f>
        <v>0</v>
      </c>
    </row>
    <row r="804" spans="1:17" s="46" customFormat="1" ht="13.5" customHeight="1">
      <c r="A804" s="117"/>
      <c r="B804" s="47"/>
      <c r="C804" s="76"/>
      <c r="D804" s="76"/>
      <c r="E804" s="76"/>
      <c r="F804" s="104"/>
      <c r="G804" s="76"/>
      <c r="H804" s="83"/>
      <c r="I804" s="103"/>
      <c r="J804" s="76"/>
      <c r="K804" s="104"/>
      <c r="L804" s="104"/>
      <c r="M804" s="174">
        <f>IF(Tabelle132456[[#This Row],[Pulled after Start]]="",MIN(Tabelle132456[[#This Row],[Jira Story Points]],Tabelle132456[[#This Row],[Carry-over]]),0)</f>
        <v>0</v>
      </c>
      <c r="N804" s="173">
        <f>MIN(Tabelle132456[[#This Row],[Jira Story Points]],Tabelle132456[[#This Row],[Carry-over]])-Tabelle132456[[#This Row],[SP Initially Planned (COS)]]</f>
        <v>0</v>
      </c>
      <c r="O80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04" s="173">
        <f>IFERROR(IF(Tabelle132456[[#This Row],[Status]]=$I$5,MIN(Tabelle132456[[#This Row],[Jira Story Points]],Tabelle132456[[#This Row],[Carry-over]]),0),0)</f>
        <v>0</v>
      </c>
      <c r="Q804" s="173">
        <f>IFERROR(IF(Tabelle132456[[#This Row],[Status]]=$I$5,0,MIN(Tabelle132456[[#This Row],[Jira Story Points]],Tabelle132456[[#This Row],[Carry-over]])-Tabelle132456[[#This Row],[SP Completed (COS &amp; SOS)]]),0)</f>
        <v>0</v>
      </c>
    </row>
    <row r="805" spans="1:17" s="46" customFormat="1" ht="13.5" customHeight="1">
      <c r="A805" s="117"/>
      <c r="B805" s="47"/>
      <c r="C805" s="76"/>
      <c r="D805" s="76"/>
      <c r="E805" s="76"/>
      <c r="F805" s="104"/>
      <c r="G805" s="76"/>
      <c r="H805" s="83"/>
      <c r="I805" s="103"/>
      <c r="J805" s="76"/>
      <c r="K805" s="104"/>
      <c r="L805" s="104"/>
      <c r="M805" s="174">
        <f>IF(Tabelle132456[[#This Row],[Pulled after Start]]="",MIN(Tabelle132456[[#This Row],[Jira Story Points]],Tabelle132456[[#This Row],[Carry-over]]),0)</f>
        <v>0</v>
      </c>
      <c r="N805" s="173">
        <f>MIN(Tabelle132456[[#This Row],[Jira Story Points]],Tabelle132456[[#This Row],[Carry-over]])-Tabelle132456[[#This Row],[SP Initially Planned (COS)]]</f>
        <v>0</v>
      </c>
      <c r="O80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05" s="173">
        <f>IFERROR(IF(Tabelle132456[[#This Row],[Status]]=$I$5,MIN(Tabelle132456[[#This Row],[Jira Story Points]],Tabelle132456[[#This Row],[Carry-over]]),0),0)</f>
        <v>0</v>
      </c>
      <c r="Q805" s="173">
        <f>IFERROR(IF(Tabelle132456[[#This Row],[Status]]=$I$5,0,MIN(Tabelle132456[[#This Row],[Jira Story Points]],Tabelle132456[[#This Row],[Carry-over]])-Tabelle132456[[#This Row],[SP Completed (COS &amp; SOS)]]),0)</f>
        <v>0</v>
      </c>
    </row>
    <row r="806" spans="1:17" s="46" customFormat="1" ht="13.5" customHeight="1">
      <c r="A806" s="117"/>
      <c r="B806" s="47"/>
      <c r="C806" s="76"/>
      <c r="D806" s="76"/>
      <c r="E806" s="76"/>
      <c r="F806" s="104"/>
      <c r="G806" s="76"/>
      <c r="H806" s="83"/>
      <c r="I806" s="103"/>
      <c r="J806" s="76"/>
      <c r="K806" s="104"/>
      <c r="L806" s="104"/>
      <c r="M806" s="174">
        <f>IF(Tabelle132456[[#This Row],[Pulled after Start]]="",MIN(Tabelle132456[[#This Row],[Jira Story Points]],Tabelle132456[[#This Row],[Carry-over]]),0)</f>
        <v>0</v>
      </c>
      <c r="N806" s="173">
        <f>MIN(Tabelle132456[[#This Row],[Jira Story Points]],Tabelle132456[[#This Row],[Carry-over]])-Tabelle132456[[#This Row],[SP Initially Planned (COS)]]</f>
        <v>0</v>
      </c>
      <c r="O80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06" s="173">
        <f>IFERROR(IF(Tabelle132456[[#This Row],[Status]]=$I$5,MIN(Tabelle132456[[#This Row],[Jira Story Points]],Tabelle132456[[#This Row],[Carry-over]]),0),0)</f>
        <v>0</v>
      </c>
      <c r="Q806" s="173">
        <f>IFERROR(IF(Tabelle132456[[#This Row],[Status]]=$I$5,0,MIN(Tabelle132456[[#This Row],[Jira Story Points]],Tabelle132456[[#This Row],[Carry-over]])-Tabelle132456[[#This Row],[SP Completed (COS &amp; SOS)]]),0)</f>
        <v>0</v>
      </c>
    </row>
    <row r="807" spans="1:17" s="46" customFormat="1" ht="13.5" customHeight="1">
      <c r="A807" s="117"/>
      <c r="B807" s="47"/>
      <c r="C807" s="76"/>
      <c r="D807" s="76"/>
      <c r="E807" s="76"/>
      <c r="F807" s="104"/>
      <c r="G807" s="76"/>
      <c r="H807" s="83"/>
      <c r="I807" s="103"/>
      <c r="J807" s="76"/>
      <c r="K807" s="104"/>
      <c r="L807" s="104"/>
      <c r="M807" s="174">
        <f>IF(Tabelle132456[[#This Row],[Pulled after Start]]="",MIN(Tabelle132456[[#This Row],[Jira Story Points]],Tabelle132456[[#This Row],[Carry-over]]),0)</f>
        <v>0</v>
      </c>
      <c r="N807" s="173">
        <f>MIN(Tabelle132456[[#This Row],[Jira Story Points]],Tabelle132456[[#This Row],[Carry-over]])-Tabelle132456[[#This Row],[SP Initially Planned (COS)]]</f>
        <v>0</v>
      </c>
      <c r="O80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07" s="173">
        <f>IFERROR(IF(Tabelle132456[[#This Row],[Status]]=$I$5,MIN(Tabelle132456[[#This Row],[Jira Story Points]],Tabelle132456[[#This Row],[Carry-over]]),0),0)</f>
        <v>0</v>
      </c>
      <c r="Q807" s="173">
        <f>IFERROR(IF(Tabelle132456[[#This Row],[Status]]=$I$5,0,MIN(Tabelle132456[[#This Row],[Jira Story Points]],Tabelle132456[[#This Row],[Carry-over]])-Tabelle132456[[#This Row],[SP Completed (COS &amp; SOS)]]),0)</f>
        <v>0</v>
      </c>
    </row>
    <row r="808" spans="1:17" s="46" customFormat="1" ht="13.5" customHeight="1">
      <c r="A808" s="117"/>
      <c r="B808" s="47"/>
      <c r="C808" s="76"/>
      <c r="D808" s="76"/>
      <c r="E808" s="76"/>
      <c r="F808" s="104"/>
      <c r="G808" s="76"/>
      <c r="H808" s="83"/>
      <c r="I808" s="103"/>
      <c r="J808" s="76"/>
      <c r="K808" s="104"/>
      <c r="L808" s="104"/>
      <c r="M808" s="174">
        <f>IF(Tabelle132456[[#This Row],[Pulled after Start]]="",MIN(Tabelle132456[[#This Row],[Jira Story Points]],Tabelle132456[[#This Row],[Carry-over]]),0)</f>
        <v>0</v>
      </c>
      <c r="N808" s="173">
        <f>MIN(Tabelle132456[[#This Row],[Jira Story Points]],Tabelle132456[[#This Row],[Carry-over]])-Tabelle132456[[#This Row],[SP Initially Planned (COS)]]</f>
        <v>0</v>
      </c>
      <c r="O80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08" s="173">
        <f>IFERROR(IF(Tabelle132456[[#This Row],[Status]]=$I$5,MIN(Tabelle132456[[#This Row],[Jira Story Points]],Tabelle132456[[#This Row],[Carry-over]]),0),0)</f>
        <v>0</v>
      </c>
      <c r="Q808" s="173">
        <f>IFERROR(IF(Tabelle132456[[#This Row],[Status]]=$I$5,0,MIN(Tabelle132456[[#This Row],[Jira Story Points]],Tabelle132456[[#This Row],[Carry-over]])-Tabelle132456[[#This Row],[SP Completed (COS &amp; SOS)]]),0)</f>
        <v>0</v>
      </c>
    </row>
    <row r="809" spans="1:17" s="46" customFormat="1" ht="13.5" customHeight="1">
      <c r="A809" s="117"/>
      <c r="B809" s="47"/>
      <c r="C809" s="76"/>
      <c r="D809" s="76"/>
      <c r="E809" s="76"/>
      <c r="F809" s="104"/>
      <c r="G809" s="76"/>
      <c r="H809" s="83"/>
      <c r="I809" s="103"/>
      <c r="J809" s="76"/>
      <c r="K809" s="104"/>
      <c r="L809" s="104"/>
      <c r="M809" s="174">
        <f>IF(Tabelle132456[[#This Row],[Pulled after Start]]="",MIN(Tabelle132456[[#This Row],[Jira Story Points]],Tabelle132456[[#This Row],[Carry-over]]),0)</f>
        <v>0</v>
      </c>
      <c r="N809" s="173">
        <f>MIN(Tabelle132456[[#This Row],[Jira Story Points]],Tabelle132456[[#This Row],[Carry-over]])-Tabelle132456[[#This Row],[SP Initially Planned (COS)]]</f>
        <v>0</v>
      </c>
      <c r="O80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09" s="173">
        <f>IFERROR(IF(Tabelle132456[[#This Row],[Status]]=$I$5,MIN(Tabelle132456[[#This Row],[Jira Story Points]],Tabelle132456[[#This Row],[Carry-over]]),0),0)</f>
        <v>0</v>
      </c>
      <c r="Q809" s="173">
        <f>IFERROR(IF(Tabelle132456[[#This Row],[Status]]=$I$5,0,MIN(Tabelle132456[[#This Row],[Jira Story Points]],Tabelle132456[[#This Row],[Carry-over]])-Tabelle132456[[#This Row],[SP Completed (COS &amp; SOS)]]),0)</f>
        <v>0</v>
      </c>
    </row>
    <row r="810" spans="1:17" s="46" customFormat="1" ht="13.5" customHeight="1">
      <c r="A810" s="117"/>
      <c r="B810" s="47"/>
      <c r="C810" s="76"/>
      <c r="D810" s="76"/>
      <c r="E810" s="76"/>
      <c r="F810" s="104"/>
      <c r="G810" s="76"/>
      <c r="H810" s="83"/>
      <c r="I810" s="103"/>
      <c r="J810" s="76"/>
      <c r="K810" s="104"/>
      <c r="L810" s="104"/>
      <c r="M810" s="174">
        <f>IF(Tabelle132456[[#This Row],[Pulled after Start]]="",MIN(Tabelle132456[[#This Row],[Jira Story Points]],Tabelle132456[[#This Row],[Carry-over]]),0)</f>
        <v>0</v>
      </c>
      <c r="N810" s="173">
        <f>MIN(Tabelle132456[[#This Row],[Jira Story Points]],Tabelle132456[[#This Row],[Carry-over]])-Tabelle132456[[#This Row],[SP Initially Planned (COS)]]</f>
        <v>0</v>
      </c>
      <c r="O81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10" s="173">
        <f>IFERROR(IF(Tabelle132456[[#This Row],[Status]]=$I$5,MIN(Tabelle132456[[#This Row],[Jira Story Points]],Tabelle132456[[#This Row],[Carry-over]]),0),0)</f>
        <v>0</v>
      </c>
      <c r="Q810" s="173">
        <f>IFERROR(IF(Tabelle132456[[#This Row],[Status]]=$I$5,0,MIN(Tabelle132456[[#This Row],[Jira Story Points]],Tabelle132456[[#This Row],[Carry-over]])-Tabelle132456[[#This Row],[SP Completed (COS &amp; SOS)]]),0)</f>
        <v>0</v>
      </c>
    </row>
    <row r="811" spans="1:17" s="46" customFormat="1" ht="13.5" customHeight="1">
      <c r="A811" s="117"/>
      <c r="B811" s="47"/>
      <c r="C811" s="76"/>
      <c r="D811" s="76"/>
      <c r="E811" s="76"/>
      <c r="F811" s="104"/>
      <c r="G811" s="76"/>
      <c r="H811" s="83"/>
      <c r="I811" s="103"/>
      <c r="J811" s="76"/>
      <c r="K811" s="104"/>
      <c r="L811" s="104"/>
      <c r="M811" s="174">
        <f>IF(Tabelle132456[[#This Row],[Pulled after Start]]="",MIN(Tabelle132456[[#This Row],[Jira Story Points]],Tabelle132456[[#This Row],[Carry-over]]),0)</f>
        <v>0</v>
      </c>
      <c r="N811" s="173">
        <f>MIN(Tabelle132456[[#This Row],[Jira Story Points]],Tabelle132456[[#This Row],[Carry-over]])-Tabelle132456[[#This Row],[SP Initially Planned (COS)]]</f>
        <v>0</v>
      </c>
      <c r="O81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11" s="173">
        <f>IFERROR(IF(Tabelle132456[[#This Row],[Status]]=$I$5,MIN(Tabelle132456[[#This Row],[Jira Story Points]],Tabelle132456[[#This Row],[Carry-over]]),0),0)</f>
        <v>0</v>
      </c>
      <c r="Q811" s="173">
        <f>IFERROR(IF(Tabelle132456[[#This Row],[Status]]=$I$5,0,MIN(Tabelle132456[[#This Row],[Jira Story Points]],Tabelle132456[[#This Row],[Carry-over]])-Tabelle132456[[#This Row],[SP Completed (COS &amp; SOS)]]),0)</f>
        <v>0</v>
      </c>
    </row>
    <row r="812" spans="1:17" s="46" customFormat="1" ht="13.5" customHeight="1">
      <c r="A812" s="117"/>
      <c r="B812" s="47"/>
      <c r="C812" s="76"/>
      <c r="D812" s="76"/>
      <c r="E812" s="76"/>
      <c r="F812" s="104"/>
      <c r="G812" s="76"/>
      <c r="H812" s="83"/>
      <c r="I812" s="103"/>
      <c r="J812" s="76"/>
      <c r="K812" s="104"/>
      <c r="L812" s="104"/>
      <c r="M812" s="174">
        <f>IF(Tabelle132456[[#This Row],[Pulled after Start]]="",MIN(Tabelle132456[[#This Row],[Jira Story Points]],Tabelle132456[[#This Row],[Carry-over]]),0)</f>
        <v>0</v>
      </c>
      <c r="N812" s="173">
        <f>MIN(Tabelle132456[[#This Row],[Jira Story Points]],Tabelle132456[[#This Row],[Carry-over]])-Tabelle132456[[#This Row],[SP Initially Planned (COS)]]</f>
        <v>0</v>
      </c>
      <c r="O81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12" s="173">
        <f>IFERROR(IF(Tabelle132456[[#This Row],[Status]]=$I$5,MIN(Tabelle132456[[#This Row],[Jira Story Points]],Tabelle132456[[#This Row],[Carry-over]]),0),0)</f>
        <v>0</v>
      </c>
      <c r="Q812" s="173">
        <f>IFERROR(IF(Tabelle132456[[#This Row],[Status]]=$I$5,0,MIN(Tabelle132456[[#This Row],[Jira Story Points]],Tabelle132456[[#This Row],[Carry-over]])-Tabelle132456[[#This Row],[SP Completed (COS &amp; SOS)]]),0)</f>
        <v>0</v>
      </c>
    </row>
    <row r="813" spans="1:17" s="46" customFormat="1" ht="13.5" customHeight="1">
      <c r="A813" s="117"/>
      <c r="B813" s="47"/>
      <c r="C813" s="76"/>
      <c r="D813" s="76"/>
      <c r="E813" s="76"/>
      <c r="F813" s="104"/>
      <c r="G813" s="76"/>
      <c r="H813" s="83"/>
      <c r="I813" s="103"/>
      <c r="J813" s="76"/>
      <c r="K813" s="104"/>
      <c r="L813" s="104"/>
      <c r="M813" s="174">
        <f>IF(Tabelle132456[[#This Row],[Pulled after Start]]="",MIN(Tabelle132456[[#This Row],[Jira Story Points]],Tabelle132456[[#This Row],[Carry-over]]),0)</f>
        <v>0</v>
      </c>
      <c r="N813" s="173">
        <f>MIN(Tabelle132456[[#This Row],[Jira Story Points]],Tabelle132456[[#This Row],[Carry-over]])-Tabelle132456[[#This Row],[SP Initially Planned (COS)]]</f>
        <v>0</v>
      </c>
      <c r="O81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13" s="173">
        <f>IFERROR(IF(Tabelle132456[[#This Row],[Status]]=$I$5,MIN(Tabelle132456[[#This Row],[Jira Story Points]],Tabelle132456[[#This Row],[Carry-over]]),0),0)</f>
        <v>0</v>
      </c>
      <c r="Q813" s="173">
        <f>IFERROR(IF(Tabelle132456[[#This Row],[Status]]=$I$5,0,MIN(Tabelle132456[[#This Row],[Jira Story Points]],Tabelle132456[[#This Row],[Carry-over]])-Tabelle132456[[#This Row],[SP Completed (COS &amp; SOS)]]),0)</f>
        <v>0</v>
      </c>
    </row>
    <row r="814" spans="1:17" s="46" customFormat="1" ht="13.5" customHeight="1">
      <c r="A814" s="117"/>
      <c r="B814" s="47"/>
      <c r="C814" s="76"/>
      <c r="D814" s="76"/>
      <c r="E814" s="76"/>
      <c r="F814" s="104"/>
      <c r="G814" s="76"/>
      <c r="H814" s="83"/>
      <c r="I814" s="103"/>
      <c r="J814" s="76"/>
      <c r="K814" s="104"/>
      <c r="L814" s="104"/>
      <c r="M814" s="174">
        <f>IF(Tabelle132456[[#This Row],[Pulled after Start]]="",MIN(Tabelle132456[[#This Row],[Jira Story Points]],Tabelle132456[[#This Row],[Carry-over]]),0)</f>
        <v>0</v>
      </c>
      <c r="N814" s="173">
        <f>MIN(Tabelle132456[[#This Row],[Jira Story Points]],Tabelle132456[[#This Row],[Carry-over]])-Tabelle132456[[#This Row],[SP Initially Planned (COS)]]</f>
        <v>0</v>
      </c>
      <c r="O81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14" s="173">
        <f>IFERROR(IF(Tabelle132456[[#This Row],[Status]]=$I$5,MIN(Tabelle132456[[#This Row],[Jira Story Points]],Tabelle132456[[#This Row],[Carry-over]]),0),0)</f>
        <v>0</v>
      </c>
      <c r="Q814" s="173">
        <f>IFERROR(IF(Tabelle132456[[#This Row],[Status]]=$I$5,0,MIN(Tabelle132456[[#This Row],[Jira Story Points]],Tabelle132456[[#This Row],[Carry-over]])-Tabelle132456[[#This Row],[SP Completed (COS &amp; SOS)]]),0)</f>
        <v>0</v>
      </c>
    </row>
    <row r="815" spans="1:17" s="46" customFormat="1" ht="13.5" customHeight="1">
      <c r="A815" s="117"/>
      <c r="B815" s="47"/>
      <c r="C815" s="76"/>
      <c r="D815" s="76"/>
      <c r="E815" s="76"/>
      <c r="F815" s="104"/>
      <c r="G815" s="76"/>
      <c r="H815" s="83"/>
      <c r="I815" s="103"/>
      <c r="J815" s="76"/>
      <c r="K815" s="104"/>
      <c r="L815" s="104"/>
      <c r="M815" s="174">
        <f>IF(Tabelle132456[[#This Row],[Pulled after Start]]="",MIN(Tabelle132456[[#This Row],[Jira Story Points]],Tabelle132456[[#This Row],[Carry-over]]),0)</f>
        <v>0</v>
      </c>
      <c r="N815" s="173">
        <f>MIN(Tabelle132456[[#This Row],[Jira Story Points]],Tabelle132456[[#This Row],[Carry-over]])-Tabelle132456[[#This Row],[SP Initially Planned (COS)]]</f>
        <v>0</v>
      </c>
      <c r="O81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15" s="173">
        <f>IFERROR(IF(Tabelle132456[[#This Row],[Status]]=$I$5,MIN(Tabelle132456[[#This Row],[Jira Story Points]],Tabelle132456[[#This Row],[Carry-over]]),0),0)</f>
        <v>0</v>
      </c>
      <c r="Q815" s="173">
        <f>IFERROR(IF(Tabelle132456[[#This Row],[Status]]=$I$5,0,MIN(Tabelle132456[[#This Row],[Jira Story Points]],Tabelle132456[[#This Row],[Carry-over]])-Tabelle132456[[#This Row],[SP Completed (COS &amp; SOS)]]),0)</f>
        <v>0</v>
      </c>
    </row>
    <row r="816" spans="1:17" s="46" customFormat="1" ht="13.5" customHeight="1">
      <c r="A816" s="117"/>
      <c r="B816" s="47"/>
      <c r="C816" s="76"/>
      <c r="D816" s="76"/>
      <c r="E816" s="76"/>
      <c r="F816" s="104"/>
      <c r="G816" s="76"/>
      <c r="H816" s="83"/>
      <c r="I816" s="103"/>
      <c r="J816" s="76"/>
      <c r="K816" s="104"/>
      <c r="L816" s="104"/>
      <c r="M816" s="174">
        <f>IF(Tabelle132456[[#This Row],[Pulled after Start]]="",MIN(Tabelle132456[[#This Row],[Jira Story Points]],Tabelle132456[[#This Row],[Carry-over]]),0)</f>
        <v>0</v>
      </c>
      <c r="N816" s="173">
        <f>MIN(Tabelle132456[[#This Row],[Jira Story Points]],Tabelle132456[[#This Row],[Carry-over]])-Tabelle132456[[#This Row],[SP Initially Planned (COS)]]</f>
        <v>0</v>
      </c>
      <c r="O81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16" s="173">
        <f>IFERROR(IF(Tabelle132456[[#This Row],[Status]]=$I$5,MIN(Tabelle132456[[#This Row],[Jira Story Points]],Tabelle132456[[#This Row],[Carry-over]]),0),0)</f>
        <v>0</v>
      </c>
      <c r="Q816" s="173">
        <f>IFERROR(IF(Tabelle132456[[#This Row],[Status]]=$I$5,0,MIN(Tabelle132456[[#This Row],[Jira Story Points]],Tabelle132456[[#This Row],[Carry-over]])-Tabelle132456[[#This Row],[SP Completed (COS &amp; SOS)]]),0)</f>
        <v>0</v>
      </c>
    </row>
    <row r="817" spans="1:17" s="46" customFormat="1" ht="13.5" customHeight="1">
      <c r="A817" s="117"/>
      <c r="B817" s="47"/>
      <c r="C817" s="76"/>
      <c r="D817" s="76"/>
      <c r="E817" s="76"/>
      <c r="F817" s="104"/>
      <c r="G817" s="76"/>
      <c r="H817" s="83"/>
      <c r="I817" s="103"/>
      <c r="J817" s="76"/>
      <c r="K817" s="104"/>
      <c r="L817" s="104"/>
      <c r="M817" s="174">
        <f>IF(Tabelle132456[[#This Row],[Pulled after Start]]="",MIN(Tabelle132456[[#This Row],[Jira Story Points]],Tabelle132456[[#This Row],[Carry-over]]),0)</f>
        <v>0</v>
      </c>
      <c r="N817" s="173">
        <f>MIN(Tabelle132456[[#This Row],[Jira Story Points]],Tabelle132456[[#This Row],[Carry-over]])-Tabelle132456[[#This Row],[SP Initially Planned (COS)]]</f>
        <v>0</v>
      </c>
      <c r="O81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17" s="173">
        <f>IFERROR(IF(Tabelle132456[[#This Row],[Status]]=$I$5,MIN(Tabelle132456[[#This Row],[Jira Story Points]],Tabelle132456[[#This Row],[Carry-over]]),0),0)</f>
        <v>0</v>
      </c>
      <c r="Q817" s="173">
        <f>IFERROR(IF(Tabelle132456[[#This Row],[Status]]=$I$5,0,MIN(Tabelle132456[[#This Row],[Jira Story Points]],Tabelle132456[[#This Row],[Carry-over]])-Tabelle132456[[#This Row],[SP Completed (COS &amp; SOS)]]),0)</f>
        <v>0</v>
      </c>
    </row>
    <row r="818" spans="1:17" s="46" customFormat="1" ht="13.5" customHeight="1">
      <c r="A818" s="117"/>
      <c r="B818" s="47"/>
      <c r="C818" s="76"/>
      <c r="D818" s="76"/>
      <c r="E818" s="76"/>
      <c r="F818" s="104"/>
      <c r="G818" s="76"/>
      <c r="H818" s="83"/>
      <c r="I818" s="103"/>
      <c r="J818" s="76"/>
      <c r="K818" s="104"/>
      <c r="L818" s="104"/>
      <c r="M818" s="174">
        <f>IF(Tabelle132456[[#This Row],[Pulled after Start]]="",MIN(Tabelle132456[[#This Row],[Jira Story Points]],Tabelle132456[[#This Row],[Carry-over]]),0)</f>
        <v>0</v>
      </c>
      <c r="N818" s="173">
        <f>MIN(Tabelle132456[[#This Row],[Jira Story Points]],Tabelle132456[[#This Row],[Carry-over]])-Tabelle132456[[#This Row],[SP Initially Planned (COS)]]</f>
        <v>0</v>
      </c>
      <c r="O81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18" s="173">
        <f>IFERROR(IF(Tabelle132456[[#This Row],[Status]]=$I$5,MIN(Tabelle132456[[#This Row],[Jira Story Points]],Tabelle132456[[#This Row],[Carry-over]]),0),0)</f>
        <v>0</v>
      </c>
      <c r="Q818" s="173">
        <f>IFERROR(IF(Tabelle132456[[#This Row],[Status]]=$I$5,0,MIN(Tabelle132456[[#This Row],[Jira Story Points]],Tabelle132456[[#This Row],[Carry-over]])-Tabelle132456[[#This Row],[SP Completed (COS &amp; SOS)]]),0)</f>
        <v>0</v>
      </c>
    </row>
    <row r="819" spans="1:17" s="46" customFormat="1" ht="13.5" customHeight="1">
      <c r="A819" s="117"/>
      <c r="B819" s="47"/>
      <c r="C819" s="76"/>
      <c r="D819" s="76"/>
      <c r="E819" s="76"/>
      <c r="F819" s="104"/>
      <c r="G819" s="76"/>
      <c r="H819" s="83"/>
      <c r="I819" s="103"/>
      <c r="J819" s="76"/>
      <c r="K819" s="104"/>
      <c r="L819" s="104"/>
      <c r="M819" s="174">
        <f>IF(Tabelle132456[[#This Row],[Pulled after Start]]="",MIN(Tabelle132456[[#This Row],[Jira Story Points]],Tabelle132456[[#This Row],[Carry-over]]),0)</f>
        <v>0</v>
      </c>
      <c r="N819" s="173">
        <f>MIN(Tabelle132456[[#This Row],[Jira Story Points]],Tabelle132456[[#This Row],[Carry-over]])-Tabelle132456[[#This Row],[SP Initially Planned (COS)]]</f>
        <v>0</v>
      </c>
      <c r="O81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19" s="173">
        <f>IFERROR(IF(Tabelle132456[[#This Row],[Status]]=$I$5,MIN(Tabelle132456[[#This Row],[Jira Story Points]],Tabelle132456[[#This Row],[Carry-over]]),0),0)</f>
        <v>0</v>
      </c>
      <c r="Q819" s="173">
        <f>IFERROR(IF(Tabelle132456[[#This Row],[Status]]=$I$5,0,MIN(Tabelle132456[[#This Row],[Jira Story Points]],Tabelle132456[[#This Row],[Carry-over]])-Tabelle132456[[#This Row],[SP Completed (COS &amp; SOS)]]),0)</f>
        <v>0</v>
      </c>
    </row>
    <row r="820" spans="1:17" s="46" customFormat="1" ht="13.5" customHeight="1">
      <c r="A820" s="117"/>
      <c r="B820" s="47"/>
      <c r="C820" s="76"/>
      <c r="D820" s="76"/>
      <c r="E820" s="76"/>
      <c r="F820" s="104"/>
      <c r="G820" s="76"/>
      <c r="H820" s="83"/>
      <c r="I820" s="103"/>
      <c r="J820" s="76"/>
      <c r="K820" s="104"/>
      <c r="L820" s="104"/>
      <c r="M820" s="174">
        <f>IF(Tabelle132456[[#This Row],[Pulled after Start]]="",MIN(Tabelle132456[[#This Row],[Jira Story Points]],Tabelle132456[[#This Row],[Carry-over]]),0)</f>
        <v>0</v>
      </c>
      <c r="N820" s="173">
        <f>MIN(Tabelle132456[[#This Row],[Jira Story Points]],Tabelle132456[[#This Row],[Carry-over]])-Tabelle132456[[#This Row],[SP Initially Planned (COS)]]</f>
        <v>0</v>
      </c>
      <c r="O82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20" s="173">
        <f>IFERROR(IF(Tabelle132456[[#This Row],[Status]]=$I$5,MIN(Tabelle132456[[#This Row],[Jira Story Points]],Tabelle132456[[#This Row],[Carry-over]]),0),0)</f>
        <v>0</v>
      </c>
      <c r="Q820" s="173">
        <f>IFERROR(IF(Tabelle132456[[#This Row],[Status]]=$I$5,0,MIN(Tabelle132456[[#This Row],[Jira Story Points]],Tabelle132456[[#This Row],[Carry-over]])-Tabelle132456[[#This Row],[SP Completed (COS &amp; SOS)]]),0)</f>
        <v>0</v>
      </c>
    </row>
    <row r="821" spans="1:17" s="46" customFormat="1" ht="13.5" customHeight="1">
      <c r="A821" s="117"/>
      <c r="B821" s="47"/>
      <c r="C821" s="76"/>
      <c r="D821" s="76"/>
      <c r="E821" s="76"/>
      <c r="F821" s="104"/>
      <c r="G821" s="76"/>
      <c r="H821" s="83"/>
      <c r="I821" s="103"/>
      <c r="J821" s="76"/>
      <c r="K821" s="104"/>
      <c r="L821" s="104"/>
      <c r="M821" s="174">
        <f>IF(Tabelle132456[[#This Row],[Pulled after Start]]="",MIN(Tabelle132456[[#This Row],[Jira Story Points]],Tabelle132456[[#This Row],[Carry-over]]),0)</f>
        <v>0</v>
      </c>
      <c r="N821" s="173">
        <f>MIN(Tabelle132456[[#This Row],[Jira Story Points]],Tabelle132456[[#This Row],[Carry-over]])-Tabelle132456[[#This Row],[SP Initially Planned (COS)]]</f>
        <v>0</v>
      </c>
      <c r="O82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21" s="173">
        <f>IFERROR(IF(Tabelle132456[[#This Row],[Status]]=$I$5,MIN(Tabelle132456[[#This Row],[Jira Story Points]],Tabelle132456[[#This Row],[Carry-over]]),0),0)</f>
        <v>0</v>
      </c>
      <c r="Q821" s="173">
        <f>IFERROR(IF(Tabelle132456[[#This Row],[Status]]=$I$5,0,MIN(Tabelle132456[[#This Row],[Jira Story Points]],Tabelle132456[[#This Row],[Carry-over]])-Tabelle132456[[#This Row],[SP Completed (COS &amp; SOS)]]),0)</f>
        <v>0</v>
      </c>
    </row>
    <row r="822" spans="1:17" s="46" customFormat="1" ht="13.5" customHeight="1">
      <c r="A822" s="117"/>
      <c r="B822" s="47"/>
      <c r="C822" s="76"/>
      <c r="D822" s="76"/>
      <c r="E822" s="76"/>
      <c r="F822" s="104"/>
      <c r="G822" s="76"/>
      <c r="H822" s="83"/>
      <c r="I822" s="103"/>
      <c r="J822" s="76"/>
      <c r="K822" s="104"/>
      <c r="L822" s="104"/>
      <c r="M822" s="174">
        <f>IF(Tabelle132456[[#This Row],[Pulled after Start]]="",MIN(Tabelle132456[[#This Row],[Jira Story Points]],Tabelle132456[[#This Row],[Carry-over]]),0)</f>
        <v>0</v>
      </c>
      <c r="N822" s="173">
        <f>MIN(Tabelle132456[[#This Row],[Jira Story Points]],Tabelle132456[[#This Row],[Carry-over]])-Tabelle132456[[#This Row],[SP Initially Planned (COS)]]</f>
        <v>0</v>
      </c>
      <c r="O82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22" s="173">
        <f>IFERROR(IF(Tabelle132456[[#This Row],[Status]]=$I$5,MIN(Tabelle132456[[#This Row],[Jira Story Points]],Tabelle132456[[#This Row],[Carry-over]]),0),0)</f>
        <v>0</v>
      </c>
      <c r="Q822" s="173">
        <f>IFERROR(IF(Tabelle132456[[#This Row],[Status]]=$I$5,0,MIN(Tabelle132456[[#This Row],[Jira Story Points]],Tabelle132456[[#This Row],[Carry-over]])-Tabelle132456[[#This Row],[SP Completed (COS &amp; SOS)]]),0)</f>
        <v>0</v>
      </c>
    </row>
    <row r="823" spans="1:17" s="46" customFormat="1" ht="13.5" customHeight="1">
      <c r="A823" s="117"/>
      <c r="B823" s="47"/>
      <c r="C823" s="76"/>
      <c r="D823" s="76"/>
      <c r="E823" s="76"/>
      <c r="F823" s="104"/>
      <c r="G823" s="76"/>
      <c r="H823" s="83"/>
      <c r="I823" s="103"/>
      <c r="J823" s="76"/>
      <c r="K823" s="104"/>
      <c r="L823" s="104"/>
      <c r="M823" s="174">
        <f>IF(Tabelle132456[[#This Row],[Pulled after Start]]="",MIN(Tabelle132456[[#This Row],[Jira Story Points]],Tabelle132456[[#This Row],[Carry-over]]),0)</f>
        <v>0</v>
      </c>
      <c r="N823" s="173">
        <f>MIN(Tabelle132456[[#This Row],[Jira Story Points]],Tabelle132456[[#This Row],[Carry-over]])-Tabelle132456[[#This Row],[SP Initially Planned (COS)]]</f>
        <v>0</v>
      </c>
      <c r="O82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23" s="173">
        <f>IFERROR(IF(Tabelle132456[[#This Row],[Status]]=$I$5,MIN(Tabelle132456[[#This Row],[Jira Story Points]],Tabelle132456[[#This Row],[Carry-over]]),0),0)</f>
        <v>0</v>
      </c>
      <c r="Q823" s="173">
        <f>IFERROR(IF(Tabelle132456[[#This Row],[Status]]=$I$5,0,MIN(Tabelle132456[[#This Row],[Jira Story Points]],Tabelle132456[[#This Row],[Carry-over]])-Tabelle132456[[#This Row],[SP Completed (COS &amp; SOS)]]),0)</f>
        <v>0</v>
      </c>
    </row>
    <row r="824" spans="1:17" s="46" customFormat="1" ht="13.5" customHeight="1">
      <c r="A824" s="117"/>
      <c r="B824" s="47"/>
      <c r="C824" s="76"/>
      <c r="D824" s="76"/>
      <c r="E824" s="76"/>
      <c r="F824" s="104"/>
      <c r="G824" s="76"/>
      <c r="H824" s="83"/>
      <c r="I824" s="103"/>
      <c r="J824" s="76"/>
      <c r="K824" s="104"/>
      <c r="L824" s="104"/>
      <c r="M824" s="174">
        <f>IF(Tabelle132456[[#This Row],[Pulled after Start]]="",MIN(Tabelle132456[[#This Row],[Jira Story Points]],Tabelle132456[[#This Row],[Carry-over]]),0)</f>
        <v>0</v>
      </c>
      <c r="N824" s="173">
        <f>MIN(Tabelle132456[[#This Row],[Jira Story Points]],Tabelle132456[[#This Row],[Carry-over]])-Tabelle132456[[#This Row],[SP Initially Planned (COS)]]</f>
        <v>0</v>
      </c>
      <c r="O82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24" s="173">
        <f>IFERROR(IF(Tabelle132456[[#This Row],[Status]]=$I$5,MIN(Tabelle132456[[#This Row],[Jira Story Points]],Tabelle132456[[#This Row],[Carry-over]]),0),0)</f>
        <v>0</v>
      </c>
      <c r="Q824" s="173">
        <f>IFERROR(IF(Tabelle132456[[#This Row],[Status]]=$I$5,0,MIN(Tabelle132456[[#This Row],[Jira Story Points]],Tabelle132456[[#This Row],[Carry-over]])-Tabelle132456[[#This Row],[SP Completed (COS &amp; SOS)]]),0)</f>
        <v>0</v>
      </c>
    </row>
    <row r="825" spans="1:17" s="46" customFormat="1" ht="13.5" customHeight="1">
      <c r="A825" s="117"/>
      <c r="B825" s="47"/>
      <c r="C825" s="76"/>
      <c r="D825" s="76"/>
      <c r="E825" s="76"/>
      <c r="F825" s="104"/>
      <c r="G825" s="76"/>
      <c r="H825" s="83"/>
      <c r="I825" s="103"/>
      <c r="J825" s="76"/>
      <c r="K825" s="104"/>
      <c r="L825" s="104"/>
      <c r="M825" s="174">
        <f>IF(Tabelle132456[[#This Row],[Pulled after Start]]="",MIN(Tabelle132456[[#This Row],[Jira Story Points]],Tabelle132456[[#This Row],[Carry-over]]),0)</f>
        <v>0</v>
      </c>
      <c r="N825" s="173">
        <f>MIN(Tabelle132456[[#This Row],[Jira Story Points]],Tabelle132456[[#This Row],[Carry-over]])-Tabelle132456[[#This Row],[SP Initially Planned (COS)]]</f>
        <v>0</v>
      </c>
      <c r="O82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25" s="173">
        <f>IFERROR(IF(Tabelle132456[[#This Row],[Status]]=$I$5,MIN(Tabelle132456[[#This Row],[Jira Story Points]],Tabelle132456[[#This Row],[Carry-over]]),0),0)</f>
        <v>0</v>
      </c>
      <c r="Q825" s="173">
        <f>IFERROR(IF(Tabelle132456[[#This Row],[Status]]=$I$5,0,MIN(Tabelle132456[[#This Row],[Jira Story Points]],Tabelle132456[[#This Row],[Carry-over]])-Tabelle132456[[#This Row],[SP Completed (COS &amp; SOS)]]),0)</f>
        <v>0</v>
      </c>
    </row>
    <row r="826" spans="1:17" s="46" customFormat="1" ht="13.5" customHeight="1">
      <c r="A826" s="117"/>
      <c r="B826" s="47"/>
      <c r="C826" s="76"/>
      <c r="D826" s="76"/>
      <c r="E826" s="76"/>
      <c r="F826" s="104"/>
      <c r="G826" s="76"/>
      <c r="H826" s="83"/>
      <c r="I826" s="103"/>
      <c r="J826" s="76"/>
      <c r="K826" s="104"/>
      <c r="L826" s="104"/>
      <c r="M826" s="174">
        <f>IF(Tabelle132456[[#This Row],[Pulled after Start]]="",MIN(Tabelle132456[[#This Row],[Jira Story Points]],Tabelle132456[[#This Row],[Carry-over]]),0)</f>
        <v>0</v>
      </c>
      <c r="N826" s="173">
        <f>MIN(Tabelle132456[[#This Row],[Jira Story Points]],Tabelle132456[[#This Row],[Carry-over]])-Tabelle132456[[#This Row],[SP Initially Planned (COS)]]</f>
        <v>0</v>
      </c>
      <c r="O82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26" s="173">
        <f>IFERROR(IF(Tabelle132456[[#This Row],[Status]]=$I$5,MIN(Tabelle132456[[#This Row],[Jira Story Points]],Tabelle132456[[#This Row],[Carry-over]]),0),0)</f>
        <v>0</v>
      </c>
      <c r="Q826" s="173">
        <f>IFERROR(IF(Tabelle132456[[#This Row],[Status]]=$I$5,0,MIN(Tabelle132456[[#This Row],[Jira Story Points]],Tabelle132456[[#This Row],[Carry-over]])-Tabelle132456[[#This Row],[SP Completed (COS &amp; SOS)]]),0)</f>
        <v>0</v>
      </c>
    </row>
    <row r="827" spans="1:17" s="46" customFormat="1" ht="13.5" customHeight="1">
      <c r="A827" s="117"/>
      <c r="B827" s="47"/>
      <c r="C827" s="76"/>
      <c r="D827" s="76"/>
      <c r="E827" s="76"/>
      <c r="F827" s="104"/>
      <c r="G827" s="76"/>
      <c r="H827" s="83"/>
      <c r="I827" s="103"/>
      <c r="J827" s="76"/>
      <c r="K827" s="104"/>
      <c r="L827" s="104"/>
      <c r="M827" s="174">
        <f>IF(Tabelle132456[[#This Row],[Pulled after Start]]="",MIN(Tabelle132456[[#This Row],[Jira Story Points]],Tabelle132456[[#This Row],[Carry-over]]),0)</f>
        <v>0</v>
      </c>
      <c r="N827" s="173">
        <f>MIN(Tabelle132456[[#This Row],[Jira Story Points]],Tabelle132456[[#This Row],[Carry-over]])-Tabelle132456[[#This Row],[SP Initially Planned (COS)]]</f>
        <v>0</v>
      </c>
      <c r="O82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27" s="173">
        <f>IFERROR(IF(Tabelle132456[[#This Row],[Status]]=$I$5,MIN(Tabelle132456[[#This Row],[Jira Story Points]],Tabelle132456[[#This Row],[Carry-over]]),0),0)</f>
        <v>0</v>
      </c>
      <c r="Q827" s="173">
        <f>IFERROR(IF(Tabelle132456[[#This Row],[Status]]=$I$5,0,MIN(Tabelle132456[[#This Row],[Jira Story Points]],Tabelle132456[[#This Row],[Carry-over]])-Tabelle132456[[#This Row],[SP Completed (COS &amp; SOS)]]),0)</f>
        <v>0</v>
      </c>
    </row>
    <row r="828" spans="1:17" s="46" customFormat="1" ht="13.5" customHeight="1">
      <c r="A828" s="117"/>
      <c r="B828" s="47"/>
      <c r="C828" s="76"/>
      <c r="D828" s="76"/>
      <c r="E828" s="76"/>
      <c r="F828" s="104"/>
      <c r="G828" s="76"/>
      <c r="H828" s="83"/>
      <c r="I828" s="103"/>
      <c r="J828" s="76"/>
      <c r="K828" s="104"/>
      <c r="L828" s="104"/>
      <c r="M828" s="174">
        <f>IF(Tabelle132456[[#This Row],[Pulled after Start]]="",MIN(Tabelle132456[[#This Row],[Jira Story Points]],Tabelle132456[[#This Row],[Carry-over]]),0)</f>
        <v>0</v>
      </c>
      <c r="N828" s="173">
        <f>MIN(Tabelle132456[[#This Row],[Jira Story Points]],Tabelle132456[[#This Row],[Carry-over]])-Tabelle132456[[#This Row],[SP Initially Planned (COS)]]</f>
        <v>0</v>
      </c>
      <c r="O82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28" s="173">
        <f>IFERROR(IF(Tabelle132456[[#This Row],[Status]]=$I$5,MIN(Tabelle132456[[#This Row],[Jira Story Points]],Tabelle132456[[#This Row],[Carry-over]]),0),0)</f>
        <v>0</v>
      </c>
      <c r="Q828" s="173">
        <f>IFERROR(IF(Tabelle132456[[#This Row],[Status]]=$I$5,0,MIN(Tabelle132456[[#This Row],[Jira Story Points]],Tabelle132456[[#This Row],[Carry-over]])-Tabelle132456[[#This Row],[SP Completed (COS &amp; SOS)]]),0)</f>
        <v>0</v>
      </c>
    </row>
    <row r="829" spans="1:17" s="46" customFormat="1" ht="13.5" customHeight="1">
      <c r="A829" s="117"/>
      <c r="B829" s="47"/>
      <c r="C829" s="76"/>
      <c r="D829" s="76"/>
      <c r="E829" s="76"/>
      <c r="F829" s="104"/>
      <c r="G829" s="76"/>
      <c r="H829" s="83"/>
      <c r="I829" s="103"/>
      <c r="J829" s="76"/>
      <c r="K829" s="104"/>
      <c r="L829" s="104"/>
      <c r="M829" s="174">
        <f>IF(Tabelle132456[[#This Row],[Pulled after Start]]="",MIN(Tabelle132456[[#This Row],[Jira Story Points]],Tabelle132456[[#This Row],[Carry-over]]),0)</f>
        <v>0</v>
      </c>
      <c r="N829" s="173">
        <f>MIN(Tabelle132456[[#This Row],[Jira Story Points]],Tabelle132456[[#This Row],[Carry-over]])-Tabelle132456[[#This Row],[SP Initially Planned (COS)]]</f>
        <v>0</v>
      </c>
      <c r="O82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29" s="173">
        <f>IFERROR(IF(Tabelle132456[[#This Row],[Status]]=$I$5,MIN(Tabelle132456[[#This Row],[Jira Story Points]],Tabelle132456[[#This Row],[Carry-over]]),0),0)</f>
        <v>0</v>
      </c>
      <c r="Q829" s="173">
        <f>IFERROR(IF(Tabelle132456[[#This Row],[Status]]=$I$5,0,MIN(Tabelle132456[[#This Row],[Jira Story Points]],Tabelle132456[[#This Row],[Carry-over]])-Tabelle132456[[#This Row],[SP Completed (COS &amp; SOS)]]),0)</f>
        <v>0</v>
      </c>
    </row>
    <row r="830" spans="1:17" s="46" customFormat="1" ht="13.5" customHeight="1">
      <c r="A830" s="117"/>
      <c r="B830" s="47"/>
      <c r="C830" s="76"/>
      <c r="D830" s="76"/>
      <c r="E830" s="76"/>
      <c r="F830" s="104"/>
      <c r="G830" s="76"/>
      <c r="H830" s="83"/>
      <c r="I830" s="103"/>
      <c r="J830" s="76"/>
      <c r="K830" s="104"/>
      <c r="L830" s="104"/>
      <c r="M830" s="174">
        <f>IF(Tabelle132456[[#This Row],[Pulled after Start]]="",MIN(Tabelle132456[[#This Row],[Jira Story Points]],Tabelle132456[[#This Row],[Carry-over]]),0)</f>
        <v>0</v>
      </c>
      <c r="N830" s="173">
        <f>MIN(Tabelle132456[[#This Row],[Jira Story Points]],Tabelle132456[[#This Row],[Carry-over]])-Tabelle132456[[#This Row],[SP Initially Planned (COS)]]</f>
        <v>0</v>
      </c>
      <c r="O83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30" s="173">
        <f>IFERROR(IF(Tabelle132456[[#This Row],[Status]]=$I$5,MIN(Tabelle132456[[#This Row],[Jira Story Points]],Tabelle132456[[#This Row],[Carry-over]]),0),0)</f>
        <v>0</v>
      </c>
      <c r="Q830" s="173">
        <f>IFERROR(IF(Tabelle132456[[#This Row],[Status]]=$I$5,0,MIN(Tabelle132456[[#This Row],[Jira Story Points]],Tabelle132456[[#This Row],[Carry-over]])-Tabelle132456[[#This Row],[SP Completed (COS &amp; SOS)]]),0)</f>
        <v>0</v>
      </c>
    </row>
    <row r="831" spans="1:17" s="46" customFormat="1" ht="13.5" customHeight="1">
      <c r="A831" s="117"/>
      <c r="B831" s="47"/>
      <c r="C831" s="76"/>
      <c r="D831" s="76"/>
      <c r="E831" s="76"/>
      <c r="F831" s="104"/>
      <c r="G831" s="76"/>
      <c r="H831" s="83"/>
      <c r="I831" s="103"/>
      <c r="J831" s="76"/>
      <c r="K831" s="104"/>
      <c r="L831" s="104"/>
      <c r="M831" s="174">
        <f>IF(Tabelle132456[[#This Row],[Pulled after Start]]="",MIN(Tabelle132456[[#This Row],[Jira Story Points]],Tabelle132456[[#This Row],[Carry-over]]),0)</f>
        <v>0</v>
      </c>
      <c r="N831" s="173">
        <f>MIN(Tabelle132456[[#This Row],[Jira Story Points]],Tabelle132456[[#This Row],[Carry-over]])-Tabelle132456[[#This Row],[SP Initially Planned (COS)]]</f>
        <v>0</v>
      </c>
      <c r="O83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31" s="173">
        <f>IFERROR(IF(Tabelle132456[[#This Row],[Status]]=$I$5,MIN(Tabelle132456[[#This Row],[Jira Story Points]],Tabelle132456[[#This Row],[Carry-over]]),0),0)</f>
        <v>0</v>
      </c>
      <c r="Q831" s="173">
        <f>IFERROR(IF(Tabelle132456[[#This Row],[Status]]=$I$5,0,MIN(Tabelle132456[[#This Row],[Jira Story Points]],Tabelle132456[[#This Row],[Carry-over]])-Tabelle132456[[#This Row],[SP Completed (COS &amp; SOS)]]),0)</f>
        <v>0</v>
      </c>
    </row>
    <row r="832" spans="1:17" s="46" customFormat="1" ht="13.5" customHeight="1">
      <c r="A832" s="117"/>
      <c r="B832" s="47"/>
      <c r="C832" s="76"/>
      <c r="D832" s="76"/>
      <c r="E832" s="76"/>
      <c r="F832" s="104"/>
      <c r="G832" s="76"/>
      <c r="H832" s="83"/>
      <c r="I832" s="103"/>
      <c r="J832" s="76"/>
      <c r="K832" s="104"/>
      <c r="L832" s="104"/>
      <c r="M832" s="174">
        <f>IF(Tabelle132456[[#This Row],[Pulled after Start]]="",MIN(Tabelle132456[[#This Row],[Jira Story Points]],Tabelle132456[[#This Row],[Carry-over]]),0)</f>
        <v>0</v>
      </c>
      <c r="N832" s="173">
        <f>MIN(Tabelle132456[[#This Row],[Jira Story Points]],Tabelle132456[[#This Row],[Carry-over]])-Tabelle132456[[#This Row],[SP Initially Planned (COS)]]</f>
        <v>0</v>
      </c>
      <c r="O83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32" s="173">
        <f>IFERROR(IF(Tabelle132456[[#This Row],[Status]]=$I$5,MIN(Tabelle132456[[#This Row],[Jira Story Points]],Tabelle132456[[#This Row],[Carry-over]]),0),0)</f>
        <v>0</v>
      </c>
      <c r="Q832" s="173">
        <f>IFERROR(IF(Tabelle132456[[#This Row],[Status]]=$I$5,0,MIN(Tabelle132456[[#This Row],[Jira Story Points]],Tabelle132456[[#This Row],[Carry-over]])-Tabelle132456[[#This Row],[SP Completed (COS &amp; SOS)]]),0)</f>
        <v>0</v>
      </c>
    </row>
    <row r="833" spans="1:17" s="46" customFormat="1" ht="13.5" customHeight="1">
      <c r="A833" s="117"/>
      <c r="B833" s="47"/>
      <c r="C833" s="76"/>
      <c r="D833" s="76"/>
      <c r="E833" s="76"/>
      <c r="F833" s="104"/>
      <c r="G833" s="76"/>
      <c r="H833" s="83"/>
      <c r="I833" s="103"/>
      <c r="J833" s="76"/>
      <c r="K833" s="104"/>
      <c r="L833" s="104"/>
      <c r="M833" s="174">
        <f>IF(Tabelle132456[[#This Row],[Pulled after Start]]="",MIN(Tabelle132456[[#This Row],[Jira Story Points]],Tabelle132456[[#This Row],[Carry-over]]),0)</f>
        <v>0</v>
      </c>
      <c r="N833" s="173">
        <f>MIN(Tabelle132456[[#This Row],[Jira Story Points]],Tabelle132456[[#This Row],[Carry-over]])-Tabelle132456[[#This Row],[SP Initially Planned (COS)]]</f>
        <v>0</v>
      </c>
      <c r="O83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33" s="173">
        <f>IFERROR(IF(Tabelle132456[[#This Row],[Status]]=$I$5,MIN(Tabelle132456[[#This Row],[Jira Story Points]],Tabelle132456[[#This Row],[Carry-over]]),0),0)</f>
        <v>0</v>
      </c>
      <c r="Q833" s="173">
        <f>IFERROR(IF(Tabelle132456[[#This Row],[Status]]=$I$5,0,MIN(Tabelle132456[[#This Row],[Jira Story Points]],Tabelle132456[[#This Row],[Carry-over]])-Tabelle132456[[#This Row],[SP Completed (COS &amp; SOS)]]),0)</f>
        <v>0</v>
      </c>
    </row>
    <row r="834" spans="1:17" s="46" customFormat="1" ht="13.5" customHeight="1">
      <c r="A834" s="117"/>
      <c r="B834" s="47"/>
      <c r="C834" s="76"/>
      <c r="D834" s="76"/>
      <c r="E834" s="76"/>
      <c r="F834" s="104"/>
      <c r="G834" s="76"/>
      <c r="H834" s="83"/>
      <c r="I834" s="103"/>
      <c r="J834" s="76"/>
      <c r="K834" s="104"/>
      <c r="L834" s="104"/>
      <c r="M834" s="174">
        <f>IF(Tabelle132456[[#This Row],[Pulled after Start]]="",MIN(Tabelle132456[[#This Row],[Jira Story Points]],Tabelle132456[[#This Row],[Carry-over]]),0)</f>
        <v>0</v>
      </c>
      <c r="N834" s="173">
        <f>MIN(Tabelle132456[[#This Row],[Jira Story Points]],Tabelle132456[[#This Row],[Carry-over]])-Tabelle132456[[#This Row],[SP Initially Planned (COS)]]</f>
        <v>0</v>
      </c>
      <c r="O83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34" s="173">
        <f>IFERROR(IF(Tabelle132456[[#This Row],[Status]]=$I$5,MIN(Tabelle132456[[#This Row],[Jira Story Points]],Tabelle132456[[#This Row],[Carry-over]]),0),0)</f>
        <v>0</v>
      </c>
      <c r="Q834" s="173">
        <f>IFERROR(IF(Tabelle132456[[#This Row],[Status]]=$I$5,0,MIN(Tabelle132456[[#This Row],[Jira Story Points]],Tabelle132456[[#This Row],[Carry-over]])-Tabelle132456[[#This Row],[SP Completed (COS &amp; SOS)]]),0)</f>
        <v>0</v>
      </c>
    </row>
    <row r="835" spans="1:17" s="46" customFormat="1" ht="13.5" customHeight="1">
      <c r="A835" s="117"/>
      <c r="B835" s="47"/>
      <c r="C835" s="76"/>
      <c r="D835" s="76"/>
      <c r="E835" s="76"/>
      <c r="F835" s="104"/>
      <c r="G835" s="76"/>
      <c r="H835" s="83"/>
      <c r="I835" s="103"/>
      <c r="J835" s="76"/>
      <c r="K835" s="104"/>
      <c r="L835" s="104"/>
      <c r="M835" s="174">
        <f>IF(Tabelle132456[[#This Row],[Pulled after Start]]="",MIN(Tabelle132456[[#This Row],[Jira Story Points]],Tabelle132456[[#This Row],[Carry-over]]),0)</f>
        <v>0</v>
      </c>
      <c r="N835" s="173">
        <f>MIN(Tabelle132456[[#This Row],[Jira Story Points]],Tabelle132456[[#This Row],[Carry-over]])-Tabelle132456[[#This Row],[SP Initially Planned (COS)]]</f>
        <v>0</v>
      </c>
      <c r="O83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35" s="173">
        <f>IFERROR(IF(Tabelle132456[[#This Row],[Status]]=$I$5,MIN(Tabelle132456[[#This Row],[Jira Story Points]],Tabelle132456[[#This Row],[Carry-over]]),0),0)</f>
        <v>0</v>
      </c>
      <c r="Q835" s="173">
        <f>IFERROR(IF(Tabelle132456[[#This Row],[Status]]=$I$5,0,MIN(Tabelle132456[[#This Row],[Jira Story Points]],Tabelle132456[[#This Row],[Carry-over]])-Tabelle132456[[#This Row],[SP Completed (COS &amp; SOS)]]),0)</f>
        <v>0</v>
      </c>
    </row>
    <row r="836" spans="1:17" s="46" customFormat="1" ht="13.5" customHeight="1">
      <c r="A836" s="117"/>
      <c r="B836" s="47"/>
      <c r="C836" s="76"/>
      <c r="D836" s="76"/>
      <c r="E836" s="76"/>
      <c r="F836" s="104"/>
      <c r="G836" s="76"/>
      <c r="H836" s="83"/>
      <c r="I836" s="103"/>
      <c r="J836" s="76"/>
      <c r="K836" s="104"/>
      <c r="L836" s="104"/>
      <c r="M836" s="174">
        <f>IF(Tabelle132456[[#This Row],[Pulled after Start]]="",MIN(Tabelle132456[[#This Row],[Jira Story Points]],Tabelle132456[[#This Row],[Carry-over]]),0)</f>
        <v>0</v>
      </c>
      <c r="N836" s="173">
        <f>MIN(Tabelle132456[[#This Row],[Jira Story Points]],Tabelle132456[[#This Row],[Carry-over]])-Tabelle132456[[#This Row],[SP Initially Planned (COS)]]</f>
        <v>0</v>
      </c>
      <c r="O83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36" s="173">
        <f>IFERROR(IF(Tabelle132456[[#This Row],[Status]]=$I$5,MIN(Tabelle132456[[#This Row],[Jira Story Points]],Tabelle132456[[#This Row],[Carry-over]]),0),0)</f>
        <v>0</v>
      </c>
      <c r="Q836" s="173">
        <f>IFERROR(IF(Tabelle132456[[#This Row],[Status]]=$I$5,0,MIN(Tabelle132456[[#This Row],[Jira Story Points]],Tabelle132456[[#This Row],[Carry-over]])-Tabelle132456[[#This Row],[SP Completed (COS &amp; SOS)]]),0)</f>
        <v>0</v>
      </c>
    </row>
    <row r="837" spans="1:17" s="46" customFormat="1" ht="13.5" customHeight="1">
      <c r="A837" s="117"/>
      <c r="B837" s="47"/>
      <c r="C837" s="76"/>
      <c r="D837" s="76"/>
      <c r="E837" s="76"/>
      <c r="F837" s="104"/>
      <c r="G837" s="76"/>
      <c r="H837" s="83"/>
      <c r="I837" s="103"/>
      <c r="J837" s="76"/>
      <c r="K837" s="104"/>
      <c r="L837" s="104"/>
      <c r="M837" s="174">
        <f>IF(Tabelle132456[[#This Row],[Pulled after Start]]="",MIN(Tabelle132456[[#This Row],[Jira Story Points]],Tabelle132456[[#This Row],[Carry-over]]),0)</f>
        <v>0</v>
      </c>
      <c r="N837" s="173">
        <f>MIN(Tabelle132456[[#This Row],[Jira Story Points]],Tabelle132456[[#This Row],[Carry-over]])-Tabelle132456[[#This Row],[SP Initially Planned (COS)]]</f>
        <v>0</v>
      </c>
      <c r="O83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37" s="173">
        <f>IFERROR(IF(Tabelle132456[[#This Row],[Status]]=$I$5,MIN(Tabelle132456[[#This Row],[Jira Story Points]],Tabelle132456[[#This Row],[Carry-over]]),0),0)</f>
        <v>0</v>
      </c>
      <c r="Q837" s="173">
        <f>IFERROR(IF(Tabelle132456[[#This Row],[Status]]=$I$5,0,MIN(Tabelle132456[[#This Row],[Jira Story Points]],Tabelle132456[[#This Row],[Carry-over]])-Tabelle132456[[#This Row],[SP Completed (COS &amp; SOS)]]),0)</f>
        <v>0</v>
      </c>
    </row>
    <row r="838" spans="1:17" s="46" customFormat="1" ht="13.5" customHeight="1">
      <c r="A838" s="117"/>
      <c r="B838" s="47"/>
      <c r="C838" s="76"/>
      <c r="D838" s="76"/>
      <c r="E838" s="76"/>
      <c r="F838" s="104"/>
      <c r="G838" s="76"/>
      <c r="H838" s="83"/>
      <c r="I838" s="103"/>
      <c r="J838" s="76"/>
      <c r="K838" s="104"/>
      <c r="L838" s="104"/>
      <c r="M838" s="174">
        <f>IF(Tabelle132456[[#This Row],[Pulled after Start]]="",MIN(Tabelle132456[[#This Row],[Jira Story Points]],Tabelle132456[[#This Row],[Carry-over]]),0)</f>
        <v>0</v>
      </c>
      <c r="N838" s="173">
        <f>MIN(Tabelle132456[[#This Row],[Jira Story Points]],Tabelle132456[[#This Row],[Carry-over]])-Tabelle132456[[#This Row],[SP Initially Planned (COS)]]</f>
        <v>0</v>
      </c>
      <c r="O83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38" s="173">
        <f>IFERROR(IF(Tabelle132456[[#This Row],[Status]]=$I$5,MIN(Tabelle132456[[#This Row],[Jira Story Points]],Tabelle132456[[#This Row],[Carry-over]]),0),0)</f>
        <v>0</v>
      </c>
      <c r="Q838" s="173">
        <f>IFERROR(IF(Tabelle132456[[#This Row],[Status]]=$I$5,0,MIN(Tabelle132456[[#This Row],[Jira Story Points]],Tabelle132456[[#This Row],[Carry-over]])-Tabelle132456[[#This Row],[SP Completed (COS &amp; SOS)]]),0)</f>
        <v>0</v>
      </c>
    </row>
    <row r="839" spans="1:17" s="46" customFormat="1" ht="13.5" customHeight="1">
      <c r="A839" s="117"/>
      <c r="B839" s="47"/>
      <c r="C839" s="76"/>
      <c r="D839" s="76"/>
      <c r="E839" s="76"/>
      <c r="F839" s="104"/>
      <c r="G839" s="76"/>
      <c r="H839" s="83"/>
      <c r="I839" s="103"/>
      <c r="J839" s="76"/>
      <c r="K839" s="104"/>
      <c r="L839" s="104"/>
      <c r="M839" s="174">
        <f>IF(Tabelle132456[[#This Row],[Pulled after Start]]="",MIN(Tabelle132456[[#This Row],[Jira Story Points]],Tabelle132456[[#This Row],[Carry-over]]),0)</f>
        <v>0</v>
      </c>
      <c r="N839" s="173">
        <f>MIN(Tabelle132456[[#This Row],[Jira Story Points]],Tabelle132456[[#This Row],[Carry-over]])-Tabelle132456[[#This Row],[SP Initially Planned (COS)]]</f>
        <v>0</v>
      </c>
      <c r="O83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39" s="173">
        <f>IFERROR(IF(Tabelle132456[[#This Row],[Status]]=$I$5,MIN(Tabelle132456[[#This Row],[Jira Story Points]],Tabelle132456[[#This Row],[Carry-over]]),0),0)</f>
        <v>0</v>
      </c>
      <c r="Q839" s="173">
        <f>IFERROR(IF(Tabelle132456[[#This Row],[Status]]=$I$5,0,MIN(Tabelle132456[[#This Row],[Jira Story Points]],Tabelle132456[[#This Row],[Carry-over]])-Tabelle132456[[#This Row],[SP Completed (COS &amp; SOS)]]),0)</f>
        <v>0</v>
      </c>
    </row>
    <row r="840" spans="1:17" s="46" customFormat="1" ht="13.5" customHeight="1">
      <c r="A840" s="117"/>
      <c r="B840" s="47"/>
      <c r="C840" s="76"/>
      <c r="D840" s="76"/>
      <c r="E840" s="76"/>
      <c r="F840" s="104"/>
      <c r="G840" s="76"/>
      <c r="H840" s="83"/>
      <c r="I840" s="103"/>
      <c r="J840" s="76"/>
      <c r="K840" s="104"/>
      <c r="L840" s="104"/>
      <c r="M840" s="174">
        <f>IF(Tabelle132456[[#This Row],[Pulled after Start]]="",MIN(Tabelle132456[[#This Row],[Jira Story Points]],Tabelle132456[[#This Row],[Carry-over]]),0)</f>
        <v>0</v>
      </c>
      <c r="N840" s="173">
        <f>MIN(Tabelle132456[[#This Row],[Jira Story Points]],Tabelle132456[[#This Row],[Carry-over]])-Tabelle132456[[#This Row],[SP Initially Planned (COS)]]</f>
        <v>0</v>
      </c>
      <c r="O84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40" s="173">
        <f>IFERROR(IF(Tabelle132456[[#This Row],[Status]]=$I$5,MIN(Tabelle132456[[#This Row],[Jira Story Points]],Tabelle132456[[#This Row],[Carry-over]]),0),0)</f>
        <v>0</v>
      </c>
      <c r="Q840" s="173">
        <f>IFERROR(IF(Tabelle132456[[#This Row],[Status]]=$I$5,0,MIN(Tabelle132456[[#This Row],[Jira Story Points]],Tabelle132456[[#This Row],[Carry-over]])-Tabelle132456[[#This Row],[SP Completed (COS &amp; SOS)]]),0)</f>
        <v>0</v>
      </c>
    </row>
    <row r="841" spans="1:17" s="46" customFormat="1" ht="13.5" customHeight="1">
      <c r="A841" s="117"/>
      <c r="B841" s="47"/>
      <c r="C841" s="76"/>
      <c r="D841" s="76"/>
      <c r="E841" s="76"/>
      <c r="F841" s="104"/>
      <c r="G841" s="76"/>
      <c r="H841" s="83"/>
      <c r="I841" s="103"/>
      <c r="J841" s="76"/>
      <c r="K841" s="104"/>
      <c r="L841" s="104"/>
      <c r="M841" s="174">
        <f>IF(Tabelle132456[[#This Row],[Pulled after Start]]="",MIN(Tabelle132456[[#This Row],[Jira Story Points]],Tabelle132456[[#This Row],[Carry-over]]),0)</f>
        <v>0</v>
      </c>
      <c r="N841" s="173">
        <f>MIN(Tabelle132456[[#This Row],[Jira Story Points]],Tabelle132456[[#This Row],[Carry-over]])-Tabelle132456[[#This Row],[SP Initially Planned (COS)]]</f>
        <v>0</v>
      </c>
      <c r="O84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41" s="173">
        <f>IFERROR(IF(Tabelle132456[[#This Row],[Status]]=$I$5,MIN(Tabelle132456[[#This Row],[Jira Story Points]],Tabelle132456[[#This Row],[Carry-over]]),0),0)</f>
        <v>0</v>
      </c>
      <c r="Q841" s="173">
        <f>IFERROR(IF(Tabelle132456[[#This Row],[Status]]=$I$5,0,MIN(Tabelle132456[[#This Row],[Jira Story Points]],Tabelle132456[[#This Row],[Carry-over]])-Tabelle132456[[#This Row],[SP Completed (COS &amp; SOS)]]),0)</f>
        <v>0</v>
      </c>
    </row>
    <row r="842" spans="1:17" s="46" customFormat="1" ht="13.5" customHeight="1">
      <c r="A842" s="117"/>
      <c r="B842" s="47"/>
      <c r="C842" s="76"/>
      <c r="D842" s="76"/>
      <c r="E842" s="76"/>
      <c r="F842" s="104"/>
      <c r="G842" s="76"/>
      <c r="H842" s="83"/>
      <c r="I842" s="103"/>
      <c r="J842" s="76"/>
      <c r="K842" s="104"/>
      <c r="L842" s="104"/>
      <c r="M842" s="174">
        <f>IF(Tabelle132456[[#This Row],[Pulled after Start]]="",MIN(Tabelle132456[[#This Row],[Jira Story Points]],Tabelle132456[[#This Row],[Carry-over]]),0)</f>
        <v>0</v>
      </c>
      <c r="N842" s="173">
        <f>MIN(Tabelle132456[[#This Row],[Jira Story Points]],Tabelle132456[[#This Row],[Carry-over]])-Tabelle132456[[#This Row],[SP Initially Planned (COS)]]</f>
        <v>0</v>
      </c>
      <c r="O84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42" s="173">
        <f>IFERROR(IF(Tabelle132456[[#This Row],[Status]]=$I$5,MIN(Tabelle132456[[#This Row],[Jira Story Points]],Tabelle132456[[#This Row],[Carry-over]]),0),0)</f>
        <v>0</v>
      </c>
      <c r="Q842" s="173">
        <f>IFERROR(IF(Tabelle132456[[#This Row],[Status]]=$I$5,0,MIN(Tabelle132456[[#This Row],[Jira Story Points]],Tabelle132456[[#This Row],[Carry-over]])-Tabelle132456[[#This Row],[SP Completed (COS &amp; SOS)]]),0)</f>
        <v>0</v>
      </c>
    </row>
    <row r="843" spans="1:17" s="46" customFormat="1" ht="13.5" customHeight="1">
      <c r="A843" s="117"/>
      <c r="B843" s="47"/>
      <c r="C843" s="76"/>
      <c r="D843" s="76"/>
      <c r="E843" s="76"/>
      <c r="F843" s="104"/>
      <c r="G843" s="76"/>
      <c r="H843" s="83"/>
      <c r="I843" s="103"/>
      <c r="J843" s="76"/>
      <c r="K843" s="104"/>
      <c r="L843" s="104"/>
      <c r="M843" s="174">
        <f>IF(Tabelle132456[[#This Row],[Pulled after Start]]="",MIN(Tabelle132456[[#This Row],[Jira Story Points]],Tabelle132456[[#This Row],[Carry-over]]),0)</f>
        <v>0</v>
      </c>
      <c r="N843" s="173">
        <f>MIN(Tabelle132456[[#This Row],[Jira Story Points]],Tabelle132456[[#This Row],[Carry-over]])-Tabelle132456[[#This Row],[SP Initially Planned (COS)]]</f>
        <v>0</v>
      </c>
      <c r="O84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43" s="173">
        <f>IFERROR(IF(Tabelle132456[[#This Row],[Status]]=$I$5,MIN(Tabelle132456[[#This Row],[Jira Story Points]],Tabelle132456[[#This Row],[Carry-over]]),0),0)</f>
        <v>0</v>
      </c>
      <c r="Q843" s="173">
        <f>IFERROR(IF(Tabelle132456[[#This Row],[Status]]=$I$5,0,MIN(Tabelle132456[[#This Row],[Jira Story Points]],Tabelle132456[[#This Row],[Carry-over]])-Tabelle132456[[#This Row],[SP Completed (COS &amp; SOS)]]),0)</f>
        <v>0</v>
      </c>
    </row>
    <row r="844" spans="1:17" s="46" customFormat="1" ht="13.5" customHeight="1">
      <c r="A844" s="117"/>
      <c r="B844" s="47"/>
      <c r="C844" s="76"/>
      <c r="D844" s="76"/>
      <c r="E844" s="76"/>
      <c r="F844" s="104"/>
      <c r="G844" s="76"/>
      <c r="H844" s="83"/>
      <c r="I844" s="103"/>
      <c r="J844" s="76"/>
      <c r="K844" s="104"/>
      <c r="L844" s="104"/>
      <c r="M844" s="174">
        <f>IF(Tabelle132456[[#This Row],[Pulled after Start]]="",MIN(Tabelle132456[[#This Row],[Jira Story Points]],Tabelle132456[[#This Row],[Carry-over]]),0)</f>
        <v>0</v>
      </c>
      <c r="N844" s="173">
        <f>MIN(Tabelle132456[[#This Row],[Jira Story Points]],Tabelle132456[[#This Row],[Carry-over]])-Tabelle132456[[#This Row],[SP Initially Planned (COS)]]</f>
        <v>0</v>
      </c>
      <c r="O84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44" s="173">
        <f>IFERROR(IF(Tabelle132456[[#This Row],[Status]]=$I$5,MIN(Tabelle132456[[#This Row],[Jira Story Points]],Tabelle132456[[#This Row],[Carry-over]]),0),0)</f>
        <v>0</v>
      </c>
      <c r="Q844" s="173">
        <f>IFERROR(IF(Tabelle132456[[#This Row],[Status]]=$I$5,0,MIN(Tabelle132456[[#This Row],[Jira Story Points]],Tabelle132456[[#This Row],[Carry-over]])-Tabelle132456[[#This Row],[SP Completed (COS &amp; SOS)]]),0)</f>
        <v>0</v>
      </c>
    </row>
    <row r="845" spans="1:17" s="46" customFormat="1" ht="13.5" customHeight="1">
      <c r="A845" s="117"/>
      <c r="B845" s="47"/>
      <c r="C845" s="76"/>
      <c r="D845" s="76"/>
      <c r="E845" s="76"/>
      <c r="F845" s="104"/>
      <c r="G845" s="76"/>
      <c r="H845" s="83"/>
      <c r="I845" s="103"/>
      <c r="J845" s="76"/>
      <c r="K845" s="104"/>
      <c r="L845" s="104"/>
      <c r="M845" s="174">
        <f>IF(Tabelle132456[[#This Row],[Pulled after Start]]="",MIN(Tabelle132456[[#This Row],[Jira Story Points]],Tabelle132456[[#This Row],[Carry-over]]),0)</f>
        <v>0</v>
      </c>
      <c r="N845" s="173">
        <f>MIN(Tabelle132456[[#This Row],[Jira Story Points]],Tabelle132456[[#This Row],[Carry-over]])-Tabelle132456[[#This Row],[SP Initially Planned (COS)]]</f>
        <v>0</v>
      </c>
      <c r="O84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45" s="173">
        <f>IFERROR(IF(Tabelle132456[[#This Row],[Status]]=$I$5,MIN(Tabelle132456[[#This Row],[Jira Story Points]],Tabelle132456[[#This Row],[Carry-over]]),0),0)</f>
        <v>0</v>
      </c>
      <c r="Q845" s="173">
        <f>IFERROR(IF(Tabelle132456[[#This Row],[Status]]=$I$5,0,MIN(Tabelle132456[[#This Row],[Jira Story Points]],Tabelle132456[[#This Row],[Carry-over]])-Tabelle132456[[#This Row],[SP Completed (COS &amp; SOS)]]),0)</f>
        <v>0</v>
      </c>
    </row>
    <row r="846" spans="1:17" s="46" customFormat="1" ht="13.5" customHeight="1">
      <c r="A846" s="117"/>
      <c r="B846" s="47"/>
      <c r="C846" s="76"/>
      <c r="D846" s="76"/>
      <c r="E846" s="76"/>
      <c r="F846" s="104"/>
      <c r="G846" s="76"/>
      <c r="H846" s="83"/>
      <c r="I846" s="103"/>
      <c r="J846" s="76"/>
      <c r="K846" s="104"/>
      <c r="L846" s="104"/>
      <c r="M846" s="174">
        <f>IF(Tabelle132456[[#This Row],[Pulled after Start]]="",MIN(Tabelle132456[[#This Row],[Jira Story Points]],Tabelle132456[[#This Row],[Carry-over]]),0)</f>
        <v>0</v>
      </c>
      <c r="N846" s="173">
        <f>MIN(Tabelle132456[[#This Row],[Jira Story Points]],Tabelle132456[[#This Row],[Carry-over]])-Tabelle132456[[#This Row],[SP Initially Planned (COS)]]</f>
        <v>0</v>
      </c>
      <c r="O84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46" s="173">
        <f>IFERROR(IF(Tabelle132456[[#This Row],[Status]]=$I$5,MIN(Tabelle132456[[#This Row],[Jira Story Points]],Tabelle132456[[#This Row],[Carry-over]]),0),0)</f>
        <v>0</v>
      </c>
      <c r="Q846" s="173">
        <f>IFERROR(IF(Tabelle132456[[#This Row],[Status]]=$I$5,0,MIN(Tabelle132456[[#This Row],[Jira Story Points]],Tabelle132456[[#This Row],[Carry-over]])-Tabelle132456[[#This Row],[SP Completed (COS &amp; SOS)]]),0)</f>
        <v>0</v>
      </c>
    </row>
    <row r="847" spans="1:17" s="46" customFormat="1" ht="13.5" customHeight="1">
      <c r="A847" s="117"/>
      <c r="B847" s="47"/>
      <c r="C847" s="76"/>
      <c r="D847" s="76"/>
      <c r="E847" s="76"/>
      <c r="F847" s="104"/>
      <c r="G847" s="76"/>
      <c r="H847" s="83"/>
      <c r="I847" s="103"/>
      <c r="J847" s="76"/>
      <c r="K847" s="104"/>
      <c r="L847" s="104"/>
      <c r="M847" s="174">
        <f>IF(Tabelle132456[[#This Row],[Pulled after Start]]="",MIN(Tabelle132456[[#This Row],[Jira Story Points]],Tabelle132456[[#This Row],[Carry-over]]),0)</f>
        <v>0</v>
      </c>
      <c r="N847" s="173">
        <f>MIN(Tabelle132456[[#This Row],[Jira Story Points]],Tabelle132456[[#This Row],[Carry-over]])-Tabelle132456[[#This Row],[SP Initially Planned (COS)]]</f>
        <v>0</v>
      </c>
      <c r="O84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47" s="173">
        <f>IFERROR(IF(Tabelle132456[[#This Row],[Status]]=$I$5,MIN(Tabelle132456[[#This Row],[Jira Story Points]],Tabelle132456[[#This Row],[Carry-over]]),0),0)</f>
        <v>0</v>
      </c>
      <c r="Q847" s="173">
        <f>IFERROR(IF(Tabelle132456[[#This Row],[Status]]=$I$5,0,MIN(Tabelle132456[[#This Row],[Jira Story Points]],Tabelle132456[[#This Row],[Carry-over]])-Tabelle132456[[#This Row],[SP Completed (COS &amp; SOS)]]),0)</f>
        <v>0</v>
      </c>
    </row>
    <row r="848" spans="1:17" s="46" customFormat="1" ht="13.5" customHeight="1">
      <c r="A848" s="117"/>
      <c r="B848" s="47"/>
      <c r="C848" s="76"/>
      <c r="D848" s="76"/>
      <c r="E848" s="76"/>
      <c r="F848" s="104"/>
      <c r="G848" s="76"/>
      <c r="H848" s="83"/>
      <c r="I848" s="103"/>
      <c r="J848" s="76"/>
      <c r="K848" s="104"/>
      <c r="L848" s="104"/>
      <c r="M848" s="174">
        <f>IF(Tabelle132456[[#This Row],[Pulled after Start]]="",MIN(Tabelle132456[[#This Row],[Jira Story Points]],Tabelle132456[[#This Row],[Carry-over]]),0)</f>
        <v>0</v>
      </c>
      <c r="N848" s="173">
        <f>MIN(Tabelle132456[[#This Row],[Jira Story Points]],Tabelle132456[[#This Row],[Carry-over]])-Tabelle132456[[#This Row],[SP Initially Planned (COS)]]</f>
        <v>0</v>
      </c>
      <c r="O84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48" s="173">
        <f>IFERROR(IF(Tabelle132456[[#This Row],[Status]]=$I$5,MIN(Tabelle132456[[#This Row],[Jira Story Points]],Tabelle132456[[#This Row],[Carry-over]]),0),0)</f>
        <v>0</v>
      </c>
      <c r="Q848" s="173">
        <f>IFERROR(IF(Tabelle132456[[#This Row],[Status]]=$I$5,0,MIN(Tabelle132456[[#This Row],[Jira Story Points]],Tabelle132456[[#This Row],[Carry-over]])-Tabelle132456[[#This Row],[SP Completed (COS &amp; SOS)]]),0)</f>
        <v>0</v>
      </c>
    </row>
    <row r="849" spans="1:17" s="46" customFormat="1" ht="13.5" customHeight="1">
      <c r="A849" s="117"/>
      <c r="B849" s="47"/>
      <c r="C849" s="76"/>
      <c r="D849" s="76"/>
      <c r="E849" s="76"/>
      <c r="F849" s="104"/>
      <c r="G849" s="76"/>
      <c r="H849" s="83"/>
      <c r="I849" s="103"/>
      <c r="J849" s="76"/>
      <c r="K849" s="104"/>
      <c r="L849" s="104"/>
      <c r="M849" s="174">
        <f>IF(Tabelle132456[[#This Row],[Pulled after Start]]="",MIN(Tabelle132456[[#This Row],[Jira Story Points]],Tabelle132456[[#This Row],[Carry-over]]),0)</f>
        <v>0</v>
      </c>
      <c r="N849" s="173">
        <f>MIN(Tabelle132456[[#This Row],[Jira Story Points]],Tabelle132456[[#This Row],[Carry-over]])-Tabelle132456[[#This Row],[SP Initially Planned (COS)]]</f>
        <v>0</v>
      </c>
      <c r="O84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49" s="173">
        <f>IFERROR(IF(Tabelle132456[[#This Row],[Status]]=$I$5,MIN(Tabelle132456[[#This Row],[Jira Story Points]],Tabelle132456[[#This Row],[Carry-over]]),0),0)</f>
        <v>0</v>
      </c>
      <c r="Q849" s="173">
        <f>IFERROR(IF(Tabelle132456[[#This Row],[Status]]=$I$5,0,MIN(Tabelle132456[[#This Row],[Jira Story Points]],Tabelle132456[[#This Row],[Carry-over]])-Tabelle132456[[#This Row],[SP Completed (COS &amp; SOS)]]),0)</f>
        <v>0</v>
      </c>
    </row>
    <row r="850" spans="1:17" s="46" customFormat="1" ht="13.5" customHeight="1">
      <c r="A850" s="117"/>
      <c r="B850" s="47"/>
      <c r="C850" s="76"/>
      <c r="D850" s="76"/>
      <c r="E850" s="76"/>
      <c r="F850" s="104"/>
      <c r="G850" s="76"/>
      <c r="H850" s="83"/>
      <c r="I850" s="103"/>
      <c r="J850" s="76"/>
      <c r="K850" s="104"/>
      <c r="L850" s="104"/>
      <c r="M850" s="174">
        <f>IF(Tabelle132456[[#This Row],[Pulled after Start]]="",MIN(Tabelle132456[[#This Row],[Jira Story Points]],Tabelle132456[[#This Row],[Carry-over]]),0)</f>
        <v>0</v>
      </c>
      <c r="N850" s="173">
        <f>MIN(Tabelle132456[[#This Row],[Jira Story Points]],Tabelle132456[[#This Row],[Carry-over]])-Tabelle132456[[#This Row],[SP Initially Planned (COS)]]</f>
        <v>0</v>
      </c>
      <c r="O85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50" s="173">
        <f>IFERROR(IF(Tabelle132456[[#This Row],[Status]]=$I$5,MIN(Tabelle132456[[#This Row],[Jira Story Points]],Tabelle132456[[#This Row],[Carry-over]]),0),0)</f>
        <v>0</v>
      </c>
      <c r="Q850" s="173">
        <f>IFERROR(IF(Tabelle132456[[#This Row],[Status]]=$I$5,0,MIN(Tabelle132456[[#This Row],[Jira Story Points]],Tabelle132456[[#This Row],[Carry-over]])-Tabelle132456[[#This Row],[SP Completed (COS &amp; SOS)]]),0)</f>
        <v>0</v>
      </c>
    </row>
    <row r="851" spans="1:17" s="46" customFormat="1" ht="13.5" customHeight="1">
      <c r="A851" s="117"/>
      <c r="B851" s="47"/>
      <c r="C851" s="76"/>
      <c r="D851" s="76"/>
      <c r="E851" s="76"/>
      <c r="F851" s="104"/>
      <c r="G851" s="76"/>
      <c r="H851" s="83"/>
      <c r="I851" s="103"/>
      <c r="J851" s="76"/>
      <c r="K851" s="104"/>
      <c r="L851" s="104"/>
      <c r="M851" s="174">
        <f>IF(Tabelle132456[[#This Row],[Pulled after Start]]="",MIN(Tabelle132456[[#This Row],[Jira Story Points]],Tabelle132456[[#This Row],[Carry-over]]),0)</f>
        <v>0</v>
      </c>
      <c r="N851" s="173">
        <f>MIN(Tabelle132456[[#This Row],[Jira Story Points]],Tabelle132456[[#This Row],[Carry-over]])-Tabelle132456[[#This Row],[SP Initially Planned (COS)]]</f>
        <v>0</v>
      </c>
      <c r="O85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51" s="173">
        <f>IFERROR(IF(Tabelle132456[[#This Row],[Status]]=$I$5,MIN(Tabelle132456[[#This Row],[Jira Story Points]],Tabelle132456[[#This Row],[Carry-over]]),0),0)</f>
        <v>0</v>
      </c>
      <c r="Q851" s="173">
        <f>IFERROR(IF(Tabelle132456[[#This Row],[Status]]=$I$5,0,MIN(Tabelle132456[[#This Row],[Jira Story Points]],Tabelle132456[[#This Row],[Carry-over]])-Tabelle132456[[#This Row],[SP Completed (COS &amp; SOS)]]),0)</f>
        <v>0</v>
      </c>
    </row>
    <row r="852" spans="1:17" s="46" customFormat="1" ht="13.5" customHeight="1">
      <c r="A852" s="117"/>
      <c r="B852" s="47"/>
      <c r="C852" s="76"/>
      <c r="D852" s="76"/>
      <c r="E852" s="76"/>
      <c r="F852" s="104"/>
      <c r="G852" s="76"/>
      <c r="H852" s="83"/>
      <c r="I852" s="103"/>
      <c r="J852" s="76"/>
      <c r="K852" s="104"/>
      <c r="L852" s="104"/>
      <c r="M852" s="174">
        <f>IF(Tabelle132456[[#This Row],[Pulled after Start]]="",MIN(Tabelle132456[[#This Row],[Jira Story Points]],Tabelle132456[[#This Row],[Carry-over]]),0)</f>
        <v>0</v>
      </c>
      <c r="N852" s="173">
        <f>MIN(Tabelle132456[[#This Row],[Jira Story Points]],Tabelle132456[[#This Row],[Carry-over]])-Tabelle132456[[#This Row],[SP Initially Planned (COS)]]</f>
        <v>0</v>
      </c>
      <c r="O85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52" s="173">
        <f>IFERROR(IF(Tabelle132456[[#This Row],[Status]]=$I$5,MIN(Tabelle132456[[#This Row],[Jira Story Points]],Tabelle132456[[#This Row],[Carry-over]]),0),0)</f>
        <v>0</v>
      </c>
      <c r="Q852" s="173">
        <f>IFERROR(IF(Tabelle132456[[#This Row],[Status]]=$I$5,0,MIN(Tabelle132456[[#This Row],[Jira Story Points]],Tabelle132456[[#This Row],[Carry-over]])-Tabelle132456[[#This Row],[SP Completed (COS &amp; SOS)]]),0)</f>
        <v>0</v>
      </c>
    </row>
    <row r="853" spans="1:17" s="46" customFormat="1" ht="13.5" customHeight="1">
      <c r="A853" s="117"/>
      <c r="B853" s="47"/>
      <c r="C853" s="76"/>
      <c r="D853" s="76"/>
      <c r="E853" s="76"/>
      <c r="F853" s="104"/>
      <c r="G853" s="76"/>
      <c r="H853" s="83"/>
      <c r="I853" s="103"/>
      <c r="J853" s="76"/>
      <c r="K853" s="104"/>
      <c r="L853" s="104"/>
      <c r="M853" s="174">
        <f>IF(Tabelle132456[[#This Row],[Pulled after Start]]="",MIN(Tabelle132456[[#This Row],[Jira Story Points]],Tabelle132456[[#This Row],[Carry-over]]),0)</f>
        <v>0</v>
      </c>
      <c r="N853" s="173">
        <f>MIN(Tabelle132456[[#This Row],[Jira Story Points]],Tabelle132456[[#This Row],[Carry-over]])-Tabelle132456[[#This Row],[SP Initially Planned (COS)]]</f>
        <v>0</v>
      </c>
      <c r="O85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53" s="173">
        <f>IFERROR(IF(Tabelle132456[[#This Row],[Status]]=$I$5,MIN(Tabelle132456[[#This Row],[Jira Story Points]],Tabelle132456[[#This Row],[Carry-over]]),0),0)</f>
        <v>0</v>
      </c>
      <c r="Q853" s="173">
        <f>IFERROR(IF(Tabelle132456[[#This Row],[Status]]=$I$5,0,MIN(Tabelle132456[[#This Row],[Jira Story Points]],Tabelle132456[[#This Row],[Carry-over]])-Tabelle132456[[#This Row],[SP Completed (COS &amp; SOS)]]),0)</f>
        <v>0</v>
      </c>
    </row>
    <row r="854" spans="1:17" s="46" customFormat="1" ht="13.5" customHeight="1">
      <c r="A854" s="117"/>
      <c r="B854" s="47"/>
      <c r="C854" s="76"/>
      <c r="D854" s="76"/>
      <c r="E854" s="76"/>
      <c r="F854" s="104"/>
      <c r="G854" s="76"/>
      <c r="H854" s="83"/>
      <c r="I854" s="103"/>
      <c r="J854" s="76"/>
      <c r="K854" s="104"/>
      <c r="L854" s="104"/>
      <c r="M854" s="174">
        <f>IF(Tabelle132456[[#This Row],[Pulled after Start]]="",MIN(Tabelle132456[[#This Row],[Jira Story Points]],Tabelle132456[[#This Row],[Carry-over]]),0)</f>
        <v>0</v>
      </c>
      <c r="N854" s="173">
        <f>MIN(Tabelle132456[[#This Row],[Jira Story Points]],Tabelle132456[[#This Row],[Carry-over]])-Tabelle132456[[#This Row],[SP Initially Planned (COS)]]</f>
        <v>0</v>
      </c>
      <c r="O85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54" s="173">
        <f>IFERROR(IF(Tabelle132456[[#This Row],[Status]]=$I$5,MIN(Tabelle132456[[#This Row],[Jira Story Points]],Tabelle132456[[#This Row],[Carry-over]]),0),0)</f>
        <v>0</v>
      </c>
      <c r="Q854" s="173">
        <f>IFERROR(IF(Tabelle132456[[#This Row],[Status]]=$I$5,0,MIN(Tabelle132456[[#This Row],[Jira Story Points]],Tabelle132456[[#This Row],[Carry-over]])-Tabelle132456[[#This Row],[SP Completed (COS &amp; SOS)]]),0)</f>
        <v>0</v>
      </c>
    </row>
    <row r="855" spans="1:17" s="46" customFormat="1" ht="13.5" customHeight="1">
      <c r="A855" s="117"/>
      <c r="B855" s="47"/>
      <c r="C855" s="76"/>
      <c r="D855" s="76"/>
      <c r="E855" s="76"/>
      <c r="F855" s="104"/>
      <c r="G855" s="76"/>
      <c r="H855" s="83"/>
      <c r="I855" s="103"/>
      <c r="J855" s="76"/>
      <c r="K855" s="104"/>
      <c r="L855" s="104"/>
      <c r="M855" s="174">
        <f>IF(Tabelle132456[[#This Row],[Pulled after Start]]="",MIN(Tabelle132456[[#This Row],[Jira Story Points]],Tabelle132456[[#This Row],[Carry-over]]),0)</f>
        <v>0</v>
      </c>
      <c r="N855" s="173">
        <f>MIN(Tabelle132456[[#This Row],[Jira Story Points]],Tabelle132456[[#This Row],[Carry-over]])-Tabelle132456[[#This Row],[SP Initially Planned (COS)]]</f>
        <v>0</v>
      </c>
      <c r="O85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55" s="173">
        <f>IFERROR(IF(Tabelle132456[[#This Row],[Status]]=$I$5,MIN(Tabelle132456[[#This Row],[Jira Story Points]],Tabelle132456[[#This Row],[Carry-over]]),0),0)</f>
        <v>0</v>
      </c>
      <c r="Q855" s="173">
        <f>IFERROR(IF(Tabelle132456[[#This Row],[Status]]=$I$5,0,MIN(Tabelle132456[[#This Row],[Jira Story Points]],Tabelle132456[[#This Row],[Carry-over]])-Tabelle132456[[#This Row],[SP Completed (COS &amp; SOS)]]),0)</f>
        <v>0</v>
      </c>
    </row>
    <row r="856" spans="1:17" s="46" customFormat="1" ht="13.5" customHeight="1">
      <c r="A856" s="117"/>
      <c r="B856" s="47"/>
      <c r="C856" s="76"/>
      <c r="D856" s="76"/>
      <c r="E856" s="76"/>
      <c r="F856" s="104"/>
      <c r="G856" s="76"/>
      <c r="H856" s="83"/>
      <c r="I856" s="103"/>
      <c r="J856" s="76"/>
      <c r="K856" s="104"/>
      <c r="L856" s="104"/>
      <c r="M856" s="174">
        <f>IF(Tabelle132456[[#This Row],[Pulled after Start]]="",MIN(Tabelle132456[[#This Row],[Jira Story Points]],Tabelle132456[[#This Row],[Carry-over]]),0)</f>
        <v>0</v>
      </c>
      <c r="N856" s="173">
        <f>MIN(Tabelle132456[[#This Row],[Jira Story Points]],Tabelle132456[[#This Row],[Carry-over]])-Tabelle132456[[#This Row],[SP Initially Planned (COS)]]</f>
        <v>0</v>
      </c>
      <c r="O85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56" s="173">
        <f>IFERROR(IF(Tabelle132456[[#This Row],[Status]]=$I$5,MIN(Tabelle132456[[#This Row],[Jira Story Points]],Tabelle132456[[#This Row],[Carry-over]]),0),0)</f>
        <v>0</v>
      </c>
      <c r="Q856" s="173">
        <f>IFERROR(IF(Tabelle132456[[#This Row],[Status]]=$I$5,0,MIN(Tabelle132456[[#This Row],[Jira Story Points]],Tabelle132456[[#This Row],[Carry-over]])-Tabelle132456[[#This Row],[SP Completed (COS &amp; SOS)]]),0)</f>
        <v>0</v>
      </c>
    </row>
    <row r="857" spans="1:17" s="46" customFormat="1" ht="13.5" customHeight="1">
      <c r="A857" s="117"/>
      <c r="B857" s="47"/>
      <c r="C857" s="76"/>
      <c r="D857" s="76"/>
      <c r="E857" s="76"/>
      <c r="F857" s="104"/>
      <c r="G857" s="76"/>
      <c r="H857" s="83"/>
      <c r="I857" s="103"/>
      <c r="J857" s="76"/>
      <c r="K857" s="104"/>
      <c r="L857" s="104"/>
      <c r="M857" s="174">
        <f>IF(Tabelle132456[[#This Row],[Pulled after Start]]="",MIN(Tabelle132456[[#This Row],[Jira Story Points]],Tabelle132456[[#This Row],[Carry-over]]),0)</f>
        <v>0</v>
      </c>
      <c r="N857" s="173">
        <f>MIN(Tabelle132456[[#This Row],[Jira Story Points]],Tabelle132456[[#This Row],[Carry-over]])-Tabelle132456[[#This Row],[SP Initially Planned (COS)]]</f>
        <v>0</v>
      </c>
      <c r="O85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57" s="173">
        <f>IFERROR(IF(Tabelle132456[[#This Row],[Status]]=$I$5,MIN(Tabelle132456[[#This Row],[Jira Story Points]],Tabelle132456[[#This Row],[Carry-over]]),0),0)</f>
        <v>0</v>
      </c>
      <c r="Q857" s="173">
        <f>IFERROR(IF(Tabelle132456[[#This Row],[Status]]=$I$5,0,MIN(Tabelle132456[[#This Row],[Jira Story Points]],Tabelle132456[[#This Row],[Carry-over]])-Tabelle132456[[#This Row],[SP Completed (COS &amp; SOS)]]),0)</f>
        <v>0</v>
      </c>
    </row>
    <row r="858" spans="1:17" s="46" customFormat="1" ht="13.5" customHeight="1">
      <c r="A858" s="117"/>
      <c r="B858" s="47"/>
      <c r="C858" s="76"/>
      <c r="D858" s="76"/>
      <c r="E858" s="76"/>
      <c r="F858" s="104"/>
      <c r="G858" s="76"/>
      <c r="H858" s="83"/>
      <c r="I858" s="103"/>
      <c r="J858" s="76"/>
      <c r="K858" s="104"/>
      <c r="L858" s="104"/>
      <c r="M858" s="174">
        <f>IF(Tabelle132456[[#This Row],[Pulled after Start]]="",MIN(Tabelle132456[[#This Row],[Jira Story Points]],Tabelle132456[[#This Row],[Carry-over]]),0)</f>
        <v>0</v>
      </c>
      <c r="N858" s="173">
        <f>MIN(Tabelle132456[[#This Row],[Jira Story Points]],Tabelle132456[[#This Row],[Carry-over]])-Tabelle132456[[#This Row],[SP Initially Planned (COS)]]</f>
        <v>0</v>
      </c>
      <c r="O85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58" s="173">
        <f>IFERROR(IF(Tabelle132456[[#This Row],[Status]]=$I$5,MIN(Tabelle132456[[#This Row],[Jira Story Points]],Tabelle132456[[#This Row],[Carry-over]]),0),0)</f>
        <v>0</v>
      </c>
      <c r="Q858" s="173">
        <f>IFERROR(IF(Tabelle132456[[#This Row],[Status]]=$I$5,0,MIN(Tabelle132456[[#This Row],[Jira Story Points]],Tabelle132456[[#This Row],[Carry-over]])-Tabelle132456[[#This Row],[SP Completed (COS &amp; SOS)]]),0)</f>
        <v>0</v>
      </c>
    </row>
    <row r="859" spans="1:17" s="46" customFormat="1" ht="13.5" customHeight="1">
      <c r="A859" s="117"/>
      <c r="B859" s="47"/>
      <c r="C859" s="76"/>
      <c r="D859" s="76"/>
      <c r="E859" s="76"/>
      <c r="F859" s="104"/>
      <c r="G859" s="76"/>
      <c r="H859" s="83"/>
      <c r="I859" s="103"/>
      <c r="J859" s="76"/>
      <c r="K859" s="104"/>
      <c r="L859" s="104"/>
      <c r="M859" s="174">
        <f>IF(Tabelle132456[[#This Row],[Pulled after Start]]="",MIN(Tabelle132456[[#This Row],[Jira Story Points]],Tabelle132456[[#This Row],[Carry-over]]),0)</f>
        <v>0</v>
      </c>
      <c r="N859" s="173">
        <f>MIN(Tabelle132456[[#This Row],[Jira Story Points]],Tabelle132456[[#This Row],[Carry-over]])-Tabelle132456[[#This Row],[SP Initially Planned (COS)]]</f>
        <v>0</v>
      </c>
      <c r="O85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59" s="173">
        <f>IFERROR(IF(Tabelle132456[[#This Row],[Status]]=$I$5,MIN(Tabelle132456[[#This Row],[Jira Story Points]],Tabelle132456[[#This Row],[Carry-over]]),0),0)</f>
        <v>0</v>
      </c>
      <c r="Q859" s="173">
        <f>IFERROR(IF(Tabelle132456[[#This Row],[Status]]=$I$5,0,MIN(Tabelle132456[[#This Row],[Jira Story Points]],Tabelle132456[[#This Row],[Carry-over]])-Tabelle132456[[#This Row],[SP Completed (COS &amp; SOS)]]),0)</f>
        <v>0</v>
      </c>
    </row>
    <row r="860" spans="1:17" s="46" customFormat="1" ht="13.5" customHeight="1">
      <c r="A860" s="117"/>
      <c r="B860" s="47"/>
      <c r="C860" s="76"/>
      <c r="D860" s="76"/>
      <c r="E860" s="76"/>
      <c r="F860" s="104"/>
      <c r="G860" s="76"/>
      <c r="H860" s="83"/>
      <c r="I860" s="103"/>
      <c r="J860" s="76"/>
      <c r="K860" s="104"/>
      <c r="L860" s="104"/>
      <c r="M860" s="174">
        <f>IF(Tabelle132456[[#This Row],[Pulled after Start]]="",MIN(Tabelle132456[[#This Row],[Jira Story Points]],Tabelle132456[[#This Row],[Carry-over]]),0)</f>
        <v>0</v>
      </c>
      <c r="N860" s="173">
        <f>MIN(Tabelle132456[[#This Row],[Jira Story Points]],Tabelle132456[[#This Row],[Carry-over]])-Tabelle132456[[#This Row],[SP Initially Planned (COS)]]</f>
        <v>0</v>
      </c>
      <c r="O86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60" s="173">
        <f>IFERROR(IF(Tabelle132456[[#This Row],[Status]]=$I$5,MIN(Tabelle132456[[#This Row],[Jira Story Points]],Tabelle132456[[#This Row],[Carry-over]]),0),0)</f>
        <v>0</v>
      </c>
      <c r="Q860" s="173">
        <f>IFERROR(IF(Tabelle132456[[#This Row],[Status]]=$I$5,0,MIN(Tabelle132456[[#This Row],[Jira Story Points]],Tabelle132456[[#This Row],[Carry-over]])-Tabelle132456[[#This Row],[SP Completed (COS &amp; SOS)]]),0)</f>
        <v>0</v>
      </c>
    </row>
    <row r="861" spans="1:17" s="46" customFormat="1" ht="13.5" customHeight="1">
      <c r="A861" s="117"/>
      <c r="B861" s="47"/>
      <c r="C861" s="76"/>
      <c r="D861" s="76"/>
      <c r="E861" s="76"/>
      <c r="F861" s="104"/>
      <c r="G861" s="76"/>
      <c r="H861" s="83"/>
      <c r="I861" s="103"/>
      <c r="J861" s="76"/>
      <c r="K861" s="104"/>
      <c r="L861" s="104"/>
      <c r="M861" s="174">
        <f>IF(Tabelle132456[[#This Row],[Pulled after Start]]="",MIN(Tabelle132456[[#This Row],[Jira Story Points]],Tabelle132456[[#This Row],[Carry-over]]),0)</f>
        <v>0</v>
      </c>
      <c r="N861" s="173">
        <f>MIN(Tabelle132456[[#This Row],[Jira Story Points]],Tabelle132456[[#This Row],[Carry-over]])-Tabelle132456[[#This Row],[SP Initially Planned (COS)]]</f>
        <v>0</v>
      </c>
      <c r="O86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61" s="173">
        <f>IFERROR(IF(Tabelle132456[[#This Row],[Status]]=$I$5,MIN(Tabelle132456[[#This Row],[Jira Story Points]],Tabelle132456[[#This Row],[Carry-over]]),0),0)</f>
        <v>0</v>
      </c>
      <c r="Q861" s="173">
        <f>IFERROR(IF(Tabelle132456[[#This Row],[Status]]=$I$5,0,MIN(Tabelle132456[[#This Row],[Jira Story Points]],Tabelle132456[[#This Row],[Carry-over]])-Tabelle132456[[#This Row],[SP Completed (COS &amp; SOS)]]),0)</f>
        <v>0</v>
      </c>
    </row>
    <row r="862" spans="1:17" s="46" customFormat="1" ht="13.5" customHeight="1">
      <c r="A862" s="117"/>
      <c r="B862" s="47"/>
      <c r="C862" s="76"/>
      <c r="D862" s="76"/>
      <c r="E862" s="76"/>
      <c r="F862" s="104"/>
      <c r="G862" s="76"/>
      <c r="H862" s="83"/>
      <c r="I862" s="103"/>
      <c r="J862" s="76"/>
      <c r="K862" s="104"/>
      <c r="L862" s="104"/>
      <c r="M862" s="174">
        <f>IF(Tabelle132456[[#This Row],[Pulled after Start]]="",MIN(Tabelle132456[[#This Row],[Jira Story Points]],Tabelle132456[[#This Row],[Carry-over]]),0)</f>
        <v>0</v>
      </c>
      <c r="N862" s="173">
        <f>MIN(Tabelle132456[[#This Row],[Jira Story Points]],Tabelle132456[[#This Row],[Carry-over]])-Tabelle132456[[#This Row],[SP Initially Planned (COS)]]</f>
        <v>0</v>
      </c>
      <c r="O86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62" s="173">
        <f>IFERROR(IF(Tabelle132456[[#This Row],[Status]]=$I$5,MIN(Tabelle132456[[#This Row],[Jira Story Points]],Tabelle132456[[#This Row],[Carry-over]]),0),0)</f>
        <v>0</v>
      </c>
      <c r="Q862" s="173">
        <f>IFERROR(IF(Tabelle132456[[#This Row],[Status]]=$I$5,0,MIN(Tabelle132456[[#This Row],[Jira Story Points]],Tabelle132456[[#This Row],[Carry-over]])-Tabelle132456[[#This Row],[SP Completed (COS &amp; SOS)]]),0)</f>
        <v>0</v>
      </c>
    </row>
    <row r="863" spans="1:17" s="46" customFormat="1" ht="13.5" customHeight="1">
      <c r="A863" s="117"/>
      <c r="B863" s="47"/>
      <c r="C863" s="76"/>
      <c r="D863" s="76"/>
      <c r="E863" s="76"/>
      <c r="F863" s="104"/>
      <c r="G863" s="76"/>
      <c r="H863" s="83"/>
      <c r="I863" s="103"/>
      <c r="J863" s="76"/>
      <c r="K863" s="104"/>
      <c r="L863" s="104"/>
      <c r="M863" s="174">
        <f>IF(Tabelle132456[[#This Row],[Pulled after Start]]="",MIN(Tabelle132456[[#This Row],[Jira Story Points]],Tabelle132456[[#This Row],[Carry-over]]),0)</f>
        <v>0</v>
      </c>
      <c r="N863" s="173">
        <f>MIN(Tabelle132456[[#This Row],[Jira Story Points]],Tabelle132456[[#This Row],[Carry-over]])-Tabelle132456[[#This Row],[SP Initially Planned (COS)]]</f>
        <v>0</v>
      </c>
      <c r="O86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63" s="173">
        <f>IFERROR(IF(Tabelle132456[[#This Row],[Status]]=$I$5,MIN(Tabelle132456[[#This Row],[Jira Story Points]],Tabelle132456[[#This Row],[Carry-over]]),0),0)</f>
        <v>0</v>
      </c>
      <c r="Q863" s="173">
        <f>IFERROR(IF(Tabelle132456[[#This Row],[Status]]=$I$5,0,MIN(Tabelle132456[[#This Row],[Jira Story Points]],Tabelle132456[[#This Row],[Carry-over]])-Tabelle132456[[#This Row],[SP Completed (COS &amp; SOS)]]),0)</f>
        <v>0</v>
      </c>
    </row>
    <row r="864" spans="1:17" s="46" customFormat="1" ht="13.5" customHeight="1">
      <c r="A864" s="117"/>
      <c r="B864" s="47"/>
      <c r="C864" s="76"/>
      <c r="D864" s="76"/>
      <c r="E864" s="76"/>
      <c r="F864" s="104"/>
      <c r="G864" s="76"/>
      <c r="H864" s="83"/>
      <c r="I864" s="103"/>
      <c r="J864" s="76"/>
      <c r="K864" s="104"/>
      <c r="L864" s="104"/>
      <c r="M864" s="174">
        <f>IF(Tabelle132456[[#This Row],[Pulled after Start]]="",MIN(Tabelle132456[[#This Row],[Jira Story Points]],Tabelle132456[[#This Row],[Carry-over]]),0)</f>
        <v>0</v>
      </c>
      <c r="N864" s="173">
        <f>MIN(Tabelle132456[[#This Row],[Jira Story Points]],Tabelle132456[[#This Row],[Carry-over]])-Tabelle132456[[#This Row],[SP Initially Planned (COS)]]</f>
        <v>0</v>
      </c>
      <c r="O86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64" s="173">
        <f>IFERROR(IF(Tabelle132456[[#This Row],[Status]]=$I$5,MIN(Tabelle132456[[#This Row],[Jira Story Points]],Tabelle132456[[#This Row],[Carry-over]]),0),0)</f>
        <v>0</v>
      </c>
      <c r="Q864" s="173">
        <f>IFERROR(IF(Tabelle132456[[#This Row],[Status]]=$I$5,0,MIN(Tabelle132456[[#This Row],[Jira Story Points]],Tabelle132456[[#This Row],[Carry-over]])-Tabelle132456[[#This Row],[SP Completed (COS &amp; SOS)]]),0)</f>
        <v>0</v>
      </c>
    </row>
    <row r="865" spans="1:17" s="46" customFormat="1" ht="13.5" customHeight="1">
      <c r="A865" s="117"/>
      <c r="B865" s="47"/>
      <c r="C865" s="76"/>
      <c r="D865" s="76"/>
      <c r="E865" s="76"/>
      <c r="F865" s="104"/>
      <c r="G865" s="76"/>
      <c r="H865" s="83"/>
      <c r="I865" s="103"/>
      <c r="J865" s="76"/>
      <c r="K865" s="104"/>
      <c r="L865" s="104"/>
      <c r="M865" s="174">
        <f>IF(Tabelle132456[[#This Row],[Pulled after Start]]="",MIN(Tabelle132456[[#This Row],[Jira Story Points]],Tabelle132456[[#This Row],[Carry-over]]),0)</f>
        <v>0</v>
      </c>
      <c r="N865" s="173">
        <f>MIN(Tabelle132456[[#This Row],[Jira Story Points]],Tabelle132456[[#This Row],[Carry-over]])-Tabelle132456[[#This Row],[SP Initially Planned (COS)]]</f>
        <v>0</v>
      </c>
      <c r="O86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65" s="173">
        <f>IFERROR(IF(Tabelle132456[[#This Row],[Status]]=$I$5,MIN(Tabelle132456[[#This Row],[Jira Story Points]],Tabelle132456[[#This Row],[Carry-over]]),0),0)</f>
        <v>0</v>
      </c>
      <c r="Q865" s="173">
        <f>IFERROR(IF(Tabelle132456[[#This Row],[Status]]=$I$5,0,MIN(Tabelle132456[[#This Row],[Jira Story Points]],Tabelle132456[[#This Row],[Carry-over]])-Tabelle132456[[#This Row],[SP Completed (COS &amp; SOS)]]),0)</f>
        <v>0</v>
      </c>
    </row>
    <row r="866" spans="1:17" s="46" customFormat="1" ht="13.5" customHeight="1">
      <c r="A866" s="117"/>
      <c r="B866" s="47"/>
      <c r="C866" s="76"/>
      <c r="D866" s="76"/>
      <c r="E866" s="76"/>
      <c r="F866" s="104"/>
      <c r="G866" s="76"/>
      <c r="H866" s="83"/>
      <c r="I866" s="103"/>
      <c r="J866" s="76"/>
      <c r="K866" s="104"/>
      <c r="L866" s="104"/>
      <c r="M866" s="174">
        <f>IF(Tabelle132456[[#This Row],[Pulled after Start]]="",MIN(Tabelle132456[[#This Row],[Jira Story Points]],Tabelle132456[[#This Row],[Carry-over]]),0)</f>
        <v>0</v>
      </c>
      <c r="N866" s="173">
        <f>MIN(Tabelle132456[[#This Row],[Jira Story Points]],Tabelle132456[[#This Row],[Carry-over]])-Tabelle132456[[#This Row],[SP Initially Planned (COS)]]</f>
        <v>0</v>
      </c>
      <c r="O86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66" s="173">
        <f>IFERROR(IF(Tabelle132456[[#This Row],[Status]]=$I$5,MIN(Tabelle132456[[#This Row],[Jira Story Points]],Tabelle132456[[#This Row],[Carry-over]]),0),0)</f>
        <v>0</v>
      </c>
      <c r="Q866" s="173">
        <f>IFERROR(IF(Tabelle132456[[#This Row],[Status]]=$I$5,0,MIN(Tabelle132456[[#This Row],[Jira Story Points]],Tabelle132456[[#This Row],[Carry-over]])-Tabelle132456[[#This Row],[SP Completed (COS &amp; SOS)]]),0)</f>
        <v>0</v>
      </c>
    </row>
    <row r="867" spans="1:17" s="46" customFormat="1" ht="13.5" customHeight="1">
      <c r="A867" s="117"/>
      <c r="B867" s="47"/>
      <c r="C867" s="76"/>
      <c r="D867" s="76"/>
      <c r="E867" s="76"/>
      <c r="F867" s="104"/>
      <c r="G867" s="76"/>
      <c r="H867" s="83"/>
      <c r="I867" s="103"/>
      <c r="J867" s="76"/>
      <c r="K867" s="104"/>
      <c r="L867" s="104"/>
      <c r="M867" s="174">
        <f>IF(Tabelle132456[[#This Row],[Pulled after Start]]="",MIN(Tabelle132456[[#This Row],[Jira Story Points]],Tabelle132456[[#This Row],[Carry-over]]),0)</f>
        <v>0</v>
      </c>
      <c r="N867" s="173">
        <f>MIN(Tabelle132456[[#This Row],[Jira Story Points]],Tabelle132456[[#This Row],[Carry-over]])-Tabelle132456[[#This Row],[SP Initially Planned (COS)]]</f>
        <v>0</v>
      </c>
      <c r="O86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67" s="173">
        <f>IFERROR(IF(Tabelle132456[[#This Row],[Status]]=$I$5,MIN(Tabelle132456[[#This Row],[Jira Story Points]],Tabelle132456[[#This Row],[Carry-over]]),0),0)</f>
        <v>0</v>
      </c>
      <c r="Q867" s="173">
        <f>IFERROR(IF(Tabelle132456[[#This Row],[Status]]=$I$5,0,MIN(Tabelle132456[[#This Row],[Jira Story Points]],Tabelle132456[[#This Row],[Carry-over]])-Tabelle132456[[#This Row],[SP Completed (COS &amp; SOS)]]),0)</f>
        <v>0</v>
      </c>
    </row>
    <row r="868" spans="1:17" s="46" customFormat="1" ht="13.5" customHeight="1">
      <c r="A868" s="117"/>
      <c r="B868" s="47"/>
      <c r="C868" s="76"/>
      <c r="D868" s="76"/>
      <c r="E868" s="76"/>
      <c r="F868" s="104"/>
      <c r="G868" s="76"/>
      <c r="H868" s="83"/>
      <c r="I868" s="103"/>
      <c r="J868" s="76"/>
      <c r="K868" s="104"/>
      <c r="L868" s="104"/>
      <c r="M868" s="174">
        <f>IF(Tabelle132456[[#This Row],[Pulled after Start]]="",MIN(Tabelle132456[[#This Row],[Jira Story Points]],Tabelle132456[[#This Row],[Carry-over]]),0)</f>
        <v>0</v>
      </c>
      <c r="N868" s="173">
        <f>MIN(Tabelle132456[[#This Row],[Jira Story Points]],Tabelle132456[[#This Row],[Carry-over]])-Tabelle132456[[#This Row],[SP Initially Planned (COS)]]</f>
        <v>0</v>
      </c>
      <c r="O86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68" s="173">
        <f>IFERROR(IF(Tabelle132456[[#This Row],[Status]]=$I$5,MIN(Tabelle132456[[#This Row],[Jira Story Points]],Tabelle132456[[#This Row],[Carry-over]]),0),0)</f>
        <v>0</v>
      </c>
      <c r="Q868" s="173">
        <f>IFERROR(IF(Tabelle132456[[#This Row],[Status]]=$I$5,0,MIN(Tabelle132456[[#This Row],[Jira Story Points]],Tabelle132456[[#This Row],[Carry-over]])-Tabelle132456[[#This Row],[SP Completed (COS &amp; SOS)]]),0)</f>
        <v>0</v>
      </c>
    </row>
    <row r="869" spans="1:17" s="46" customFormat="1" ht="13.5" customHeight="1">
      <c r="A869" s="117"/>
      <c r="B869" s="47"/>
      <c r="C869" s="76"/>
      <c r="D869" s="76"/>
      <c r="E869" s="76"/>
      <c r="F869" s="104"/>
      <c r="G869" s="76"/>
      <c r="H869" s="83"/>
      <c r="I869" s="103"/>
      <c r="J869" s="76"/>
      <c r="K869" s="104"/>
      <c r="L869" s="104"/>
      <c r="M869" s="174">
        <f>IF(Tabelle132456[[#This Row],[Pulled after Start]]="",MIN(Tabelle132456[[#This Row],[Jira Story Points]],Tabelle132456[[#This Row],[Carry-over]]),0)</f>
        <v>0</v>
      </c>
      <c r="N869" s="173">
        <f>MIN(Tabelle132456[[#This Row],[Jira Story Points]],Tabelle132456[[#This Row],[Carry-over]])-Tabelle132456[[#This Row],[SP Initially Planned (COS)]]</f>
        <v>0</v>
      </c>
      <c r="O86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69" s="173">
        <f>IFERROR(IF(Tabelle132456[[#This Row],[Status]]=$I$5,MIN(Tabelle132456[[#This Row],[Jira Story Points]],Tabelle132456[[#This Row],[Carry-over]]),0),0)</f>
        <v>0</v>
      </c>
      <c r="Q869" s="173">
        <f>IFERROR(IF(Tabelle132456[[#This Row],[Status]]=$I$5,0,MIN(Tabelle132456[[#This Row],[Jira Story Points]],Tabelle132456[[#This Row],[Carry-over]])-Tabelle132456[[#This Row],[SP Completed (COS &amp; SOS)]]),0)</f>
        <v>0</v>
      </c>
    </row>
    <row r="870" spans="1:17" s="46" customFormat="1" ht="13.5" customHeight="1">
      <c r="A870" s="117"/>
      <c r="B870" s="47"/>
      <c r="C870" s="76"/>
      <c r="D870" s="76"/>
      <c r="E870" s="76"/>
      <c r="F870" s="104"/>
      <c r="G870" s="76"/>
      <c r="H870" s="83"/>
      <c r="I870" s="103"/>
      <c r="J870" s="76"/>
      <c r="K870" s="104"/>
      <c r="L870" s="104"/>
      <c r="M870" s="174">
        <f>IF(Tabelle132456[[#This Row],[Pulled after Start]]="",MIN(Tabelle132456[[#This Row],[Jira Story Points]],Tabelle132456[[#This Row],[Carry-over]]),0)</f>
        <v>0</v>
      </c>
      <c r="N870" s="173">
        <f>MIN(Tabelle132456[[#This Row],[Jira Story Points]],Tabelle132456[[#This Row],[Carry-over]])-Tabelle132456[[#This Row],[SP Initially Planned (COS)]]</f>
        <v>0</v>
      </c>
      <c r="O87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70" s="173">
        <f>IFERROR(IF(Tabelle132456[[#This Row],[Status]]=$I$5,MIN(Tabelle132456[[#This Row],[Jira Story Points]],Tabelle132456[[#This Row],[Carry-over]]),0),0)</f>
        <v>0</v>
      </c>
      <c r="Q870" s="173">
        <f>IFERROR(IF(Tabelle132456[[#This Row],[Status]]=$I$5,0,MIN(Tabelle132456[[#This Row],[Jira Story Points]],Tabelle132456[[#This Row],[Carry-over]])-Tabelle132456[[#This Row],[SP Completed (COS &amp; SOS)]]),0)</f>
        <v>0</v>
      </c>
    </row>
    <row r="871" spans="1:17" s="46" customFormat="1" ht="13.5" customHeight="1">
      <c r="A871" s="117"/>
      <c r="B871" s="47"/>
      <c r="C871" s="76"/>
      <c r="D871" s="76"/>
      <c r="E871" s="76"/>
      <c r="F871" s="104"/>
      <c r="G871" s="76"/>
      <c r="H871" s="83"/>
      <c r="I871" s="103"/>
      <c r="J871" s="76"/>
      <c r="K871" s="104"/>
      <c r="L871" s="104"/>
      <c r="M871" s="174">
        <f>IF(Tabelle132456[[#This Row],[Pulled after Start]]="",MIN(Tabelle132456[[#This Row],[Jira Story Points]],Tabelle132456[[#This Row],[Carry-over]]),0)</f>
        <v>0</v>
      </c>
      <c r="N871" s="173">
        <f>MIN(Tabelle132456[[#This Row],[Jira Story Points]],Tabelle132456[[#This Row],[Carry-over]])-Tabelle132456[[#This Row],[SP Initially Planned (COS)]]</f>
        <v>0</v>
      </c>
      <c r="O87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71" s="173">
        <f>IFERROR(IF(Tabelle132456[[#This Row],[Status]]=$I$5,MIN(Tabelle132456[[#This Row],[Jira Story Points]],Tabelle132456[[#This Row],[Carry-over]]),0),0)</f>
        <v>0</v>
      </c>
      <c r="Q871" s="173">
        <f>IFERROR(IF(Tabelle132456[[#This Row],[Status]]=$I$5,0,MIN(Tabelle132456[[#This Row],[Jira Story Points]],Tabelle132456[[#This Row],[Carry-over]])-Tabelle132456[[#This Row],[SP Completed (COS &amp; SOS)]]),0)</f>
        <v>0</v>
      </c>
    </row>
    <row r="872" spans="1:17" s="46" customFormat="1" ht="13.5" customHeight="1">
      <c r="A872" s="117"/>
      <c r="B872" s="47"/>
      <c r="C872" s="76"/>
      <c r="D872" s="76"/>
      <c r="E872" s="76"/>
      <c r="F872" s="104"/>
      <c r="G872" s="76"/>
      <c r="H872" s="83"/>
      <c r="I872" s="103"/>
      <c r="J872" s="76"/>
      <c r="K872" s="104"/>
      <c r="L872" s="104"/>
      <c r="M872" s="174">
        <f>IF(Tabelle132456[[#This Row],[Pulled after Start]]="",MIN(Tabelle132456[[#This Row],[Jira Story Points]],Tabelle132456[[#This Row],[Carry-over]]),0)</f>
        <v>0</v>
      </c>
      <c r="N872" s="173">
        <f>MIN(Tabelle132456[[#This Row],[Jira Story Points]],Tabelle132456[[#This Row],[Carry-over]])-Tabelle132456[[#This Row],[SP Initially Planned (COS)]]</f>
        <v>0</v>
      </c>
      <c r="O87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72" s="173">
        <f>IFERROR(IF(Tabelle132456[[#This Row],[Status]]=$I$5,MIN(Tabelle132456[[#This Row],[Jira Story Points]],Tabelle132456[[#This Row],[Carry-over]]),0),0)</f>
        <v>0</v>
      </c>
      <c r="Q872" s="173">
        <f>IFERROR(IF(Tabelle132456[[#This Row],[Status]]=$I$5,0,MIN(Tabelle132456[[#This Row],[Jira Story Points]],Tabelle132456[[#This Row],[Carry-over]])-Tabelle132456[[#This Row],[SP Completed (COS &amp; SOS)]]),0)</f>
        <v>0</v>
      </c>
    </row>
    <row r="873" spans="1:17" s="46" customFormat="1" ht="13.5" customHeight="1">
      <c r="A873" s="117"/>
      <c r="B873" s="47"/>
      <c r="C873" s="76"/>
      <c r="D873" s="76"/>
      <c r="E873" s="76"/>
      <c r="F873" s="104"/>
      <c r="G873" s="76"/>
      <c r="H873" s="83"/>
      <c r="I873" s="103"/>
      <c r="J873" s="76"/>
      <c r="K873" s="104"/>
      <c r="L873" s="104"/>
      <c r="M873" s="174">
        <f>IF(Tabelle132456[[#This Row],[Pulled after Start]]="",MIN(Tabelle132456[[#This Row],[Jira Story Points]],Tabelle132456[[#This Row],[Carry-over]]),0)</f>
        <v>0</v>
      </c>
      <c r="N873" s="173">
        <f>MIN(Tabelle132456[[#This Row],[Jira Story Points]],Tabelle132456[[#This Row],[Carry-over]])-Tabelle132456[[#This Row],[SP Initially Planned (COS)]]</f>
        <v>0</v>
      </c>
      <c r="O87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73" s="173">
        <f>IFERROR(IF(Tabelle132456[[#This Row],[Status]]=$I$5,MIN(Tabelle132456[[#This Row],[Jira Story Points]],Tabelle132456[[#This Row],[Carry-over]]),0),0)</f>
        <v>0</v>
      </c>
      <c r="Q873" s="173">
        <f>IFERROR(IF(Tabelle132456[[#This Row],[Status]]=$I$5,0,MIN(Tabelle132456[[#This Row],[Jira Story Points]],Tabelle132456[[#This Row],[Carry-over]])-Tabelle132456[[#This Row],[SP Completed (COS &amp; SOS)]]),0)</f>
        <v>0</v>
      </c>
    </row>
    <row r="874" spans="1:17" s="46" customFormat="1" ht="13.5" customHeight="1">
      <c r="A874" s="117"/>
      <c r="B874" s="47"/>
      <c r="C874" s="76"/>
      <c r="D874" s="76"/>
      <c r="E874" s="76"/>
      <c r="F874" s="104"/>
      <c r="G874" s="76"/>
      <c r="H874" s="83"/>
      <c r="I874" s="103"/>
      <c r="J874" s="76"/>
      <c r="K874" s="104"/>
      <c r="L874" s="104"/>
      <c r="M874" s="174">
        <f>IF(Tabelle132456[[#This Row],[Pulled after Start]]="",MIN(Tabelle132456[[#This Row],[Jira Story Points]],Tabelle132456[[#This Row],[Carry-over]]),0)</f>
        <v>0</v>
      </c>
      <c r="N874" s="173">
        <f>MIN(Tabelle132456[[#This Row],[Jira Story Points]],Tabelle132456[[#This Row],[Carry-over]])-Tabelle132456[[#This Row],[SP Initially Planned (COS)]]</f>
        <v>0</v>
      </c>
      <c r="O87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74" s="173">
        <f>IFERROR(IF(Tabelle132456[[#This Row],[Status]]=$I$5,MIN(Tabelle132456[[#This Row],[Jira Story Points]],Tabelle132456[[#This Row],[Carry-over]]),0),0)</f>
        <v>0</v>
      </c>
      <c r="Q874" s="173">
        <f>IFERROR(IF(Tabelle132456[[#This Row],[Status]]=$I$5,0,MIN(Tabelle132456[[#This Row],[Jira Story Points]],Tabelle132456[[#This Row],[Carry-over]])-Tabelle132456[[#This Row],[SP Completed (COS &amp; SOS)]]),0)</f>
        <v>0</v>
      </c>
    </row>
    <row r="875" spans="1:17" s="46" customFormat="1" ht="13.5" customHeight="1">
      <c r="A875" s="117"/>
      <c r="B875" s="47"/>
      <c r="C875" s="76"/>
      <c r="D875" s="76"/>
      <c r="E875" s="76"/>
      <c r="F875" s="104"/>
      <c r="G875" s="76"/>
      <c r="H875" s="83"/>
      <c r="I875" s="103"/>
      <c r="J875" s="76"/>
      <c r="K875" s="104"/>
      <c r="L875" s="104"/>
      <c r="M875" s="174">
        <f>IF(Tabelle132456[[#This Row],[Pulled after Start]]="",MIN(Tabelle132456[[#This Row],[Jira Story Points]],Tabelle132456[[#This Row],[Carry-over]]),0)</f>
        <v>0</v>
      </c>
      <c r="N875" s="173">
        <f>MIN(Tabelle132456[[#This Row],[Jira Story Points]],Tabelle132456[[#This Row],[Carry-over]])-Tabelle132456[[#This Row],[SP Initially Planned (COS)]]</f>
        <v>0</v>
      </c>
      <c r="O87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75" s="173">
        <f>IFERROR(IF(Tabelle132456[[#This Row],[Status]]=$I$5,MIN(Tabelle132456[[#This Row],[Jira Story Points]],Tabelle132456[[#This Row],[Carry-over]]),0),0)</f>
        <v>0</v>
      </c>
      <c r="Q875" s="173">
        <f>IFERROR(IF(Tabelle132456[[#This Row],[Status]]=$I$5,0,MIN(Tabelle132456[[#This Row],[Jira Story Points]],Tabelle132456[[#This Row],[Carry-over]])-Tabelle132456[[#This Row],[SP Completed (COS &amp; SOS)]]),0)</f>
        <v>0</v>
      </c>
    </row>
    <row r="876" spans="1:17" s="46" customFormat="1" ht="13.5" customHeight="1">
      <c r="A876" s="117"/>
      <c r="B876" s="47"/>
      <c r="C876" s="76"/>
      <c r="D876" s="76"/>
      <c r="E876" s="76"/>
      <c r="F876" s="104"/>
      <c r="G876" s="76"/>
      <c r="H876" s="83"/>
      <c r="I876" s="103"/>
      <c r="J876" s="76"/>
      <c r="K876" s="104"/>
      <c r="L876" s="104"/>
      <c r="M876" s="174">
        <f>IF(Tabelle132456[[#This Row],[Pulled after Start]]="",MIN(Tabelle132456[[#This Row],[Jira Story Points]],Tabelle132456[[#This Row],[Carry-over]]),0)</f>
        <v>0</v>
      </c>
      <c r="N876" s="173">
        <f>MIN(Tabelle132456[[#This Row],[Jira Story Points]],Tabelle132456[[#This Row],[Carry-over]])-Tabelle132456[[#This Row],[SP Initially Planned (COS)]]</f>
        <v>0</v>
      </c>
      <c r="O87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76" s="173">
        <f>IFERROR(IF(Tabelle132456[[#This Row],[Status]]=$I$5,MIN(Tabelle132456[[#This Row],[Jira Story Points]],Tabelle132456[[#This Row],[Carry-over]]),0),0)</f>
        <v>0</v>
      </c>
      <c r="Q876" s="173">
        <f>IFERROR(IF(Tabelle132456[[#This Row],[Status]]=$I$5,0,MIN(Tabelle132456[[#This Row],[Jira Story Points]],Tabelle132456[[#This Row],[Carry-over]])-Tabelle132456[[#This Row],[SP Completed (COS &amp; SOS)]]),0)</f>
        <v>0</v>
      </c>
    </row>
    <row r="877" spans="1:17" s="46" customFormat="1" ht="13.5" customHeight="1">
      <c r="A877" s="117"/>
      <c r="B877" s="47"/>
      <c r="C877" s="76"/>
      <c r="D877" s="76"/>
      <c r="E877" s="76"/>
      <c r="F877" s="104"/>
      <c r="G877" s="76"/>
      <c r="H877" s="83"/>
      <c r="I877" s="103"/>
      <c r="J877" s="76"/>
      <c r="K877" s="104"/>
      <c r="L877" s="104"/>
      <c r="M877" s="174">
        <f>IF(Tabelle132456[[#This Row],[Pulled after Start]]="",MIN(Tabelle132456[[#This Row],[Jira Story Points]],Tabelle132456[[#This Row],[Carry-over]]),0)</f>
        <v>0</v>
      </c>
      <c r="N877" s="173">
        <f>MIN(Tabelle132456[[#This Row],[Jira Story Points]],Tabelle132456[[#This Row],[Carry-over]])-Tabelle132456[[#This Row],[SP Initially Planned (COS)]]</f>
        <v>0</v>
      </c>
      <c r="O87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77" s="173">
        <f>IFERROR(IF(Tabelle132456[[#This Row],[Status]]=$I$5,MIN(Tabelle132456[[#This Row],[Jira Story Points]],Tabelle132456[[#This Row],[Carry-over]]),0),0)</f>
        <v>0</v>
      </c>
      <c r="Q877" s="173">
        <f>IFERROR(IF(Tabelle132456[[#This Row],[Status]]=$I$5,0,MIN(Tabelle132456[[#This Row],[Jira Story Points]],Tabelle132456[[#This Row],[Carry-over]])-Tabelle132456[[#This Row],[SP Completed (COS &amp; SOS)]]),0)</f>
        <v>0</v>
      </c>
    </row>
    <row r="878" spans="1:17" s="46" customFormat="1" ht="13.5" customHeight="1">
      <c r="A878" s="117"/>
      <c r="B878" s="47"/>
      <c r="C878" s="76"/>
      <c r="D878" s="76"/>
      <c r="E878" s="76"/>
      <c r="F878" s="104"/>
      <c r="G878" s="76"/>
      <c r="H878" s="83"/>
      <c r="I878" s="103"/>
      <c r="J878" s="76"/>
      <c r="K878" s="104"/>
      <c r="L878" s="104"/>
      <c r="M878" s="174">
        <f>IF(Tabelle132456[[#This Row],[Pulled after Start]]="",MIN(Tabelle132456[[#This Row],[Jira Story Points]],Tabelle132456[[#This Row],[Carry-over]]),0)</f>
        <v>0</v>
      </c>
      <c r="N878" s="173">
        <f>MIN(Tabelle132456[[#This Row],[Jira Story Points]],Tabelle132456[[#This Row],[Carry-over]])-Tabelle132456[[#This Row],[SP Initially Planned (COS)]]</f>
        <v>0</v>
      </c>
      <c r="O87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78" s="173">
        <f>IFERROR(IF(Tabelle132456[[#This Row],[Status]]=$I$5,MIN(Tabelle132456[[#This Row],[Jira Story Points]],Tabelle132456[[#This Row],[Carry-over]]),0),0)</f>
        <v>0</v>
      </c>
      <c r="Q878" s="173">
        <f>IFERROR(IF(Tabelle132456[[#This Row],[Status]]=$I$5,0,MIN(Tabelle132456[[#This Row],[Jira Story Points]],Tabelle132456[[#This Row],[Carry-over]])-Tabelle132456[[#This Row],[SP Completed (COS &amp; SOS)]]),0)</f>
        <v>0</v>
      </c>
    </row>
    <row r="879" spans="1:17" s="46" customFormat="1" ht="13.5" customHeight="1">
      <c r="A879" s="117"/>
      <c r="B879" s="47"/>
      <c r="C879" s="76"/>
      <c r="D879" s="76"/>
      <c r="E879" s="76"/>
      <c r="F879" s="104"/>
      <c r="G879" s="76"/>
      <c r="H879" s="83"/>
      <c r="I879" s="103"/>
      <c r="J879" s="76"/>
      <c r="K879" s="104"/>
      <c r="L879" s="104"/>
      <c r="M879" s="174">
        <f>IF(Tabelle132456[[#This Row],[Pulled after Start]]="",MIN(Tabelle132456[[#This Row],[Jira Story Points]],Tabelle132456[[#This Row],[Carry-over]]),0)</f>
        <v>0</v>
      </c>
      <c r="N879" s="173">
        <f>MIN(Tabelle132456[[#This Row],[Jira Story Points]],Tabelle132456[[#This Row],[Carry-over]])-Tabelle132456[[#This Row],[SP Initially Planned (COS)]]</f>
        <v>0</v>
      </c>
      <c r="O87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79" s="173">
        <f>IFERROR(IF(Tabelle132456[[#This Row],[Status]]=$I$5,MIN(Tabelle132456[[#This Row],[Jira Story Points]],Tabelle132456[[#This Row],[Carry-over]]),0),0)</f>
        <v>0</v>
      </c>
      <c r="Q879" s="173">
        <f>IFERROR(IF(Tabelle132456[[#This Row],[Status]]=$I$5,0,MIN(Tabelle132456[[#This Row],[Jira Story Points]],Tabelle132456[[#This Row],[Carry-over]])-Tabelle132456[[#This Row],[SP Completed (COS &amp; SOS)]]),0)</f>
        <v>0</v>
      </c>
    </row>
    <row r="880" spans="1:17" s="46" customFormat="1" ht="13.5" customHeight="1">
      <c r="A880" s="117"/>
      <c r="B880" s="47"/>
      <c r="C880" s="76"/>
      <c r="D880" s="76"/>
      <c r="E880" s="76"/>
      <c r="F880" s="104"/>
      <c r="G880" s="76"/>
      <c r="H880" s="83"/>
      <c r="I880" s="103"/>
      <c r="J880" s="76"/>
      <c r="K880" s="104"/>
      <c r="L880" s="104"/>
      <c r="M880" s="174">
        <f>IF(Tabelle132456[[#This Row],[Pulled after Start]]="",MIN(Tabelle132456[[#This Row],[Jira Story Points]],Tabelle132456[[#This Row],[Carry-over]]),0)</f>
        <v>0</v>
      </c>
      <c r="N880" s="173">
        <f>MIN(Tabelle132456[[#This Row],[Jira Story Points]],Tabelle132456[[#This Row],[Carry-over]])-Tabelle132456[[#This Row],[SP Initially Planned (COS)]]</f>
        <v>0</v>
      </c>
      <c r="O88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80" s="173">
        <f>IFERROR(IF(Tabelle132456[[#This Row],[Status]]=$I$5,MIN(Tabelle132456[[#This Row],[Jira Story Points]],Tabelle132456[[#This Row],[Carry-over]]),0),0)</f>
        <v>0</v>
      </c>
      <c r="Q880" s="173">
        <f>IFERROR(IF(Tabelle132456[[#This Row],[Status]]=$I$5,0,MIN(Tabelle132456[[#This Row],[Jira Story Points]],Tabelle132456[[#This Row],[Carry-over]])-Tabelle132456[[#This Row],[SP Completed (COS &amp; SOS)]]),0)</f>
        <v>0</v>
      </c>
    </row>
    <row r="881" spans="1:17" s="46" customFormat="1" ht="13.5" customHeight="1">
      <c r="A881" s="117"/>
      <c r="B881" s="47"/>
      <c r="C881" s="76"/>
      <c r="D881" s="76"/>
      <c r="E881" s="76"/>
      <c r="F881" s="104"/>
      <c r="G881" s="76"/>
      <c r="H881" s="83"/>
      <c r="I881" s="103"/>
      <c r="J881" s="76"/>
      <c r="K881" s="104"/>
      <c r="L881" s="104"/>
      <c r="M881" s="174">
        <f>IF(Tabelle132456[[#This Row],[Pulled after Start]]="",MIN(Tabelle132456[[#This Row],[Jira Story Points]],Tabelle132456[[#This Row],[Carry-over]]),0)</f>
        <v>0</v>
      </c>
      <c r="N881" s="173">
        <f>MIN(Tabelle132456[[#This Row],[Jira Story Points]],Tabelle132456[[#This Row],[Carry-over]])-Tabelle132456[[#This Row],[SP Initially Planned (COS)]]</f>
        <v>0</v>
      </c>
      <c r="O88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81" s="173">
        <f>IFERROR(IF(Tabelle132456[[#This Row],[Status]]=$I$5,MIN(Tabelle132456[[#This Row],[Jira Story Points]],Tabelle132456[[#This Row],[Carry-over]]),0),0)</f>
        <v>0</v>
      </c>
      <c r="Q881" s="173">
        <f>IFERROR(IF(Tabelle132456[[#This Row],[Status]]=$I$5,0,MIN(Tabelle132456[[#This Row],[Jira Story Points]],Tabelle132456[[#This Row],[Carry-over]])-Tabelle132456[[#This Row],[SP Completed (COS &amp; SOS)]]),0)</f>
        <v>0</v>
      </c>
    </row>
    <row r="882" spans="1:17" s="46" customFormat="1" ht="13.5" customHeight="1">
      <c r="A882" s="117"/>
      <c r="B882" s="47"/>
      <c r="C882" s="76"/>
      <c r="D882" s="76"/>
      <c r="E882" s="76"/>
      <c r="F882" s="104"/>
      <c r="G882" s="76"/>
      <c r="H882" s="83"/>
      <c r="I882" s="103"/>
      <c r="J882" s="76"/>
      <c r="K882" s="104"/>
      <c r="L882" s="104"/>
      <c r="M882" s="174">
        <f>IF(Tabelle132456[[#This Row],[Pulled after Start]]="",MIN(Tabelle132456[[#This Row],[Jira Story Points]],Tabelle132456[[#This Row],[Carry-over]]),0)</f>
        <v>0</v>
      </c>
      <c r="N882" s="173">
        <f>MIN(Tabelle132456[[#This Row],[Jira Story Points]],Tabelle132456[[#This Row],[Carry-over]])-Tabelle132456[[#This Row],[SP Initially Planned (COS)]]</f>
        <v>0</v>
      </c>
      <c r="O88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82" s="173">
        <f>IFERROR(IF(Tabelle132456[[#This Row],[Status]]=$I$5,MIN(Tabelle132456[[#This Row],[Jira Story Points]],Tabelle132456[[#This Row],[Carry-over]]),0),0)</f>
        <v>0</v>
      </c>
      <c r="Q882" s="173">
        <f>IFERROR(IF(Tabelle132456[[#This Row],[Status]]=$I$5,0,MIN(Tabelle132456[[#This Row],[Jira Story Points]],Tabelle132456[[#This Row],[Carry-over]])-Tabelle132456[[#This Row],[SP Completed (COS &amp; SOS)]]),0)</f>
        <v>0</v>
      </c>
    </row>
    <row r="883" spans="1:17" s="46" customFormat="1" ht="13.5" customHeight="1">
      <c r="A883" s="117"/>
      <c r="B883" s="47"/>
      <c r="C883" s="76"/>
      <c r="D883" s="76"/>
      <c r="E883" s="76"/>
      <c r="F883" s="104"/>
      <c r="G883" s="76"/>
      <c r="H883" s="83"/>
      <c r="I883" s="103"/>
      <c r="J883" s="76"/>
      <c r="K883" s="104"/>
      <c r="L883" s="104"/>
      <c r="M883" s="174">
        <f>IF(Tabelle132456[[#This Row],[Pulled after Start]]="",MIN(Tabelle132456[[#This Row],[Jira Story Points]],Tabelle132456[[#This Row],[Carry-over]]),0)</f>
        <v>0</v>
      </c>
      <c r="N883" s="173">
        <f>MIN(Tabelle132456[[#This Row],[Jira Story Points]],Tabelle132456[[#This Row],[Carry-over]])-Tabelle132456[[#This Row],[SP Initially Planned (COS)]]</f>
        <v>0</v>
      </c>
      <c r="O88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83" s="173">
        <f>IFERROR(IF(Tabelle132456[[#This Row],[Status]]=$I$5,MIN(Tabelle132456[[#This Row],[Jira Story Points]],Tabelle132456[[#This Row],[Carry-over]]),0),0)</f>
        <v>0</v>
      </c>
      <c r="Q883" s="173">
        <f>IFERROR(IF(Tabelle132456[[#This Row],[Status]]=$I$5,0,MIN(Tabelle132456[[#This Row],[Jira Story Points]],Tabelle132456[[#This Row],[Carry-over]])-Tabelle132456[[#This Row],[SP Completed (COS &amp; SOS)]]),0)</f>
        <v>0</v>
      </c>
    </row>
    <row r="884" spans="1:17" s="46" customFormat="1" ht="13.5" customHeight="1">
      <c r="A884" s="117"/>
      <c r="B884" s="47"/>
      <c r="C884" s="76"/>
      <c r="D884" s="76"/>
      <c r="E884" s="76"/>
      <c r="F884" s="104"/>
      <c r="G884" s="76"/>
      <c r="H884" s="83"/>
      <c r="I884" s="103"/>
      <c r="J884" s="76"/>
      <c r="K884" s="104"/>
      <c r="L884" s="104"/>
      <c r="M884" s="174">
        <f>IF(Tabelle132456[[#This Row],[Pulled after Start]]="",MIN(Tabelle132456[[#This Row],[Jira Story Points]],Tabelle132456[[#This Row],[Carry-over]]),0)</f>
        <v>0</v>
      </c>
      <c r="N884" s="173">
        <f>MIN(Tabelle132456[[#This Row],[Jira Story Points]],Tabelle132456[[#This Row],[Carry-over]])-Tabelle132456[[#This Row],[SP Initially Planned (COS)]]</f>
        <v>0</v>
      </c>
      <c r="O88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84" s="173">
        <f>IFERROR(IF(Tabelle132456[[#This Row],[Status]]=$I$5,MIN(Tabelle132456[[#This Row],[Jira Story Points]],Tabelle132456[[#This Row],[Carry-over]]),0),0)</f>
        <v>0</v>
      </c>
      <c r="Q884" s="173">
        <f>IFERROR(IF(Tabelle132456[[#This Row],[Status]]=$I$5,0,MIN(Tabelle132456[[#This Row],[Jira Story Points]],Tabelle132456[[#This Row],[Carry-over]])-Tabelle132456[[#This Row],[SP Completed (COS &amp; SOS)]]),0)</f>
        <v>0</v>
      </c>
    </row>
    <row r="885" spans="1:17" s="46" customFormat="1" ht="13.5" customHeight="1">
      <c r="A885" s="117"/>
      <c r="B885" s="47"/>
      <c r="C885" s="76"/>
      <c r="D885" s="76"/>
      <c r="E885" s="76"/>
      <c r="F885" s="104"/>
      <c r="G885" s="76"/>
      <c r="H885" s="83"/>
      <c r="I885" s="103"/>
      <c r="J885" s="76"/>
      <c r="K885" s="104"/>
      <c r="L885" s="104"/>
      <c r="M885" s="174">
        <f>IF(Tabelle132456[[#This Row],[Pulled after Start]]="",MIN(Tabelle132456[[#This Row],[Jira Story Points]],Tabelle132456[[#This Row],[Carry-over]]),0)</f>
        <v>0</v>
      </c>
      <c r="N885" s="173">
        <f>MIN(Tabelle132456[[#This Row],[Jira Story Points]],Tabelle132456[[#This Row],[Carry-over]])-Tabelle132456[[#This Row],[SP Initially Planned (COS)]]</f>
        <v>0</v>
      </c>
      <c r="O88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85" s="173">
        <f>IFERROR(IF(Tabelle132456[[#This Row],[Status]]=$I$5,MIN(Tabelle132456[[#This Row],[Jira Story Points]],Tabelle132456[[#This Row],[Carry-over]]),0),0)</f>
        <v>0</v>
      </c>
      <c r="Q885" s="173">
        <f>IFERROR(IF(Tabelle132456[[#This Row],[Status]]=$I$5,0,MIN(Tabelle132456[[#This Row],[Jira Story Points]],Tabelle132456[[#This Row],[Carry-over]])-Tabelle132456[[#This Row],[SP Completed (COS &amp; SOS)]]),0)</f>
        <v>0</v>
      </c>
    </row>
    <row r="886" spans="1:17" s="46" customFormat="1" ht="13.5" customHeight="1">
      <c r="A886" s="117"/>
      <c r="B886" s="47"/>
      <c r="C886" s="76"/>
      <c r="D886" s="76"/>
      <c r="E886" s="76"/>
      <c r="F886" s="104"/>
      <c r="G886" s="76"/>
      <c r="H886" s="83"/>
      <c r="I886" s="103"/>
      <c r="J886" s="76"/>
      <c r="K886" s="104"/>
      <c r="L886" s="104"/>
      <c r="M886" s="174">
        <f>IF(Tabelle132456[[#This Row],[Pulled after Start]]="",MIN(Tabelle132456[[#This Row],[Jira Story Points]],Tabelle132456[[#This Row],[Carry-over]]),0)</f>
        <v>0</v>
      </c>
      <c r="N886" s="173">
        <f>MIN(Tabelle132456[[#This Row],[Jira Story Points]],Tabelle132456[[#This Row],[Carry-over]])-Tabelle132456[[#This Row],[SP Initially Planned (COS)]]</f>
        <v>0</v>
      </c>
      <c r="O88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86" s="173">
        <f>IFERROR(IF(Tabelle132456[[#This Row],[Status]]=$I$5,MIN(Tabelle132456[[#This Row],[Jira Story Points]],Tabelle132456[[#This Row],[Carry-over]]),0),0)</f>
        <v>0</v>
      </c>
      <c r="Q886" s="173">
        <f>IFERROR(IF(Tabelle132456[[#This Row],[Status]]=$I$5,0,MIN(Tabelle132456[[#This Row],[Jira Story Points]],Tabelle132456[[#This Row],[Carry-over]])-Tabelle132456[[#This Row],[SP Completed (COS &amp; SOS)]]),0)</f>
        <v>0</v>
      </c>
    </row>
    <row r="887" spans="1:17" s="46" customFormat="1" ht="13.5" customHeight="1">
      <c r="A887" s="117"/>
      <c r="B887" s="47"/>
      <c r="C887" s="76"/>
      <c r="D887" s="76"/>
      <c r="E887" s="76"/>
      <c r="F887" s="104"/>
      <c r="G887" s="76"/>
      <c r="H887" s="83"/>
      <c r="I887" s="103"/>
      <c r="J887" s="76"/>
      <c r="K887" s="104"/>
      <c r="L887" s="104"/>
      <c r="M887" s="174">
        <f>IF(Tabelle132456[[#This Row],[Pulled after Start]]="",MIN(Tabelle132456[[#This Row],[Jira Story Points]],Tabelle132456[[#This Row],[Carry-over]]),0)</f>
        <v>0</v>
      </c>
      <c r="N887" s="173">
        <f>MIN(Tabelle132456[[#This Row],[Jira Story Points]],Tabelle132456[[#This Row],[Carry-over]])-Tabelle132456[[#This Row],[SP Initially Planned (COS)]]</f>
        <v>0</v>
      </c>
      <c r="O88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87" s="173">
        <f>IFERROR(IF(Tabelle132456[[#This Row],[Status]]=$I$5,MIN(Tabelle132456[[#This Row],[Jira Story Points]],Tabelle132456[[#This Row],[Carry-over]]),0),0)</f>
        <v>0</v>
      </c>
      <c r="Q887" s="173">
        <f>IFERROR(IF(Tabelle132456[[#This Row],[Status]]=$I$5,0,MIN(Tabelle132456[[#This Row],[Jira Story Points]],Tabelle132456[[#This Row],[Carry-over]])-Tabelle132456[[#This Row],[SP Completed (COS &amp; SOS)]]),0)</f>
        <v>0</v>
      </c>
    </row>
    <row r="888" spans="1:17" s="46" customFormat="1" ht="13.5" customHeight="1">
      <c r="A888" s="117"/>
      <c r="B888" s="47"/>
      <c r="C888" s="76"/>
      <c r="D888" s="76"/>
      <c r="E888" s="76"/>
      <c r="F888" s="104"/>
      <c r="G888" s="76"/>
      <c r="H888" s="83"/>
      <c r="I888" s="103"/>
      <c r="J888" s="76"/>
      <c r="K888" s="104"/>
      <c r="L888" s="104"/>
      <c r="M888" s="174">
        <f>IF(Tabelle132456[[#This Row],[Pulled after Start]]="",MIN(Tabelle132456[[#This Row],[Jira Story Points]],Tabelle132456[[#This Row],[Carry-over]]),0)</f>
        <v>0</v>
      </c>
      <c r="N888" s="173">
        <f>MIN(Tabelle132456[[#This Row],[Jira Story Points]],Tabelle132456[[#This Row],[Carry-over]])-Tabelle132456[[#This Row],[SP Initially Planned (COS)]]</f>
        <v>0</v>
      </c>
      <c r="O88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88" s="173">
        <f>IFERROR(IF(Tabelle132456[[#This Row],[Status]]=$I$5,MIN(Tabelle132456[[#This Row],[Jira Story Points]],Tabelle132456[[#This Row],[Carry-over]]),0),0)</f>
        <v>0</v>
      </c>
      <c r="Q888" s="173">
        <f>IFERROR(IF(Tabelle132456[[#This Row],[Status]]=$I$5,0,MIN(Tabelle132456[[#This Row],[Jira Story Points]],Tabelle132456[[#This Row],[Carry-over]])-Tabelle132456[[#This Row],[SP Completed (COS &amp; SOS)]]),0)</f>
        <v>0</v>
      </c>
    </row>
    <row r="889" spans="1:17" s="46" customFormat="1" ht="13.5" customHeight="1">
      <c r="A889" s="117"/>
      <c r="B889" s="47"/>
      <c r="C889" s="76"/>
      <c r="D889" s="76"/>
      <c r="E889" s="76"/>
      <c r="F889" s="104"/>
      <c r="G889" s="76"/>
      <c r="H889" s="83"/>
      <c r="I889" s="103"/>
      <c r="J889" s="76"/>
      <c r="K889" s="104"/>
      <c r="L889" s="104"/>
      <c r="M889" s="174">
        <f>IF(Tabelle132456[[#This Row],[Pulled after Start]]="",MIN(Tabelle132456[[#This Row],[Jira Story Points]],Tabelle132456[[#This Row],[Carry-over]]),0)</f>
        <v>0</v>
      </c>
      <c r="N889" s="173">
        <f>MIN(Tabelle132456[[#This Row],[Jira Story Points]],Tabelle132456[[#This Row],[Carry-over]])-Tabelle132456[[#This Row],[SP Initially Planned (COS)]]</f>
        <v>0</v>
      </c>
      <c r="O88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89" s="173">
        <f>IFERROR(IF(Tabelle132456[[#This Row],[Status]]=$I$5,MIN(Tabelle132456[[#This Row],[Jira Story Points]],Tabelle132456[[#This Row],[Carry-over]]),0),0)</f>
        <v>0</v>
      </c>
      <c r="Q889" s="173">
        <f>IFERROR(IF(Tabelle132456[[#This Row],[Status]]=$I$5,0,MIN(Tabelle132456[[#This Row],[Jira Story Points]],Tabelle132456[[#This Row],[Carry-over]])-Tabelle132456[[#This Row],[SP Completed (COS &amp; SOS)]]),0)</f>
        <v>0</v>
      </c>
    </row>
    <row r="890" spans="1:17" s="46" customFormat="1" ht="13.5" customHeight="1">
      <c r="A890" s="117"/>
      <c r="B890" s="47"/>
      <c r="C890" s="76"/>
      <c r="D890" s="76"/>
      <c r="E890" s="76"/>
      <c r="F890" s="104"/>
      <c r="G890" s="76"/>
      <c r="H890" s="83"/>
      <c r="I890" s="103"/>
      <c r="J890" s="76"/>
      <c r="K890" s="104"/>
      <c r="L890" s="104"/>
      <c r="M890" s="174">
        <f>IF(Tabelle132456[[#This Row],[Pulled after Start]]="",MIN(Tabelle132456[[#This Row],[Jira Story Points]],Tabelle132456[[#This Row],[Carry-over]]),0)</f>
        <v>0</v>
      </c>
      <c r="N890" s="173">
        <f>MIN(Tabelle132456[[#This Row],[Jira Story Points]],Tabelle132456[[#This Row],[Carry-over]])-Tabelle132456[[#This Row],[SP Initially Planned (COS)]]</f>
        <v>0</v>
      </c>
      <c r="O89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90" s="173">
        <f>IFERROR(IF(Tabelle132456[[#This Row],[Status]]=$I$5,MIN(Tabelle132456[[#This Row],[Jira Story Points]],Tabelle132456[[#This Row],[Carry-over]]),0),0)</f>
        <v>0</v>
      </c>
      <c r="Q890" s="173">
        <f>IFERROR(IF(Tabelle132456[[#This Row],[Status]]=$I$5,0,MIN(Tabelle132456[[#This Row],[Jira Story Points]],Tabelle132456[[#This Row],[Carry-over]])-Tabelle132456[[#This Row],[SP Completed (COS &amp; SOS)]]),0)</f>
        <v>0</v>
      </c>
    </row>
    <row r="891" spans="1:17" s="46" customFormat="1" ht="13.5" customHeight="1">
      <c r="A891" s="117"/>
      <c r="B891" s="47"/>
      <c r="C891" s="76"/>
      <c r="D891" s="76"/>
      <c r="E891" s="76"/>
      <c r="F891" s="104"/>
      <c r="G891" s="76"/>
      <c r="H891" s="83"/>
      <c r="I891" s="103"/>
      <c r="J891" s="76"/>
      <c r="K891" s="104"/>
      <c r="L891" s="104"/>
      <c r="M891" s="174">
        <f>IF(Tabelle132456[[#This Row],[Pulled after Start]]="",MIN(Tabelle132456[[#This Row],[Jira Story Points]],Tabelle132456[[#This Row],[Carry-over]]),0)</f>
        <v>0</v>
      </c>
      <c r="N891" s="173">
        <f>MIN(Tabelle132456[[#This Row],[Jira Story Points]],Tabelle132456[[#This Row],[Carry-over]])-Tabelle132456[[#This Row],[SP Initially Planned (COS)]]</f>
        <v>0</v>
      </c>
      <c r="O89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91" s="173">
        <f>IFERROR(IF(Tabelle132456[[#This Row],[Status]]=$I$5,MIN(Tabelle132456[[#This Row],[Jira Story Points]],Tabelle132456[[#This Row],[Carry-over]]),0),0)</f>
        <v>0</v>
      </c>
      <c r="Q891" s="173">
        <f>IFERROR(IF(Tabelle132456[[#This Row],[Status]]=$I$5,0,MIN(Tabelle132456[[#This Row],[Jira Story Points]],Tabelle132456[[#This Row],[Carry-over]])-Tabelle132456[[#This Row],[SP Completed (COS &amp; SOS)]]),0)</f>
        <v>0</v>
      </c>
    </row>
    <row r="892" spans="1:17" s="46" customFormat="1" ht="13.5" customHeight="1">
      <c r="A892" s="117"/>
      <c r="B892" s="47"/>
      <c r="C892" s="76"/>
      <c r="D892" s="76"/>
      <c r="E892" s="76"/>
      <c r="F892" s="104"/>
      <c r="G892" s="76"/>
      <c r="H892" s="83"/>
      <c r="I892" s="103"/>
      <c r="J892" s="76"/>
      <c r="K892" s="104"/>
      <c r="L892" s="104"/>
      <c r="M892" s="174">
        <f>IF(Tabelle132456[[#This Row],[Pulled after Start]]="",MIN(Tabelle132456[[#This Row],[Jira Story Points]],Tabelle132456[[#This Row],[Carry-over]]),0)</f>
        <v>0</v>
      </c>
      <c r="N892" s="173">
        <f>MIN(Tabelle132456[[#This Row],[Jira Story Points]],Tabelle132456[[#This Row],[Carry-over]])-Tabelle132456[[#This Row],[SP Initially Planned (COS)]]</f>
        <v>0</v>
      </c>
      <c r="O89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92" s="173">
        <f>IFERROR(IF(Tabelle132456[[#This Row],[Status]]=$I$5,MIN(Tabelle132456[[#This Row],[Jira Story Points]],Tabelle132456[[#This Row],[Carry-over]]),0),0)</f>
        <v>0</v>
      </c>
      <c r="Q892" s="173">
        <f>IFERROR(IF(Tabelle132456[[#This Row],[Status]]=$I$5,0,MIN(Tabelle132456[[#This Row],[Jira Story Points]],Tabelle132456[[#This Row],[Carry-over]])-Tabelle132456[[#This Row],[SP Completed (COS &amp; SOS)]]),0)</f>
        <v>0</v>
      </c>
    </row>
    <row r="893" spans="1:17" s="46" customFormat="1" ht="13.5" customHeight="1">
      <c r="A893" s="117"/>
      <c r="B893" s="47"/>
      <c r="C893" s="76"/>
      <c r="D893" s="76"/>
      <c r="E893" s="76"/>
      <c r="F893" s="104"/>
      <c r="G893" s="76"/>
      <c r="H893" s="83"/>
      <c r="I893" s="103"/>
      <c r="J893" s="76"/>
      <c r="K893" s="104"/>
      <c r="L893" s="104"/>
      <c r="M893" s="174">
        <f>IF(Tabelle132456[[#This Row],[Pulled after Start]]="",MIN(Tabelle132456[[#This Row],[Jira Story Points]],Tabelle132456[[#This Row],[Carry-over]]),0)</f>
        <v>0</v>
      </c>
      <c r="N893" s="173">
        <f>MIN(Tabelle132456[[#This Row],[Jira Story Points]],Tabelle132456[[#This Row],[Carry-over]])-Tabelle132456[[#This Row],[SP Initially Planned (COS)]]</f>
        <v>0</v>
      </c>
      <c r="O89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93" s="173">
        <f>IFERROR(IF(Tabelle132456[[#This Row],[Status]]=$I$5,MIN(Tabelle132456[[#This Row],[Jira Story Points]],Tabelle132456[[#This Row],[Carry-over]]),0),0)</f>
        <v>0</v>
      </c>
      <c r="Q893" s="173">
        <f>IFERROR(IF(Tabelle132456[[#This Row],[Status]]=$I$5,0,MIN(Tabelle132456[[#This Row],[Jira Story Points]],Tabelle132456[[#This Row],[Carry-over]])-Tabelle132456[[#This Row],[SP Completed (COS &amp; SOS)]]),0)</f>
        <v>0</v>
      </c>
    </row>
    <row r="894" spans="1:17" s="46" customFormat="1" ht="13.5" customHeight="1">
      <c r="A894" s="117"/>
      <c r="B894" s="47"/>
      <c r="C894" s="76"/>
      <c r="D894" s="76"/>
      <c r="E894" s="76"/>
      <c r="F894" s="104"/>
      <c r="G894" s="76"/>
      <c r="H894" s="83"/>
      <c r="I894" s="103"/>
      <c r="J894" s="76"/>
      <c r="K894" s="104"/>
      <c r="L894" s="104"/>
      <c r="M894" s="174">
        <f>IF(Tabelle132456[[#This Row],[Pulled after Start]]="",MIN(Tabelle132456[[#This Row],[Jira Story Points]],Tabelle132456[[#This Row],[Carry-over]]),0)</f>
        <v>0</v>
      </c>
      <c r="N894" s="173">
        <f>MIN(Tabelle132456[[#This Row],[Jira Story Points]],Tabelle132456[[#This Row],[Carry-over]])-Tabelle132456[[#This Row],[SP Initially Planned (COS)]]</f>
        <v>0</v>
      </c>
      <c r="O89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94" s="173">
        <f>IFERROR(IF(Tabelle132456[[#This Row],[Status]]=$I$5,MIN(Tabelle132456[[#This Row],[Jira Story Points]],Tabelle132456[[#This Row],[Carry-over]]),0),0)</f>
        <v>0</v>
      </c>
      <c r="Q894" s="173">
        <f>IFERROR(IF(Tabelle132456[[#This Row],[Status]]=$I$5,0,MIN(Tabelle132456[[#This Row],[Jira Story Points]],Tabelle132456[[#This Row],[Carry-over]])-Tabelle132456[[#This Row],[SP Completed (COS &amp; SOS)]]),0)</f>
        <v>0</v>
      </c>
    </row>
    <row r="895" spans="1:17" s="46" customFormat="1" ht="13.5" customHeight="1">
      <c r="A895" s="117"/>
      <c r="B895" s="47"/>
      <c r="C895" s="76"/>
      <c r="D895" s="76"/>
      <c r="E895" s="76"/>
      <c r="F895" s="104"/>
      <c r="G895" s="76"/>
      <c r="H895" s="83"/>
      <c r="I895" s="103"/>
      <c r="J895" s="76"/>
      <c r="K895" s="104"/>
      <c r="L895" s="104"/>
      <c r="M895" s="174">
        <f>IF(Tabelle132456[[#This Row],[Pulled after Start]]="",MIN(Tabelle132456[[#This Row],[Jira Story Points]],Tabelle132456[[#This Row],[Carry-over]]),0)</f>
        <v>0</v>
      </c>
      <c r="N895" s="173">
        <f>MIN(Tabelle132456[[#This Row],[Jira Story Points]],Tabelle132456[[#This Row],[Carry-over]])-Tabelle132456[[#This Row],[SP Initially Planned (COS)]]</f>
        <v>0</v>
      </c>
      <c r="O89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95" s="173">
        <f>IFERROR(IF(Tabelle132456[[#This Row],[Status]]=$I$5,MIN(Tabelle132456[[#This Row],[Jira Story Points]],Tabelle132456[[#This Row],[Carry-over]]),0),0)</f>
        <v>0</v>
      </c>
      <c r="Q895" s="173">
        <f>IFERROR(IF(Tabelle132456[[#This Row],[Status]]=$I$5,0,MIN(Tabelle132456[[#This Row],[Jira Story Points]],Tabelle132456[[#This Row],[Carry-over]])-Tabelle132456[[#This Row],[SP Completed (COS &amp; SOS)]]),0)</f>
        <v>0</v>
      </c>
    </row>
    <row r="896" spans="1:17" s="46" customFormat="1" ht="13.5" customHeight="1">
      <c r="A896" s="117"/>
      <c r="B896" s="47"/>
      <c r="C896" s="76"/>
      <c r="D896" s="76"/>
      <c r="E896" s="76"/>
      <c r="F896" s="104"/>
      <c r="G896" s="76"/>
      <c r="H896" s="83"/>
      <c r="I896" s="103"/>
      <c r="J896" s="76"/>
      <c r="K896" s="104"/>
      <c r="L896" s="104"/>
      <c r="M896" s="174">
        <f>IF(Tabelle132456[[#This Row],[Pulled after Start]]="",MIN(Tabelle132456[[#This Row],[Jira Story Points]],Tabelle132456[[#This Row],[Carry-over]]),0)</f>
        <v>0</v>
      </c>
      <c r="N896" s="173">
        <f>MIN(Tabelle132456[[#This Row],[Jira Story Points]],Tabelle132456[[#This Row],[Carry-over]])-Tabelle132456[[#This Row],[SP Initially Planned (COS)]]</f>
        <v>0</v>
      </c>
      <c r="O89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96" s="173">
        <f>IFERROR(IF(Tabelle132456[[#This Row],[Status]]=$I$5,MIN(Tabelle132456[[#This Row],[Jira Story Points]],Tabelle132456[[#This Row],[Carry-over]]),0),0)</f>
        <v>0</v>
      </c>
      <c r="Q896" s="173">
        <f>IFERROR(IF(Tabelle132456[[#This Row],[Status]]=$I$5,0,MIN(Tabelle132456[[#This Row],[Jira Story Points]],Tabelle132456[[#This Row],[Carry-over]])-Tabelle132456[[#This Row],[SP Completed (COS &amp; SOS)]]),0)</f>
        <v>0</v>
      </c>
    </row>
    <row r="897" spans="1:17" s="46" customFormat="1" ht="13.5" customHeight="1">
      <c r="A897" s="117"/>
      <c r="B897" s="47"/>
      <c r="C897" s="76"/>
      <c r="D897" s="76"/>
      <c r="E897" s="76"/>
      <c r="F897" s="104"/>
      <c r="G897" s="76"/>
      <c r="H897" s="83"/>
      <c r="I897" s="103"/>
      <c r="J897" s="76"/>
      <c r="K897" s="104"/>
      <c r="L897" s="104"/>
      <c r="M897" s="174">
        <f>IF(Tabelle132456[[#This Row],[Pulled after Start]]="",MIN(Tabelle132456[[#This Row],[Jira Story Points]],Tabelle132456[[#This Row],[Carry-over]]),0)</f>
        <v>0</v>
      </c>
      <c r="N897" s="173">
        <f>MIN(Tabelle132456[[#This Row],[Jira Story Points]],Tabelle132456[[#This Row],[Carry-over]])-Tabelle132456[[#This Row],[SP Initially Planned (COS)]]</f>
        <v>0</v>
      </c>
      <c r="O89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97" s="173">
        <f>IFERROR(IF(Tabelle132456[[#This Row],[Status]]=$I$5,MIN(Tabelle132456[[#This Row],[Jira Story Points]],Tabelle132456[[#This Row],[Carry-over]]),0),0)</f>
        <v>0</v>
      </c>
      <c r="Q897" s="173">
        <f>IFERROR(IF(Tabelle132456[[#This Row],[Status]]=$I$5,0,MIN(Tabelle132456[[#This Row],[Jira Story Points]],Tabelle132456[[#This Row],[Carry-over]])-Tabelle132456[[#This Row],[SP Completed (COS &amp; SOS)]]),0)</f>
        <v>0</v>
      </c>
    </row>
    <row r="898" spans="1:17" s="46" customFormat="1" ht="13.5" customHeight="1">
      <c r="A898" s="117"/>
      <c r="B898" s="47"/>
      <c r="C898" s="76"/>
      <c r="D898" s="76"/>
      <c r="E898" s="76"/>
      <c r="F898" s="104"/>
      <c r="G898" s="76"/>
      <c r="H898" s="83"/>
      <c r="I898" s="103"/>
      <c r="J898" s="76"/>
      <c r="K898" s="104"/>
      <c r="L898" s="104"/>
      <c r="M898" s="174">
        <f>IF(Tabelle132456[[#This Row],[Pulled after Start]]="",MIN(Tabelle132456[[#This Row],[Jira Story Points]],Tabelle132456[[#This Row],[Carry-over]]),0)</f>
        <v>0</v>
      </c>
      <c r="N898" s="173">
        <f>MIN(Tabelle132456[[#This Row],[Jira Story Points]],Tabelle132456[[#This Row],[Carry-over]])-Tabelle132456[[#This Row],[SP Initially Planned (COS)]]</f>
        <v>0</v>
      </c>
      <c r="O898"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98" s="173">
        <f>IFERROR(IF(Tabelle132456[[#This Row],[Status]]=$I$5,MIN(Tabelle132456[[#This Row],[Jira Story Points]],Tabelle132456[[#This Row],[Carry-over]]),0),0)</f>
        <v>0</v>
      </c>
      <c r="Q898" s="173">
        <f>IFERROR(IF(Tabelle132456[[#This Row],[Status]]=$I$5,0,MIN(Tabelle132456[[#This Row],[Jira Story Points]],Tabelle132456[[#This Row],[Carry-over]])-Tabelle132456[[#This Row],[SP Completed (COS &amp; SOS)]]),0)</f>
        <v>0</v>
      </c>
    </row>
    <row r="899" spans="1:17" s="46" customFormat="1" ht="13.5" customHeight="1">
      <c r="A899" s="117"/>
      <c r="B899" s="47"/>
      <c r="C899" s="76"/>
      <c r="D899" s="76"/>
      <c r="E899" s="76"/>
      <c r="F899" s="104"/>
      <c r="G899" s="76"/>
      <c r="H899" s="83"/>
      <c r="I899" s="103"/>
      <c r="J899" s="76"/>
      <c r="K899" s="104"/>
      <c r="L899" s="104"/>
      <c r="M899" s="174">
        <f>IF(Tabelle132456[[#This Row],[Pulled after Start]]="",MIN(Tabelle132456[[#This Row],[Jira Story Points]],Tabelle132456[[#This Row],[Carry-over]]),0)</f>
        <v>0</v>
      </c>
      <c r="N899" s="173">
        <f>MIN(Tabelle132456[[#This Row],[Jira Story Points]],Tabelle132456[[#This Row],[Carry-over]])-Tabelle132456[[#This Row],[SP Initially Planned (COS)]]</f>
        <v>0</v>
      </c>
      <c r="O899"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899" s="173">
        <f>IFERROR(IF(Tabelle132456[[#This Row],[Status]]=$I$5,MIN(Tabelle132456[[#This Row],[Jira Story Points]],Tabelle132456[[#This Row],[Carry-over]]),0),0)</f>
        <v>0</v>
      </c>
      <c r="Q899" s="173">
        <f>IFERROR(IF(Tabelle132456[[#This Row],[Status]]=$I$5,0,MIN(Tabelle132456[[#This Row],[Jira Story Points]],Tabelle132456[[#This Row],[Carry-over]])-Tabelle132456[[#This Row],[SP Completed (COS &amp; SOS)]]),0)</f>
        <v>0</v>
      </c>
    </row>
    <row r="900" spans="1:17" s="46" customFormat="1" ht="13.5" customHeight="1">
      <c r="A900" s="117"/>
      <c r="B900" s="47"/>
      <c r="C900" s="76"/>
      <c r="D900" s="76"/>
      <c r="E900" s="76"/>
      <c r="F900" s="104"/>
      <c r="G900" s="76"/>
      <c r="H900" s="83"/>
      <c r="I900" s="103"/>
      <c r="J900" s="76"/>
      <c r="K900" s="104"/>
      <c r="L900" s="104"/>
      <c r="M900" s="174">
        <f>IF(Tabelle132456[[#This Row],[Pulled after Start]]="",MIN(Tabelle132456[[#This Row],[Jira Story Points]],Tabelle132456[[#This Row],[Carry-over]]),0)</f>
        <v>0</v>
      </c>
      <c r="N900" s="173">
        <f>MIN(Tabelle132456[[#This Row],[Jira Story Points]],Tabelle132456[[#This Row],[Carry-over]])-Tabelle132456[[#This Row],[SP Initially Planned (COS)]]</f>
        <v>0</v>
      </c>
      <c r="O900"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900" s="173">
        <f>IFERROR(IF(Tabelle132456[[#This Row],[Status]]=$I$5,MIN(Tabelle132456[[#This Row],[Jira Story Points]],Tabelle132456[[#This Row],[Carry-over]]),0),0)</f>
        <v>0</v>
      </c>
      <c r="Q900" s="173">
        <f>IFERROR(IF(Tabelle132456[[#This Row],[Status]]=$I$5,0,MIN(Tabelle132456[[#This Row],[Jira Story Points]],Tabelle132456[[#This Row],[Carry-over]])-Tabelle132456[[#This Row],[SP Completed (COS &amp; SOS)]]),0)</f>
        <v>0</v>
      </c>
    </row>
    <row r="901" spans="1:17" s="46" customFormat="1" ht="13.5" customHeight="1">
      <c r="A901" s="117"/>
      <c r="B901" s="47"/>
      <c r="C901" s="76"/>
      <c r="D901" s="76"/>
      <c r="E901" s="76"/>
      <c r="F901" s="104"/>
      <c r="G901" s="76"/>
      <c r="H901" s="83"/>
      <c r="I901" s="103"/>
      <c r="J901" s="76"/>
      <c r="K901" s="104"/>
      <c r="L901" s="104"/>
      <c r="M901" s="174">
        <f>IF(Tabelle132456[[#This Row],[Pulled after Start]]="",MIN(Tabelle132456[[#This Row],[Jira Story Points]],Tabelle132456[[#This Row],[Carry-over]]),0)</f>
        <v>0</v>
      </c>
      <c r="N901" s="173">
        <f>MIN(Tabelle132456[[#This Row],[Jira Story Points]],Tabelle132456[[#This Row],[Carry-over]])-Tabelle132456[[#This Row],[SP Initially Planned (COS)]]</f>
        <v>0</v>
      </c>
      <c r="O901"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901" s="173">
        <f>IFERROR(IF(Tabelle132456[[#This Row],[Status]]=$I$5,MIN(Tabelle132456[[#This Row],[Jira Story Points]],Tabelle132456[[#This Row],[Carry-over]]),0),0)</f>
        <v>0</v>
      </c>
      <c r="Q901" s="173">
        <f>IFERROR(IF(Tabelle132456[[#This Row],[Status]]=$I$5,0,MIN(Tabelle132456[[#This Row],[Jira Story Points]],Tabelle132456[[#This Row],[Carry-over]])-Tabelle132456[[#This Row],[SP Completed (COS &amp; SOS)]]),0)</f>
        <v>0</v>
      </c>
    </row>
    <row r="902" spans="1:17" s="46" customFormat="1" ht="13.5" customHeight="1">
      <c r="A902" s="117"/>
      <c r="B902" s="47"/>
      <c r="C902" s="76"/>
      <c r="D902" s="76"/>
      <c r="E902" s="76"/>
      <c r="F902" s="104"/>
      <c r="G902" s="76"/>
      <c r="H902" s="83"/>
      <c r="I902" s="103"/>
      <c r="J902" s="76"/>
      <c r="K902" s="104"/>
      <c r="L902" s="104"/>
      <c r="M902" s="174">
        <f>IF(Tabelle132456[[#This Row],[Pulled after Start]]="",MIN(Tabelle132456[[#This Row],[Jira Story Points]],Tabelle132456[[#This Row],[Carry-over]]),0)</f>
        <v>0</v>
      </c>
      <c r="N902" s="173">
        <f>MIN(Tabelle132456[[#This Row],[Jira Story Points]],Tabelle132456[[#This Row],[Carry-over]])-Tabelle132456[[#This Row],[SP Initially Planned (COS)]]</f>
        <v>0</v>
      </c>
      <c r="O902"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902" s="173">
        <f>IFERROR(IF(Tabelle132456[[#This Row],[Status]]=$I$5,MIN(Tabelle132456[[#This Row],[Jira Story Points]],Tabelle132456[[#This Row],[Carry-over]]),0),0)</f>
        <v>0</v>
      </c>
      <c r="Q902" s="173">
        <f>IFERROR(IF(Tabelle132456[[#This Row],[Status]]=$I$5,0,MIN(Tabelle132456[[#This Row],[Jira Story Points]],Tabelle132456[[#This Row],[Carry-over]])-Tabelle132456[[#This Row],[SP Completed (COS &amp; SOS)]]),0)</f>
        <v>0</v>
      </c>
    </row>
    <row r="903" spans="1:17" s="46" customFormat="1" ht="13.5" customHeight="1">
      <c r="A903" s="117"/>
      <c r="B903" s="47"/>
      <c r="C903" s="76"/>
      <c r="D903" s="76"/>
      <c r="E903" s="76"/>
      <c r="F903" s="104"/>
      <c r="G903" s="76"/>
      <c r="H903" s="83"/>
      <c r="I903" s="103"/>
      <c r="J903" s="76"/>
      <c r="K903" s="104"/>
      <c r="L903" s="104"/>
      <c r="M903" s="174">
        <f>IF(Tabelle132456[[#This Row],[Pulled after Start]]="",MIN(Tabelle132456[[#This Row],[Jira Story Points]],Tabelle132456[[#This Row],[Carry-over]]),0)</f>
        <v>0</v>
      </c>
      <c r="N903" s="173">
        <f>MIN(Tabelle132456[[#This Row],[Jira Story Points]],Tabelle132456[[#This Row],[Carry-over]])-Tabelle132456[[#This Row],[SP Initially Planned (COS)]]</f>
        <v>0</v>
      </c>
      <c r="O903"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903" s="173">
        <f>IFERROR(IF(Tabelle132456[[#This Row],[Status]]=$I$5,MIN(Tabelle132456[[#This Row],[Jira Story Points]],Tabelle132456[[#This Row],[Carry-over]]),0),0)</f>
        <v>0</v>
      </c>
      <c r="Q903" s="173">
        <f>IFERROR(IF(Tabelle132456[[#This Row],[Status]]=$I$5,0,MIN(Tabelle132456[[#This Row],[Jira Story Points]],Tabelle132456[[#This Row],[Carry-over]])-Tabelle132456[[#This Row],[SP Completed (COS &amp; SOS)]]),0)</f>
        <v>0</v>
      </c>
    </row>
    <row r="904" spans="1:17" s="46" customFormat="1" ht="13.5" customHeight="1">
      <c r="A904" s="117"/>
      <c r="B904" s="47"/>
      <c r="C904" s="76"/>
      <c r="D904" s="76"/>
      <c r="E904" s="76"/>
      <c r="F904" s="104"/>
      <c r="G904" s="76"/>
      <c r="H904" s="83"/>
      <c r="I904" s="103"/>
      <c r="J904" s="76"/>
      <c r="K904" s="104"/>
      <c r="L904" s="104"/>
      <c r="M904" s="174">
        <f>IF(Tabelle132456[[#This Row],[Pulled after Start]]="",MIN(Tabelle132456[[#This Row],[Jira Story Points]],Tabelle132456[[#This Row],[Carry-over]]),0)</f>
        <v>0</v>
      </c>
      <c r="N904" s="173">
        <f>MIN(Tabelle132456[[#This Row],[Jira Story Points]],Tabelle132456[[#This Row],[Carry-over]])-Tabelle132456[[#This Row],[SP Initially Planned (COS)]]</f>
        <v>0</v>
      </c>
      <c r="O904"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904" s="173">
        <f>IFERROR(IF(Tabelle132456[[#This Row],[Status]]=$I$5,MIN(Tabelle132456[[#This Row],[Jira Story Points]],Tabelle132456[[#This Row],[Carry-over]]),0),0)</f>
        <v>0</v>
      </c>
      <c r="Q904" s="173">
        <f>IFERROR(IF(Tabelle132456[[#This Row],[Status]]=$I$5,0,MIN(Tabelle132456[[#This Row],[Jira Story Points]],Tabelle132456[[#This Row],[Carry-over]])-Tabelle132456[[#This Row],[SP Completed (COS &amp; SOS)]]),0)</f>
        <v>0</v>
      </c>
    </row>
    <row r="905" spans="1:17" s="46" customFormat="1" ht="13.5" customHeight="1">
      <c r="A905" s="117"/>
      <c r="B905" s="47"/>
      <c r="C905" s="76"/>
      <c r="D905" s="76"/>
      <c r="E905" s="76"/>
      <c r="F905" s="104"/>
      <c r="G905" s="76"/>
      <c r="H905" s="83"/>
      <c r="I905" s="103"/>
      <c r="J905" s="76"/>
      <c r="K905" s="104"/>
      <c r="L905" s="104"/>
      <c r="M905" s="174">
        <f>IF(Tabelle132456[[#This Row],[Pulled after Start]]="",MIN(Tabelle132456[[#This Row],[Jira Story Points]],Tabelle132456[[#This Row],[Carry-over]]),0)</f>
        <v>0</v>
      </c>
      <c r="N905" s="173">
        <f>MIN(Tabelle132456[[#This Row],[Jira Story Points]],Tabelle132456[[#This Row],[Carry-over]])-Tabelle132456[[#This Row],[SP Initially Planned (COS)]]</f>
        <v>0</v>
      </c>
      <c r="O905"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905" s="173">
        <f>IFERROR(IF(Tabelle132456[[#This Row],[Status]]=$I$5,MIN(Tabelle132456[[#This Row],[Jira Story Points]],Tabelle132456[[#This Row],[Carry-over]]),0),0)</f>
        <v>0</v>
      </c>
      <c r="Q905" s="173">
        <f>IFERROR(IF(Tabelle132456[[#This Row],[Status]]=$I$5,0,MIN(Tabelle132456[[#This Row],[Jira Story Points]],Tabelle132456[[#This Row],[Carry-over]])-Tabelle132456[[#This Row],[SP Completed (COS &amp; SOS)]]),0)</f>
        <v>0</v>
      </c>
    </row>
    <row r="906" spans="1:17" s="46" customFormat="1" ht="13.5" customHeight="1">
      <c r="A906" s="117"/>
      <c r="B906" s="47"/>
      <c r="C906" s="76"/>
      <c r="D906" s="76"/>
      <c r="E906" s="76"/>
      <c r="F906" s="104"/>
      <c r="G906" s="76"/>
      <c r="H906" s="83"/>
      <c r="I906" s="103"/>
      <c r="J906" s="76"/>
      <c r="K906" s="104"/>
      <c r="L906" s="104"/>
      <c r="M906" s="174">
        <f>IF(Tabelle132456[[#This Row],[Pulled after Start]]="",MIN(Tabelle132456[[#This Row],[Jira Story Points]],Tabelle132456[[#This Row],[Carry-over]]),0)</f>
        <v>0</v>
      </c>
      <c r="N906" s="173">
        <f>MIN(Tabelle132456[[#This Row],[Jira Story Points]],Tabelle132456[[#This Row],[Carry-over]])-Tabelle132456[[#This Row],[SP Initially Planned (COS)]]</f>
        <v>0</v>
      </c>
      <c r="O906"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906" s="173">
        <f>IFERROR(IF(Tabelle132456[[#This Row],[Status]]=$I$5,MIN(Tabelle132456[[#This Row],[Jira Story Points]],Tabelle132456[[#This Row],[Carry-over]]),0),0)</f>
        <v>0</v>
      </c>
      <c r="Q906" s="173">
        <f>IFERROR(IF(Tabelle132456[[#This Row],[Status]]=$I$5,0,MIN(Tabelle132456[[#This Row],[Jira Story Points]],Tabelle132456[[#This Row],[Carry-over]])-Tabelle132456[[#This Row],[SP Completed (COS &amp; SOS)]]),0)</f>
        <v>0</v>
      </c>
    </row>
    <row r="907" spans="1:17" s="46" customFormat="1" ht="13.5" customHeight="1">
      <c r="A907" s="117"/>
      <c r="B907" s="47"/>
      <c r="C907" s="76"/>
      <c r="D907" s="76"/>
      <c r="E907" s="76"/>
      <c r="F907" s="104"/>
      <c r="G907" s="76"/>
      <c r="H907" s="83"/>
      <c r="I907" s="103"/>
      <c r="J907" s="76"/>
      <c r="K907" s="104"/>
      <c r="L907" s="104"/>
      <c r="M907" s="174">
        <f>IF(Tabelle132456[[#This Row],[Pulled after Start]]="",MIN(Tabelle132456[[#This Row],[Jira Story Points]],Tabelle132456[[#This Row],[Carry-over]]),0)</f>
        <v>0</v>
      </c>
      <c r="N907" s="173">
        <f>MIN(Tabelle132456[[#This Row],[Jira Story Points]],Tabelle132456[[#This Row],[Carry-over]])-Tabelle132456[[#This Row],[SP Initially Planned (COS)]]</f>
        <v>0</v>
      </c>
      <c r="O907" s="172">
        <f>IFERROR(IF(Tabelle132456[[#This Row],[Status]]=$I$5,0,IF(AND(Tabelle132456[[#This Row],[Status]]=$H$5,Tabelle132456[[#This Row],[Spill-over]]=0),0,IF(Tabelle132456[[#This Row],[Carry-over]]&lt;&gt;0,Tabelle132456[[#This Row],[Carry-over]]-Tabelle132456[[#This Row],[Spill-over]],Tabelle132456[[#This Row],[Jira Story Points]]-Tabelle132456[[#This Row],[Spill-over]]))),"-")</f>
        <v>0</v>
      </c>
      <c r="P907" s="173">
        <f>IFERROR(IF(Tabelle132456[[#This Row],[Status]]=$I$5,MIN(Tabelle132456[[#This Row],[Jira Story Points]],Tabelle132456[[#This Row],[Carry-over]]),0),0)</f>
        <v>0</v>
      </c>
      <c r="Q907" s="173">
        <f>IFERROR(IF(Tabelle132456[[#This Row],[Status]]=$I$5,0,MIN(Tabelle132456[[#This Row],[Jira Story Points]],Tabelle132456[[#This Row],[Carry-over]])-Tabelle132456[[#This Row],[SP Completed (COS &amp; SOS)]]),0)</f>
        <v>0</v>
      </c>
    </row>
    <row r="910" spans="1:17" ht="13.5" customHeight="1">
      <c r="M910" s="51"/>
      <c r="N910" s="52"/>
      <c r="O910" s="53"/>
      <c r="P910" s="52"/>
      <c r="Q910" s="54"/>
    </row>
    <row r="911" spans="1:17" ht="13.5" customHeight="1">
      <c r="M911" s="55"/>
      <c r="N911" s="56"/>
      <c r="O911" s="53"/>
      <c r="P911" s="56"/>
      <c r="Q911" s="54"/>
    </row>
    <row r="912" spans="1:17" ht="13.5" customHeight="1">
      <c r="M912" s="51"/>
      <c r="N912" s="52"/>
      <c r="O912" s="53"/>
      <c r="P912" s="52"/>
      <c r="Q912" s="54"/>
    </row>
    <row r="913" spans="13:17" ht="13.5" customHeight="1">
      <c r="M913" s="55"/>
      <c r="N913" s="52"/>
      <c r="O913" s="53"/>
      <c r="P913" s="56"/>
      <c r="Q913" s="54"/>
    </row>
    <row r="914" spans="13:17" ht="13.5" customHeight="1">
      <c r="M914" s="51"/>
      <c r="N914" s="52"/>
      <c r="O914" s="53"/>
      <c r="P914" s="52"/>
      <c r="Q914" s="54"/>
    </row>
    <row r="915" spans="13:17" ht="13.5" customHeight="1">
      <c r="M915" s="55"/>
      <c r="N915" s="56"/>
      <c r="O915" s="53"/>
      <c r="P915" s="56"/>
      <c r="Q915" s="54"/>
    </row>
    <row r="916" spans="13:17" ht="13.5" customHeight="1">
      <c r="M916" s="51"/>
      <c r="N916" s="52"/>
      <c r="O916" s="53"/>
      <c r="P916" s="52"/>
      <c r="Q916" s="54"/>
    </row>
    <row r="917" spans="13:17" ht="13.5" customHeight="1">
      <c r="M917" s="55"/>
      <c r="N917" s="52"/>
      <c r="O917" s="53"/>
      <c r="P917" s="56"/>
      <c r="Q917" s="54"/>
    </row>
    <row r="918" spans="13:17" ht="13.5" customHeight="1">
      <c r="M918" s="51"/>
      <c r="N918" s="52"/>
      <c r="O918" s="53"/>
      <c r="P918" s="52"/>
      <c r="Q918" s="54"/>
    </row>
    <row r="919" spans="13:17" ht="13.5" customHeight="1">
      <c r="M919" s="55"/>
      <c r="N919" s="56"/>
      <c r="O919" s="53"/>
      <c r="P919" s="56"/>
      <c r="Q919" s="54"/>
    </row>
    <row r="920" spans="13:17" ht="13.5" customHeight="1">
      <c r="M920" s="51"/>
      <c r="N920" s="52"/>
      <c r="O920" s="53"/>
      <c r="P920" s="52"/>
      <c r="Q920" s="54"/>
    </row>
    <row r="921" spans="13:17" ht="13.5" customHeight="1">
      <c r="M921" s="55"/>
      <c r="N921" s="52"/>
      <c r="O921" s="53"/>
      <c r="P921" s="56"/>
      <c r="Q921" s="54"/>
    </row>
  </sheetData>
  <mergeCells count="11">
    <mergeCell ref="B6:B15"/>
    <mergeCell ref="D22:E22"/>
    <mergeCell ref="F22:G22"/>
    <mergeCell ref="H22:I22"/>
    <mergeCell ref="J22:K22"/>
    <mergeCell ref="N22:O22"/>
    <mergeCell ref="C1:J1"/>
    <mergeCell ref="G3:I3"/>
    <mergeCell ref="E4:J4"/>
    <mergeCell ref="L4:Q4"/>
    <mergeCell ref="L22:M22"/>
  </mergeCells>
  <dataValidations count="4">
    <dataValidation type="list" allowBlank="1" showErrorMessage="1" sqref="J167:J168 J164 J906:J907 J32:J157" xr:uid="{AF8405FB-DF2F-4349-80BB-9B39EF73F61C}">
      <formula1>$G$5:$I$5</formula1>
    </dataValidation>
    <dataValidation allowBlank="1" showInputMessage="1" showErrorMessage="1" sqref="K32 K34:L157 L33:N33 M32:N32 M34:N907" xr:uid="{9CCAEEDB-A455-41A2-A1DC-A0DA274CB896}"/>
    <dataValidation type="list" allowBlank="1" showErrorMessage="1" sqref="G32:G42 G133:G139 G58:G74" xr:uid="{987D9635-8E82-4553-B516-85B5B4A0DAC2}">
      <formula1>$C$6:$C$15</formula1>
    </dataValidation>
    <dataValidation type="list" allowBlank="1" showErrorMessage="1" sqref="H32:H42 H58:H68 H133:H134 H137" xr:uid="{96284770-3A28-44B1-891D-F06A3E0E1C87}">
      <formula1>"yes"</formula1>
    </dataValidation>
  </dataValidations>
  <hyperlinks>
    <hyperlink ref="A79" r:id="rId1" display="[ANP-18160] CFRM Configuration - Jira" xr:uid="{AB32665F-29EC-4C14-B09B-05E6E1FBEBC0}"/>
    <hyperlink ref="A80" r:id="rId2" display="[ANP-23018] Testing of Terminal Assignment Concept - Jira" xr:uid="{65C664C0-A0AA-4AB6-B7C3-0DE58BB5626D}"/>
    <hyperlink ref="A81" r:id="rId3" display="[ANP-23694] Create Integrity Tests and Manual Tests - AT TAW - Jira" xr:uid="{FB25C172-0571-45F6-9805-78F95B9D08E7}"/>
    <hyperlink ref="A82" r:id="rId4" display="[ANP-23695] Create Integrity Tests and Manual Tests - CH BASICS+ - Jira" xr:uid="{F4395D17-F0C1-4234-A5A4-8BE8F647F2F6}"/>
    <hyperlink ref="A83" r:id="rId5" display="[ANP-24398] [SPIKE] Clarify Requirements for HU Social Voucher - Jira" xr:uid="{E4B58F6D-D5DF-4A17-90B5-E0B953FC31BA}"/>
    <hyperlink ref="A92" r:id="rId6" xr:uid="{73AAD843-8151-42E0-AD68-ED688002EC0E}"/>
    <hyperlink ref="A93" r:id="rId7" xr:uid="{BB03A244-2381-401C-B78B-89FB9F5FA2ED}"/>
    <hyperlink ref="A94" r:id="rId8" xr:uid="{AA658D32-0521-4AE6-B45A-28C554DABE6F}"/>
    <hyperlink ref="A95" r:id="rId9" xr:uid="{62013F40-716C-40A4-B121-B8178A167732}"/>
    <hyperlink ref="A96" r:id="rId10" xr:uid="{3C4546B3-B1BE-485A-9AFE-0C725D130BCA}"/>
    <hyperlink ref="A97" r:id="rId11" xr:uid="{EB587EA7-2B66-48A1-B98C-CD7370BAEEA3}"/>
    <hyperlink ref="A98" r:id="rId12" xr:uid="{461FDD9B-EE1F-4230-893F-C61F901A9864}"/>
    <hyperlink ref="A99" r:id="rId13" xr:uid="{6CC87C6E-DC32-4991-BFDD-E31ED3C82A37}"/>
    <hyperlink ref="A100" r:id="rId14" xr:uid="{17194017-905E-4ACB-81E7-0100534C1E1A}"/>
    <hyperlink ref="A101" r:id="rId15" xr:uid="{F94819B2-4A3D-4753-ABD2-99D59781607A}"/>
    <hyperlink ref="A102" r:id="rId16" xr:uid="{5FDDF2E2-7CF0-4769-B7C0-5E63585F333D}"/>
    <hyperlink ref="A103" r:id="rId17" xr:uid="{58B233BC-213A-475A-8EAC-836CBED764F2}"/>
    <hyperlink ref="A104" r:id="rId18" xr:uid="{28C1036B-2B70-43CF-8BF3-126B615642A0}"/>
    <hyperlink ref="A105" r:id="rId19" xr:uid="{A807133B-55D8-4308-95EB-8F58C3FA98A9}"/>
    <hyperlink ref="A106" r:id="rId20" xr:uid="{65F3BAB1-5DE2-40AC-9FF1-63B7F50DD855}"/>
    <hyperlink ref="A84" r:id="rId21" display="https://aldi-sued.atlassian.net/browse/ANP-24495" xr:uid="{900D652A-FA54-4B32-A43D-637AA175A5D9}"/>
    <hyperlink ref="A137" r:id="rId22" display="https://aldi-sued.atlassian.net/browse/NPSCO-17729" xr:uid="{D1FF90D4-E9F3-4861-94F9-6E76A7EA6B8F}"/>
    <hyperlink ref="A139" r:id="rId23" display="https://aldi-sued.atlassian.net/browse/NPSCO-17011" xr:uid="{A289B298-8F77-43A0-AA19-BAD5FCFD13A4}"/>
    <hyperlink ref="A140" r:id="rId24" display="https://aldi-sued.atlassian.net/browse/NPSCO-18290" xr:uid="{2D6CF114-BF98-4D8E-A027-6EB57B9BE07B}"/>
    <hyperlink ref="A141" r:id="rId25" display="https://aldi-sued.atlassian.net/browse/NPSCO-16261" xr:uid="{DF6ACE37-F255-4868-BD2D-3A413890C3DA}"/>
    <hyperlink ref="A142" r:id="rId26" display="https://aldi-sued.atlassian.net/browse/NPSCO-18175" xr:uid="{7324ACB0-1E90-4E28-8C78-7848C23FDE52}"/>
    <hyperlink ref="A143" r:id="rId27" display="https://aldi-sued.atlassian.net/browse/NPSCO-16518" xr:uid="{91E64AA7-9B7A-4D9B-A92E-DAF271BCB6C4}"/>
    <hyperlink ref="A144" r:id="rId28" display="https://aldi-sued.atlassian.net/browse/NPSCO-17316" xr:uid="{5B92F2DE-E3EE-4F00-A10B-21156903B22C}"/>
    <hyperlink ref="A145" r:id="rId29" display="https://aldi-sued.atlassian.net/browse/NPSCO-18259" xr:uid="{DF96EDFD-8F10-4A38-B588-327562DFEA73}"/>
    <hyperlink ref="A146" r:id="rId30" display="https://aldi-sued.atlassian.net/browse/NPSCO-17881" xr:uid="{468E850D-0007-4307-945B-E1AF30A8353D}"/>
    <hyperlink ref="A147" r:id="rId31" display="https://aldi-sued.atlassian.net/browse/NPSCO-18138" xr:uid="{15798F4E-F8FF-41E5-B0F1-17A621E70170}"/>
    <hyperlink ref="A148" r:id="rId32" display="https://aldi-sued.atlassian.net/browse/NPSCO-18334" xr:uid="{6F4F114A-194E-448A-BF85-CC48740A5685}"/>
    <hyperlink ref="A149" r:id="rId33" display="https://aldi-sued.atlassian.net/browse/NPSCO-18335" xr:uid="{CE62C859-B065-4732-99E5-14325B172679}"/>
    <hyperlink ref="A150" r:id="rId34" display="https://aldi-sued.atlassian.net/browse/NPSCO-18366" xr:uid="{2D489350-3632-4F86-A3FA-1355CC1CF182}"/>
    <hyperlink ref="G77:G90" r:id="rId35" display="https://aldi-sued.atlassian.net/issues/?jql=%22cf%5B12600%5D%22%20%3D%20SCO_TheTillTitans" xr:uid="{BB63542F-EE7A-457E-80EE-F81C84764E21}"/>
    <hyperlink ref="A151" r:id="rId36" xr:uid="{C83839D5-3674-463A-91D1-D21797204C20}"/>
    <hyperlink ref="A152" r:id="rId37" xr:uid="{AF6AC30D-F5B7-4864-8715-0739B23251F4}"/>
    <hyperlink ref="A153" r:id="rId38" xr:uid="{38489B32-E47A-4B27-AD82-FED0B694636E}"/>
    <hyperlink ref="A154" r:id="rId39" xr:uid="{69C3A65A-795D-4994-A521-3AF263627CC3}"/>
    <hyperlink ref="A155" r:id="rId40" xr:uid="{7508C701-3AE0-4D0F-8965-04A1AF21AFD9}"/>
    <hyperlink ref="A156" r:id="rId41" xr:uid="{2627BD8D-8EDB-43B4-BE3B-250DCD8B9081}"/>
    <hyperlink ref="A157" r:id="rId42" xr:uid="{17D982FE-50C8-45BA-BD16-02DEF252D240}"/>
    <hyperlink ref="A158" r:id="rId43" xr:uid="{924B6E99-FCCF-4B5B-83F1-06E4926EAC9F}"/>
    <hyperlink ref="A159" r:id="rId44" xr:uid="{A85C87BB-F1B9-4F67-B5F5-3F2055F476C9}"/>
    <hyperlink ref="A160" r:id="rId45" xr:uid="{DDE6B293-0430-45CA-A7D2-930E6D53E446}"/>
    <hyperlink ref="A161" r:id="rId46" xr:uid="{CF095A26-7758-4CE3-AAD2-E9E873C5E2CA}"/>
    <hyperlink ref="A162" r:id="rId47" xr:uid="{543262DC-8A39-414D-BBD0-7DACDF6E92A0}"/>
    <hyperlink ref="A163" r:id="rId48" xr:uid="{808CD97F-8705-418C-AD4A-7FA474EA246D}"/>
    <hyperlink ref="A85" r:id="rId49" xr:uid="{C0867BAB-B335-49BB-B3F7-86D6586F2A55}"/>
    <hyperlink ref="A86" r:id="rId50" xr:uid="{0606563B-F908-416E-8F40-A1B67EB22D62}"/>
    <hyperlink ref="A87" r:id="rId51" xr:uid="{7CC67CDF-762A-4C5B-92E5-D935EDE987AD}"/>
    <hyperlink ref="A88" r:id="rId52" xr:uid="{07905089-EF67-45A4-B990-87599DAF0D88}"/>
    <hyperlink ref="A89" r:id="rId53" xr:uid="{B7CADAB9-5777-4004-91B1-6950152EFCA3}"/>
    <hyperlink ref="A90" r:id="rId54" xr:uid="{F210D00A-FEDA-491D-B394-6A14A36FCCD2}"/>
    <hyperlink ref="A91" r:id="rId55" xr:uid="{3A7427FD-1590-4203-AA23-8192B85C969E}"/>
    <hyperlink ref="A138" r:id="rId56" display="https://aldi-sued.atlassian.net/browse/NPSCO-16190" xr:uid="{B59B47CB-C6D4-49B1-B347-D9A360C9BA66}"/>
    <hyperlink ref="A136" r:id="rId57" display="https://aldi-sued.atlassian.net/browse/NPSCO-18127" xr:uid="{CC3581DD-1194-49C5-B5E6-39C5BE434040}"/>
    <hyperlink ref="A67" r:id="rId58" xr:uid="{29FD319F-3894-4A2C-A771-B5F6030E2D16}"/>
    <hyperlink ref="A73" r:id="rId59" xr:uid="{B5ED3161-989D-4C4C-892D-A52A80FA6409}"/>
    <hyperlink ref="A72" r:id="rId60" xr:uid="{CA3EC9B0-01C9-43CF-96E6-D545EF97011A}"/>
    <hyperlink ref="A69" r:id="rId61" xr:uid="{0D5A3243-A698-4572-8D1F-DC509DC8CD25}"/>
    <hyperlink ref="A70" r:id="rId62" xr:uid="{FDA5739B-AB5A-4D8F-B736-C64461A3A51B}"/>
    <hyperlink ref="A68" r:id="rId63" xr:uid="{1B4B2F0D-1DCA-4778-BCA3-1074DF62257F}"/>
    <hyperlink ref="A71" r:id="rId64" xr:uid="{C6F78289-C7EA-403F-9A26-6550C45373BF}"/>
    <hyperlink ref="A74" r:id="rId65" xr:uid="{7D1E85A1-D343-4FB7-B559-2F687F94B994}"/>
    <hyperlink ref="A75" r:id="rId66" xr:uid="{A8D33906-E1D6-45E3-8E4F-A754F6C7CC29}"/>
    <hyperlink ref="A76" r:id="rId67" xr:uid="{2A5A9747-BC6D-4616-A74B-B93D931F3E93}"/>
    <hyperlink ref="A77" r:id="rId68" xr:uid="{290433B2-8C98-4D6E-BD29-441714B545E7}"/>
    <hyperlink ref="A78" r:id="rId69" xr:uid="{43BCD611-E466-4939-8DB1-676346BBCBD6}"/>
    <hyperlink ref="A32" r:id="rId70" display="ANP-24318" xr:uid="{8AF9E5E4-C6FF-4214-B1C0-263A21ECE7B6}"/>
  </hyperlinks>
  <pageMargins left="0.23622047244094491" right="0.23622047244094491" top="0.35433070866141736" bottom="0.35433070866141736" header="0" footer="0"/>
  <pageSetup paperSize="9" scale="88" fitToHeight="0" orientation="landscape" r:id="rId71"/>
  <headerFooter>
    <oddFooter>&amp;CS. &amp;P / &amp;N</oddFooter>
  </headerFooter>
  <tableParts count="1">
    <tablePart r:id="rId7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C92A9-EF32-45ED-8ED3-027D7FF0D49F}">
  <sheetPr>
    <outlinePr summaryBelow="0" summaryRight="0"/>
    <pageSetUpPr fitToPage="1"/>
  </sheetPr>
  <dimension ref="A1:AM193"/>
  <sheetViews>
    <sheetView topLeftCell="E4" zoomScale="90" zoomScaleNormal="90" workbookViewId="0">
      <selection activeCell="Z6" sqref="Z6:Z15"/>
    </sheetView>
  </sheetViews>
  <sheetFormatPr baseColWidth="10" defaultColWidth="8.85546875" defaultRowHeight="13.5" customHeight="1"/>
  <cols>
    <col min="1" max="1" width="13.42578125" style="27" bestFit="1" customWidth="1"/>
    <col min="2" max="2" width="66.42578125" style="27" customWidth="1"/>
    <col min="3" max="8" width="15.42578125" style="28" customWidth="1"/>
    <col min="9" max="11" width="15.42578125" style="29" customWidth="1"/>
    <col min="12" max="12" width="15.42578125" style="30" customWidth="1"/>
    <col min="13" max="13" width="15.42578125" style="28" customWidth="1"/>
    <col min="14" max="17" width="15.42578125" style="1" customWidth="1"/>
    <col min="18" max="28" width="10.42578125" style="1" customWidth="1"/>
    <col min="29" max="34" width="8.42578125" style="1" customWidth="1"/>
    <col min="35" max="35" width="3.42578125" style="1" customWidth="1"/>
    <col min="36" max="36" width="8.42578125" style="1" customWidth="1"/>
    <col min="37" max="16384" width="8.85546875" style="1"/>
  </cols>
  <sheetData>
    <row r="1" spans="2:26" ht="13.5" customHeight="1">
      <c r="C1" s="417" t="s">
        <v>2976</v>
      </c>
      <c r="D1" s="417"/>
      <c r="E1" s="417"/>
      <c r="F1" s="417"/>
      <c r="G1" s="417"/>
      <c r="H1" s="417"/>
      <c r="I1" s="417"/>
      <c r="J1" s="417"/>
      <c r="K1" s="2"/>
      <c r="L1" s="2"/>
      <c r="M1" s="2"/>
    </row>
    <row r="2" spans="2:26" ht="13.5" customHeight="1">
      <c r="C2" s="1"/>
      <c r="D2" s="1"/>
      <c r="E2" s="2"/>
      <c r="F2" s="2"/>
      <c r="G2" s="2"/>
      <c r="H2" s="2"/>
      <c r="I2" s="2"/>
      <c r="J2" s="1"/>
      <c r="K2" s="2"/>
      <c r="L2" s="2"/>
      <c r="M2" s="1"/>
    </row>
    <row r="3" spans="2:26" ht="13.5" customHeight="1" thickBot="1">
      <c r="C3" s="3" t="s">
        <v>162</v>
      </c>
      <c r="D3" s="18"/>
      <c r="E3" s="19"/>
      <c r="F3" s="19"/>
      <c r="G3" s="441" t="s">
        <v>3184</v>
      </c>
      <c r="H3" s="441"/>
      <c r="I3" s="441"/>
      <c r="J3" s="19"/>
      <c r="K3" s="4"/>
      <c r="L3" s="4"/>
      <c r="M3" s="2"/>
    </row>
    <row r="4" spans="2:26" ht="13.5" customHeight="1">
      <c r="C4" s="10"/>
      <c r="D4" s="10"/>
      <c r="E4" s="442" t="s">
        <v>165</v>
      </c>
      <c r="F4" s="442"/>
      <c r="G4" s="442"/>
      <c r="H4" s="442"/>
      <c r="I4" s="442"/>
      <c r="J4" s="442"/>
      <c r="K4" s="2"/>
      <c r="L4" s="424" t="s">
        <v>1303</v>
      </c>
      <c r="M4" s="424"/>
      <c r="N4" s="424"/>
      <c r="O4" s="424"/>
      <c r="P4" s="424"/>
      <c r="Q4" s="424"/>
      <c r="Z4" s="292" t="s">
        <v>164</v>
      </c>
    </row>
    <row r="5" spans="2:26" ht="27">
      <c r="C5" s="20" t="s">
        <v>167</v>
      </c>
      <c r="D5" s="20" t="s">
        <v>164</v>
      </c>
      <c r="E5" s="21" t="s">
        <v>105</v>
      </c>
      <c r="F5" s="21" t="s">
        <v>106</v>
      </c>
      <c r="G5" s="20" t="s">
        <v>125</v>
      </c>
      <c r="H5" s="20" t="s">
        <v>127</v>
      </c>
      <c r="I5" s="20" t="s">
        <v>126</v>
      </c>
      <c r="J5" s="21" t="s">
        <v>172</v>
      </c>
      <c r="K5" s="2"/>
      <c r="L5" s="21" t="s">
        <v>105</v>
      </c>
      <c r="M5" s="21" t="s">
        <v>106</v>
      </c>
      <c r="N5" s="31" t="s">
        <v>125</v>
      </c>
      <c r="O5" s="31" t="str">
        <f t="shared" ref="O5" si="0">I5</f>
        <v>Removed</v>
      </c>
      <c r="P5" s="31" t="s">
        <v>127</v>
      </c>
      <c r="Q5" s="39" t="s">
        <v>173</v>
      </c>
      <c r="Z5" s="293" t="str">
        <f>G5</f>
        <v>Completed</v>
      </c>
    </row>
    <row r="6" spans="2:26" ht="13.5" customHeight="1">
      <c r="B6" s="415" t="s">
        <v>3185</v>
      </c>
      <c r="C6" s="6" t="s">
        <v>35</v>
      </c>
      <c r="D6" s="6">
        <f>COUNTIFS(Tabelle13245[Team],$C6)</f>
        <v>22</v>
      </c>
      <c r="E6" s="6">
        <f>SUMIFS(Tabelle13245[Jira Story Points],Tabelle13245[Pulled after Start],"",Tabelle13245[Team],$C6)</f>
        <v>46</v>
      </c>
      <c r="F6" s="6">
        <f>SUMIFS(Tabelle13245[Jira Story Points],Tabelle13245[Pulled after Start],"yes",Tabelle13245[Team],$C6)</f>
        <v>19</v>
      </c>
      <c r="G6" s="7">
        <f>SUMIFS(Tabelle13245[Jira Story Points],Tabelle13245[Status],$G$5,Tabelle13245[Team],$C6)</f>
        <v>37</v>
      </c>
      <c r="H6" s="6">
        <f>SUMIFS(Tabelle13245[Jira Story Points],Tabelle13245[Status],$H$5,Tabelle13245[Team],$C6)</f>
        <v>28</v>
      </c>
      <c r="I6" s="6">
        <f>SUMIFS(Tabelle13245[Jira Story Points],Tabelle13245[Status],$I$5,Tabelle13245[Team],$C6)</f>
        <v>0</v>
      </c>
      <c r="J6" s="6">
        <f>SUMIFS(Tabelle13245[Jira Story Points],Tabelle13245[Team],$C6)</f>
        <v>65</v>
      </c>
      <c r="K6" s="85">
        <f>G6/E6</f>
        <v>0.80434782608695654</v>
      </c>
      <c r="L6" s="6">
        <f>SUMIFS(Tabelle13245[SP Initially Planned (COS)],Tabelle13245[Pulled after Start],"",Tabelle13245[Team],$C6)</f>
        <v>46</v>
      </c>
      <c r="M6" s="6">
        <f>SUMIFS(Tabelle13245[SP Pulled after Start (COS)],Tabelle13245[Team],$C6)</f>
        <v>19</v>
      </c>
      <c r="N6" s="25">
        <f>SUMIFS(Tabelle13245[SP Completed (COS &amp; SOS)],Tabelle13245[Team],$C6)</f>
        <v>37</v>
      </c>
      <c r="O6" s="25">
        <f>SUMIFS(Tabelle13245[SP Removed (COS &amp; SOS)],Tabelle13245[Team],$C6)</f>
        <v>0</v>
      </c>
      <c r="P6" s="41">
        <f>SUMIFS(Tabelle13245[SP Not Completed (COS &amp; SOS)],Tabelle13245[Team],$C6)</f>
        <v>28</v>
      </c>
      <c r="Q6" s="40">
        <f t="shared" ref="Q6:Q15" si="1">IFERROR(N6/$L6," ")</f>
        <v>0.80434782608695654</v>
      </c>
      <c r="T6" s="43"/>
      <c r="Z6" s="294">
        <f>COUNTIFS(Tabelle13245[Team],$C6,Tabelle13245[Status],$Z$5)</f>
        <v>15</v>
      </c>
    </row>
    <row r="7" spans="2:26" ht="13.5" customHeight="1">
      <c r="B7" s="415"/>
      <c r="C7" s="6" t="s">
        <v>12</v>
      </c>
      <c r="D7" s="6">
        <f>COUNTIFS(Tabelle13245[Team],$C7)</f>
        <v>11</v>
      </c>
      <c r="E7" s="6">
        <f>SUMIFS(Tabelle13245[Jira Story Points],Tabelle13245[Pulled after Start],"",Tabelle13245[Team],$C7)</f>
        <v>17</v>
      </c>
      <c r="F7" s="6">
        <f>SUMIFS(Tabelle13245[Jira Story Points],Tabelle13245[Pulled after Start],"yes",Tabelle13245[Team],$C7)</f>
        <v>3</v>
      </c>
      <c r="G7" s="7">
        <f>SUMIFS(Tabelle13245[Jira Story Points],Tabelle13245[Status],$G$5,Tabelle13245[Team],$C7)</f>
        <v>20</v>
      </c>
      <c r="H7" s="6">
        <f>SUMIFS(Tabelle13245[Jira Story Points],Tabelle13245[Status],$H$5,Tabelle13245[Team],$C7)</f>
        <v>0</v>
      </c>
      <c r="I7" s="6">
        <f>SUMIFS(Tabelle13245[Jira Story Points],Tabelle13245[Status],$I$5,Tabelle13245[Team],$C7)</f>
        <v>0</v>
      </c>
      <c r="J7" s="6">
        <f>SUMIFS(Tabelle13245[Jira Story Points],Tabelle13245[Team],$C7)</f>
        <v>20</v>
      </c>
      <c r="K7" s="85">
        <f t="shared" ref="K7:K16" si="2">G7/E7</f>
        <v>1.1764705882352942</v>
      </c>
      <c r="L7" s="6">
        <f>SUMIFS(Tabelle13245[SP Initially Planned (COS)],Tabelle13245[Pulled after Start],"",Tabelle13245[Team],$C7)</f>
        <v>11</v>
      </c>
      <c r="M7" s="6">
        <f>SUMIFS(Tabelle13245[SP Pulled after Start (COS)],Tabelle13245[Team],$C7)</f>
        <v>3</v>
      </c>
      <c r="N7" s="25">
        <f>SUMIFS(Tabelle13245[SP Completed (COS &amp; SOS)],Tabelle13245[Team],$C7)</f>
        <v>14</v>
      </c>
      <c r="O7" s="25">
        <f>SUMIFS(Tabelle13245[SP Removed (COS &amp; SOS)],Tabelle13245[Team],$C7)</f>
        <v>0</v>
      </c>
      <c r="P7" s="41">
        <f>SUMIFS(Tabelle13245[SP Not Completed (COS &amp; SOS)],Tabelle13245[Team],$C7)</f>
        <v>0</v>
      </c>
      <c r="Q7" s="40">
        <f t="shared" si="1"/>
        <v>1.2727272727272727</v>
      </c>
      <c r="T7" s="43"/>
      <c r="Z7" s="294">
        <f>COUNTIFS(Tabelle13245[Team],$C7,Tabelle13245[Status],$Z$5)</f>
        <v>11</v>
      </c>
    </row>
    <row r="8" spans="2:26" ht="13.5" customHeight="1">
      <c r="B8" s="415"/>
      <c r="C8" s="6" t="s">
        <v>27</v>
      </c>
      <c r="D8" s="6">
        <f>COUNTIFS(Tabelle13245[Team],$C8)</f>
        <v>14</v>
      </c>
      <c r="E8" s="6">
        <f>SUMIFS(Tabelle13245[Jira Story Points],Tabelle13245[Pulled after Start],"",Tabelle13245[Team],$C8)</f>
        <v>26</v>
      </c>
      <c r="F8" s="6">
        <f>SUMIFS(Tabelle13245[Jira Story Points],Tabelle13245[Pulled after Start],"yes",Tabelle13245[Team],$C8)</f>
        <v>15</v>
      </c>
      <c r="G8" s="7">
        <f>SUMIFS(Tabelle13245[Jira Story Points],Tabelle13245[Status],$G$5,Tabelle13245[Team],$C8)</f>
        <v>33</v>
      </c>
      <c r="H8" s="6">
        <f>SUMIFS(Tabelle13245[Jira Story Points],Tabelle13245[Status],$H$5,Tabelle13245[Team],$C8)</f>
        <v>8</v>
      </c>
      <c r="I8" s="6">
        <f>SUMIFS(Tabelle13245[Jira Story Points],Tabelle13245[Status],$I$5,Tabelle13245[Team],$C8)</f>
        <v>0</v>
      </c>
      <c r="J8" s="6">
        <f>SUMIFS(Tabelle13245[Jira Story Points],Tabelle13245[Team],$C8)</f>
        <v>41</v>
      </c>
      <c r="K8" s="85">
        <f t="shared" si="2"/>
        <v>1.2692307692307692</v>
      </c>
      <c r="L8" s="6">
        <f>SUMIFS(Tabelle13245[SP Initially Planned (COS)],Tabelle13245[Pulled after Start],"",Tabelle13245[Team],$C8)</f>
        <v>22</v>
      </c>
      <c r="M8" s="6">
        <f>SUMIFS(Tabelle13245[SP Pulled after Start (COS)],Tabelle13245[Team],$C8)</f>
        <v>15</v>
      </c>
      <c r="N8" s="25">
        <f>SUMIFS(Tabelle13245[SP Completed (COS &amp; SOS)],Tabelle13245[Team],$C8)</f>
        <v>34</v>
      </c>
      <c r="O8" s="25">
        <f>SUMIFS(Tabelle13245[SP Removed (COS &amp; SOS)],Tabelle13245[Team],$C8)</f>
        <v>0</v>
      </c>
      <c r="P8" s="41">
        <f>SUMIFS(Tabelle13245[SP Not Completed (COS &amp; SOS)],Tabelle13245[Team],$C8)</f>
        <v>3</v>
      </c>
      <c r="Q8" s="40">
        <f t="shared" si="1"/>
        <v>1.5454545454545454</v>
      </c>
      <c r="T8" s="43"/>
      <c r="Z8" s="294">
        <f>COUNTIFS(Tabelle13245[Team],$C8,Tabelle13245[Status],$Z$5)</f>
        <v>13</v>
      </c>
    </row>
    <row r="9" spans="2:26" ht="13.5" customHeight="1">
      <c r="B9" s="415"/>
      <c r="C9" s="6" t="s">
        <v>5</v>
      </c>
      <c r="D9" s="6">
        <f>COUNTIFS(Tabelle13245[Team],$C9)</f>
        <v>13</v>
      </c>
      <c r="E9" s="6">
        <f>SUMIFS(Tabelle13245[Jira Story Points],Tabelle13245[Pulled after Start],"",Tabelle13245[Team],$C9)</f>
        <v>39</v>
      </c>
      <c r="F9" s="6">
        <f>SUMIFS(Tabelle13245[Jira Story Points],Tabelle13245[Pulled after Start],"yes",Tabelle13245[Team],$C9)</f>
        <v>4</v>
      </c>
      <c r="G9" s="7">
        <f>SUMIFS(Tabelle13245[Jira Story Points],Tabelle13245[Status],$G$5,Tabelle13245[Team],$C9)</f>
        <v>18</v>
      </c>
      <c r="H9" s="6">
        <f>SUMIFS(Tabelle13245[Jira Story Points],Tabelle13245[Status],$H$5,Tabelle13245[Team],$C9)</f>
        <v>25</v>
      </c>
      <c r="I9" s="6">
        <f>SUMIFS(Tabelle13245[Jira Story Points],Tabelle13245[Status],$I$5,Tabelle13245[Team],$C9)</f>
        <v>0</v>
      </c>
      <c r="J9" s="6">
        <f>SUMIFS(Tabelle13245[Jira Story Points],Tabelle13245[Team],$C9)</f>
        <v>43</v>
      </c>
      <c r="K9" s="85">
        <f t="shared" si="2"/>
        <v>0.46153846153846156</v>
      </c>
      <c r="L9" s="6">
        <f>SUMIFS(Tabelle13245[SP Initially Planned (COS)],Tabelle13245[Pulled after Start],"",Tabelle13245[Team],$C9)</f>
        <v>31</v>
      </c>
      <c r="M9" s="6">
        <f>SUMIFS(Tabelle13245[SP Pulled after Start (COS)],Tabelle13245[Team],$C9)</f>
        <v>4</v>
      </c>
      <c r="N9" s="25">
        <f>SUMIFS(Tabelle13245[SP Completed (COS &amp; SOS)],Tabelle13245[Team],$C9)</f>
        <v>18</v>
      </c>
      <c r="O9" s="25">
        <f>SUMIFS(Tabelle13245[SP Removed (COS &amp; SOS)],Tabelle13245[Team],$C9)</f>
        <v>0</v>
      </c>
      <c r="P9" s="41">
        <f>SUMIFS(Tabelle13245[SP Not Completed (COS &amp; SOS)],Tabelle13245[Team],$C9)</f>
        <v>17</v>
      </c>
      <c r="Q9" s="40">
        <f t="shared" si="1"/>
        <v>0.58064516129032262</v>
      </c>
      <c r="T9" s="43"/>
      <c r="Z9" s="294">
        <f>COUNTIFS(Tabelle13245[Team],$C9,Tabelle13245[Status],$Z$5)</f>
        <v>5</v>
      </c>
    </row>
    <row r="10" spans="2:26" ht="13.5" customHeight="1">
      <c r="B10" s="415"/>
      <c r="C10" s="6" t="s">
        <v>32</v>
      </c>
      <c r="D10" s="6">
        <f>COUNTIFS(Tabelle13245[Team],$C10)</f>
        <v>25</v>
      </c>
      <c r="E10" s="6">
        <f>SUMIFS(Tabelle13245[Jira Story Points],Tabelle13245[Pulled after Start],"",Tabelle13245[Team],$C10)</f>
        <v>63</v>
      </c>
      <c r="F10" s="6">
        <f>SUMIFS(Tabelle13245[Jira Story Points],Tabelle13245[Pulled after Start],"yes",Tabelle13245[Team],$C10)</f>
        <v>14</v>
      </c>
      <c r="G10" s="7">
        <f>SUMIFS(Tabelle13245[Jira Story Points],Tabelle13245[Status],$G$5,Tabelle13245[Team],$C10)</f>
        <v>51</v>
      </c>
      <c r="H10" s="6">
        <f>SUMIFS(Tabelle13245[Jira Story Points],Tabelle13245[Status],$H$5,Tabelle13245[Team],$C10)</f>
        <v>26</v>
      </c>
      <c r="I10" s="6">
        <f>SUMIFS(Tabelle13245[Jira Story Points],Tabelle13245[Status],$I$5,Tabelle13245[Team],$C10)</f>
        <v>0</v>
      </c>
      <c r="J10" s="6">
        <f>SUMIFS(Tabelle13245[Jira Story Points],Tabelle13245[Team],$C10)</f>
        <v>77</v>
      </c>
      <c r="K10" s="85">
        <f t="shared" si="2"/>
        <v>0.80952380952380953</v>
      </c>
      <c r="L10" s="6">
        <f>SUMIFS(Tabelle13245[SP Initially Planned (COS)],Tabelle13245[Pulled after Start],"",Tabelle13245[Team],$C10)</f>
        <v>50</v>
      </c>
      <c r="M10" s="6">
        <f>SUMIFS(Tabelle13245[SP Pulled after Start (COS)],Tabelle13245[Team],$C10)</f>
        <v>9</v>
      </c>
      <c r="N10" s="25">
        <f>SUMIFS(Tabelle13245[SP Completed (COS &amp; SOS)],Tabelle13245[Team],$C10)</f>
        <v>56</v>
      </c>
      <c r="O10" s="25">
        <f>SUMIFS(Tabelle13245[SP Removed (COS &amp; SOS)],Tabelle13245[Team],$C10)</f>
        <v>0</v>
      </c>
      <c r="P10" s="41">
        <f>SUMIFS(Tabelle13245[SP Not Completed (COS &amp; SOS)],Tabelle13245[Team],$C10)</f>
        <v>3</v>
      </c>
      <c r="Q10" s="40">
        <f t="shared" si="1"/>
        <v>1.1200000000000001</v>
      </c>
      <c r="T10" s="43"/>
      <c r="Z10" s="294">
        <f>COUNTIFS(Tabelle13245[Team],$C10,Tabelle13245[Status],$Z$5)</f>
        <v>18</v>
      </c>
    </row>
    <row r="11" spans="2:26" ht="13.5" customHeight="1">
      <c r="B11" s="415"/>
      <c r="C11" s="6" t="s">
        <v>24</v>
      </c>
      <c r="D11" s="6">
        <f>COUNTIFS(Tabelle13245[Team],$C11)</f>
        <v>18</v>
      </c>
      <c r="E11" s="6">
        <f>SUMIFS(Tabelle13245[Jira Story Points],Tabelle13245[Pulled after Start],"",Tabelle13245[Team],$C11)</f>
        <v>47</v>
      </c>
      <c r="F11" s="6">
        <f>SUMIFS(Tabelle13245[Jira Story Points],Tabelle13245[Pulled after Start],"yes",Tabelle13245[Team],$C11)</f>
        <v>16</v>
      </c>
      <c r="G11" s="7">
        <f>SUMIFS(Tabelle13245[Jira Story Points],Tabelle13245[Status],$G$5,Tabelle13245[Team],$C11)</f>
        <v>38</v>
      </c>
      <c r="H11" s="6">
        <f>SUMIFS(Tabelle13245[Jira Story Points],Tabelle13245[Status],$H$5,Tabelle13245[Team],$C11)</f>
        <v>25</v>
      </c>
      <c r="I11" s="6">
        <f>SUMIFS(Tabelle13245[Jira Story Points],Tabelle13245[Status],$I$5,Tabelle13245[Team],$C11)</f>
        <v>0</v>
      </c>
      <c r="J11" s="6">
        <f>SUMIFS(Tabelle13245[Jira Story Points],Tabelle13245[Team],$C11)</f>
        <v>63</v>
      </c>
      <c r="K11" s="85">
        <f t="shared" si="2"/>
        <v>0.80851063829787229</v>
      </c>
      <c r="L11" s="6">
        <f>SUMIFS(Tabelle13245[SP Initially Planned (COS)],Tabelle13245[Pulled after Start],"",Tabelle13245[Team],$C11)</f>
        <v>47</v>
      </c>
      <c r="M11" s="6">
        <f>SUMIFS(Tabelle13245[SP Pulled after Start (COS)],Tabelle13245[Team],$C11)</f>
        <v>16</v>
      </c>
      <c r="N11" s="25">
        <f>SUMIFS(Tabelle13245[SP Completed (COS &amp; SOS)],Tabelle13245[Team],$C11)</f>
        <v>38</v>
      </c>
      <c r="O11" s="25">
        <f>SUMIFS(Tabelle13245[SP Removed (COS &amp; SOS)],Tabelle13245[Team],$C11)</f>
        <v>0</v>
      </c>
      <c r="P11" s="41">
        <f>SUMIFS(Tabelle13245[SP Not Completed (COS &amp; SOS)],Tabelle13245[Team],$C11)</f>
        <v>25</v>
      </c>
      <c r="Q11" s="40">
        <f t="shared" si="1"/>
        <v>0.80851063829787229</v>
      </c>
      <c r="T11" s="43"/>
      <c r="Z11" s="294">
        <f>COUNTIFS(Tabelle13245[Team],$C11,Tabelle13245[Status],$Z$5)</f>
        <v>12</v>
      </c>
    </row>
    <row r="12" spans="2:26" ht="13.5" customHeight="1">
      <c r="B12" s="415"/>
      <c r="C12" s="6" t="s">
        <v>17</v>
      </c>
      <c r="D12" s="6">
        <f>COUNTIFS(Tabelle13245[Team],$C12)</f>
        <v>16</v>
      </c>
      <c r="E12" s="6">
        <f>SUMIFS(Tabelle13245[Jira Story Points],Tabelle13245[Pulled after Start],"",Tabelle13245[Team],$C12)</f>
        <v>27</v>
      </c>
      <c r="F12" s="6">
        <f>SUMIFS(Tabelle13245[Jira Story Points],Tabelle13245[Pulled after Start],"yes",Tabelle13245[Team],$C12)</f>
        <v>11</v>
      </c>
      <c r="G12" s="7">
        <f>SUMIFS(Tabelle13245[Jira Story Points],Tabelle13245[Status],$G$5,Tabelle13245[Team],$C12)</f>
        <v>30</v>
      </c>
      <c r="H12" s="6">
        <f>SUMIFS(Tabelle13245[Jira Story Points],Tabelle13245[Status],$H$5,Tabelle13245[Team],$C12)</f>
        <v>8</v>
      </c>
      <c r="I12" s="6">
        <f>SUMIFS(Tabelle13245[Jira Story Points],Tabelle13245[Status],$I$5,Tabelle13245[Team],$C12)</f>
        <v>0</v>
      </c>
      <c r="J12" s="6">
        <f>SUMIFS(Tabelle13245[Jira Story Points],Tabelle13245[Team],$C12)</f>
        <v>38</v>
      </c>
      <c r="K12" s="85">
        <f t="shared" si="2"/>
        <v>1.1111111111111112</v>
      </c>
      <c r="L12" s="6">
        <f>SUMIFS(Tabelle13245[SP Initially Planned (COS)],Tabelle13245[Pulled after Start],"",Tabelle13245[Team],$C12)</f>
        <v>27</v>
      </c>
      <c r="M12" s="6">
        <f>SUMIFS(Tabelle13245[SP Pulled after Start (COS)],Tabelle13245[Team],$C12)</f>
        <v>11</v>
      </c>
      <c r="N12" s="25">
        <f>SUMIFS(Tabelle13245[SP Completed (COS &amp; SOS)],Tabelle13245[Team],$C12)</f>
        <v>32</v>
      </c>
      <c r="O12" s="25">
        <f>SUMIFS(Tabelle13245[SP Removed (COS &amp; SOS)],Tabelle13245[Team],$C12)</f>
        <v>0</v>
      </c>
      <c r="P12" s="41">
        <f>SUMIFS(Tabelle13245[SP Not Completed (COS &amp; SOS)],Tabelle13245[Team],$C12)</f>
        <v>6</v>
      </c>
      <c r="Q12" s="40">
        <f t="shared" si="1"/>
        <v>1.1851851851851851</v>
      </c>
      <c r="T12" s="43"/>
      <c r="Z12" s="294">
        <f>COUNTIFS(Tabelle13245[Team],$C12,Tabelle13245[Status],$Z$5)</f>
        <v>14</v>
      </c>
    </row>
    <row r="13" spans="2:26" ht="13.5" customHeight="1">
      <c r="B13" s="415"/>
      <c r="C13" s="32" t="s">
        <v>107</v>
      </c>
      <c r="D13" s="6">
        <f>COUNTIFS(Tabelle13245[Team],$C13)</f>
        <v>9</v>
      </c>
      <c r="E13" s="6">
        <f>SUMIFS(Tabelle13245[Jira Story Points],Tabelle13245[Pulled after Start],"",Tabelle13245[Team],$C13)</f>
        <v>29</v>
      </c>
      <c r="F13" s="6">
        <f>SUMIFS(Tabelle13245[Jira Story Points],Tabelle13245[Pulled after Start],"yes",Tabelle13245[Team],$C13)</f>
        <v>24</v>
      </c>
      <c r="G13" s="7">
        <f>SUMIFS(Tabelle13245[Jira Story Points],Tabelle13245[Status],$G$5,Tabelle13245[Team],$C13)</f>
        <v>32</v>
      </c>
      <c r="H13" s="6">
        <f>SUMIFS(Tabelle13245[Jira Story Points],Tabelle13245[Status],$H$5,Tabelle13245[Team],$C13)</f>
        <v>21</v>
      </c>
      <c r="I13" s="6">
        <f>SUMIFS(Tabelle13245[Jira Story Points],Tabelle13245[Status],$I$5,Tabelle13245[Team],$C13)</f>
        <v>0</v>
      </c>
      <c r="J13" s="6">
        <f>SUMIFS(Tabelle13245[Jira Story Points],Tabelle13245[Team],$C13)</f>
        <v>53</v>
      </c>
      <c r="K13" s="85">
        <f t="shared" si="2"/>
        <v>1.103448275862069</v>
      </c>
      <c r="L13" s="6">
        <f>SUMIFS(Tabelle13245[SP Initially Planned (COS)],Tabelle13245[Pulled after Start],"",Tabelle13245[Team],$C13)</f>
        <v>29</v>
      </c>
      <c r="M13" s="6">
        <f>SUMIFS(Tabelle13245[SP Pulled after Start (COS)],Tabelle13245[Team],$C13)</f>
        <v>24</v>
      </c>
      <c r="N13" s="25">
        <f>SUMIFS(Tabelle13245[SP Completed (COS &amp; SOS)],Tabelle13245[Team],$C13)</f>
        <v>37</v>
      </c>
      <c r="O13" s="25">
        <f>SUMIFS(Tabelle13245[SP Removed (COS &amp; SOS)],Tabelle13245[Team],$C13)</f>
        <v>0</v>
      </c>
      <c r="P13" s="41">
        <f>SUMIFS(Tabelle13245[SP Not Completed (COS &amp; SOS)],Tabelle13245[Team],$C13)</f>
        <v>16</v>
      </c>
      <c r="Q13" s="40">
        <f t="shared" si="1"/>
        <v>1.2758620689655173</v>
      </c>
      <c r="T13" s="43"/>
      <c r="Z13" s="294">
        <f>COUNTIFS(Tabelle13245[Team],$C13,Tabelle13245[Status],$Z$5)</f>
        <v>5</v>
      </c>
    </row>
    <row r="14" spans="2:26" ht="13.5" customHeight="1">
      <c r="B14" s="415"/>
      <c r="C14" s="8" t="s">
        <v>21</v>
      </c>
      <c r="D14" s="6">
        <f>COUNTIFS(Tabelle13245[Team],$C14)</f>
        <v>14</v>
      </c>
      <c r="E14" s="6">
        <f>SUMIFS(Tabelle13245[Jira Story Points],Tabelle13245[Pulled after Start],"",Tabelle13245[Team],$C14)</f>
        <v>71</v>
      </c>
      <c r="F14" s="6">
        <f>SUMIFS(Tabelle13245[Jira Story Points],Tabelle13245[Pulled after Start],"yes",Tabelle13245[Team],$C14)</f>
        <v>2</v>
      </c>
      <c r="G14" s="7">
        <f>SUMIFS(Tabelle13245[Jira Story Points],Tabelle13245[Status],$G$5,Tabelle13245[Team],$C14)</f>
        <v>30</v>
      </c>
      <c r="H14" s="6">
        <f>SUMIFS(Tabelle13245[Jira Story Points],Tabelle13245[Status],$H$5,Tabelle13245[Team],$C14)</f>
        <v>43</v>
      </c>
      <c r="I14" s="6">
        <f>SUMIFS(Tabelle13245[Jira Story Points],Tabelle13245[Status],$I$5,Tabelle13245[Team],$C14)</f>
        <v>0</v>
      </c>
      <c r="J14" s="6">
        <f>SUMIFS(Tabelle13245[Jira Story Points],Tabelle13245[Team],$C14)</f>
        <v>73</v>
      </c>
      <c r="K14" s="85">
        <f t="shared" si="2"/>
        <v>0.42253521126760563</v>
      </c>
      <c r="L14" s="6">
        <f>SUMIFS(Tabelle13245[SP Initially Planned (COS)],Tabelle13245[Pulled after Start],"",Tabelle13245[Team],$C14)</f>
        <v>71</v>
      </c>
      <c r="M14" s="6">
        <f>SUMIFS(Tabelle13245[SP Pulled after Start (COS)],Tabelle13245[Team],$C14)</f>
        <v>2</v>
      </c>
      <c r="N14" s="25">
        <f>SUMIFS(Tabelle13245[SP Completed (COS &amp; SOS)],Tabelle13245[Team],$C14)</f>
        <v>58</v>
      </c>
      <c r="O14" s="25">
        <f>SUMIFS(Tabelle13245[SP Removed (COS &amp; SOS)],Tabelle13245[Team],$C14)</f>
        <v>0</v>
      </c>
      <c r="P14" s="41">
        <f>SUMIFS(Tabelle13245[SP Not Completed (COS &amp; SOS)],Tabelle13245[Team],$C14)</f>
        <v>15</v>
      </c>
      <c r="Q14" s="40">
        <f t="shared" si="1"/>
        <v>0.81690140845070425</v>
      </c>
      <c r="T14" s="43"/>
      <c r="Z14" s="294">
        <f>COUNTIFS(Tabelle13245[Team],$C14,Tabelle13245[Status],$Z$5)</f>
        <v>7</v>
      </c>
    </row>
    <row r="15" spans="2:26" ht="13.5" customHeight="1" thickBot="1">
      <c r="B15" s="415"/>
      <c r="C15" s="8" t="s">
        <v>9</v>
      </c>
      <c r="D15" s="6">
        <f>COUNTIFS(Tabelle13245[Team],$C15)</f>
        <v>20</v>
      </c>
      <c r="E15" s="6">
        <f>SUMIFS(Tabelle13245[Jira Story Points],Tabelle13245[Pulled after Start],"",Tabelle13245[Team],$C15)</f>
        <v>24.5</v>
      </c>
      <c r="F15" s="6">
        <f>SUMIFS(Tabelle13245[Jira Story Points],Tabelle13245[Pulled after Start],"yes",Tabelle13245[Team],$C15)</f>
        <v>31.5</v>
      </c>
      <c r="G15" s="7">
        <f>SUMIFS(Tabelle13245[Jira Story Points],Tabelle13245[Status],$G$5,Tabelle13245[Team],$C15)</f>
        <v>37</v>
      </c>
      <c r="H15" s="6">
        <f>SUMIFS(Tabelle13245[Jira Story Points],Tabelle13245[Status],$H$5,Tabelle13245[Team],$C15)</f>
        <v>17</v>
      </c>
      <c r="I15" s="6">
        <v>1</v>
      </c>
      <c r="J15" s="6">
        <f>SUMIFS(Tabelle13245[Jira Story Points],Tabelle13245[Team],$C15)</f>
        <v>56</v>
      </c>
      <c r="K15" s="85">
        <f t="shared" si="2"/>
        <v>1.510204081632653</v>
      </c>
      <c r="L15" s="6">
        <f>SUMIFS(Tabelle13245[SP Initially Planned (COS)],Tabelle13245[Pulled after Start],"",Tabelle13245[Team],$C15)</f>
        <v>20.5</v>
      </c>
      <c r="M15" s="6">
        <f>SUMIFS(Tabelle13245[SP Pulled after Start (COS)],Tabelle13245[Team],$C15)</f>
        <v>31.5</v>
      </c>
      <c r="N15" s="25">
        <f>SUMIFS(Tabelle13245[SP Completed (COS &amp; SOS)],Tabelle13245[Team],$C15)</f>
        <v>37</v>
      </c>
      <c r="O15" s="25">
        <f>SUMIFS(Tabelle13245[SP Removed (COS &amp; SOS)],Tabelle13245[Team],$C15)</f>
        <v>2</v>
      </c>
      <c r="P15" s="41">
        <f>SUMIFS(Tabelle13245[SP Not Completed (COS &amp; SOS)],Tabelle13245[Team],$C15)</f>
        <v>13</v>
      </c>
      <c r="Q15" s="40">
        <f t="shared" si="1"/>
        <v>1.8048780487804879</v>
      </c>
      <c r="T15" s="43"/>
      <c r="Z15" s="295">
        <f>COUNTIFS(Tabelle13245[Team],$C15,Tabelle13245[Status],$Z$5)</f>
        <v>15</v>
      </c>
    </row>
    <row r="16" spans="2:26" ht="13.5" customHeight="1">
      <c r="C16" s="22" t="s">
        <v>172</v>
      </c>
      <c r="D16" s="22">
        <f t="shared" ref="D16:J16" si="3">SUM(D6:D13)</f>
        <v>128</v>
      </c>
      <c r="E16" s="23">
        <f t="shared" si="3"/>
        <v>294</v>
      </c>
      <c r="F16" s="23">
        <f t="shared" si="3"/>
        <v>106</v>
      </c>
      <c r="G16" s="22">
        <f t="shared" si="3"/>
        <v>259</v>
      </c>
      <c r="H16" s="22">
        <f t="shared" si="3"/>
        <v>141</v>
      </c>
      <c r="I16" s="22">
        <f t="shared" si="3"/>
        <v>0</v>
      </c>
      <c r="J16" s="23">
        <f t="shared" si="3"/>
        <v>400</v>
      </c>
      <c r="K16" s="85">
        <f t="shared" si="2"/>
        <v>0.88095238095238093</v>
      </c>
      <c r="L16" s="23">
        <f t="shared" ref="L16:M16" si="4">SUM(L6:L13)</f>
        <v>263</v>
      </c>
      <c r="M16" s="21">
        <f t="shared" si="4"/>
        <v>101</v>
      </c>
      <c r="N16" s="31">
        <f>SUM(N6:N13)</f>
        <v>266</v>
      </c>
      <c r="O16" s="31">
        <f>SUM(O6:O13)</f>
        <v>0</v>
      </c>
      <c r="P16" s="22">
        <f>SUM(P6:P13)</f>
        <v>98</v>
      </c>
      <c r="Q16" s="38" t="s">
        <v>185</v>
      </c>
      <c r="T16" s="42"/>
      <c r="U16" s="42"/>
      <c r="V16" s="42"/>
    </row>
    <row r="17" spans="1:39" ht="13.5" customHeight="1">
      <c r="T17" s="5"/>
      <c r="U17" s="5"/>
      <c r="V17" s="5"/>
    </row>
    <row r="18" spans="1:39" ht="13.5" customHeight="1">
      <c r="T18" s="5"/>
      <c r="U18" s="5"/>
      <c r="V18" s="5"/>
    </row>
    <row r="19" spans="1:39" ht="13.5" customHeight="1">
      <c r="T19" s="5"/>
      <c r="U19" s="5"/>
      <c r="V19" s="5"/>
    </row>
    <row r="20" spans="1:39" ht="13.5" customHeight="1">
      <c r="T20" s="5"/>
      <c r="U20" s="5"/>
      <c r="V20" s="5"/>
    </row>
    <row r="21" spans="1:39" ht="13.5" customHeight="1">
      <c r="C21" s="33" t="s">
        <v>186</v>
      </c>
      <c r="D21" s="9"/>
      <c r="E21" s="9"/>
      <c r="F21" s="9"/>
      <c r="G21" s="9"/>
      <c r="H21" s="9"/>
      <c r="I21" s="9"/>
      <c r="J21" s="9"/>
      <c r="K21" s="9"/>
      <c r="L21" s="9"/>
      <c r="M21" s="9"/>
      <c r="N21" s="9"/>
      <c r="O21" s="9"/>
      <c r="T21" s="5"/>
      <c r="U21" s="5"/>
      <c r="V21" s="5"/>
    </row>
    <row r="22" spans="1:39" ht="13.5" customHeight="1">
      <c r="C22" s="10"/>
      <c r="D22" s="425" t="s">
        <v>187</v>
      </c>
      <c r="E22" s="425"/>
      <c r="F22" s="425" t="s">
        <v>106</v>
      </c>
      <c r="G22" s="425"/>
      <c r="H22" s="425" t="s">
        <v>172</v>
      </c>
      <c r="I22" s="425"/>
      <c r="J22" s="426" t="s">
        <v>2134</v>
      </c>
      <c r="K22" s="426"/>
      <c r="L22" s="426" t="s">
        <v>189</v>
      </c>
      <c r="M22" s="426"/>
      <c r="N22" s="416" t="s">
        <v>172</v>
      </c>
      <c r="O22" s="416"/>
    </row>
    <row r="23" spans="1:39" ht="13.5" customHeight="1">
      <c r="C23" s="10"/>
      <c r="D23" s="11" t="s">
        <v>190</v>
      </c>
      <c r="E23" s="12" t="s">
        <v>191</v>
      </c>
      <c r="F23" s="11" t="s">
        <v>190</v>
      </c>
      <c r="G23" s="12" t="s">
        <v>191</v>
      </c>
      <c r="H23" s="12" t="s">
        <v>190</v>
      </c>
      <c r="I23" s="12" t="s">
        <v>191</v>
      </c>
      <c r="J23" s="34" t="s">
        <v>190</v>
      </c>
      <c r="K23" s="13" t="s">
        <v>191</v>
      </c>
      <c r="L23" s="14" t="s">
        <v>190</v>
      </c>
      <c r="M23" s="14" t="s">
        <v>191</v>
      </c>
      <c r="N23" s="14" t="s">
        <v>190</v>
      </c>
      <c r="O23" s="14" t="s">
        <v>191</v>
      </c>
    </row>
    <row r="24" spans="1:39" ht="13.5" customHeight="1">
      <c r="C24" s="15" t="s">
        <v>192</v>
      </c>
      <c r="D24" s="7">
        <f>COUNTIFS(Tabelle13245[Team],"*",Tabelle13245[Pulled after Start],"&lt;&gt;yes")</f>
        <v>110</v>
      </c>
      <c r="E24" s="7">
        <f>SUMIFS(Tabelle13245[Jira Story Points],Tabelle13245[Team],"*",Tabelle13245[Pulled after Start],"&lt;&gt;yes")+COUNTIFS(Tabelle13245[Team],"*",Tabelle13245[Jira Story Points],"-",Tabelle13245[Pulled after Start],"&lt;&gt;yes")*$M$28</f>
        <v>399.5</v>
      </c>
      <c r="F24" s="7">
        <f>COUNTIF(Tabelle13245[Pulled after Start],"yes")</f>
        <v>52</v>
      </c>
      <c r="G24" s="7">
        <f>SUMIFS(Tabelle13245[Jira Story Points],Tabelle13245[Team],"*",Tabelle13245[Pulled after Start],"yes")+COUNTIFS(Tabelle13245[Team],"*",Tabelle13245[Jira Story Points],"-",Tabelle13245[Pulled after Start],"yes")*$M$28</f>
        <v>147.5</v>
      </c>
      <c r="H24" s="7">
        <f t="shared" ref="H24:I27" si="5">D24+F24</f>
        <v>162</v>
      </c>
      <c r="I24" s="7">
        <f t="shared" si="5"/>
        <v>547</v>
      </c>
      <c r="J24" s="7">
        <f>COUNTIFS(Tabelle13245[Team],"*",Tabelle13245[Jira Story Points],"&lt;&gt;-")</f>
        <v>153</v>
      </c>
      <c r="K24" s="16">
        <f>SUMIFS(Tabelle13245[Jira Story Points],Tabelle13245[Team],"*",Tabelle13245[Jira Story Points],"&lt;&gt;-")</f>
        <v>529</v>
      </c>
      <c r="L24" s="8">
        <f>COUNTIFS(Tabelle13245[Team],"*",Tabelle13245[Jira Story Points],"-")</f>
        <v>9</v>
      </c>
      <c r="M24" s="8">
        <f>L24*$M$28</f>
        <v>18</v>
      </c>
      <c r="N24" s="35">
        <f t="shared" ref="N24:O27" si="6">J24+L24</f>
        <v>162</v>
      </c>
      <c r="O24" s="7">
        <f t="shared" si="6"/>
        <v>547</v>
      </c>
    </row>
    <row r="25" spans="1:39" ht="13.5" customHeight="1">
      <c r="C25" s="15" t="s">
        <v>125</v>
      </c>
      <c r="D25" s="7">
        <f>COUNTIFS(Tabelle13245[Team],"*",Tabelle13245[Pulled after Start],"&lt;&gt;yes",Tabelle13245[Status],G5)</f>
        <v>81</v>
      </c>
      <c r="E25" s="7">
        <f>SUMIFS(Tabelle13245[Jira Story Points],Tabelle13245[Team],"*",Tabelle13245[Pulled after Start],"&lt;&gt;yes",Tabelle13245[Status],G5)+COUNTIFS(Tabelle13245[Team],"*",Tabelle13245[Jira Story Points],"-",Tabelle13245[Pulled after Start],"&lt;&gt;yes",Tabelle13245[Status],G5)*$M$28</f>
        <v>263.5</v>
      </c>
      <c r="F25" s="7">
        <f>COUNTIFS(Tabelle13245[Pulled after Start],"yes",Tabelle13245[Status],G5)</f>
        <v>34</v>
      </c>
      <c r="G25" s="7">
        <f>SUMIFS(Tabelle13245[Jira Story Points],Tabelle13245[Team],"*",Tabelle13245[Pulled after Start],"yes",Tabelle13245[Status],G5)+COUNTIFS(Tabelle13245[Team],"*",Tabelle13245[Jira Story Points],"-",Tabelle13245[Pulled after Start],"yes",Tabelle13245[Status],G5)*$M$28</f>
        <v>80.5</v>
      </c>
      <c r="H25" s="7">
        <f t="shared" si="5"/>
        <v>115</v>
      </c>
      <c r="I25" s="7">
        <f t="shared" si="5"/>
        <v>344</v>
      </c>
      <c r="J25" s="7">
        <f>COUNTIFS(Tabelle13245[Team],"*",Tabelle13245[Jira Story Points],"&lt;&gt;-",Tabelle13245[Status],G5)</f>
        <v>106</v>
      </c>
      <c r="K25" s="7">
        <f>SUMIFS(Tabelle13245[Jira Story Points],Tabelle13245[Team],"*",Tabelle13245[Jira Story Points],"&lt;&gt;-",Tabelle13245[Status],G5)</f>
        <v>326</v>
      </c>
      <c r="L25" s="17">
        <f>COUNTIFS(Tabelle13245[Team],"*",Tabelle13245[Jira Story Points],"-",Tabelle13245[Status],G5)</f>
        <v>9</v>
      </c>
      <c r="M25" s="8">
        <f>L25*$M$28</f>
        <v>18</v>
      </c>
      <c r="N25" s="7">
        <f t="shared" si="6"/>
        <v>115</v>
      </c>
      <c r="O25" s="7">
        <f t="shared" si="6"/>
        <v>344</v>
      </c>
    </row>
    <row r="26" spans="1:39" ht="13.5" customHeight="1">
      <c r="C26" s="15" t="s">
        <v>127</v>
      </c>
      <c r="D26" s="7">
        <f>COUNTIFS(Tabelle13245[Team],"*",Tabelle13245[Pulled after Start],"&lt;&gt;yes",Tabelle13245[Status],H5)</f>
        <v>28</v>
      </c>
      <c r="E26" s="7">
        <f>SUMIFS(Tabelle13245[Jira Story Points],Tabelle13245[Team],"*",Tabelle13245[Pulled after Start],"&lt;&gt;yes",Tabelle13245[Status],H5)+COUNTIFS(Tabelle13245[Team],"*",Tabelle13245[Jira Story Points],"-",Tabelle13245[Pulled after Start],"&lt;&gt;yes",Tabelle13245[Status],H5)*$M$28</f>
        <v>134</v>
      </c>
      <c r="F26" s="7">
        <f>COUNTIFS(Tabelle13245[Pulled after Start],"yes",Tabelle13245[Status],H5)</f>
        <v>18</v>
      </c>
      <c r="G26" s="7">
        <f>SUMIFS(Tabelle13245[Jira Story Points],Tabelle13245[Team],"*",Tabelle13245[Pulled after Start],"yes",Tabelle13245[Status],H5)+COUNTIFS(Tabelle13245[Team],"*",Tabelle13245[Jira Story Points],"-",Tabelle13245[Pulled after Start],"yes",Tabelle13245[Status],H5)*$M$28</f>
        <v>67</v>
      </c>
      <c r="H26" s="7">
        <f t="shared" si="5"/>
        <v>46</v>
      </c>
      <c r="I26" s="7">
        <f t="shared" si="5"/>
        <v>201</v>
      </c>
      <c r="J26" s="7">
        <f>COUNTIFS(Tabelle13245[Team],"*",Tabelle13245[Jira Story Points],"&lt;&gt;-",Tabelle13245[Status],H5)</f>
        <v>46</v>
      </c>
      <c r="K26" s="7">
        <f>SUMIFS(Tabelle13245[Jira Story Points],Tabelle13245[Team],"*",Tabelle13245[Jira Story Points],"&lt;&gt;-",Tabelle13245[Status],H5)</f>
        <v>201</v>
      </c>
      <c r="L26" s="17">
        <f>COUNTIFS(Tabelle13245[Team],"*",Tabelle13245[Jira Story Points],"-",Tabelle13245[Status],H5)</f>
        <v>0</v>
      </c>
      <c r="M26" s="8">
        <f>L26*$M$28</f>
        <v>0</v>
      </c>
      <c r="N26" s="7">
        <f t="shared" si="6"/>
        <v>46</v>
      </c>
      <c r="O26" s="7">
        <f t="shared" si="6"/>
        <v>201</v>
      </c>
    </row>
    <row r="27" spans="1:39" ht="13.5" customHeight="1">
      <c r="C27" s="15" t="s">
        <v>126</v>
      </c>
      <c r="D27" s="7">
        <f>COUNTIFS(Tabelle13245[Team],"*",Tabelle13245[Pulled after Start],"&lt;&gt;yes",Tabelle13245[Status],I5)</f>
        <v>1</v>
      </c>
      <c r="E27" s="7">
        <f>SUMIFS(Tabelle13245[Jira Story Points],Tabelle13245[Team],"*",Tabelle13245[Pulled after Start],"&lt;&gt;yes",Tabelle13245[Status],I5)+COUNTIFS(Tabelle13245[Team],"*",Tabelle13245[Jira Story Points],"-",Tabelle13245[Pulled after Start],"&lt;&gt;yes",Tabelle13245[Status],I5)*$M$28</f>
        <v>2</v>
      </c>
      <c r="F27" s="7">
        <f>COUNTIFS(Tabelle13245[Pulled after Start],"yes",Tabelle13245[Status],I5)</f>
        <v>0</v>
      </c>
      <c r="G27" s="7">
        <f>SUMIFS(Tabelle13245[Jira Story Points],Tabelle13245[Team],"*",Tabelle13245[Pulled after Start],"yes",Tabelle13245[Status],I5)+COUNTIFS(Tabelle13245[Team],"*",Tabelle13245[Jira Story Points],"-",Tabelle13245[Pulled after Start],"yes",Tabelle13245[Status],I5)*$M$28</f>
        <v>0</v>
      </c>
      <c r="H27" s="7">
        <f t="shared" si="5"/>
        <v>1</v>
      </c>
      <c r="I27" s="7">
        <f t="shared" si="5"/>
        <v>2</v>
      </c>
      <c r="J27" s="7">
        <f>COUNTIFS(Tabelle13245[Team],"*",Tabelle13245[Jira Story Points],"&lt;&gt;-",Tabelle13245[Status],I5)</f>
        <v>1</v>
      </c>
      <c r="K27" s="7">
        <f>SUMIFS(Tabelle13245[Jira Story Points],Tabelle13245[Team],"*",Tabelle13245[Jira Story Points],"&lt;&gt;-",Tabelle13245[Status],I5)</f>
        <v>2</v>
      </c>
      <c r="L27" s="17">
        <f>COUNTIFS(Tabelle13245[Team],"*",Tabelle13245[Jira Story Points],"-",Tabelle13245[Status],I5)</f>
        <v>0</v>
      </c>
      <c r="M27" s="8">
        <f>L27*$M$28</f>
        <v>0</v>
      </c>
      <c r="N27" s="7">
        <f t="shared" si="6"/>
        <v>1</v>
      </c>
      <c r="O27" s="7">
        <f t="shared" si="6"/>
        <v>2</v>
      </c>
    </row>
    <row r="28" spans="1:39" ht="13.5" customHeight="1" thickBot="1">
      <c r="C28" s="1"/>
      <c r="D28" s="1"/>
      <c r="E28" s="1"/>
      <c r="F28" s="1"/>
      <c r="G28" s="1"/>
      <c r="H28" s="1"/>
      <c r="I28" s="1"/>
      <c r="J28" s="1"/>
      <c r="K28" s="1"/>
      <c r="L28" s="24" t="s">
        <v>193</v>
      </c>
      <c r="M28" s="45">
        <v>2</v>
      </c>
    </row>
    <row r="29" spans="1:39" ht="13.5" customHeight="1" thickTop="1"/>
    <row r="31" spans="1:39" s="116" customFormat="1" ht="27">
      <c r="A31" s="146" t="s">
        <v>194</v>
      </c>
      <c r="B31" s="146" t="s">
        <v>195</v>
      </c>
      <c r="C31" s="146" t="s">
        <v>196</v>
      </c>
      <c r="D31" s="146" t="s">
        <v>197</v>
      </c>
      <c r="E31" s="146" t="s">
        <v>198</v>
      </c>
      <c r="F31" s="146" t="s">
        <v>199</v>
      </c>
      <c r="G31" s="146" t="s">
        <v>167</v>
      </c>
      <c r="H31" s="146" t="s">
        <v>106</v>
      </c>
      <c r="I31" s="146" t="s">
        <v>200</v>
      </c>
      <c r="J31" s="146" t="s">
        <v>201</v>
      </c>
      <c r="K31" s="146" t="s">
        <v>202</v>
      </c>
      <c r="L31" s="146" t="s">
        <v>203</v>
      </c>
      <c r="M31" s="147" t="s">
        <v>1304</v>
      </c>
      <c r="N31" s="148" t="s">
        <v>1305</v>
      </c>
      <c r="O31" s="148" t="s">
        <v>1306</v>
      </c>
      <c r="P31" s="149" t="s">
        <v>1307</v>
      </c>
      <c r="Q31" s="148" t="s">
        <v>1308</v>
      </c>
    </row>
    <row r="32" spans="1:39" s="109" customFormat="1">
      <c r="A32" s="88" t="s">
        <v>3186</v>
      </c>
      <c r="B32" s="46" t="s">
        <v>3187</v>
      </c>
      <c r="C32" s="76" t="s">
        <v>372</v>
      </c>
      <c r="D32" s="76">
        <v>3</v>
      </c>
      <c r="E32" s="76" t="s">
        <v>324</v>
      </c>
      <c r="F32" s="76">
        <v>3</v>
      </c>
      <c r="G32" s="76" t="s">
        <v>21</v>
      </c>
      <c r="H32" s="76"/>
      <c r="I32" s="103"/>
      <c r="J32" s="76" t="s">
        <v>125</v>
      </c>
      <c r="K32" s="104"/>
      <c r="L32" s="104"/>
      <c r="M32" s="170">
        <f>IF(Tabelle13245[[#This Row],[Pulled after Start]]="",MIN(Tabelle13245[[#This Row],[Jira Story Points]],Tabelle13245[[#This Row],[Carry-over]]),0)</f>
        <v>3</v>
      </c>
      <c r="N32" s="171">
        <f>MIN(Tabelle13245[[#This Row],[Jira Story Points]],Tabelle13245[[#This Row],[Carry-over]])-Tabelle13245[[#This Row],[SP Initially Planned (COS)]]</f>
        <v>0</v>
      </c>
      <c r="O32"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32" s="173">
        <f>IFERROR(IF(Tabelle13245[[#This Row],[Status]]=$I$5,MIN(Tabelle13245[[#This Row],[Jira Story Points]],Tabelle13245[[#This Row],[Carry-over]]),0),0)</f>
        <v>0</v>
      </c>
      <c r="Q32" s="173">
        <f>IFERROR(IF(Tabelle13245[[#This Row],[Status]]=$I$5,0,MIN(Tabelle13245[[#This Row],[Jira Story Points]],Tabelle13245[[#This Row],[Carry-over]])-Tabelle13245[[#This Row],[SP Completed (COS &amp; SOS)]]),0)</f>
        <v>0</v>
      </c>
      <c r="AA32" s="46"/>
      <c r="AB32" s="46"/>
      <c r="AC32" s="46"/>
      <c r="AD32" s="46"/>
      <c r="AE32" s="46"/>
      <c r="AF32" s="46"/>
      <c r="AG32" s="46"/>
      <c r="AH32" s="46"/>
      <c r="AI32" s="46"/>
      <c r="AJ32" s="46"/>
      <c r="AK32" s="46"/>
      <c r="AL32" s="46"/>
      <c r="AM32" s="46"/>
    </row>
    <row r="33" spans="1:39" s="109" customFormat="1">
      <c r="A33" s="117" t="s">
        <v>3188</v>
      </c>
      <c r="B33" s="110" t="s">
        <v>3189</v>
      </c>
      <c r="C33" s="76" t="s">
        <v>375</v>
      </c>
      <c r="D33" s="76">
        <v>3</v>
      </c>
      <c r="E33" s="76" t="s">
        <v>324</v>
      </c>
      <c r="F33" s="104">
        <v>5</v>
      </c>
      <c r="G33" s="76" t="s">
        <v>107</v>
      </c>
      <c r="H33" s="83"/>
      <c r="I33" s="103"/>
      <c r="J33" s="76" t="s">
        <v>125</v>
      </c>
      <c r="K33" s="104"/>
      <c r="L33" s="104"/>
      <c r="M33" s="170">
        <f>IF(Tabelle13245[[#This Row],[Pulled after Start]]="",MIN(Tabelle13245[[#This Row],[Jira Story Points]],Tabelle13245[[#This Row],[Carry-over]]),0)</f>
        <v>5</v>
      </c>
      <c r="N33" s="171">
        <f>MIN(Tabelle13245[[#This Row],[Jira Story Points]],Tabelle13245[[#This Row],[Carry-over]])-Tabelle13245[[#This Row],[SP Initially Planned (COS)]]</f>
        <v>0</v>
      </c>
      <c r="O33" s="172">
        <f>IFERROR(IF(Tabelle13245[[#This Row],[Status]]=$I$5,0,IF(AND(Tabelle13245[[#This Row],[Status]]=$H$5,Tabelle13245[[#This Row],[Spill-over]]=0),0,IF(Tabelle13245[[#This Row],[Carry-over]]&lt;&gt;0,Tabelle13245[[#This Row],[Carry-over]]-Tabelle13245[[#This Row],[Spill-over]],Tabelle13245[[#This Row],[Jira Story Points]]-Tabelle13245[[#This Row],[Spill-over]]))),"-")</f>
        <v>5</v>
      </c>
      <c r="P33" s="173">
        <f>IFERROR(IF(Tabelle13245[[#This Row],[Status]]=$I$5,MIN(Tabelle13245[[#This Row],[Jira Story Points]],Tabelle13245[[#This Row],[Carry-over]]),0),0)</f>
        <v>0</v>
      </c>
      <c r="Q33" s="173">
        <f>IFERROR(IF(Tabelle13245[[#This Row],[Status]]=$I$5,0,MIN(Tabelle13245[[#This Row],[Jira Story Points]],Tabelle13245[[#This Row],[Carry-over]])-Tabelle13245[[#This Row],[SP Completed (COS &amp; SOS)]]),0)</f>
        <v>0</v>
      </c>
      <c r="AA33" s="112"/>
      <c r="AB33" s="112"/>
      <c r="AC33" s="112"/>
      <c r="AD33" s="112"/>
      <c r="AE33" s="112"/>
      <c r="AF33" s="112"/>
      <c r="AG33" s="112"/>
      <c r="AH33" s="112"/>
      <c r="AI33" s="112"/>
      <c r="AJ33" s="112"/>
      <c r="AK33" s="112"/>
      <c r="AL33" s="112"/>
      <c r="AM33" s="112"/>
    </row>
    <row r="34" spans="1:39" s="113" customFormat="1">
      <c r="A34" s="88" t="s">
        <v>3190</v>
      </c>
      <c r="B34" s="46" t="s">
        <v>3191</v>
      </c>
      <c r="C34" s="76" t="s">
        <v>372</v>
      </c>
      <c r="D34" s="76">
        <v>3</v>
      </c>
      <c r="E34" s="76" t="s">
        <v>324</v>
      </c>
      <c r="F34" s="76">
        <v>8</v>
      </c>
      <c r="G34" s="76" t="s">
        <v>21</v>
      </c>
      <c r="H34" s="76"/>
      <c r="I34" s="103"/>
      <c r="J34" s="76" t="s">
        <v>125</v>
      </c>
      <c r="K34" s="104"/>
      <c r="L34" s="104"/>
      <c r="M34" s="170">
        <f>IF(Tabelle13245[[#This Row],[Pulled after Start]]="",MIN(Tabelle13245[[#This Row],[Jira Story Points]],Tabelle13245[[#This Row],[Carry-over]]),0)</f>
        <v>8</v>
      </c>
      <c r="N34" s="171">
        <f>MIN(Tabelle13245[[#This Row],[Jira Story Points]],Tabelle13245[[#This Row],[Carry-over]])-Tabelle13245[[#This Row],[SP Initially Planned (COS)]]</f>
        <v>0</v>
      </c>
      <c r="O34" s="172">
        <f>IFERROR(IF(Tabelle13245[[#This Row],[Status]]=$I$5,0,IF(AND(Tabelle13245[[#This Row],[Status]]=$H$5,Tabelle13245[[#This Row],[Spill-over]]=0),0,IF(Tabelle13245[[#This Row],[Carry-over]]&lt;&gt;0,Tabelle13245[[#This Row],[Carry-over]]-Tabelle13245[[#This Row],[Spill-over]],Tabelle13245[[#This Row],[Jira Story Points]]-Tabelle13245[[#This Row],[Spill-over]]))),"-")</f>
        <v>8</v>
      </c>
      <c r="P34" s="173">
        <f>IFERROR(IF(Tabelle13245[[#This Row],[Status]]=$I$5,MIN(Tabelle13245[[#This Row],[Jira Story Points]],Tabelle13245[[#This Row],[Carry-over]]),0),0)</f>
        <v>0</v>
      </c>
      <c r="Q34" s="173">
        <f>IFERROR(IF(Tabelle13245[[#This Row],[Status]]=$I$5,0,MIN(Tabelle13245[[#This Row],[Jira Story Points]],Tabelle13245[[#This Row],[Carry-over]])-Tabelle13245[[#This Row],[SP Completed (COS &amp; SOS)]]),0)</f>
        <v>0</v>
      </c>
      <c r="AA34" s="46"/>
      <c r="AB34" s="46"/>
      <c r="AC34" s="46"/>
      <c r="AD34" s="46"/>
      <c r="AE34" s="46"/>
      <c r="AF34" s="46"/>
      <c r="AG34" s="46"/>
      <c r="AH34" s="46"/>
      <c r="AI34" s="46"/>
      <c r="AK34" s="112"/>
      <c r="AL34" s="112"/>
      <c r="AM34" s="112"/>
    </row>
    <row r="35" spans="1:39" s="46" customFormat="1">
      <c r="A35" s="88" t="s">
        <v>3192</v>
      </c>
      <c r="B35" s="46" t="s">
        <v>3193</v>
      </c>
      <c r="C35" s="76" t="s">
        <v>372</v>
      </c>
      <c r="D35" s="76">
        <v>3</v>
      </c>
      <c r="E35" s="76" t="s">
        <v>324</v>
      </c>
      <c r="F35" s="76">
        <v>2</v>
      </c>
      <c r="G35" s="76" t="s">
        <v>21</v>
      </c>
      <c r="H35" s="76"/>
      <c r="I35" s="103"/>
      <c r="J35" s="76" t="s">
        <v>125</v>
      </c>
      <c r="K35" s="104"/>
      <c r="L35" s="104"/>
      <c r="M35" s="170">
        <f>IF(Tabelle13245[[#This Row],[Pulled after Start]]="",MIN(Tabelle13245[[#This Row],[Jira Story Points]],Tabelle13245[[#This Row],[Carry-over]]),0)</f>
        <v>2</v>
      </c>
      <c r="N35" s="171">
        <f>MIN(Tabelle13245[[#This Row],[Jira Story Points]],Tabelle13245[[#This Row],[Carry-over]])-Tabelle13245[[#This Row],[SP Initially Planned (COS)]]</f>
        <v>0</v>
      </c>
      <c r="O35"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35" s="173">
        <f>IFERROR(IF(Tabelle13245[[#This Row],[Status]]=$I$5,MIN(Tabelle13245[[#This Row],[Jira Story Points]],Tabelle13245[[#This Row],[Carry-over]]),0),0)</f>
        <v>0</v>
      </c>
      <c r="Q35" s="173">
        <f>IFERROR(IF(Tabelle13245[[#This Row],[Status]]=$I$5,0,MIN(Tabelle13245[[#This Row],[Jira Story Points]],Tabelle13245[[#This Row],[Carry-over]])-Tabelle13245[[#This Row],[SP Completed (COS &amp; SOS)]]),0)</f>
        <v>0</v>
      </c>
      <c r="AL35" s="112"/>
      <c r="AM35" s="112"/>
    </row>
    <row r="36" spans="1:39" s="46" customFormat="1">
      <c r="A36" s="117" t="s">
        <v>2559</v>
      </c>
      <c r="B36" s="110" t="s">
        <v>2560</v>
      </c>
      <c r="C36" s="76" t="s">
        <v>372</v>
      </c>
      <c r="D36" s="76">
        <v>3</v>
      </c>
      <c r="E36" s="76" t="s">
        <v>327</v>
      </c>
      <c r="F36" s="104">
        <v>5</v>
      </c>
      <c r="G36" s="76" t="s">
        <v>107</v>
      </c>
      <c r="H36" s="83" t="s">
        <v>209</v>
      </c>
      <c r="I36" s="103" t="s">
        <v>3194</v>
      </c>
      <c r="J36" s="76" t="s">
        <v>127</v>
      </c>
      <c r="K36" s="104"/>
      <c r="L36" s="104">
        <v>5</v>
      </c>
      <c r="M36" s="170">
        <f>IF(Tabelle13245[[#This Row],[Pulled after Start]]="",MIN(Tabelle13245[[#This Row],[Jira Story Points]],Tabelle13245[[#This Row],[Carry-over]]),0)</f>
        <v>0</v>
      </c>
      <c r="N36" s="171">
        <f>MIN(Tabelle13245[[#This Row],[Jira Story Points]],Tabelle13245[[#This Row],[Carry-over]])-Tabelle13245[[#This Row],[SP Initially Planned (COS)]]</f>
        <v>5</v>
      </c>
      <c r="O36"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36" s="173">
        <f>IFERROR(IF(Tabelle13245[[#This Row],[Status]]=$I$5,MIN(Tabelle13245[[#This Row],[Jira Story Points]],Tabelle13245[[#This Row],[Carry-over]]),0),0)</f>
        <v>0</v>
      </c>
      <c r="Q36" s="173">
        <f>IFERROR(IF(Tabelle13245[[#This Row],[Status]]=$I$5,0,MIN(Tabelle13245[[#This Row],[Jira Story Points]],Tabelle13245[[#This Row],[Carry-over]])-Tabelle13245[[#This Row],[SP Completed (COS &amp; SOS)]]),0)</f>
        <v>5</v>
      </c>
      <c r="AL36" s="112"/>
      <c r="AM36" s="112"/>
    </row>
    <row r="37" spans="1:39" s="46" customFormat="1">
      <c r="A37" s="88" t="s">
        <v>3195</v>
      </c>
      <c r="B37" s="46" t="s">
        <v>3196</v>
      </c>
      <c r="C37" s="76" t="s">
        <v>222</v>
      </c>
      <c r="D37" s="76">
        <v>3</v>
      </c>
      <c r="E37" s="76" t="s">
        <v>216</v>
      </c>
      <c r="F37" s="76">
        <v>3</v>
      </c>
      <c r="G37" s="76" t="s">
        <v>12</v>
      </c>
      <c r="H37" s="76"/>
      <c r="J37" s="76" t="s">
        <v>125</v>
      </c>
      <c r="K37" s="76">
        <v>1</v>
      </c>
      <c r="L37" s="76">
        <v>0</v>
      </c>
      <c r="M37" s="170">
        <f>IF(Tabelle13245[[#This Row],[Pulled after Start]]="",MIN(Tabelle13245[[#This Row],[Jira Story Points]],Tabelle13245[[#This Row],[Carry-over]]),0)</f>
        <v>1</v>
      </c>
      <c r="N37" s="171">
        <f>MIN(Tabelle13245[[#This Row],[Jira Story Points]],Tabelle13245[[#This Row],[Carry-over]])-Tabelle13245[[#This Row],[SP Initially Planned (COS)]]</f>
        <v>0</v>
      </c>
      <c r="O37" s="172">
        <f>IFERROR(IF(Tabelle13245[[#This Row],[Status]]=$I$5,0,IF(AND(Tabelle13245[[#This Row],[Status]]=$H$5,Tabelle13245[[#This Row],[Spill-over]]=0),0,IF(Tabelle13245[[#This Row],[Carry-over]]&lt;&gt;0,Tabelle13245[[#This Row],[Carry-over]]-Tabelle13245[[#This Row],[Spill-over]],Tabelle13245[[#This Row],[Jira Story Points]]-Tabelle13245[[#This Row],[Spill-over]]))),"-")</f>
        <v>1</v>
      </c>
      <c r="P37" s="173">
        <f>IFERROR(IF(Tabelle13245[[#This Row],[Status]]=$I$5,MIN(Tabelle13245[[#This Row],[Jira Story Points]],Tabelle13245[[#This Row],[Carry-over]]),0),0)</f>
        <v>0</v>
      </c>
      <c r="Q37" s="173">
        <f>IFERROR(IF(Tabelle13245[[#This Row],[Status]]=$I$5,0,MIN(Tabelle13245[[#This Row],[Jira Story Points]],Tabelle13245[[#This Row],[Carry-over]])-Tabelle13245[[#This Row],[SP Completed (COS &amp; SOS)]]),0)</f>
        <v>0</v>
      </c>
      <c r="AJ37" s="112"/>
      <c r="AK37" s="112"/>
      <c r="AL37" s="112"/>
      <c r="AM37" s="112"/>
    </row>
    <row r="38" spans="1:39" s="46" customFormat="1">
      <c r="A38" s="117" t="s">
        <v>2561</v>
      </c>
      <c r="B38" s="110" t="s">
        <v>2562</v>
      </c>
      <c r="C38" s="76" t="s">
        <v>372</v>
      </c>
      <c r="D38" s="76">
        <v>3</v>
      </c>
      <c r="E38" s="76" t="s">
        <v>327</v>
      </c>
      <c r="F38" s="104">
        <v>5</v>
      </c>
      <c r="G38" s="76" t="s">
        <v>107</v>
      </c>
      <c r="H38" s="83" t="s">
        <v>209</v>
      </c>
      <c r="I38" s="103" t="s">
        <v>3194</v>
      </c>
      <c r="J38" s="76" t="s">
        <v>127</v>
      </c>
      <c r="K38" s="104"/>
      <c r="L38" s="104">
        <v>5</v>
      </c>
      <c r="M38" s="170">
        <f>IF(Tabelle13245[[#This Row],[Pulled after Start]]="",MIN(Tabelle13245[[#This Row],[Jira Story Points]],Tabelle13245[[#This Row],[Carry-over]]),0)</f>
        <v>0</v>
      </c>
      <c r="N38" s="171">
        <f>MIN(Tabelle13245[[#This Row],[Jira Story Points]],Tabelle13245[[#This Row],[Carry-over]])-Tabelle13245[[#This Row],[SP Initially Planned (COS)]]</f>
        <v>5</v>
      </c>
      <c r="O38"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38" s="173">
        <f>IFERROR(IF(Tabelle13245[[#This Row],[Status]]=$I$5,MIN(Tabelle13245[[#This Row],[Jira Story Points]],Tabelle13245[[#This Row],[Carry-over]]),0),0)</f>
        <v>0</v>
      </c>
      <c r="Q38" s="173">
        <f>IFERROR(IF(Tabelle13245[[#This Row],[Status]]=$I$5,0,MIN(Tabelle13245[[#This Row],[Jira Story Points]],Tabelle13245[[#This Row],[Carry-over]])-Tabelle13245[[#This Row],[SP Completed (COS &amp; SOS)]]),0)</f>
        <v>5</v>
      </c>
      <c r="AJ38" s="112"/>
      <c r="AK38" s="112"/>
      <c r="AL38" s="112"/>
      <c r="AM38" s="112"/>
    </row>
    <row r="39" spans="1:39" s="46" customFormat="1">
      <c r="A39" s="88" t="s">
        <v>3197</v>
      </c>
      <c r="B39" s="47" t="s">
        <v>3198</v>
      </c>
      <c r="C39" s="76" t="s">
        <v>372</v>
      </c>
      <c r="D39" s="76">
        <v>3</v>
      </c>
      <c r="E39" s="76" t="s">
        <v>324</v>
      </c>
      <c r="F39" s="104">
        <v>5</v>
      </c>
      <c r="G39" s="76" t="s">
        <v>27</v>
      </c>
      <c r="H39" s="76"/>
      <c r="I39" s="103"/>
      <c r="J39" s="76" t="s">
        <v>125</v>
      </c>
      <c r="K39" s="76">
        <v>1</v>
      </c>
      <c r="L39" s="76"/>
      <c r="M39" s="170">
        <f>IF(Tabelle13245[[#This Row],[Pulled after Start]]="",MIN(Tabelle13245[[#This Row],[Jira Story Points]],Tabelle13245[[#This Row],[Carry-over]]),0)</f>
        <v>1</v>
      </c>
      <c r="N39" s="171">
        <f>MIN(Tabelle13245[[#This Row],[Jira Story Points]],Tabelle13245[[#This Row],[Carry-over]])-Tabelle13245[[#This Row],[SP Initially Planned (COS)]]</f>
        <v>0</v>
      </c>
      <c r="O39" s="172">
        <f>IFERROR(IF(Tabelle13245[[#This Row],[Status]]=$I$5,0,IF(AND(Tabelle13245[[#This Row],[Status]]=$H$5,Tabelle13245[[#This Row],[Spill-over]]=0),0,IF(Tabelle13245[[#This Row],[Carry-over]]&lt;&gt;0,Tabelle13245[[#This Row],[Carry-over]]-Tabelle13245[[#This Row],[Spill-over]],Tabelle13245[[#This Row],[Jira Story Points]]-Tabelle13245[[#This Row],[Spill-over]]))),"-")</f>
        <v>1</v>
      </c>
      <c r="P39" s="173">
        <f>IFERROR(IF(Tabelle13245[[#This Row],[Status]]=$I$5,MIN(Tabelle13245[[#This Row],[Jira Story Points]],Tabelle13245[[#This Row],[Carry-over]]),0),0)</f>
        <v>0</v>
      </c>
      <c r="Q39" s="173">
        <f>IFERROR(IF(Tabelle13245[[#This Row],[Status]]=$I$5,0,MIN(Tabelle13245[[#This Row],[Jira Story Points]],Tabelle13245[[#This Row],[Carry-over]])-Tabelle13245[[#This Row],[SP Completed (COS &amp; SOS)]]),0)</f>
        <v>0</v>
      </c>
      <c r="AJ39" s="112"/>
      <c r="AK39" s="112"/>
      <c r="AL39" s="112"/>
      <c r="AM39" s="112"/>
    </row>
    <row r="40" spans="1:39" s="46" customFormat="1">
      <c r="A40" s="88" t="s">
        <v>3199</v>
      </c>
      <c r="B40" s="47" t="s">
        <v>3200</v>
      </c>
      <c r="C40" s="76" t="s">
        <v>372</v>
      </c>
      <c r="D40" s="76">
        <v>3</v>
      </c>
      <c r="E40" s="76" t="s">
        <v>324</v>
      </c>
      <c r="F40" s="76">
        <v>5</v>
      </c>
      <c r="G40" s="76" t="s">
        <v>27</v>
      </c>
      <c r="H40" s="76"/>
      <c r="I40" s="103"/>
      <c r="J40" s="76" t="s">
        <v>125</v>
      </c>
      <c r="K40" s="76"/>
      <c r="L40" s="76"/>
      <c r="M40" s="170">
        <f>IF(Tabelle13245[[#This Row],[Pulled after Start]]="",MIN(Tabelle13245[[#This Row],[Jira Story Points]],Tabelle13245[[#This Row],[Carry-over]]),0)</f>
        <v>5</v>
      </c>
      <c r="N40" s="171">
        <f>MIN(Tabelle13245[[#This Row],[Jira Story Points]],Tabelle13245[[#This Row],[Carry-over]])-Tabelle13245[[#This Row],[SP Initially Planned (COS)]]</f>
        <v>0</v>
      </c>
      <c r="O40" s="172">
        <f>IFERROR(IF(Tabelle13245[[#This Row],[Status]]=$I$5,0,IF(AND(Tabelle13245[[#This Row],[Status]]=$H$5,Tabelle13245[[#This Row],[Spill-over]]=0),0,IF(Tabelle13245[[#This Row],[Carry-over]]&lt;&gt;0,Tabelle13245[[#This Row],[Carry-over]]-Tabelle13245[[#This Row],[Spill-over]],Tabelle13245[[#This Row],[Jira Story Points]]-Tabelle13245[[#This Row],[Spill-over]]))),"-")</f>
        <v>5</v>
      </c>
      <c r="P40" s="173">
        <f>IFERROR(IF(Tabelle13245[[#This Row],[Status]]=$I$5,MIN(Tabelle13245[[#This Row],[Jira Story Points]],Tabelle13245[[#This Row],[Carry-over]]),0),0)</f>
        <v>0</v>
      </c>
      <c r="Q40" s="173">
        <f>IFERROR(IF(Tabelle13245[[#This Row],[Status]]=$I$5,0,MIN(Tabelle13245[[#This Row],[Jira Story Points]],Tabelle13245[[#This Row],[Carry-over]])-Tabelle13245[[#This Row],[SP Completed (COS &amp; SOS)]]),0)</f>
        <v>0</v>
      </c>
      <c r="AJ40" s="112"/>
      <c r="AK40" s="112"/>
      <c r="AL40" s="112"/>
      <c r="AM40" s="112"/>
    </row>
    <row r="41" spans="1:39" s="46" customFormat="1" ht="14.45" customHeight="1">
      <c r="A41" s="117" t="s">
        <v>3201</v>
      </c>
      <c r="B41" s="47" t="s">
        <v>3202</v>
      </c>
      <c r="C41" s="76" t="s">
        <v>382</v>
      </c>
      <c r="D41" s="76">
        <v>3</v>
      </c>
      <c r="E41" s="76" t="s">
        <v>324</v>
      </c>
      <c r="F41" s="104">
        <v>2</v>
      </c>
      <c r="G41" s="76" t="s">
        <v>21</v>
      </c>
      <c r="H41" s="76"/>
      <c r="I41" s="103"/>
      <c r="J41" s="76" t="s">
        <v>125</v>
      </c>
      <c r="K41" s="104"/>
      <c r="L41" s="104"/>
      <c r="M41" s="170">
        <f>IF(Tabelle13245[[#This Row],[Pulled after Start]]="",MIN(Tabelle13245[[#This Row],[Jira Story Points]],Tabelle13245[[#This Row],[Carry-over]]),0)</f>
        <v>2</v>
      </c>
      <c r="N41" s="171">
        <f>MIN(Tabelle13245[[#This Row],[Jira Story Points]],Tabelle13245[[#This Row],[Carry-over]])-Tabelle13245[[#This Row],[SP Initially Planned (COS)]]</f>
        <v>0</v>
      </c>
      <c r="O41"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41" s="173">
        <f>IFERROR(IF(Tabelle13245[[#This Row],[Status]]=$I$5,MIN(Tabelle13245[[#This Row],[Jira Story Points]],Tabelle13245[[#This Row],[Carry-over]]),0),0)</f>
        <v>0</v>
      </c>
      <c r="Q41" s="173">
        <f>IFERROR(IF(Tabelle13245[[#This Row],[Status]]=$I$5,0,MIN(Tabelle13245[[#This Row],[Jira Story Points]],Tabelle13245[[#This Row],[Carry-over]])-Tabelle13245[[#This Row],[SP Completed (COS &amp; SOS)]]),0)</f>
        <v>0</v>
      </c>
      <c r="AJ41" s="112"/>
      <c r="AK41" s="112"/>
      <c r="AL41" s="112"/>
      <c r="AM41" s="112"/>
    </row>
    <row r="42" spans="1:39" s="46" customFormat="1" ht="14.45" customHeight="1">
      <c r="A42" s="117" t="s">
        <v>3203</v>
      </c>
      <c r="B42" s="110" t="s">
        <v>3204</v>
      </c>
      <c r="C42" s="76" t="s">
        <v>372</v>
      </c>
      <c r="D42" s="76">
        <v>3</v>
      </c>
      <c r="E42" s="76" t="s">
        <v>324</v>
      </c>
      <c r="F42" s="104">
        <v>8</v>
      </c>
      <c r="G42" s="76" t="s">
        <v>107</v>
      </c>
      <c r="H42" s="83"/>
      <c r="I42" s="103"/>
      <c r="J42" s="76" t="s">
        <v>125</v>
      </c>
      <c r="K42" s="104"/>
      <c r="L42" s="104"/>
      <c r="M42" s="170">
        <f>IF(Tabelle13245[[#This Row],[Pulled after Start]]="",MIN(Tabelle13245[[#This Row],[Jira Story Points]],Tabelle13245[[#This Row],[Carry-over]]),0)</f>
        <v>8</v>
      </c>
      <c r="N42" s="171">
        <f>MIN(Tabelle13245[[#This Row],[Jira Story Points]],Tabelle13245[[#This Row],[Carry-over]])-Tabelle13245[[#This Row],[SP Initially Planned (COS)]]</f>
        <v>0</v>
      </c>
      <c r="O42" s="172">
        <f>IFERROR(IF(Tabelle13245[[#This Row],[Status]]=$I$5,0,IF(AND(Tabelle13245[[#This Row],[Status]]=$H$5,Tabelle13245[[#This Row],[Spill-over]]=0),0,IF(Tabelle13245[[#This Row],[Carry-over]]&lt;&gt;0,Tabelle13245[[#This Row],[Carry-over]]-Tabelle13245[[#This Row],[Spill-over]],Tabelle13245[[#This Row],[Jira Story Points]]-Tabelle13245[[#This Row],[Spill-over]]))),"-")</f>
        <v>8</v>
      </c>
      <c r="P42" s="173">
        <f>IFERROR(IF(Tabelle13245[[#This Row],[Status]]=$I$5,MIN(Tabelle13245[[#This Row],[Jira Story Points]],Tabelle13245[[#This Row],[Carry-over]]),0),0)</f>
        <v>0</v>
      </c>
      <c r="Q42" s="173">
        <f>IFERROR(IF(Tabelle13245[[#This Row],[Status]]=$I$5,0,MIN(Tabelle13245[[#This Row],[Jira Story Points]],Tabelle13245[[#This Row],[Carry-over]])-Tabelle13245[[#This Row],[SP Completed (COS &amp; SOS)]]),0)</f>
        <v>0</v>
      </c>
      <c r="AJ42" s="112"/>
      <c r="AK42" s="112"/>
      <c r="AL42" s="112"/>
      <c r="AM42" s="112"/>
    </row>
    <row r="43" spans="1:39" s="46" customFormat="1" ht="14.45" customHeight="1">
      <c r="A43" s="88" t="s">
        <v>3205</v>
      </c>
      <c r="B43" s="47" t="s">
        <v>3206</v>
      </c>
      <c r="C43" s="76" t="s">
        <v>375</v>
      </c>
      <c r="D43" s="76"/>
      <c r="E43" s="76" t="s">
        <v>327</v>
      </c>
      <c r="F43" s="76">
        <v>3</v>
      </c>
      <c r="G43" s="76" t="s">
        <v>5</v>
      </c>
      <c r="H43" s="76"/>
      <c r="I43" s="103"/>
      <c r="J43" s="76" t="s">
        <v>127</v>
      </c>
      <c r="K43" s="76">
        <v>1</v>
      </c>
      <c r="L43" s="76"/>
      <c r="M43" s="170">
        <f>IF(Tabelle13245[[#This Row],[Pulled after Start]]="",MIN(Tabelle13245[[#This Row],[Jira Story Points]],Tabelle13245[[#This Row],[Carry-over]]),0)</f>
        <v>1</v>
      </c>
      <c r="N43" s="171">
        <f>MIN(Tabelle13245[[#This Row],[Jira Story Points]],Tabelle13245[[#This Row],[Carry-over]])-Tabelle13245[[#This Row],[SP Initially Planned (COS)]]</f>
        <v>0</v>
      </c>
      <c r="O43"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43" s="173">
        <f>IFERROR(IF(Tabelle13245[[#This Row],[Status]]=$I$5,MIN(Tabelle13245[[#This Row],[Jira Story Points]],Tabelle13245[[#This Row],[Carry-over]]),0),0)</f>
        <v>0</v>
      </c>
      <c r="Q43" s="173">
        <f>IFERROR(IF(Tabelle13245[[#This Row],[Status]]=$I$5,0,MIN(Tabelle13245[[#This Row],[Jira Story Points]],Tabelle13245[[#This Row],[Carry-over]])-Tabelle13245[[#This Row],[SP Completed (COS &amp; SOS)]]),0)</f>
        <v>1</v>
      </c>
      <c r="AJ43" s="112"/>
      <c r="AK43" s="112"/>
      <c r="AL43" s="112"/>
      <c r="AM43" s="112"/>
    </row>
    <row r="44" spans="1:39" s="46" customFormat="1" ht="14.45" customHeight="1">
      <c r="A44" s="117" t="s">
        <v>3207</v>
      </c>
      <c r="B44" s="47" t="s">
        <v>3208</v>
      </c>
      <c r="C44" s="76" t="s">
        <v>372</v>
      </c>
      <c r="D44" s="76">
        <v>2</v>
      </c>
      <c r="E44" s="76" t="s">
        <v>324</v>
      </c>
      <c r="F44" s="104">
        <v>8</v>
      </c>
      <c r="G44" s="76" t="s">
        <v>21</v>
      </c>
      <c r="H44" s="76"/>
      <c r="I44" s="103"/>
      <c r="J44" s="76" t="s">
        <v>125</v>
      </c>
      <c r="K44" s="104"/>
      <c r="L44" s="104"/>
      <c r="M44" s="170">
        <f>IF(Tabelle13245[[#This Row],[Pulled after Start]]="",MIN(Tabelle13245[[#This Row],[Jira Story Points]],Tabelle13245[[#This Row],[Carry-over]]),0)</f>
        <v>8</v>
      </c>
      <c r="N44" s="171">
        <f>MIN(Tabelle13245[[#This Row],[Jira Story Points]],Tabelle13245[[#This Row],[Carry-over]])-Tabelle13245[[#This Row],[SP Initially Planned (COS)]]</f>
        <v>0</v>
      </c>
      <c r="O44" s="172">
        <f>IFERROR(IF(Tabelle13245[[#This Row],[Status]]=$I$5,0,IF(AND(Tabelle13245[[#This Row],[Status]]=$H$5,Tabelle13245[[#This Row],[Spill-over]]=0),0,IF(Tabelle13245[[#This Row],[Carry-over]]&lt;&gt;0,Tabelle13245[[#This Row],[Carry-over]]-Tabelle13245[[#This Row],[Spill-over]],Tabelle13245[[#This Row],[Jira Story Points]]-Tabelle13245[[#This Row],[Spill-over]]))),"-")</f>
        <v>8</v>
      </c>
      <c r="P44" s="173">
        <f>IFERROR(IF(Tabelle13245[[#This Row],[Status]]=$I$5,MIN(Tabelle13245[[#This Row],[Jira Story Points]],Tabelle13245[[#This Row],[Carry-over]]),0),0)</f>
        <v>0</v>
      </c>
      <c r="Q44" s="173">
        <f>IFERROR(IF(Tabelle13245[[#This Row],[Status]]=$I$5,0,MIN(Tabelle13245[[#This Row],[Jira Story Points]],Tabelle13245[[#This Row],[Carry-over]])-Tabelle13245[[#This Row],[SP Completed (COS &amp; SOS)]]),0)</f>
        <v>0</v>
      </c>
      <c r="AJ44" s="112"/>
      <c r="AK44" s="112"/>
      <c r="AL44" s="112"/>
      <c r="AM44" s="112"/>
    </row>
    <row r="45" spans="1:39" s="46" customFormat="1" ht="14.45" customHeight="1">
      <c r="A45" s="88" t="s">
        <v>3209</v>
      </c>
      <c r="B45" s="47" t="s">
        <v>3210</v>
      </c>
      <c r="C45" s="76" t="s">
        <v>372</v>
      </c>
      <c r="D45" s="76">
        <v>3</v>
      </c>
      <c r="E45" s="76" t="s">
        <v>324</v>
      </c>
      <c r="F45" s="76">
        <v>3</v>
      </c>
      <c r="G45" s="76" t="s">
        <v>27</v>
      </c>
      <c r="H45" s="76"/>
      <c r="I45" s="103"/>
      <c r="J45" s="76" t="s">
        <v>125</v>
      </c>
      <c r="K45" s="76"/>
      <c r="L45" s="76"/>
      <c r="M45" s="170">
        <f>IF(Tabelle13245[[#This Row],[Pulled after Start]]="",MIN(Tabelle13245[[#This Row],[Jira Story Points]],Tabelle13245[[#This Row],[Carry-over]]),0)</f>
        <v>3</v>
      </c>
      <c r="N45" s="171">
        <f>MIN(Tabelle13245[[#This Row],[Jira Story Points]],Tabelle13245[[#This Row],[Carry-over]])-Tabelle13245[[#This Row],[SP Initially Planned (COS)]]</f>
        <v>0</v>
      </c>
      <c r="O45"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45" s="173">
        <f>IFERROR(IF(Tabelle13245[[#This Row],[Status]]=$I$5,MIN(Tabelle13245[[#This Row],[Jira Story Points]],Tabelle13245[[#This Row],[Carry-over]]),0),0)</f>
        <v>0</v>
      </c>
      <c r="Q45" s="173">
        <f>IFERROR(IF(Tabelle13245[[#This Row],[Status]]=$I$5,0,MIN(Tabelle13245[[#This Row],[Jira Story Points]],Tabelle13245[[#This Row],[Carry-over]])-Tabelle13245[[#This Row],[SP Completed (COS &amp; SOS)]]),0)</f>
        <v>0</v>
      </c>
      <c r="AJ45" s="112"/>
      <c r="AK45" s="112"/>
      <c r="AL45" s="112"/>
      <c r="AM45" s="112"/>
    </row>
    <row r="46" spans="1:39" s="46" customFormat="1" ht="14.45" customHeight="1">
      <c r="A46" s="88" t="s">
        <v>3211</v>
      </c>
      <c r="B46" s="47" t="s">
        <v>3212</v>
      </c>
      <c r="C46" s="76" t="s">
        <v>372</v>
      </c>
      <c r="D46" s="76">
        <v>3</v>
      </c>
      <c r="E46" s="76" t="s">
        <v>324</v>
      </c>
      <c r="F46" s="76" t="s">
        <v>210</v>
      </c>
      <c r="G46" s="76" t="s">
        <v>27</v>
      </c>
      <c r="H46" s="76" t="s">
        <v>209</v>
      </c>
      <c r="I46" s="103"/>
      <c r="J46" s="76" t="s">
        <v>125</v>
      </c>
      <c r="K46" s="76"/>
      <c r="L46" s="76"/>
      <c r="M46" s="170">
        <f>IF(Tabelle13245[[#This Row],[Pulled after Start]]="",MIN(Tabelle13245[[#This Row],[Jira Story Points]],Tabelle13245[[#This Row],[Carry-over]]),0)</f>
        <v>0</v>
      </c>
      <c r="N46" s="171">
        <f>MIN(Tabelle13245[[#This Row],[Jira Story Points]],Tabelle13245[[#This Row],[Carry-over]])-Tabelle13245[[#This Row],[SP Initially Planned (COS)]]</f>
        <v>0</v>
      </c>
      <c r="O46" s="172" t="str">
        <f>IFERROR(IF(Tabelle13245[[#This Row],[Status]]=$I$5,0,IF(AND(Tabelle13245[[#This Row],[Status]]=$H$5,Tabelle13245[[#This Row],[Spill-over]]=0),0,IF(Tabelle13245[[#This Row],[Carry-over]]&lt;&gt;0,Tabelle13245[[#This Row],[Carry-over]]-Tabelle13245[[#This Row],[Spill-over]],Tabelle13245[[#This Row],[Jira Story Points]]-Tabelle13245[[#This Row],[Spill-over]]))),"-")</f>
        <v>-</v>
      </c>
      <c r="P46" s="173">
        <f>IFERROR(IF(Tabelle13245[[#This Row],[Status]]=$I$5,MIN(Tabelle13245[[#This Row],[Jira Story Points]],Tabelle13245[[#This Row],[Carry-over]]),0),0)</f>
        <v>0</v>
      </c>
      <c r="Q46" s="173">
        <f>IFERROR(IF(Tabelle13245[[#This Row],[Status]]=$I$5,0,MIN(Tabelle13245[[#This Row],[Jira Story Points]],Tabelle13245[[#This Row],[Carry-over]])-Tabelle13245[[#This Row],[SP Completed (COS &amp; SOS)]]),0)</f>
        <v>0</v>
      </c>
      <c r="AJ46" s="112"/>
      <c r="AK46" s="112"/>
      <c r="AL46" s="112"/>
      <c r="AM46" s="112"/>
    </row>
    <row r="47" spans="1:39" s="46" customFormat="1" ht="14.45" customHeight="1">
      <c r="A47" s="88" t="s">
        <v>3213</v>
      </c>
      <c r="B47" s="46" t="s">
        <v>3214</v>
      </c>
      <c r="C47" s="76" t="s">
        <v>222</v>
      </c>
      <c r="D47" s="76">
        <v>3</v>
      </c>
      <c r="E47" s="76" t="s">
        <v>216</v>
      </c>
      <c r="F47" s="76">
        <v>3</v>
      </c>
      <c r="G47" s="76" t="s">
        <v>12</v>
      </c>
      <c r="H47" s="76"/>
      <c r="I47" s="103"/>
      <c r="J47" s="76" t="s">
        <v>125</v>
      </c>
      <c r="K47" s="76">
        <v>2</v>
      </c>
      <c r="L47" s="76">
        <v>0</v>
      </c>
      <c r="M47" s="170">
        <f>IF(Tabelle13245[[#This Row],[Pulled after Start]]="",MIN(Tabelle13245[[#This Row],[Jira Story Points]],Tabelle13245[[#This Row],[Carry-over]]),0)</f>
        <v>2</v>
      </c>
      <c r="N47" s="171">
        <f>MIN(Tabelle13245[[#This Row],[Jira Story Points]],Tabelle13245[[#This Row],[Carry-over]])-Tabelle13245[[#This Row],[SP Initially Planned (COS)]]</f>
        <v>0</v>
      </c>
      <c r="O47"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47" s="173">
        <f>IFERROR(IF(Tabelle13245[[#This Row],[Status]]=$I$5,MIN(Tabelle13245[[#This Row],[Jira Story Points]],Tabelle13245[[#This Row],[Carry-over]]),0),0)</f>
        <v>0</v>
      </c>
      <c r="Q47" s="173">
        <f>IFERROR(IF(Tabelle13245[[#This Row],[Status]]=$I$5,0,MIN(Tabelle13245[[#This Row],[Jira Story Points]],Tabelle13245[[#This Row],[Carry-over]])-Tabelle13245[[#This Row],[SP Completed (COS &amp; SOS)]]),0)</f>
        <v>0</v>
      </c>
      <c r="AJ47" s="112"/>
      <c r="AK47" s="112"/>
      <c r="AL47" s="112"/>
      <c r="AM47" s="112"/>
    </row>
    <row r="48" spans="1:39" s="46" customFormat="1" ht="14.45" customHeight="1">
      <c r="A48" s="88" t="s">
        <v>2991</v>
      </c>
      <c r="B48" s="47" t="s">
        <v>2992</v>
      </c>
      <c r="C48" s="76" t="s">
        <v>372</v>
      </c>
      <c r="D48" s="76">
        <v>3</v>
      </c>
      <c r="E48" s="76" t="s">
        <v>327</v>
      </c>
      <c r="F48" s="76">
        <v>3</v>
      </c>
      <c r="G48" s="76" t="s">
        <v>35</v>
      </c>
      <c r="H48" s="76"/>
      <c r="I48" s="120" t="s">
        <v>3215</v>
      </c>
      <c r="J48" s="76" t="s">
        <v>127</v>
      </c>
      <c r="K48" s="76"/>
      <c r="L48" s="76"/>
      <c r="M48" s="170">
        <f>IF(Tabelle13245[[#This Row],[Pulled after Start]]="",MIN(Tabelle13245[[#This Row],[Jira Story Points]],Tabelle13245[[#This Row],[Carry-over]]),0)</f>
        <v>3</v>
      </c>
      <c r="N48" s="171">
        <f>MIN(Tabelle13245[[#This Row],[Jira Story Points]],Tabelle13245[[#This Row],[Carry-over]])-Tabelle13245[[#This Row],[SP Initially Planned (COS)]]</f>
        <v>0</v>
      </c>
      <c r="O48"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48" s="173">
        <f>IFERROR(IF(Tabelle13245[[#This Row],[Status]]=$I$5,MIN(Tabelle13245[[#This Row],[Jira Story Points]],Tabelle13245[[#This Row],[Carry-over]]),0),0)</f>
        <v>0</v>
      </c>
      <c r="Q48" s="173">
        <f>IFERROR(IF(Tabelle13245[[#This Row],[Status]]=$I$5,0,MIN(Tabelle13245[[#This Row],[Jira Story Points]],Tabelle13245[[#This Row],[Carry-over]])-Tabelle13245[[#This Row],[SP Completed (COS &amp; SOS)]]),0)</f>
        <v>3</v>
      </c>
      <c r="AJ48" s="112"/>
      <c r="AK48" s="112"/>
      <c r="AL48" s="112"/>
      <c r="AM48" s="112"/>
    </row>
    <row r="49" spans="1:39" s="46" customFormat="1" ht="14.45" customHeight="1">
      <c r="A49" s="88" t="s">
        <v>3216</v>
      </c>
      <c r="B49" s="46" t="s">
        <v>3217</v>
      </c>
      <c r="C49" s="76" t="s">
        <v>222</v>
      </c>
      <c r="D49" s="76">
        <v>3</v>
      </c>
      <c r="E49" s="76" t="s">
        <v>216</v>
      </c>
      <c r="F49" s="76">
        <v>2</v>
      </c>
      <c r="G49" s="76" t="s">
        <v>12</v>
      </c>
      <c r="H49" s="76"/>
      <c r="I49" s="103"/>
      <c r="J49" s="76" t="s">
        <v>125</v>
      </c>
      <c r="K49" s="76">
        <v>1</v>
      </c>
      <c r="L49" s="76">
        <v>0</v>
      </c>
      <c r="M49" s="170">
        <f>IF(Tabelle13245[[#This Row],[Pulled after Start]]="",MIN(Tabelle13245[[#This Row],[Jira Story Points]],Tabelle13245[[#This Row],[Carry-over]]),0)</f>
        <v>1</v>
      </c>
      <c r="N49" s="171">
        <f>MIN(Tabelle13245[[#This Row],[Jira Story Points]],Tabelle13245[[#This Row],[Carry-over]])-Tabelle13245[[#This Row],[SP Initially Planned (COS)]]</f>
        <v>0</v>
      </c>
      <c r="O49" s="172">
        <f>IFERROR(IF(Tabelle13245[[#This Row],[Status]]=$I$5,0,IF(AND(Tabelle13245[[#This Row],[Status]]=$H$5,Tabelle13245[[#This Row],[Spill-over]]=0),0,IF(Tabelle13245[[#This Row],[Carry-over]]&lt;&gt;0,Tabelle13245[[#This Row],[Carry-over]]-Tabelle13245[[#This Row],[Spill-over]],Tabelle13245[[#This Row],[Jira Story Points]]-Tabelle13245[[#This Row],[Spill-over]]))),"-")</f>
        <v>1</v>
      </c>
      <c r="P49" s="173">
        <f>IFERROR(IF(Tabelle13245[[#This Row],[Status]]=$I$5,MIN(Tabelle13245[[#This Row],[Jira Story Points]],Tabelle13245[[#This Row],[Carry-over]]),0),0)</f>
        <v>0</v>
      </c>
      <c r="Q49" s="173">
        <f>IFERROR(IF(Tabelle13245[[#This Row],[Status]]=$I$5,0,MIN(Tabelle13245[[#This Row],[Jira Story Points]],Tabelle13245[[#This Row],[Carry-over]])-Tabelle13245[[#This Row],[SP Completed (COS &amp; SOS)]]),0)</f>
        <v>0</v>
      </c>
      <c r="AJ49" s="112"/>
      <c r="AK49" s="112"/>
      <c r="AL49" s="112"/>
      <c r="AM49" s="112"/>
    </row>
    <row r="50" spans="1:39" s="46" customFormat="1" ht="14.45" customHeight="1">
      <c r="A50" s="88" t="s">
        <v>2993</v>
      </c>
      <c r="B50" s="47" t="s">
        <v>2994</v>
      </c>
      <c r="C50" s="76" t="s">
        <v>372</v>
      </c>
      <c r="D50" s="76">
        <v>3</v>
      </c>
      <c r="E50" s="76" t="s">
        <v>637</v>
      </c>
      <c r="F50" s="76">
        <v>8</v>
      </c>
      <c r="G50" s="76" t="s">
        <v>35</v>
      </c>
      <c r="H50" s="76"/>
      <c r="I50" s="120" t="s">
        <v>3215</v>
      </c>
      <c r="J50" s="76" t="s">
        <v>127</v>
      </c>
      <c r="K50" s="76"/>
      <c r="L50" s="76"/>
      <c r="M50" s="170">
        <f>IF(Tabelle13245[[#This Row],[Pulled after Start]]="",MIN(Tabelle13245[[#This Row],[Jira Story Points]],Tabelle13245[[#This Row],[Carry-over]]),0)</f>
        <v>8</v>
      </c>
      <c r="N50" s="171">
        <f>MIN(Tabelle13245[[#This Row],[Jira Story Points]],Tabelle13245[[#This Row],[Carry-over]])-Tabelle13245[[#This Row],[SP Initially Planned (COS)]]</f>
        <v>0</v>
      </c>
      <c r="O50"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50" s="173">
        <f>IFERROR(IF(Tabelle13245[[#This Row],[Status]]=$I$5,MIN(Tabelle13245[[#This Row],[Jira Story Points]],Tabelle13245[[#This Row],[Carry-over]]),0),0)</f>
        <v>0</v>
      </c>
      <c r="Q50" s="173">
        <f>IFERROR(IF(Tabelle13245[[#This Row],[Status]]=$I$5,0,MIN(Tabelle13245[[#This Row],[Jira Story Points]],Tabelle13245[[#This Row],[Carry-over]])-Tabelle13245[[#This Row],[SP Completed (COS &amp; SOS)]]),0)</f>
        <v>8</v>
      </c>
      <c r="AJ50" s="112"/>
      <c r="AK50" s="112"/>
      <c r="AL50" s="112"/>
      <c r="AM50" s="112"/>
    </row>
    <row r="51" spans="1:39" s="46" customFormat="1" ht="14.45" customHeight="1">
      <c r="A51" s="117" t="s">
        <v>3218</v>
      </c>
      <c r="B51" s="110" t="s">
        <v>3219</v>
      </c>
      <c r="C51" s="76" t="s">
        <v>372</v>
      </c>
      <c r="D51" s="76">
        <v>3</v>
      </c>
      <c r="E51" s="76" t="s">
        <v>324</v>
      </c>
      <c r="F51" s="104">
        <v>13</v>
      </c>
      <c r="G51" s="76" t="s">
        <v>107</v>
      </c>
      <c r="H51" s="83"/>
      <c r="I51" s="103"/>
      <c r="J51" s="76" t="s">
        <v>125</v>
      </c>
      <c r="K51" s="104"/>
      <c r="L51" s="104"/>
      <c r="M51" s="170">
        <f>IF(Tabelle13245[[#This Row],[Pulled after Start]]="",MIN(Tabelle13245[[#This Row],[Jira Story Points]],Tabelle13245[[#This Row],[Carry-over]]),0)</f>
        <v>13</v>
      </c>
      <c r="N51" s="171">
        <f>MIN(Tabelle13245[[#This Row],[Jira Story Points]],Tabelle13245[[#This Row],[Carry-over]])-Tabelle13245[[#This Row],[SP Initially Planned (COS)]]</f>
        <v>0</v>
      </c>
      <c r="O51" s="172">
        <f>IFERROR(IF(Tabelle13245[[#This Row],[Status]]=$I$5,0,IF(AND(Tabelle13245[[#This Row],[Status]]=$H$5,Tabelle13245[[#This Row],[Spill-over]]=0),0,IF(Tabelle13245[[#This Row],[Carry-over]]&lt;&gt;0,Tabelle13245[[#This Row],[Carry-over]]-Tabelle13245[[#This Row],[Spill-over]],Tabelle13245[[#This Row],[Jira Story Points]]-Tabelle13245[[#This Row],[Spill-over]]))),"-")</f>
        <v>13</v>
      </c>
      <c r="P51" s="173">
        <f>IFERROR(IF(Tabelle13245[[#This Row],[Status]]=$I$5,MIN(Tabelle13245[[#This Row],[Jira Story Points]],Tabelle13245[[#This Row],[Carry-over]]),0),0)</f>
        <v>0</v>
      </c>
      <c r="Q51" s="173">
        <f>IFERROR(IF(Tabelle13245[[#This Row],[Status]]=$I$5,0,MIN(Tabelle13245[[#This Row],[Jira Story Points]],Tabelle13245[[#This Row],[Carry-over]])-Tabelle13245[[#This Row],[SP Completed (COS &amp; SOS)]]),0)</f>
        <v>0</v>
      </c>
      <c r="AJ51" s="112"/>
      <c r="AK51" s="112"/>
      <c r="AL51" s="112"/>
      <c r="AM51" s="112"/>
    </row>
    <row r="52" spans="1:39" s="46" customFormat="1" ht="14.45" customHeight="1">
      <c r="A52" s="88" t="s">
        <v>3169</v>
      </c>
      <c r="B52" s="46" t="s">
        <v>3170</v>
      </c>
      <c r="C52" s="76" t="s">
        <v>372</v>
      </c>
      <c r="D52" s="76"/>
      <c r="E52" s="76" t="s">
        <v>327</v>
      </c>
      <c r="F52" s="76">
        <v>8</v>
      </c>
      <c r="G52" s="76" t="s">
        <v>5</v>
      </c>
      <c r="H52" s="76"/>
      <c r="I52" s="103"/>
      <c r="J52" s="76" t="s">
        <v>127</v>
      </c>
      <c r="K52" s="76">
        <v>2</v>
      </c>
      <c r="L52" s="76"/>
      <c r="M52" s="170">
        <f>IF(Tabelle13245[[#This Row],[Pulled after Start]]="",MIN(Tabelle13245[[#This Row],[Jira Story Points]],Tabelle13245[[#This Row],[Carry-over]]),0)</f>
        <v>2</v>
      </c>
      <c r="N52" s="171">
        <f>MIN(Tabelle13245[[#This Row],[Jira Story Points]],Tabelle13245[[#This Row],[Carry-over]])-Tabelle13245[[#This Row],[SP Initially Planned (COS)]]</f>
        <v>0</v>
      </c>
      <c r="O52"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52" s="173">
        <f>IFERROR(IF(Tabelle13245[[#This Row],[Status]]=$I$5,MIN(Tabelle13245[[#This Row],[Jira Story Points]],Tabelle13245[[#This Row],[Carry-over]]),0),0)</f>
        <v>0</v>
      </c>
      <c r="Q52" s="173">
        <f>IFERROR(IF(Tabelle13245[[#This Row],[Status]]=$I$5,0,MIN(Tabelle13245[[#This Row],[Jira Story Points]],Tabelle13245[[#This Row],[Carry-over]])-Tabelle13245[[#This Row],[SP Completed (COS &amp; SOS)]]),0)</f>
        <v>2</v>
      </c>
      <c r="AJ52" s="112"/>
      <c r="AK52" s="112"/>
      <c r="AL52" s="112"/>
      <c r="AM52" s="112"/>
    </row>
    <row r="53" spans="1:39" s="46" customFormat="1" ht="14.45" customHeight="1">
      <c r="A53" s="88" t="s">
        <v>3220</v>
      </c>
      <c r="B53" s="46" t="s">
        <v>3221</v>
      </c>
      <c r="C53" s="76" t="s">
        <v>222</v>
      </c>
      <c r="D53" s="76">
        <v>3</v>
      </c>
      <c r="E53" s="76" t="s">
        <v>216</v>
      </c>
      <c r="F53" s="76">
        <v>3</v>
      </c>
      <c r="G53" s="76" t="s">
        <v>12</v>
      </c>
      <c r="H53" s="76"/>
      <c r="I53" s="103"/>
      <c r="J53" s="76" t="s">
        <v>125</v>
      </c>
      <c r="K53" s="76">
        <v>1</v>
      </c>
      <c r="L53" s="76">
        <v>0</v>
      </c>
      <c r="M53" s="170">
        <f>IF(Tabelle13245[[#This Row],[Pulled after Start]]="",MIN(Tabelle13245[[#This Row],[Jira Story Points]],Tabelle13245[[#This Row],[Carry-over]]),0)</f>
        <v>1</v>
      </c>
      <c r="N53" s="171">
        <f>MIN(Tabelle13245[[#This Row],[Jira Story Points]],Tabelle13245[[#This Row],[Carry-over]])-Tabelle13245[[#This Row],[SP Initially Planned (COS)]]</f>
        <v>0</v>
      </c>
      <c r="O53" s="172">
        <f>IFERROR(IF(Tabelle13245[[#This Row],[Status]]=$I$5,0,IF(AND(Tabelle13245[[#This Row],[Status]]=$H$5,Tabelle13245[[#This Row],[Spill-over]]=0),0,IF(Tabelle13245[[#This Row],[Carry-over]]&lt;&gt;0,Tabelle13245[[#This Row],[Carry-over]]-Tabelle13245[[#This Row],[Spill-over]],Tabelle13245[[#This Row],[Jira Story Points]]-Tabelle13245[[#This Row],[Spill-over]]))),"-")</f>
        <v>1</v>
      </c>
      <c r="P53" s="173">
        <f>IFERROR(IF(Tabelle13245[[#This Row],[Status]]=$I$5,MIN(Tabelle13245[[#This Row],[Jira Story Points]],Tabelle13245[[#This Row],[Carry-over]]),0),0)</f>
        <v>0</v>
      </c>
      <c r="Q53" s="173">
        <f>IFERROR(IF(Tabelle13245[[#This Row],[Status]]=$I$5,0,MIN(Tabelle13245[[#This Row],[Jira Story Points]],Tabelle13245[[#This Row],[Carry-over]])-Tabelle13245[[#This Row],[SP Completed (COS &amp; SOS)]]),0)</f>
        <v>0</v>
      </c>
      <c r="AJ53" s="112"/>
      <c r="AK53" s="112"/>
      <c r="AL53" s="112"/>
      <c r="AM53" s="112"/>
    </row>
    <row r="54" spans="1:39" s="46" customFormat="1" ht="14.45" customHeight="1">
      <c r="A54" s="88" t="s">
        <v>3222</v>
      </c>
      <c r="B54" s="46" t="s">
        <v>3223</v>
      </c>
      <c r="C54" s="76" t="s">
        <v>372</v>
      </c>
      <c r="D54" s="76">
        <v>3</v>
      </c>
      <c r="E54" s="76" t="s">
        <v>324</v>
      </c>
      <c r="F54" s="76">
        <v>5</v>
      </c>
      <c r="G54" s="76" t="s">
        <v>21</v>
      </c>
      <c r="H54" s="76"/>
      <c r="I54" s="103"/>
      <c r="J54" s="76" t="s">
        <v>125</v>
      </c>
      <c r="K54" s="104"/>
      <c r="L54" s="104"/>
      <c r="M54" s="170">
        <f>IF(Tabelle13245[[#This Row],[Pulled after Start]]="",MIN(Tabelle13245[[#This Row],[Jira Story Points]],Tabelle13245[[#This Row],[Carry-over]]),0)</f>
        <v>5</v>
      </c>
      <c r="N54" s="171">
        <f>MIN(Tabelle13245[[#This Row],[Jira Story Points]],Tabelle13245[[#This Row],[Carry-over]])-Tabelle13245[[#This Row],[SP Initially Planned (COS)]]</f>
        <v>0</v>
      </c>
      <c r="O54" s="172">
        <f>IFERROR(IF(Tabelle13245[[#This Row],[Status]]=$I$5,0,IF(AND(Tabelle13245[[#This Row],[Status]]=$H$5,Tabelle13245[[#This Row],[Spill-over]]=0),0,IF(Tabelle13245[[#This Row],[Carry-over]]&lt;&gt;0,Tabelle13245[[#This Row],[Carry-over]]-Tabelle13245[[#This Row],[Spill-over]],Tabelle13245[[#This Row],[Jira Story Points]]-Tabelle13245[[#This Row],[Spill-over]]))),"-")</f>
        <v>5</v>
      </c>
      <c r="P54" s="173">
        <f>IFERROR(IF(Tabelle13245[[#This Row],[Status]]=$I$5,MIN(Tabelle13245[[#This Row],[Jira Story Points]],Tabelle13245[[#This Row],[Carry-over]]),0),0)</f>
        <v>0</v>
      </c>
      <c r="Q54" s="173">
        <f>IFERROR(IF(Tabelle13245[[#This Row],[Status]]=$I$5,0,MIN(Tabelle13245[[#This Row],[Jira Story Points]],Tabelle13245[[#This Row],[Carry-over]])-Tabelle13245[[#This Row],[SP Completed (COS &amp; SOS)]]),0)</f>
        <v>0</v>
      </c>
      <c r="AJ54" s="112"/>
      <c r="AK54" s="112"/>
      <c r="AL54" s="112"/>
      <c r="AM54" s="112"/>
    </row>
    <row r="55" spans="1:39" s="46" customFormat="1">
      <c r="A55" s="88" t="s">
        <v>2871</v>
      </c>
      <c r="B55" s="47" t="s">
        <v>2872</v>
      </c>
      <c r="C55" s="76" t="s">
        <v>372</v>
      </c>
      <c r="D55" s="76">
        <v>3</v>
      </c>
      <c r="E55" s="76" t="s">
        <v>327</v>
      </c>
      <c r="F55" s="76">
        <v>8</v>
      </c>
      <c r="G55" s="76" t="s">
        <v>27</v>
      </c>
      <c r="H55" s="76"/>
      <c r="I55" s="103"/>
      <c r="J55" s="76" t="s">
        <v>127</v>
      </c>
      <c r="K55" s="76"/>
      <c r="L55" s="76">
        <v>3</v>
      </c>
      <c r="M55" s="170">
        <f>IF(Tabelle13245[[#This Row],[Pulled after Start]]="",MIN(Tabelle13245[[#This Row],[Jira Story Points]],Tabelle13245[[#This Row],[Carry-over]]),0)</f>
        <v>8</v>
      </c>
      <c r="N55" s="171">
        <f>MIN(Tabelle13245[[#This Row],[Jira Story Points]],Tabelle13245[[#This Row],[Carry-over]])-Tabelle13245[[#This Row],[SP Initially Planned (COS)]]</f>
        <v>0</v>
      </c>
      <c r="O55" s="172">
        <f>IFERROR(IF(Tabelle13245[[#This Row],[Status]]=$I$5,0,IF(AND(Tabelle13245[[#This Row],[Status]]=$H$5,Tabelle13245[[#This Row],[Spill-over]]=0),0,IF(Tabelle13245[[#This Row],[Carry-over]]&lt;&gt;0,Tabelle13245[[#This Row],[Carry-over]]-Tabelle13245[[#This Row],[Spill-over]],Tabelle13245[[#This Row],[Jira Story Points]]-Tabelle13245[[#This Row],[Spill-over]]))),"-")</f>
        <v>5</v>
      </c>
      <c r="P55" s="173">
        <f>IFERROR(IF(Tabelle13245[[#This Row],[Status]]=$I$5,MIN(Tabelle13245[[#This Row],[Jira Story Points]],Tabelle13245[[#This Row],[Carry-over]]),0),0)</f>
        <v>0</v>
      </c>
      <c r="Q55" s="173">
        <f>IFERROR(IF(Tabelle13245[[#This Row],[Status]]=$I$5,0,MIN(Tabelle13245[[#This Row],[Jira Story Points]],Tabelle13245[[#This Row],[Carry-over]])-Tabelle13245[[#This Row],[SP Completed (COS &amp; SOS)]]),0)</f>
        <v>3</v>
      </c>
      <c r="AJ55" s="112"/>
      <c r="AK55" s="112"/>
      <c r="AL55" s="112"/>
      <c r="AM55" s="112"/>
    </row>
    <row r="56" spans="1:39" s="46" customFormat="1">
      <c r="A56" s="88" t="s">
        <v>3224</v>
      </c>
      <c r="B56" s="46" t="s">
        <v>3225</v>
      </c>
      <c r="C56" s="76" t="s">
        <v>222</v>
      </c>
      <c r="D56" s="76">
        <v>3</v>
      </c>
      <c r="E56" s="76" t="s">
        <v>216</v>
      </c>
      <c r="F56" s="76">
        <v>1</v>
      </c>
      <c r="G56" s="76" t="s">
        <v>12</v>
      </c>
      <c r="H56" s="76"/>
      <c r="I56" s="103"/>
      <c r="J56" s="76" t="s">
        <v>125</v>
      </c>
      <c r="K56" s="76">
        <v>1</v>
      </c>
      <c r="L56" s="76">
        <v>0</v>
      </c>
      <c r="M56" s="170">
        <f>IF(Tabelle13245[[#This Row],[Pulled after Start]]="",MIN(Tabelle13245[[#This Row],[Jira Story Points]],Tabelle13245[[#This Row],[Carry-over]]),0)</f>
        <v>1</v>
      </c>
      <c r="N56" s="171">
        <f>MIN(Tabelle13245[[#This Row],[Jira Story Points]],Tabelle13245[[#This Row],[Carry-over]])-Tabelle13245[[#This Row],[SP Initially Planned (COS)]]</f>
        <v>0</v>
      </c>
      <c r="O56" s="172">
        <f>IFERROR(IF(Tabelle13245[[#This Row],[Status]]=$I$5,0,IF(AND(Tabelle13245[[#This Row],[Status]]=$H$5,Tabelle13245[[#This Row],[Spill-over]]=0),0,IF(Tabelle13245[[#This Row],[Carry-over]]&lt;&gt;0,Tabelle13245[[#This Row],[Carry-over]]-Tabelle13245[[#This Row],[Spill-over]],Tabelle13245[[#This Row],[Jira Story Points]]-Tabelle13245[[#This Row],[Spill-over]]))),"-")</f>
        <v>1</v>
      </c>
      <c r="P56" s="173">
        <f>IFERROR(IF(Tabelle13245[[#This Row],[Status]]=$I$5,MIN(Tabelle13245[[#This Row],[Jira Story Points]],Tabelle13245[[#This Row],[Carry-over]]),0),0)</f>
        <v>0</v>
      </c>
      <c r="Q56" s="173">
        <f>IFERROR(IF(Tabelle13245[[#This Row],[Status]]=$I$5,0,MIN(Tabelle13245[[#This Row],[Jira Story Points]],Tabelle13245[[#This Row],[Carry-over]])-Tabelle13245[[#This Row],[SP Completed (COS &amp; SOS)]]),0)</f>
        <v>0</v>
      </c>
      <c r="AJ56" s="112"/>
      <c r="AK56" s="112"/>
      <c r="AL56" s="112"/>
      <c r="AM56" s="112"/>
    </row>
    <row r="57" spans="1:39" s="46" customFormat="1">
      <c r="A57" s="117" t="s">
        <v>3226</v>
      </c>
      <c r="B57" s="47" t="s">
        <v>3227</v>
      </c>
      <c r="C57" s="76" t="s">
        <v>372</v>
      </c>
      <c r="D57" s="76">
        <v>3</v>
      </c>
      <c r="E57" s="76" t="s">
        <v>324</v>
      </c>
      <c r="F57" s="104">
        <v>2</v>
      </c>
      <c r="G57" s="76" t="s">
        <v>21</v>
      </c>
      <c r="H57" s="83" t="s">
        <v>209</v>
      </c>
      <c r="I57" s="103"/>
      <c r="J57" s="76" t="s">
        <v>125</v>
      </c>
      <c r="K57" s="104"/>
      <c r="L57" s="104"/>
      <c r="M57" s="170">
        <f>IF(Tabelle13245[[#This Row],[Pulled after Start]]="",MIN(Tabelle13245[[#This Row],[Jira Story Points]],Tabelle13245[[#This Row],[Carry-over]]),0)</f>
        <v>0</v>
      </c>
      <c r="N57" s="171">
        <f>MIN(Tabelle13245[[#This Row],[Jira Story Points]],Tabelle13245[[#This Row],[Carry-over]])-Tabelle13245[[#This Row],[SP Initially Planned (COS)]]</f>
        <v>2</v>
      </c>
      <c r="O57"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57" s="173">
        <f>IFERROR(IF(Tabelle13245[[#This Row],[Status]]=$I$5,MIN(Tabelle13245[[#This Row],[Jira Story Points]],Tabelle13245[[#This Row],[Carry-over]]),0),0)</f>
        <v>0</v>
      </c>
      <c r="Q57" s="173">
        <f>IFERROR(IF(Tabelle13245[[#This Row],[Status]]=$I$5,0,MIN(Tabelle13245[[#This Row],[Jira Story Points]],Tabelle13245[[#This Row],[Carry-over]])-Tabelle13245[[#This Row],[SP Completed (COS &amp; SOS)]]),0)</f>
        <v>0</v>
      </c>
      <c r="AJ57" s="112"/>
      <c r="AK57" s="112"/>
      <c r="AL57" s="112"/>
      <c r="AM57" s="112"/>
    </row>
    <row r="58" spans="1:39" s="46" customFormat="1">
      <c r="A58" s="88" t="s">
        <v>3228</v>
      </c>
      <c r="B58" s="47" t="s">
        <v>3229</v>
      </c>
      <c r="C58" s="76" t="s">
        <v>372</v>
      </c>
      <c r="D58" s="76">
        <v>3</v>
      </c>
      <c r="E58" s="76" t="s">
        <v>1247</v>
      </c>
      <c r="F58" s="76">
        <v>2</v>
      </c>
      <c r="G58" s="76" t="s">
        <v>35</v>
      </c>
      <c r="H58" s="76"/>
      <c r="I58" s="103"/>
      <c r="J58" s="76" t="s">
        <v>125</v>
      </c>
      <c r="K58" s="76"/>
      <c r="L58" s="76"/>
      <c r="M58" s="170">
        <f>IF(Tabelle13245[[#This Row],[Pulled after Start]]="",MIN(Tabelle13245[[#This Row],[Jira Story Points]],Tabelle13245[[#This Row],[Carry-over]]),0)</f>
        <v>2</v>
      </c>
      <c r="N58" s="171">
        <f>MIN(Tabelle13245[[#This Row],[Jira Story Points]],Tabelle13245[[#This Row],[Carry-over]])-Tabelle13245[[#This Row],[SP Initially Planned (COS)]]</f>
        <v>0</v>
      </c>
      <c r="O58"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58" s="173">
        <f>IFERROR(IF(Tabelle13245[[#This Row],[Status]]=$I$5,MIN(Tabelle13245[[#This Row],[Jira Story Points]],Tabelle13245[[#This Row],[Carry-over]]),0),0)</f>
        <v>0</v>
      </c>
      <c r="Q58" s="173">
        <f>IFERROR(IF(Tabelle13245[[#This Row],[Status]]=$I$5,0,MIN(Tabelle13245[[#This Row],[Jira Story Points]],Tabelle13245[[#This Row],[Carry-over]])-Tabelle13245[[#This Row],[SP Completed (COS &amp; SOS)]]),0)</f>
        <v>0</v>
      </c>
      <c r="AJ58" s="112"/>
      <c r="AK58" s="112"/>
      <c r="AL58" s="112"/>
      <c r="AM58" s="112"/>
    </row>
    <row r="59" spans="1:39" s="46" customFormat="1">
      <c r="A59" s="117" t="s">
        <v>3087</v>
      </c>
      <c r="B59" s="47" t="s">
        <v>3088</v>
      </c>
      <c r="C59" s="76" t="s">
        <v>372</v>
      </c>
      <c r="D59" s="76">
        <v>3</v>
      </c>
      <c r="E59" s="76" t="s">
        <v>642</v>
      </c>
      <c r="F59" s="104">
        <v>5</v>
      </c>
      <c r="G59" s="76" t="s">
        <v>21</v>
      </c>
      <c r="H59" s="76"/>
      <c r="I59" s="103" t="s">
        <v>3230</v>
      </c>
      <c r="J59" s="76" t="s">
        <v>127</v>
      </c>
      <c r="K59" s="104">
        <v>5</v>
      </c>
      <c r="L59" s="104">
        <v>2</v>
      </c>
      <c r="M59" s="170">
        <f>IF(Tabelle13245[[#This Row],[Pulled after Start]]="",MIN(Tabelle13245[[#This Row],[Jira Story Points]],Tabelle13245[[#This Row],[Carry-over]]),0)</f>
        <v>5</v>
      </c>
      <c r="N59" s="171">
        <f>MIN(Tabelle13245[[#This Row],[Jira Story Points]],Tabelle13245[[#This Row],[Carry-over]])-Tabelle13245[[#This Row],[SP Initially Planned (COS)]]</f>
        <v>0</v>
      </c>
      <c r="O59"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59" s="173">
        <f>IFERROR(IF(Tabelle13245[[#This Row],[Status]]=$I$5,MIN(Tabelle13245[[#This Row],[Jira Story Points]],Tabelle13245[[#This Row],[Carry-over]]),0),0)</f>
        <v>0</v>
      </c>
      <c r="Q59" s="173">
        <f>IFERROR(IF(Tabelle13245[[#This Row],[Status]]=$I$5,0,MIN(Tabelle13245[[#This Row],[Jira Story Points]],Tabelle13245[[#This Row],[Carry-over]])-Tabelle13245[[#This Row],[SP Completed (COS &amp; SOS)]]),0)</f>
        <v>2</v>
      </c>
      <c r="AJ59" s="112"/>
      <c r="AK59" s="112"/>
      <c r="AL59" s="112"/>
      <c r="AM59" s="112"/>
    </row>
    <row r="60" spans="1:39" s="46" customFormat="1" ht="14.45" customHeight="1">
      <c r="A60" s="117" t="s">
        <v>3231</v>
      </c>
      <c r="B60" s="110" t="s">
        <v>3232</v>
      </c>
      <c r="C60" s="76" t="s">
        <v>375</v>
      </c>
      <c r="D60" s="76">
        <v>4</v>
      </c>
      <c r="E60" s="76" t="s">
        <v>637</v>
      </c>
      <c r="F60" s="104">
        <v>3</v>
      </c>
      <c r="G60" s="76" t="s">
        <v>107</v>
      </c>
      <c r="H60" s="83"/>
      <c r="I60" s="103" t="s">
        <v>3233</v>
      </c>
      <c r="J60" s="76" t="s">
        <v>125</v>
      </c>
      <c r="K60" s="104"/>
      <c r="L60" s="104"/>
      <c r="M60" s="170">
        <f>IF(Tabelle13245[[#This Row],[Pulled after Start]]="",MIN(Tabelle13245[[#This Row],[Jira Story Points]],Tabelle13245[[#This Row],[Carry-over]]),0)</f>
        <v>3</v>
      </c>
      <c r="N60" s="171">
        <f>MIN(Tabelle13245[[#This Row],[Jira Story Points]],Tabelle13245[[#This Row],[Carry-over]])-Tabelle13245[[#This Row],[SP Initially Planned (COS)]]</f>
        <v>0</v>
      </c>
      <c r="O60"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60" s="173">
        <f>IFERROR(IF(Tabelle13245[[#This Row],[Status]]=$I$5,MIN(Tabelle13245[[#This Row],[Jira Story Points]],Tabelle13245[[#This Row],[Carry-over]]),0),0)</f>
        <v>0</v>
      </c>
      <c r="Q60" s="173">
        <f>IFERROR(IF(Tabelle13245[[#This Row],[Status]]=$I$5,0,MIN(Tabelle13245[[#This Row],[Jira Story Points]],Tabelle13245[[#This Row],[Carry-over]])-Tabelle13245[[#This Row],[SP Completed (COS &amp; SOS)]]),0)</f>
        <v>0</v>
      </c>
      <c r="AJ60" s="112"/>
      <c r="AK60" s="112"/>
      <c r="AL60" s="112"/>
      <c r="AM60" s="112"/>
    </row>
    <row r="61" spans="1:39" s="46" customFormat="1">
      <c r="A61" s="117" t="s">
        <v>3076</v>
      </c>
      <c r="B61" s="47" t="s">
        <v>3077</v>
      </c>
      <c r="C61" s="76" t="s">
        <v>375</v>
      </c>
      <c r="D61" s="76">
        <v>2</v>
      </c>
      <c r="E61" s="76" t="s">
        <v>642</v>
      </c>
      <c r="F61" s="104">
        <v>10</v>
      </c>
      <c r="G61" s="76" t="s">
        <v>21</v>
      </c>
      <c r="H61" s="76"/>
      <c r="I61" s="79" t="s">
        <v>3234</v>
      </c>
      <c r="J61" s="76" t="s">
        <v>127</v>
      </c>
      <c r="K61" s="104">
        <v>10</v>
      </c>
      <c r="L61" s="104">
        <v>1</v>
      </c>
      <c r="M61" s="170">
        <f>IF(Tabelle13245[[#This Row],[Pulled after Start]]="",MIN(Tabelle13245[[#This Row],[Jira Story Points]],Tabelle13245[[#This Row],[Carry-over]]),0)</f>
        <v>10</v>
      </c>
      <c r="N61" s="171">
        <f>MIN(Tabelle13245[[#This Row],[Jira Story Points]],Tabelle13245[[#This Row],[Carry-over]])-Tabelle13245[[#This Row],[SP Initially Planned (COS)]]</f>
        <v>0</v>
      </c>
      <c r="O61" s="172">
        <f>IFERROR(IF(Tabelle13245[[#This Row],[Status]]=$I$5,0,IF(AND(Tabelle13245[[#This Row],[Status]]=$H$5,Tabelle13245[[#This Row],[Spill-over]]=0),0,IF(Tabelle13245[[#This Row],[Carry-over]]&lt;&gt;0,Tabelle13245[[#This Row],[Carry-over]]-Tabelle13245[[#This Row],[Spill-over]],Tabelle13245[[#This Row],[Jira Story Points]]-Tabelle13245[[#This Row],[Spill-over]]))),"-")</f>
        <v>9</v>
      </c>
      <c r="P61" s="173">
        <f>IFERROR(IF(Tabelle13245[[#This Row],[Status]]=$I$5,MIN(Tabelle13245[[#This Row],[Jira Story Points]],Tabelle13245[[#This Row],[Carry-over]]),0),0)</f>
        <v>0</v>
      </c>
      <c r="Q61" s="173">
        <f>IFERROR(IF(Tabelle13245[[#This Row],[Status]]=$I$5,0,MIN(Tabelle13245[[#This Row],[Jira Story Points]],Tabelle13245[[#This Row],[Carry-over]])-Tabelle13245[[#This Row],[SP Completed (COS &amp; SOS)]]),0)</f>
        <v>1</v>
      </c>
      <c r="AJ61" s="112"/>
      <c r="AK61" s="112"/>
      <c r="AL61" s="112"/>
      <c r="AM61" s="112"/>
    </row>
    <row r="62" spans="1:39" s="46" customFormat="1" ht="14.45" customHeight="1">
      <c r="A62" s="88" t="s">
        <v>3235</v>
      </c>
      <c r="B62" s="46" t="s">
        <v>3236</v>
      </c>
      <c r="C62" s="76" t="s">
        <v>222</v>
      </c>
      <c r="D62" s="76">
        <v>3</v>
      </c>
      <c r="E62" s="76" t="s">
        <v>216</v>
      </c>
      <c r="F62" s="76">
        <v>2</v>
      </c>
      <c r="G62" s="76" t="s">
        <v>12</v>
      </c>
      <c r="H62" s="76"/>
      <c r="I62" s="103"/>
      <c r="J62" s="76" t="s">
        <v>125</v>
      </c>
      <c r="K62" s="76"/>
      <c r="L62" s="76">
        <v>0</v>
      </c>
      <c r="M62" s="170">
        <f>IF(Tabelle13245[[#This Row],[Pulled after Start]]="",MIN(Tabelle13245[[#This Row],[Jira Story Points]],Tabelle13245[[#This Row],[Carry-over]]),0)</f>
        <v>2</v>
      </c>
      <c r="N62" s="171">
        <f>MIN(Tabelle13245[[#This Row],[Jira Story Points]],Tabelle13245[[#This Row],[Carry-over]])-Tabelle13245[[#This Row],[SP Initially Planned (COS)]]</f>
        <v>0</v>
      </c>
      <c r="O62"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62" s="173">
        <f>IFERROR(IF(Tabelle13245[[#This Row],[Status]]=$I$5,MIN(Tabelle13245[[#This Row],[Jira Story Points]],Tabelle13245[[#This Row],[Carry-over]]),0),0)</f>
        <v>0</v>
      </c>
      <c r="Q62" s="173">
        <f>IFERROR(IF(Tabelle13245[[#This Row],[Status]]=$I$5,0,MIN(Tabelle13245[[#This Row],[Jira Story Points]],Tabelle13245[[#This Row],[Carry-over]])-Tabelle13245[[#This Row],[SP Completed (COS &amp; SOS)]]),0)</f>
        <v>0</v>
      </c>
      <c r="AJ62" s="112"/>
      <c r="AK62" s="112"/>
      <c r="AL62" s="112"/>
      <c r="AM62" s="112"/>
    </row>
    <row r="63" spans="1:39" s="46" customFormat="1" ht="14.45" customHeight="1">
      <c r="A63" s="88" t="s">
        <v>3237</v>
      </c>
      <c r="B63" s="46" t="s">
        <v>3238</v>
      </c>
      <c r="C63" s="76" t="s">
        <v>222</v>
      </c>
      <c r="D63" s="76">
        <v>3</v>
      </c>
      <c r="E63" s="76" t="s">
        <v>216</v>
      </c>
      <c r="F63" s="76">
        <v>3</v>
      </c>
      <c r="G63" s="76" t="s">
        <v>12</v>
      </c>
      <c r="H63" s="76"/>
      <c r="J63" s="76" t="s">
        <v>125</v>
      </c>
      <c r="K63" s="76"/>
      <c r="L63" s="76">
        <v>0</v>
      </c>
      <c r="M63" s="170">
        <f>IF(Tabelle13245[[#This Row],[Pulled after Start]]="",MIN(Tabelle13245[[#This Row],[Jira Story Points]],Tabelle13245[[#This Row],[Carry-over]]),0)</f>
        <v>3</v>
      </c>
      <c r="N63" s="171">
        <f>MIN(Tabelle13245[[#This Row],[Jira Story Points]],Tabelle13245[[#This Row],[Carry-over]])-Tabelle13245[[#This Row],[SP Initially Planned (COS)]]</f>
        <v>0</v>
      </c>
      <c r="O63"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63" s="173">
        <f>IFERROR(IF(Tabelle13245[[#This Row],[Status]]=$I$5,MIN(Tabelle13245[[#This Row],[Jira Story Points]],Tabelle13245[[#This Row],[Carry-over]]),0),0)</f>
        <v>0</v>
      </c>
      <c r="Q63" s="173">
        <f>IFERROR(IF(Tabelle13245[[#This Row],[Status]]=$I$5,0,MIN(Tabelle13245[[#This Row],[Jira Story Points]],Tabelle13245[[#This Row],[Carry-over]])-Tabelle13245[[#This Row],[SP Completed (COS &amp; SOS)]]),0)</f>
        <v>0</v>
      </c>
      <c r="AJ63" s="112"/>
      <c r="AK63" s="112"/>
      <c r="AL63" s="112"/>
      <c r="AM63" s="112"/>
    </row>
    <row r="64" spans="1:39" s="46" customFormat="1" ht="14.45" customHeight="1">
      <c r="A64" s="117" t="s">
        <v>3239</v>
      </c>
      <c r="B64" s="47" t="s">
        <v>3240</v>
      </c>
      <c r="C64" s="76" t="s">
        <v>222</v>
      </c>
      <c r="D64" s="76">
        <v>3</v>
      </c>
      <c r="E64" s="76" t="s">
        <v>216</v>
      </c>
      <c r="F64" s="104">
        <v>2</v>
      </c>
      <c r="G64" s="76" t="s">
        <v>12</v>
      </c>
      <c r="H64" s="83" t="s">
        <v>209</v>
      </c>
      <c r="I64" s="103"/>
      <c r="J64" s="76" t="s">
        <v>125</v>
      </c>
      <c r="K64" s="104"/>
      <c r="L64" s="104">
        <v>0</v>
      </c>
      <c r="M64" s="170">
        <f>IF(Tabelle13245[[#This Row],[Pulled after Start]]="",MIN(Tabelle13245[[#This Row],[Jira Story Points]],Tabelle13245[[#This Row],[Carry-over]]),0)</f>
        <v>0</v>
      </c>
      <c r="N64" s="171">
        <f>MIN(Tabelle13245[[#This Row],[Jira Story Points]],Tabelle13245[[#This Row],[Carry-over]])-Tabelle13245[[#This Row],[SP Initially Planned (COS)]]</f>
        <v>2</v>
      </c>
      <c r="O64"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64" s="173">
        <f>IFERROR(IF(Tabelle13245[[#This Row],[Status]]=$I$5,MIN(Tabelle13245[[#This Row],[Jira Story Points]],Tabelle13245[[#This Row],[Carry-over]]),0),0)</f>
        <v>0</v>
      </c>
      <c r="Q64" s="173">
        <f>IFERROR(IF(Tabelle13245[[#This Row],[Status]]=$I$5,0,MIN(Tabelle13245[[#This Row],[Jira Story Points]],Tabelle13245[[#This Row],[Carry-over]])-Tabelle13245[[#This Row],[SP Completed (COS &amp; SOS)]]),0)</f>
        <v>0</v>
      </c>
      <c r="AJ64" s="112"/>
      <c r="AK64" s="112"/>
      <c r="AL64" s="112"/>
      <c r="AM64" s="112"/>
    </row>
    <row r="65" spans="1:39" s="46" customFormat="1" ht="14.45" customHeight="1">
      <c r="A65" s="88" t="s">
        <v>3241</v>
      </c>
      <c r="B65" s="47" t="s">
        <v>3242</v>
      </c>
      <c r="C65" s="76" t="s">
        <v>375</v>
      </c>
      <c r="D65" s="76">
        <v>2</v>
      </c>
      <c r="E65" s="76" t="s">
        <v>324</v>
      </c>
      <c r="F65" s="76">
        <v>3</v>
      </c>
      <c r="G65" s="76" t="s">
        <v>27</v>
      </c>
      <c r="H65" s="76"/>
      <c r="I65" s="103"/>
      <c r="J65" s="76" t="s">
        <v>125</v>
      </c>
      <c r="K65" s="104"/>
      <c r="L65" s="104"/>
      <c r="M65" s="170">
        <f>IF(Tabelle13245[[#This Row],[Pulled after Start]]="",MIN(Tabelle13245[[#This Row],[Jira Story Points]],Tabelle13245[[#This Row],[Carry-over]]),0)</f>
        <v>3</v>
      </c>
      <c r="N65" s="171">
        <f>MIN(Tabelle13245[[#This Row],[Jira Story Points]],Tabelle13245[[#This Row],[Carry-over]])-Tabelle13245[[#This Row],[SP Initially Planned (COS)]]</f>
        <v>0</v>
      </c>
      <c r="O65"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65" s="173">
        <f>IFERROR(IF(Tabelle13245[[#This Row],[Status]]=$I$5,MIN(Tabelle13245[[#This Row],[Jira Story Points]],Tabelle13245[[#This Row],[Carry-over]]),0),0)</f>
        <v>0</v>
      </c>
      <c r="Q65" s="173">
        <f>IFERROR(IF(Tabelle13245[[#This Row],[Status]]=$I$5,0,MIN(Tabelle13245[[#This Row],[Jira Story Points]],Tabelle13245[[#This Row],[Carry-over]])-Tabelle13245[[#This Row],[SP Completed (COS &amp; SOS)]]),0)</f>
        <v>0</v>
      </c>
      <c r="AJ65" s="112"/>
      <c r="AK65" s="112"/>
      <c r="AL65" s="112"/>
      <c r="AM65" s="112"/>
    </row>
    <row r="66" spans="1:39" s="46" customFormat="1">
      <c r="A66" s="88" t="s">
        <v>3243</v>
      </c>
      <c r="B66" s="47" t="s">
        <v>3244</v>
      </c>
      <c r="C66" s="76" t="s">
        <v>372</v>
      </c>
      <c r="D66" s="76">
        <v>3</v>
      </c>
      <c r="E66" s="76" t="s">
        <v>324</v>
      </c>
      <c r="F66" s="76">
        <v>2</v>
      </c>
      <c r="G66" s="76" t="s">
        <v>27</v>
      </c>
      <c r="H66" s="76"/>
      <c r="I66" s="103"/>
      <c r="J66" s="76" t="s">
        <v>125</v>
      </c>
      <c r="K66" s="76"/>
      <c r="L66" s="76"/>
      <c r="M66" s="170">
        <f>IF(Tabelle13245[[#This Row],[Pulled after Start]]="",MIN(Tabelle13245[[#This Row],[Jira Story Points]],Tabelle13245[[#This Row],[Carry-over]]),0)</f>
        <v>2</v>
      </c>
      <c r="N66" s="171">
        <f>MIN(Tabelle13245[[#This Row],[Jira Story Points]],Tabelle13245[[#This Row],[Carry-over]])-Tabelle13245[[#This Row],[SP Initially Planned (COS)]]</f>
        <v>0</v>
      </c>
      <c r="O66"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66" s="173">
        <f>IFERROR(IF(Tabelle13245[[#This Row],[Status]]=$I$5,MIN(Tabelle13245[[#This Row],[Jira Story Points]],Tabelle13245[[#This Row],[Carry-over]]),0),0)</f>
        <v>0</v>
      </c>
      <c r="Q66" s="173">
        <f>IFERROR(IF(Tabelle13245[[#This Row],[Status]]=$I$5,0,MIN(Tabelle13245[[#This Row],[Jira Story Points]],Tabelle13245[[#This Row],[Carry-over]])-Tabelle13245[[#This Row],[SP Completed (COS &amp; SOS)]]),0)</f>
        <v>0</v>
      </c>
      <c r="AJ66" s="112"/>
      <c r="AK66" s="112"/>
      <c r="AL66" s="112"/>
      <c r="AM66" s="112"/>
    </row>
    <row r="67" spans="1:39" s="46" customFormat="1" ht="14.45" customHeight="1">
      <c r="A67" s="88" t="s">
        <v>3245</v>
      </c>
      <c r="B67" s="47" t="s">
        <v>3246</v>
      </c>
      <c r="C67" s="76" t="s">
        <v>382</v>
      </c>
      <c r="D67" s="76"/>
      <c r="E67" s="76" t="s">
        <v>324</v>
      </c>
      <c r="F67" s="76">
        <v>0</v>
      </c>
      <c r="G67" s="76" t="s">
        <v>5</v>
      </c>
      <c r="H67" s="76"/>
      <c r="I67" s="103"/>
      <c r="J67" s="76" t="s">
        <v>125</v>
      </c>
      <c r="K67" s="76"/>
      <c r="L67" s="76"/>
      <c r="M67" s="170">
        <f>IF(Tabelle13245[[#This Row],[Pulled after Start]]="",MIN(Tabelle13245[[#This Row],[Jira Story Points]],Tabelle13245[[#This Row],[Carry-over]]),0)</f>
        <v>0</v>
      </c>
      <c r="N67" s="171">
        <f>MIN(Tabelle13245[[#This Row],[Jira Story Points]],Tabelle13245[[#This Row],[Carry-over]])-Tabelle13245[[#This Row],[SP Initially Planned (COS)]]</f>
        <v>0</v>
      </c>
      <c r="O67"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67" s="173">
        <f>IFERROR(IF(Tabelle13245[[#This Row],[Status]]=$I$5,MIN(Tabelle13245[[#This Row],[Jira Story Points]],Tabelle13245[[#This Row],[Carry-over]]),0),0)</f>
        <v>0</v>
      </c>
      <c r="Q67" s="173">
        <f>IFERROR(IF(Tabelle13245[[#This Row],[Status]]=$I$5,0,MIN(Tabelle13245[[#This Row],[Jira Story Points]],Tabelle13245[[#This Row],[Carry-over]])-Tabelle13245[[#This Row],[SP Completed (COS &amp; SOS)]]),0)</f>
        <v>0</v>
      </c>
    </row>
    <row r="68" spans="1:39" s="46" customFormat="1" ht="14.45" customHeight="1">
      <c r="A68" s="117" t="s">
        <v>3247</v>
      </c>
      <c r="B68" s="110" t="s">
        <v>2984</v>
      </c>
      <c r="C68" s="76" t="s">
        <v>375</v>
      </c>
      <c r="D68" s="76">
        <v>2</v>
      </c>
      <c r="E68" s="76" t="s">
        <v>637</v>
      </c>
      <c r="F68" s="104">
        <v>5</v>
      </c>
      <c r="G68" s="76" t="s">
        <v>5</v>
      </c>
      <c r="H68" s="83"/>
      <c r="I68" s="103"/>
      <c r="J68" s="76" t="s">
        <v>125</v>
      </c>
      <c r="K68" s="104"/>
      <c r="L68" s="104"/>
      <c r="M68" s="170">
        <f>IF(Tabelle13245[[#This Row],[Pulled after Start]]="",MIN(Tabelle13245[[#This Row],[Jira Story Points]],Tabelle13245[[#This Row],[Carry-over]]),0)</f>
        <v>5</v>
      </c>
      <c r="N68" s="171">
        <f>MIN(Tabelle13245[[#This Row],[Jira Story Points]],Tabelle13245[[#This Row],[Carry-over]])-Tabelle13245[[#This Row],[SP Initially Planned (COS)]]</f>
        <v>0</v>
      </c>
      <c r="O68" s="172">
        <f>IFERROR(IF(Tabelle13245[[#This Row],[Status]]=$I$5,0,IF(AND(Tabelle13245[[#This Row],[Status]]=$H$5,Tabelle13245[[#This Row],[Spill-over]]=0),0,IF(Tabelle13245[[#This Row],[Carry-over]]&lt;&gt;0,Tabelle13245[[#This Row],[Carry-over]]-Tabelle13245[[#This Row],[Spill-over]],Tabelle13245[[#This Row],[Jira Story Points]]-Tabelle13245[[#This Row],[Spill-over]]))),"-")</f>
        <v>5</v>
      </c>
      <c r="P68" s="173">
        <f>IFERROR(IF(Tabelle13245[[#This Row],[Status]]=$I$5,MIN(Tabelle13245[[#This Row],[Jira Story Points]],Tabelle13245[[#This Row],[Carry-over]]),0),0)</f>
        <v>0</v>
      </c>
      <c r="Q68" s="173">
        <f>IFERROR(IF(Tabelle13245[[#This Row],[Status]]=$I$5,0,MIN(Tabelle13245[[#This Row],[Jira Story Points]],Tabelle13245[[#This Row],[Carry-over]])-Tabelle13245[[#This Row],[SP Completed (COS &amp; SOS)]]),0)</f>
        <v>0</v>
      </c>
    </row>
    <row r="69" spans="1:39" s="46" customFormat="1" ht="14.45" customHeight="1">
      <c r="A69" s="88" t="s">
        <v>3248</v>
      </c>
      <c r="B69" s="46" t="s">
        <v>3249</v>
      </c>
      <c r="C69" s="76" t="s">
        <v>234</v>
      </c>
      <c r="D69" s="76">
        <v>3</v>
      </c>
      <c r="E69" s="76" t="s">
        <v>216</v>
      </c>
      <c r="F69" s="76" t="s">
        <v>210</v>
      </c>
      <c r="G69" s="76" t="s">
        <v>12</v>
      </c>
      <c r="H69" s="76"/>
      <c r="J69" s="76" t="s">
        <v>125</v>
      </c>
      <c r="K69" s="76"/>
      <c r="L69" s="76">
        <v>0</v>
      </c>
      <c r="M69" s="170">
        <f>IF(Tabelle13245[[#This Row],[Pulled after Start]]="",MIN(Tabelle13245[[#This Row],[Jira Story Points]],Tabelle13245[[#This Row],[Carry-over]]),0)</f>
        <v>0</v>
      </c>
      <c r="N69" s="171">
        <f>MIN(Tabelle13245[[#This Row],[Jira Story Points]],Tabelle13245[[#This Row],[Carry-over]])-Tabelle13245[[#This Row],[SP Initially Planned (COS)]]</f>
        <v>0</v>
      </c>
      <c r="O69" s="172" t="str">
        <f>IFERROR(IF(Tabelle13245[[#This Row],[Status]]=$I$5,0,IF(AND(Tabelle13245[[#This Row],[Status]]=$H$5,Tabelle13245[[#This Row],[Spill-over]]=0),0,IF(Tabelle13245[[#This Row],[Carry-over]]&lt;&gt;0,Tabelle13245[[#This Row],[Carry-over]]-Tabelle13245[[#This Row],[Spill-over]],Tabelle13245[[#This Row],[Jira Story Points]]-Tabelle13245[[#This Row],[Spill-over]]))),"-")</f>
        <v>-</v>
      </c>
      <c r="P69" s="173">
        <f>IFERROR(IF(Tabelle13245[[#This Row],[Status]]=$I$5,MIN(Tabelle13245[[#This Row],[Jira Story Points]],Tabelle13245[[#This Row],[Carry-over]]),0),0)</f>
        <v>0</v>
      </c>
      <c r="Q69" s="173">
        <f>IFERROR(IF(Tabelle13245[[#This Row],[Status]]=$I$5,0,MIN(Tabelle13245[[#This Row],[Jira Story Points]],Tabelle13245[[#This Row],[Carry-over]])-Tabelle13245[[#This Row],[SP Completed (COS &amp; SOS)]]),0)</f>
        <v>0</v>
      </c>
    </row>
    <row r="70" spans="1:39" s="46" customFormat="1" ht="14.45" customHeight="1">
      <c r="A70" s="88" t="s">
        <v>3171</v>
      </c>
      <c r="B70" s="47" t="s">
        <v>3172</v>
      </c>
      <c r="C70" s="76" t="s">
        <v>372</v>
      </c>
      <c r="D70" s="76"/>
      <c r="E70" s="76" t="s">
        <v>327</v>
      </c>
      <c r="F70" s="76">
        <v>5</v>
      </c>
      <c r="G70" s="76" t="s">
        <v>5</v>
      </c>
      <c r="H70" s="76"/>
      <c r="I70" s="103"/>
      <c r="J70" s="76" t="s">
        <v>127</v>
      </c>
      <c r="K70" s="76"/>
      <c r="L70" s="76"/>
      <c r="M70" s="170">
        <f>IF(Tabelle13245[[#This Row],[Pulled after Start]]="",MIN(Tabelle13245[[#This Row],[Jira Story Points]],Tabelle13245[[#This Row],[Carry-over]]),0)</f>
        <v>5</v>
      </c>
      <c r="N70" s="171">
        <f>MIN(Tabelle13245[[#This Row],[Jira Story Points]],Tabelle13245[[#This Row],[Carry-over]])-Tabelle13245[[#This Row],[SP Initially Planned (COS)]]</f>
        <v>0</v>
      </c>
      <c r="O70"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70" s="173">
        <f>IFERROR(IF(Tabelle13245[[#This Row],[Status]]=$I$5,MIN(Tabelle13245[[#This Row],[Jira Story Points]],Tabelle13245[[#This Row],[Carry-over]]),0),0)</f>
        <v>0</v>
      </c>
      <c r="Q70" s="173">
        <f>IFERROR(IF(Tabelle13245[[#This Row],[Status]]=$I$5,0,MIN(Tabelle13245[[#This Row],[Jira Story Points]],Tabelle13245[[#This Row],[Carry-over]])-Tabelle13245[[#This Row],[SP Completed (COS &amp; SOS)]]),0)</f>
        <v>5</v>
      </c>
    </row>
    <row r="71" spans="1:39" s="46" customFormat="1" ht="14.45" customHeight="1">
      <c r="A71" s="88" t="s">
        <v>2631</v>
      </c>
      <c r="B71" s="46" t="s">
        <v>2632</v>
      </c>
      <c r="C71" s="76" t="s">
        <v>372</v>
      </c>
      <c r="D71" s="76">
        <v>2</v>
      </c>
      <c r="E71" s="76" t="s">
        <v>642</v>
      </c>
      <c r="F71" s="76">
        <v>8</v>
      </c>
      <c r="G71" s="76" t="s">
        <v>21</v>
      </c>
      <c r="H71" s="76"/>
      <c r="I71" s="79" t="s">
        <v>3234</v>
      </c>
      <c r="J71" s="76" t="s">
        <v>127</v>
      </c>
      <c r="K71" s="104">
        <v>8</v>
      </c>
      <c r="L71" s="104">
        <v>2</v>
      </c>
      <c r="M71" s="170">
        <f>IF(Tabelle13245[[#This Row],[Pulled after Start]]="",MIN(Tabelle13245[[#This Row],[Jira Story Points]],Tabelle13245[[#This Row],[Carry-over]]),0)</f>
        <v>8</v>
      </c>
      <c r="N71" s="171">
        <f>MIN(Tabelle13245[[#This Row],[Jira Story Points]],Tabelle13245[[#This Row],[Carry-over]])-Tabelle13245[[#This Row],[SP Initially Planned (COS)]]</f>
        <v>0</v>
      </c>
      <c r="O71" s="172">
        <f>IFERROR(IF(Tabelle13245[[#This Row],[Status]]=$I$5,0,IF(AND(Tabelle13245[[#This Row],[Status]]=$H$5,Tabelle13245[[#This Row],[Spill-over]]=0),0,IF(Tabelle13245[[#This Row],[Carry-over]]&lt;&gt;0,Tabelle13245[[#This Row],[Carry-over]]-Tabelle13245[[#This Row],[Spill-over]],Tabelle13245[[#This Row],[Jira Story Points]]-Tabelle13245[[#This Row],[Spill-over]]))),"-")</f>
        <v>6</v>
      </c>
      <c r="P71" s="173">
        <f>IFERROR(IF(Tabelle13245[[#This Row],[Status]]=$I$5,MIN(Tabelle13245[[#This Row],[Jira Story Points]],Tabelle13245[[#This Row],[Carry-over]]),0),0)</f>
        <v>0</v>
      </c>
      <c r="Q71" s="173">
        <f>IFERROR(IF(Tabelle13245[[#This Row],[Status]]=$I$5,0,MIN(Tabelle13245[[#This Row],[Jira Story Points]],Tabelle13245[[#This Row],[Carry-over]])-Tabelle13245[[#This Row],[SP Completed (COS &amp; SOS)]]),0)</f>
        <v>2</v>
      </c>
    </row>
    <row r="72" spans="1:39" s="46" customFormat="1" ht="14.45" customHeight="1">
      <c r="A72" s="88" t="s">
        <v>3078</v>
      </c>
      <c r="B72" s="46" t="s">
        <v>3250</v>
      </c>
      <c r="C72" s="76" t="s">
        <v>372</v>
      </c>
      <c r="D72" s="76">
        <v>3</v>
      </c>
      <c r="E72" s="76" t="s">
        <v>642</v>
      </c>
      <c r="F72" s="76">
        <v>2</v>
      </c>
      <c r="G72" s="76" t="s">
        <v>21</v>
      </c>
      <c r="H72" s="76"/>
      <c r="I72" s="103"/>
      <c r="J72" s="76" t="s">
        <v>127</v>
      </c>
      <c r="K72" s="104">
        <v>2</v>
      </c>
      <c r="L72" s="104">
        <v>1</v>
      </c>
      <c r="M72" s="170">
        <f>IF(Tabelle13245[[#This Row],[Pulled after Start]]="",MIN(Tabelle13245[[#This Row],[Jira Story Points]],Tabelle13245[[#This Row],[Carry-over]]),0)</f>
        <v>2</v>
      </c>
      <c r="N72" s="171">
        <f>MIN(Tabelle13245[[#This Row],[Jira Story Points]],Tabelle13245[[#This Row],[Carry-over]])-Tabelle13245[[#This Row],[SP Initially Planned (COS)]]</f>
        <v>0</v>
      </c>
      <c r="O72" s="172">
        <f>IFERROR(IF(Tabelle13245[[#This Row],[Status]]=$I$5,0,IF(AND(Tabelle13245[[#This Row],[Status]]=$H$5,Tabelle13245[[#This Row],[Spill-over]]=0),0,IF(Tabelle13245[[#This Row],[Carry-over]]&lt;&gt;0,Tabelle13245[[#This Row],[Carry-over]]-Tabelle13245[[#This Row],[Spill-over]],Tabelle13245[[#This Row],[Jira Story Points]]-Tabelle13245[[#This Row],[Spill-over]]))),"-")</f>
        <v>1</v>
      </c>
      <c r="P72" s="173">
        <f>IFERROR(IF(Tabelle13245[[#This Row],[Status]]=$I$5,MIN(Tabelle13245[[#This Row],[Jira Story Points]],Tabelle13245[[#This Row],[Carry-over]]),0),0)</f>
        <v>0</v>
      </c>
      <c r="Q72" s="173">
        <f>IFERROR(IF(Tabelle13245[[#This Row],[Status]]=$I$5,0,MIN(Tabelle13245[[#This Row],[Jira Story Points]],Tabelle13245[[#This Row],[Carry-over]])-Tabelle13245[[#This Row],[SP Completed (COS &amp; SOS)]]),0)</f>
        <v>1</v>
      </c>
    </row>
    <row r="73" spans="1:39" s="46" customFormat="1" ht="14.45" customHeight="1">
      <c r="A73" s="88" t="s">
        <v>3085</v>
      </c>
      <c r="B73" s="46" t="s">
        <v>3086</v>
      </c>
      <c r="C73" s="76" t="s">
        <v>372</v>
      </c>
      <c r="D73" s="76">
        <v>3</v>
      </c>
      <c r="E73" s="76" t="s">
        <v>327</v>
      </c>
      <c r="F73" s="76">
        <v>8</v>
      </c>
      <c r="G73" s="76" t="s">
        <v>21</v>
      </c>
      <c r="H73" s="76"/>
      <c r="I73" s="103"/>
      <c r="J73" s="76" t="s">
        <v>127</v>
      </c>
      <c r="K73" s="104">
        <v>8</v>
      </c>
      <c r="L73" s="104">
        <v>3</v>
      </c>
      <c r="M73" s="170">
        <f>IF(Tabelle13245[[#This Row],[Pulled after Start]]="",MIN(Tabelle13245[[#This Row],[Jira Story Points]],Tabelle13245[[#This Row],[Carry-over]]),0)</f>
        <v>8</v>
      </c>
      <c r="N73" s="171">
        <f>MIN(Tabelle13245[[#This Row],[Jira Story Points]],Tabelle13245[[#This Row],[Carry-over]])-Tabelle13245[[#This Row],[SP Initially Planned (COS)]]</f>
        <v>0</v>
      </c>
      <c r="O73" s="172">
        <f>IFERROR(IF(Tabelle13245[[#This Row],[Status]]=$I$5,0,IF(AND(Tabelle13245[[#This Row],[Status]]=$H$5,Tabelle13245[[#This Row],[Spill-over]]=0),0,IF(Tabelle13245[[#This Row],[Carry-over]]&lt;&gt;0,Tabelle13245[[#This Row],[Carry-over]]-Tabelle13245[[#This Row],[Spill-over]],Tabelle13245[[#This Row],[Jira Story Points]]-Tabelle13245[[#This Row],[Spill-over]]))),"-")</f>
        <v>5</v>
      </c>
      <c r="P73" s="173">
        <f>IFERROR(IF(Tabelle13245[[#This Row],[Status]]=$I$5,MIN(Tabelle13245[[#This Row],[Jira Story Points]],Tabelle13245[[#This Row],[Carry-over]]),0),0)</f>
        <v>0</v>
      </c>
      <c r="Q73" s="173">
        <f>IFERROR(IF(Tabelle13245[[#This Row],[Status]]=$I$5,0,MIN(Tabelle13245[[#This Row],[Jira Story Points]],Tabelle13245[[#This Row],[Carry-over]])-Tabelle13245[[#This Row],[SP Completed (COS &amp; SOS)]]),0)</f>
        <v>3</v>
      </c>
    </row>
    <row r="74" spans="1:39" s="46" customFormat="1" ht="14.45" customHeight="1">
      <c r="A74" s="88" t="s">
        <v>2526</v>
      </c>
      <c r="B74" s="46" t="s">
        <v>2527</v>
      </c>
      <c r="C74" s="76" t="s">
        <v>372</v>
      </c>
      <c r="D74" s="76">
        <v>3</v>
      </c>
      <c r="E74" s="76" t="s">
        <v>628</v>
      </c>
      <c r="F74" s="76">
        <v>5</v>
      </c>
      <c r="G74" s="76" t="s">
        <v>21</v>
      </c>
      <c r="H74" s="76"/>
      <c r="I74" s="79" t="s">
        <v>3234</v>
      </c>
      <c r="J74" s="76" t="s">
        <v>127</v>
      </c>
      <c r="K74" s="104">
        <v>5</v>
      </c>
      <c r="L74" s="104">
        <v>1</v>
      </c>
      <c r="M74" s="170">
        <f>IF(Tabelle13245[[#This Row],[Pulled after Start]]="",MIN(Tabelle13245[[#This Row],[Jira Story Points]],Tabelle13245[[#This Row],[Carry-over]]),0)</f>
        <v>5</v>
      </c>
      <c r="N74" s="171">
        <f>MIN(Tabelle13245[[#This Row],[Jira Story Points]],Tabelle13245[[#This Row],[Carry-over]])-Tabelle13245[[#This Row],[SP Initially Planned (COS)]]</f>
        <v>0</v>
      </c>
      <c r="O74" s="172">
        <f>IFERROR(IF(Tabelle13245[[#This Row],[Status]]=$I$5,0,IF(AND(Tabelle13245[[#This Row],[Status]]=$H$5,Tabelle13245[[#This Row],[Spill-over]]=0),0,IF(Tabelle13245[[#This Row],[Carry-over]]&lt;&gt;0,Tabelle13245[[#This Row],[Carry-over]]-Tabelle13245[[#This Row],[Spill-over]],Tabelle13245[[#This Row],[Jira Story Points]]-Tabelle13245[[#This Row],[Spill-over]]))),"-")</f>
        <v>4</v>
      </c>
      <c r="P74" s="173">
        <f>IFERROR(IF(Tabelle13245[[#This Row],[Status]]=$I$5,MIN(Tabelle13245[[#This Row],[Jira Story Points]],Tabelle13245[[#This Row],[Carry-over]]),0),0)</f>
        <v>0</v>
      </c>
      <c r="Q74" s="173">
        <f>IFERROR(IF(Tabelle13245[[#This Row],[Status]]=$I$5,0,MIN(Tabelle13245[[#This Row],[Jira Story Points]],Tabelle13245[[#This Row],[Carry-over]])-Tabelle13245[[#This Row],[SP Completed (COS &amp; SOS)]]),0)</f>
        <v>1</v>
      </c>
    </row>
    <row r="75" spans="1:39" s="46" customFormat="1" ht="14.45" customHeight="1">
      <c r="A75" s="88" t="s">
        <v>3251</v>
      </c>
      <c r="B75" s="47" t="s">
        <v>3252</v>
      </c>
      <c r="C75" s="76" t="s">
        <v>372</v>
      </c>
      <c r="D75" s="76"/>
      <c r="E75" s="76" t="s">
        <v>324</v>
      </c>
      <c r="F75" s="76">
        <v>5</v>
      </c>
      <c r="G75" s="76" t="s">
        <v>5</v>
      </c>
      <c r="H75" s="76"/>
      <c r="I75" s="103"/>
      <c r="J75" s="76" t="s">
        <v>125</v>
      </c>
      <c r="K75" s="76"/>
      <c r="L75" s="76"/>
      <c r="M75" s="170">
        <f>IF(Tabelle13245[[#This Row],[Pulled after Start]]="",MIN(Tabelle13245[[#This Row],[Jira Story Points]],Tabelle13245[[#This Row],[Carry-over]]),0)</f>
        <v>5</v>
      </c>
      <c r="N75" s="171">
        <f>MIN(Tabelle13245[[#This Row],[Jira Story Points]],Tabelle13245[[#This Row],[Carry-over]])-Tabelle13245[[#This Row],[SP Initially Planned (COS)]]</f>
        <v>0</v>
      </c>
      <c r="O75" s="172">
        <f>IFERROR(IF(Tabelle13245[[#This Row],[Status]]=$I$5,0,IF(AND(Tabelle13245[[#This Row],[Status]]=$H$5,Tabelle13245[[#This Row],[Spill-over]]=0),0,IF(Tabelle13245[[#This Row],[Carry-over]]&lt;&gt;0,Tabelle13245[[#This Row],[Carry-over]]-Tabelle13245[[#This Row],[Spill-over]],Tabelle13245[[#This Row],[Jira Story Points]]-Tabelle13245[[#This Row],[Spill-over]]))),"-")</f>
        <v>5</v>
      </c>
      <c r="P75" s="173">
        <f>IFERROR(IF(Tabelle13245[[#This Row],[Status]]=$I$5,MIN(Tabelle13245[[#This Row],[Jira Story Points]],Tabelle13245[[#This Row],[Carry-over]]),0),0)</f>
        <v>0</v>
      </c>
      <c r="Q75" s="173">
        <f>IFERROR(IF(Tabelle13245[[#This Row],[Status]]=$I$5,0,MIN(Tabelle13245[[#This Row],[Jira Story Points]],Tabelle13245[[#This Row],[Carry-over]])-Tabelle13245[[#This Row],[SP Completed (COS &amp; SOS)]]),0)</f>
        <v>0</v>
      </c>
    </row>
    <row r="76" spans="1:39" s="46" customFormat="1" ht="14.45" customHeight="1">
      <c r="A76" s="88" t="s">
        <v>2967</v>
      </c>
      <c r="B76" s="47" t="s">
        <v>2968</v>
      </c>
      <c r="C76" s="76" t="s">
        <v>372</v>
      </c>
      <c r="D76" s="76"/>
      <c r="E76" s="76" t="s">
        <v>327</v>
      </c>
      <c r="F76" s="104">
        <v>3</v>
      </c>
      <c r="G76" s="76" t="s">
        <v>5</v>
      </c>
      <c r="H76" s="83"/>
      <c r="I76" s="103"/>
      <c r="J76" s="76" t="s">
        <v>127</v>
      </c>
      <c r="K76" s="104"/>
      <c r="L76" s="104"/>
      <c r="M76" s="170">
        <f>IF(Tabelle13245[[#This Row],[Pulled after Start]]="",MIN(Tabelle13245[[#This Row],[Jira Story Points]],Tabelle13245[[#This Row],[Carry-over]]),0)</f>
        <v>3</v>
      </c>
      <c r="N76" s="171">
        <f>MIN(Tabelle13245[[#This Row],[Jira Story Points]],Tabelle13245[[#This Row],[Carry-over]])-Tabelle13245[[#This Row],[SP Initially Planned (COS)]]</f>
        <v>0</v>
      </c>
      <c r="O76"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76" s="173">
        <f>IFERROR(IF(Tabelle13245[[#This Row],[Status]]=$I$5,MIN(Tabelle13245[[#This Row],[Jira Story Points]],Tabelle13245[[#This Row],[Carry-over]]),0),0)</f>
        <v>0</v>
      </c>
      <c r="Q76" s="173">
        <f>IFERROR(IF(Tabelle13245[[#This Row],[Status]]=$I$5,0,MIN(Tabelle13245[[#This Row],[Jira Story Points]],Tabelle13245[[#This Row],[Carry-over]])-Tabelle13245[[#This Row],[SP Completed (COS &amp; SOS)]]),0)</f>
        <v>3</v>
      </c>
    </row>
    <row r="77" spans="1:39" s="46" customFormat="1">
      <c r="A77" s="88" t="s">
        <v>3253</v>
      </c>
      <c r="B77" s="46" t="s">
        <v>3254</v>
      </c>
      <c r="C77" s="76" t="s">
        <v>234</v>
      </c>
      <c r="D77" s="76">
        <v>3</v>
      </c>
      <c r="E77" s="76" t="s">
        <v>216</v>
      </c>
      <c r="F77" s="76" t="s">
        <v>210</v>
      </c>
      <c r="G77" s="76" t="s">
        <v>12</v>
      </c>
      <c r="H77" s="76"/>
      <c r="J77" s="76" t="s">
        <v>125</v>
      </c>
      <c r="K77" s="76"/>
      <c r="L77" s="76">
        <v>0</v>
      </c>
      <c r="M77" s="170">
        <f>IF(Tabelle13245[[#This Row],[Pulled after Start]]="",MIN(Tabelle13245[[#This Row],[Jira Story Points]],Tabelle13245[[#This Row],[Carry-over]]),0)</f>
        <v>0</v>
      </c>
      <c r="N77" s="171">
        <f>MIN(Tabelle13245[[#This Row],[Jira Story Points]],Tabelle13245[[#This Row],[Carry-over]])-Tabelle13245[[#This Row],[SP Initially Planned (COS)]]</f>
        <v>0</v>
      </c>
      <c r="O77" s="172" t="str">
        <f>IFERROR(IF(Tabelle13245[[#This Row],[Status]]=$I$5,0,IF(AND(Tabelle13245[[#This Row],[Status]]=$H$5,Tabelle13245[[#This Row],[Spill-over]]=0),0,IF(Tabelle13245[[#This Row],[Carry-over]]&lt;&gt;0,Tabelle13245[[#This Row],[Carry-over]]-Tabelle13245[[#This Row],[Spill-over]],Tabelle13245[[#This Row],[Jira Story Points]]-Tabelle13245[[#This Row],[Spill-over]]))),"-")</f>
        <v>-</v>
      </c>
      <c r="P77" s="173">
        <f>IFERROR(IF(Tabelle13245[[#This Row],[Status]]=$I$5,MIN(Tabelle13245[[#This Row],[Jira Story Points]],Tabelle13245[[#This Row],[Carry-over]]),0),0)</f>
        <v>0</v>
      </c>
      <c r="Q77" s="173">
        <f>IFERROR(IF(Tabelle13245[[#This Row],[Status]]=$I$5,0,MIN(Tabelle13245[[#This Row],[Jira Story Points]],Tabelle13245[[#This Row],[Carry-over]])-Tabelle13245[[#This Row],[SP Completed (COS &amp; SOS)]]),0)</f>
        <v>0</v>
      </c>
    </row>
    <row r="78" spans="1:39" s="46" customFormat="1" ht="13.5" customHeight="1">
      <c r="A78" s="88" t="s">
        <v>3255</v>
      </c>
      <c r="B78" s="46" t="s">
        <v>3256</v>
      </c>
      <c r="C78" s="76" t="s">
        <v>372</v>
      </c>
      <c r="D78" s="76"/>
      <c r="E78" s="76" t="s">
        <v>324</v>
      </c>
      <c r="F78" s="76">
        <v>5</v>
      </c>
      <c r="G78" s="76" t="s">
        <v>5</v>
      </c>
      <c r="H78" s="83"/>
      <c r="I78" s="103"/>
      <c r="J78" s="76" t="s">
        <v>125</v>
      </c>
      <c r="K78" s="104"/>
      <c r="L78" s="104"/>
      <c r="M78" s="170">
        <f>IF(Tabelle13245[[#This Row],[Pulled after Start]]="",MIN(Tabelle13245[[#This Row],[Jira Story Points]],Tabelle13245[[#This Row],[Carry-over]]),0)</f>
        <v>5</v>
      </c>
      <c r="N78" s="171">
        <f>MIN(Tabelle13245[[#This Row],[Jira Story Points]],Tabelle13245[[#This Row],[Carry-over]])-Tabelle13245[[#This Row],[SP Initially Planned (COS)]]</f>
        <v>0</v>
      </c>
      <c r="O78" s="172">
        <f>IFERROR(IF(Tabelle13245[[#This Row],[Status]]=$I$5,0,IF(AND(Tabelle13245[[#This Row],[Status]]=$H$5,Tabelle13245[[#This Row],[Spill-over]]=0),0,IF(Tabelle13245[[#This Row],[Carry-over]]&lt;&gt;0,Tabelle13245[[#This Row],[Carry-over]]-Tabelle13245[[#This Row],[Spill-over]],Tabelle13245[[#This Row],[Jira Story Points]]-Tabelle13245[[#This Row],[Spill-over]]))),"-")</f>
        <v>5</v>
      </c>
      <c r="P78" s="173">
        <f>IFERROR(IF(Tabelle13245[[#This Row],[Status]]=$I$5,MIN(Tabelle13245[[#This Row],[Jira Story Points]],Tabelle13245[[#This Row],[Carry-over]]),0),0)</f>
        <v>0</v>
      </c>
      <c r="Q78" s="173">
        <f>IFERROR(IF(Tabelle13245[[#This Row],[Status]]=$I$5,0,MIN(Tabelle13245[[#This Row],[Jira Story Points]],Tabelle13245[[#This Row],[Carry-over]])-Tabelle13245[[#This Row],[SP Completed (COS &amp; SOS)]]),0)</f>
        <v>0</v>
      </c>
    </row>
    <row r="79" spans="1:39" s="46" customFormat="1" ht="13.5" customHeight="1">
      <c r="A79" s="88" t="s">
        <v>3174</v>
      </c>
      <c r="B79" s="47" t="s">
        <v>3175</v>
      </c>
      <c r="C79" s="76" t="s">
        <v>372</v>
      </c>
      <c r="D79" s="76"/>
      <c r="E79" s="76" t="s">
        <v>327</v>
      </c>
      <c r="F79" s="76">
        <v>5</v>
      </c>
      <c r="G79" s="76" t="s">
        <v>5</v>
      </c>
      <c r="H79" s="83"/>
      <c r="I79" s="103"/>
      <c r="J79" s="76" t="s">
        <v>127</v>
      </c>
      <c r="K79" s="104"/>
      <c r="L79" s="104"/>
      <c r="M79" s="170">
        <f>IF(Tabelle13245[[#This Row],[Pulled after Start]]="",MIN(Tabelle13245[[#This Row],[Jira Story Points]],Tabelle13245[[#This Row],[Carry-over]]),0)</f>
        <v>5</v>
      </c>
      <c r="N79" s="171">
        <f>MIN(Tabelle13245[[#This Row],[Jira Story Points]],Tabelle13245[[#This Row],[Carry-over]])-Tabelle13245[[#This Row],[SP Initially Planned (COS)]]</f>
        <v>0</v>
      </c>
      <c r="O79"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79" s="173">
        <f>IFERROR(IF(Tabelle13245[[#This Row],[Status]]=$I$5,MIN(Tabelle13245[[#This Row],[Jira Story Points]],Tabelle13245[[#This Row],[Carry-over]]),0),0)</f>
        <v>0</v>
      </c>
      <c r="Q79" s="173">
        <f>IFERROR(IF(Tabelle13245[[#This Row],[Status]]=$I$5,0,MIN(Tabelle13245[[#This Row],[Jira Story Points]],Tabelle13245[[#This Row],[Carry-over]])-Tabelle13245[[#This Row],[SP Completed (COS &amp; SOS)]]),0)</f>
        <v>5</v>
      </c>
    </row>
    <row r="80" spans="1:39" s="46" customFormat="1" ht="13.5" customHeight="1">
      <c r="A80" s="88" t="s">
        <v>2757</v>
      </c>
      <c r="B80" s="47" t="s">
        <v>2758</v>
      </c>
      <c r="C80" s="76" t="s">
        <v>382</v>
      </c>
      <c r="D80" s="76"/>
      <c r="E80" s="76" t="s">
        <v>448</v>
      </c>
      <c r="F80" s="76">
        <v>0</v>
      </c>
      <c r="G80" s="76" t="s">
        <v>5</v>
      </c>
      <c r="H80" s="83" t="s">
        <v>209</v>
      </c>
      <c r="I80" s="103"/>
      <c r="J80" s="76" t="s">
        <v>127</v>
      </c>
      <c r="K80" s="104"/>
      <c r="L80" s="104"/>
      <c r="M80" s="170">
        <f>IF(Tabelle13245[[#This Row],[Pulled after Start]]="",MIN(Tabelle13245[[#This Row],[Jira Story Points]],Tabelle13245[[#This Row],[Carry-over]]),0)</f>
        <v>0</v>
      </c>
      <c r="N80" s="171">
        <f>MIN(Tabelle13245[[#This Row],[Jira Story Points]],Tabelle13245[[#This Row],[Carry-over]])-Tabelle13245[[#This Row],[SP Initially Planned (COS)]]</f>
        <v>0</v>
      </c>
      <c r="O80"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80" s="173">
        <f>IFERROR(IF(Tabelle13245[[#This Row],[Status]]=$I$5,MIN(Tabelle13245[[#This Row],[Jira Story Points]],Tabelle13245[[#This Row],[Carry-over]]),0),0)</f>
        <v>0</v>
      </c>
      <c r="Q80" s="173">
        <f>IFERROR(IF(Tabelle13245[[#This Row],[Status]]=$I$5,0,MIN(Tabelle13245[[#This Row],[Jira Story Points]],Tabelle13245[[#This Row],[Carry-over]])-Tabelle13245[[#This Row],[SP Completed (COS &amp; SOS)]]),0)</f>
        <v>0</v>
      </c>
    </row>
    <row r="81" spans="1:17" s="46" customFormat="1" ht="13.5" customHeight="1">
      <c r="A81" s="88" t="s">
        <v>3257</v>
      </c>
      <c r="B81" s="47" t="s">
        <v>3258</v>
      </c>
      <c r="C81" s="76" t="s">
        <v>375</v>
      </c>
      <c r="D81" s="76">
        <v>2</v>
      </c>
      <c r="E81" s="76" t="s">
        <v>324</v>
      </c>
      <c r="F81" s="76">
        <v>3</v>
      </c>
      <c r="G81" s="76" t="s">
        <v>27</v>
      </c>
      <c r="H81" s="76" t="s">
        <v>209</v>
      </c>
      <c r="I81" s="103"/>
      <c r="J81" s="76" t="s">
        <v>125</v>
      </c>
      <c r="K81" s="76"/>
      <c r="L81" s="76"/>
      <c r="M81" s="170">
        <f>IF(Tabelle13245[[#This Row],[Pulled after Start]]="",MIN(Tabelle13245[[#This Row],[Jira Story Points]],Tabelle13245[[#This Row],[Carry-over]]),0)</f>
        <v>0</v>
      </c>
      <c r="N81" s="171">
        <f>MIN(Tabelle13245[[#This Row],[Jira Story Points]],Tabelle13245[[#This Row],[Carry-over]])-Tabelle13245[[#This Row],[SP Initially Planned (COS)]]</f>
        <v>3</v>
      </c>
      <c r="O81"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81" s="173">
        <f>IFERROR(IF(Tabelle13245[[#This Row],[Status]]=$I$5,MIN(Tabelle13245[[#This Row],[Jira Story Points]],Tabelle13245[[#This Row],[Carry-over]]),0),0)</f>
        <v>0</v>
      </c>
      <c r="Q81" s="173">
        <f>IFERROR(IF(Tabelle13245[[#This Row],[Status]]=$I$5,0,MIN(Tabelle13245[[#This Row],[Jira Story Points]],Tabelle13245[[#This Row],[Carry-over]])-Tabelle13245[[#This Row],[SP Completed (COS &amp; SOS)]]),0)</f>
        <v>0</v>
      </c>
    </row>
    <row r="82" spans="1:17" s="46" customFormat="1" ht="13.5" customHeight="1">
      <c r="A82" s="117" t="s">
        <v>3259</v>
      </c>
      <c r="B82" s="47" t="s">
        <v>3260</v>
      </c>
      <c r="C82" s="76" t="s">
        <v>222</v>
      </c>
      <c r="D82" s="76">
        <v>3</v>
      </c>
      <c r="E82" s="76" t="s">
        <v>216</v>
      </c>
      <c r="F82" s="104">
        <v>1</v>
      </c>
      <c r="G82" s="76" t="s">
        <v>12</v>
      </c>
      <c r="H82" s="83" t="s">
        <v>209</v>
      </c>
      <c r="I82" s="103"/>
      <c r="J82" s="76" t="s">
        <v>125</v>
      </c>
      <c r="K82" s="104"/>
      <c r="L82" s="104">
        <v>0</v>
      </c>
      <c r="M82" s="170">
        <f>IF(Tabelle13245[[#This Row],[Pulled after Start]]="",MIN(Tabelle13245[[#This Row],[Jira Story Points]],Tabelle13245[[#This Row],[Carry-over]]),0)</f>
        <v>0</v>
      </c>
      <c r="N82" s="171">
        <f>MIN(Tabelle13245[[#This Row],[Jira Story Points]],Tabelle13245[[#This Row],[Carry-over]])-Tabelle13245[[#This Row],[SP Initially Planned (COS)]]</f>
        <v>1</v>
      </c>
      <c r="O82" s="172">
        <f>IFERROR(IF(Tabelle13245[[#This Row],[Status]]=$I$5,0,IF(AND(Tabelle13245[[#This Row],[Status]]=$H$5,Tabelle13245[[#This Row],[Spill-over]]=0),0,IF(Tabelle13245[[#This Row],[Carry-over]]&lt;&gt;0,Tabelle13245[[#This Row],[Carry-over]]-Tabelle13245[[#This Row],[Spill-over]],Tabelle13245[[#This Row],[Jira Story Points]]-Tabelle13245[[#This Row],[Spill-over]]))),"-")</f>
        <v>1</v>
      </c>
      <c r="P82" s="173">
        <f>IFERROR(IF(Tabelle13245[[#This Row],[Status]]=$I$5,MIN(Tabelle13245[[#This Row],[Jira Story Points]],Tabelle13245[[#This Row],[Carry-over]]),0),0)</f>
        <v>0</v>
      </c>
      <c r="Q82" s="173">
        <f>IFERROR(IF(Tabelle13245[[#This Row],[Status]]=$I$5,0,MIN(Tabelle13245[[#This Row],[Jira Story Points]],Tabelle13245[[#This Row],[Carry-over]])-Tabelle13245[[#This Row],[SP Completed (COS &amp; SOS)]]),0)</f>
        <v>0</v>
      </c>
    </row>
    <row r="83" spans="1:17" s="46" customFormat="1" ht="13.5" customHeight="1">
      <c r="A83" s="88" t="s">
        <v>2633</v>
      </c>
      <c r="B83" s="46" t="s">
        <v>2634</v>
      </c>
      <c r="C83" s="76" t="s">
        <v>372</v>
      </c>
      <c r="D83" s="76">
        <v>2</v>
      </c>
      <c r="E83" s="76" t="s">
        <v>327</v>
      </c>
      <c r="F83" s="76">
        <v>5</v>
      </c>
      <c r="G83" s="76" t="s">
        <v>21</v>
      </c>
      <c r="H83" s="76"/>
      <c r="I83" s="103"/>
      <c r="J83" s="76" t="s">
        <v>127</v>
      </c>
      <c r="K83" s="104">
        <v>5</v>
      </c>
      <c r="L83" s="104">
        <v>5</v>
      </c>
      <c r="M83" s="170">
        <f>IF(Tabelle13245[[#This Row],[Pulled after Start]]="",MIN(Tabelle13245[[#This Row],[Jira Story Points]],Tabelle13245[[#This Row],[Carry-over]]),0)</f>
        <v>5</v>
      </c>
      <c r="N83" s="171">
        <f>MIN(Tabelle13245[[#This Row],[Jira Story Points]],Tabelle13245[[#This Row],[Carry-over]])-Tabelle13245[[#This Row],[SP Initially Planned (COS)]]</f>
        <v>0</v>
      </c>
      <c r="O83"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83" s="173">
        <f>IFERROR(IF(Tabelle13245[[#This Row],[Status]]=$I$5,MIN(Tabelle13245[[#This Row],[Jira Story Points]],Tabelle13245[[#This Row],[Carry-over]]),0),0)</f>
        <v>0</v>
      </c>
      <c r="Q83" s="173">
        <f>IFERROR(IF(Tabelle13245[[#This Row],[Status]]=$I$5,0,MIN(Tabelle13245[[#This Row],[Jira Story Points]],Tabelle13245[[#This Row],[Carry-over]])-Tabelle13245[[#This Row],[SP Completed (COS &amp; SOS)]]),0)</f>
        <v>5</v>
      </c>
    </row>
    <row r="84" spans="1:17" s="46" customFormat="1" ht="13.5" customHeight="1">
      <c r="A84" s="88" t="s">
        <v>2741</v>
      </c>
      <c r="B84" s="47" t="s">
        <v>2742</v>
      </c>
      <c r="C84" s="76" t="s">
        <v>382</v>
      </c>
      <c r="D84" s="76"/>
      <c r="E84" s="76" t="s">
        <v>330</v>
      </c>
      <c r="F84" s="76">
        <v>0</v>
      </c>
      <c r="G84" s="76" t="s">
        <v>5</v>
      </c>
      <c r="H84" s="83" t="s">
        <v>209</v>
      </c>
      <c r="I84" s="103"/>
      <c r="J84" s="76" t="s">
        <v>127</v>
      </c>
      <c r="K84" s="104"/>
      <c r="L84" s="104"/>
      <c r="M84" s="170">
        <f>IF(Tabelle13245[[#This Row],[Pulled after Start]]="",MIN(Tabelle13245[[#This Row],[Jira Story Points]],Tabelle13245[[#This Row],[Carry-over]]),0)</f>
        <v>0</v>
      </c>
      <c r="N84" s="171">
        <f>MIN(Tabelle13245[[#This Row],[Jira Story Points]],Tabelle13245[[#This Row],[Carry-over]])-Tabelle13245[[#This Row],[SP Initially Planned (COS)]]</f>
        <v>0</v>
      </c>
      <c r="O84"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84" s="173">
        <f>IFERROR(IF(Tabelle13245[[#This Row],[Status]]=$I$5,MIN(Tabelle13245[[#This Row],[Jira Story Points]],Tabelle13245[[#This Row],[Carry-over]]),0),0)</f>
        <v>0</v>
      </c>
      <c r="Q84" s="173">
        <f>IFERROR(IF(Tabelle13245[[#This Row],[Status]]=$I$5,0,MIN(Tabelle13245[[#This Row],[Jira Story Points]],Tabelle13245[[#This Row],[Carry-over]])-Tabelle13245[[#This Row],[SP Completed (COS &amp; SOS)]]),0)</f>
        <v>0</v>
      </c>
    </row>
    <row r="85" spans="1:17" s="46" customFormat="1" ht="13.5" customHeight="1">
      <c r="A85" s="110" t="s">
        <v>2873</v>
      </c>
      <c r="B85" s="110" t="s">
        <v>2874</v>
      </c>
      <c r="C85" s="76" t="s">
        <v>375</v>
      </c>
      <c r="D85" s="76">
        <v>2</v>
      </c>
      <c r="E85" s="110" t="s">
        <v>327</v>
      </c>
      <c r="F85" s="104">
        <v>3</v>
      </c>
      <c r="G85" s="76" t="s">
        <v>107</v>
      </c>
      <c r="H85" s="83" t="s">
        <v>209</v>
      </c>
      <c r="I85" s="103" t="s">
        <v>3261</v>
      </c>
      <c r="J85" s="76" t="s">
        <v>127</v>
      </c>
      <c r="K85" s="104"/>
      <c r="L85" s="104">
        <v>3</v>
      </c>
      <c r="M85" s="170">
        <f>IF(Tabelle13245[[#This Row],[Pulled after Start]]="",MIN(Tabelle13245[[#This Row],[Jira Story Points]],Tabelle13245[[#This Row],[Carry-over]]),0)</f>
        <v>0</v>
      </c>
      <c r="N85" s="171">
        <f>MIN(Tabelle13245[[#This Row],[Jira Story Points]],Tabelle13245[[#This Row],[Carry-over]])-Tabelle13245[[#This Row],[SP Initially Planned (COS)]]</f>
        <v>3</v>
      </c>
      <c r="O85"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85" s="173">
        <f>IFERROR(IF(Tabelle13245[[#This Row],[Status]]=$I$5,MIN(Tabelle13245[[#This Row],[Jira Story Points]],Tabelle13245[[#This Row],[Carry-over]]),0),0)</f>
        <v>0</v>
      </c>
      <c r="Q85" s="173">
        <f>IFERROR(IF(Tabelle13245[[#This Row],[Status]]=$I$5,0,MIN(Tabelle13245[[#This Row],[Jira Story Points]],Tabelle13245[[#This Row],[Carry-over]])-Tabelle13245[[#This Row],[SP Completed (COS &amp; SOS)]]),0)</f>
        <v>3</v>
      </c>
    </row>
    <row r="86" spans="1:17" s="46" customFormat="1" ht="13.5" customHeight="1">
      <c r="A86" s="88" t="s">
        <v>3262</v>
      </c>
      <c r="B86" s="46" t="s">
        <v>3263</v>
      </c>
      <c r="C86" s="76" t="s">
        <v>372</v>
      </c>
      <c r="D86" s="76">
        <v>3</v>
      </c>
      <c r="E86" s="76" t="s">
        <v>324</v>
      </c>
      <c r="F86" s="76">
        <v>3</v>
      </c>
      <c r="G86" s="76" t="s">
        <v>27</v>
      </c>
      <c r="H86" s="76" t="s">
        <v>209</v>
      </c>
      <c r="I86" s="103"/>
      <c r="J86" s="76" t="s">
        <v>125</v>
      </c>
      <c r="K86" s="104"/>
      <c r="L86" s="104"/>
      <c r="M86" s="170">
        <f>IF(Tabelle13245[[#This Row],[Pulled after Start]]="",MIN(Tabelle13245[[#This Row],[Jira Story Points]],Tabelle13245[[#This Row],[Carry-over]]),0)</f>
        <v>0</v>
      </c>
      <c r="N86" s="171">
        <f>MIN(Tabelle13245[[#This Row],[Jira Story Points]],Tabelle13245[[#This Row],[Carry-over]])-Tabelle13245[[#This Row],[SP Initially Planned (COS)]]</f>
        <v>3</v>
      </c>
      <c r="O86"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86" s="173">
        <f>IFERROR(IF(Tabelle13245[[#This Row],[Status]]=$I$5,MIN(Tabelle13245[[#This Row],[Jira Story Points]],Tabelle13245[[#This Row],[Carry-over]]),0),0)</f>
        <v>0</v>
      </c>
      <c r="Q86" s="173">
        <f>IFERROR(IF(Tabelle13245[[#This Row],[Status]]=$I$5,0,MIN(Tabelle13245[[#This Row],[Jira Story Points]],Tabelle13245[[#This Row],[Carry-over]])-Tabelle13245[[#This Row],[SP Completed (COS &amp; SOS)]]),0)</f>
        <v>0</v>
      </c>
    </row>
    <row r="87" spans="1:17" s="46" customFormat="1" ht="13.5" customHeight="1">
      <c r="A87" s="88" t="s">
        <v>3264</v>
      </c>
      <c r="B87" s="47" t="s">
        <v>3265</v>
      </c>
      <c r="C87" s="76" t="s">
        <v>372</v>
      </c>
      <c r="D87" s="76">
        <v>3</v>
      </c>
      <c r="E87" s="76" t="s">
        <v>324</v>
      </c>
      <c r="F87" s="76">
        <v>2</v>
      </c>
      <c r="G87" s="76" t="s">
        <v>27</v>
      </c>
      <c r="H87" s="76" t="s">
        <v>209</v>
      </c>
      <c r="I87" s="103"/>
      <c r="J87" s="76" t="s">
        <v>125</v>
      </c>
      <c r="K87" s="104"/>
      <c r="L87" s="104"/>
      <c r="M87" s="170">
        <f>IF(Tabelle13245[[#This Row],[Pulled after Start]]="",MIN(Tabelle13245[[#This Row],[Jira Story Points]],Tabelle13245[[#This Row],[Carry-over]]),0)</f>
        <v>0</v>
      </c>
      <c r="N87" s="171">
        <f>MIN(Tabelle13245[[#This Row],[Jira Story Points]],Tabelle13245[[#This Row],[Carry-over]])-Tabelle13245[[#This Row],[SP Initially Planned (COS)]]</f>
        <v>2</v>
      </c>
      <c r="O87"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87" s="173">
        <f>IFERROR(IF(Tabelle13245[[#This Row],[Status]]=$I$5,MIN(Tabelle13245[[#This Row],[Jira Story Points]],Tabelle13245[[#This Row],[Carry-over]]),0),0)</f>
        <v>0</v>
      </c>
      <c r="Q87" s="173">
        <f>IFERROR(IF(Tabelle13245[[#This Row],[Status]]=$I$5,0,MIN(Tabelle13245[[#This Row],[Jira Story Points]],Tabelle13245[[#This Row],[Carry-over]])-Tabelle13245[[#This Row],[SP Completed (COS &amp; SOS)]]),0)</f>
        <v>0</v>
      </c>
    </row>
    <row r="88" spans="1:17" s="46" customFormat="1" ht="13.5" customHeight="1">
      <c r="A88" s="88" t="s">
        <v>3266</v>
      </c>
      <c r="B88" s="47" t="s">
        <v>3267</v>
      </c>
      <c r="C88" s="76" t="s">
        <v>372</v>
      </c>
      <c r="D88" s="76"/>
      <c r="E88" s="76" t="s">
        <v>327</v>
      </c>
      <c r="F88" s="76">
        <v>1</v>
      </c>
      <c r="G88" s="76" t="s">
        <v>5</v>
      </c>
      <c r="H88" s="83" t="s">
        <v>209</v>
      </c>
      <c r="I88" s="103"/>
      <c r="J88" s="76" t="s">
        <v>127</v>
      </c>
      <c r="K88" s="104"/>
      <c r="L88" s="104"/>
      <c r="M88" s="170">
        <f>IF(Tabelle13245[[#This Row],[Pulled after Start]]="",MIN(Tabelle13245[[#This Row],[Jira Story Points]],Tabelle13245[[#This Row],[Carry-over]]),0)</f>
        <v>0</v>
      </c>
      <c r="N88" s="171">
        <f>MIN(Tabelle13245[[#This Row],[Jira Story Points]],Tabelle13245[[#This Row],[Carry-over]])-Tabelle13245[[#This Row],[SP Initially Planned (COS)]]</f>
        <v>1</v>
      </c>
      <c r="O88"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88" s="173">
        <f>IFERROR(IF(Tabelle13245[[#This Row],[Status]]=$I$5,MIN(Tabelle13245[[#This Row],[Jira Story Points]],Tabelle13245[[#This Row],[Carry-over]]),0),0)</f>
        <v>0</v>
      </c>
      <c r="Q88" s="173">
        <f>IFERROR(IF(Tabelle13245[[#This Row],[Status]]=$I$5,0,MIN(Tabelle13245[[#This Row],[Jira Story Points]],Tabelle13245[[#This Row],[Carry-over]])-Tabelle13245[[#This Row],[SP Completed (COS &amp; SOS)]]),0)</f>
        <v>1</v>
      </c>
    </row>
    <row r="89" spans="1:17" s="46" customFormat="1" ht="13.5" customHeight="1">
      <c r="A89" s="88" t="s">
        <v>3268</v>
      </c>
      <c r="B89" s="47" t="s">
        <v>3269</v>
      </c>
      <c r="C89" s="76" t="s">
        <v>372</v>
      </c>
      <c r="D89" s="76">
        <v>2</v>
      </c>
      <c r="E89" s="76" t="s">
        <v>324</v>
      </c>
      <c r="F89" s="76">
        <v>5</v>
      </c>
      <c r="G89" s="76" t="s">
        <v>27</v>
      </c>
      <c r="H89" s="76" t="s">
        <v>209</v>
      </c>
      <c r="I89" s="103"/>
      <c r="J89" s="76" t="s">
        <v>125</v>
      </c>
      <c r="K89" s="104"/>
      <c r="L89" s="104"/>
      <c r="M89" s="170">
        <f>IF(Tabelle13245[[#This Row],[Pulled after Start]]="",MIN(Tabelle13245[[#This Row],[Jira Story Points]],Tabelle13245[[#This Row],[Carry-over]]),0)</f>
        <v>0</v>
      </c>
      <c r="N89" s="171">
        <f>MIN(Tabelle13245[[#This Row],[Jira Story Points]],Tabelle13245[[#This Row],[Carry-over]])-Tabelle13245[[#This Row],[SP Initially Planned (COS)]]</f>
        <v>5</v>
      </c>
      <c r="O89" s="172">
        <f>IFERROR(IF(Tabelle13245[[#This Row],[Status]]=$I$5,0,IF(AND(Tabelle13245[[#This Row],[Status]]=$H$5,Tabelle13245[[#This Row],[Spill-over]]=0),0,IF(Tabelle13245[[#This Row],[Carry-over]]&lt;&gt;0,Tabelle13245[[#This Row],[Carry-over]]-Tabelle13245[[#This Row],[Spill-over]],Tabelle13245[[#This Row],[Jira Story Points]]-Tabelle13245[[#This Row],[Spill-over]]))),"-")</f>
        <v>5</v>
      </c>
      <c r="P89" s="173">
        <f>IFERROR(IF(Tabelle13245[[#This Row],[Status]]=$I$5,MIN(Tabelle13245[[#This Row],[Jira Story Points]],Tabelle13245[[#This Row],[Carry-over]]),0),0)</f>
        <v>0</v>
      </c>
      <c r="Q89" s="173">
        <f>IFERROR(IF(Tabelle13245[[#This Row],[Status]]=$I$5,0,MIN(Tabelle13245[[#This Row],[Jira Story Points]],Tabelle13245[[#This Row],[Carry-over]])-Tabelle13245[[#This Row],[SP Completed (COS &amp; SOS)]]),0)</f>
        <v>0</v>
      </c>
    </row>
    <row r="90" spans="1:17" s="46" customFormat="1" ht="13.5" customHeight="1">
      <c r="A90" s="88" t="s">
        <v>3270</v>
      </c>
      <c r="B90" s="46" t="s">
        <v>3271</v>
      </c>
      <c r="C90" s="76" t="s">
        <v>375</v>
      </c>
      <c r="D90" s="76"/>
      <c r="E90" s="76" t="s">
        <v>324</v>
      </c>
      <c r="F90" s="76">
        <v>3</v>
      </c>
      <c r="G90" s="76" t="s">
        <v>5</v>
      </c>
      <c r="H90" s="83" t="s">
        <v>209</v>
      </c>
      <c r="I90" s="103"/>
      <c r="J90" s="76" t="s">
        <v>125</v>
      </c>
      <c r="K90" s="104"/>
      <c r="L90" s="104"/>
      <c r="M90" s="170">
        <f>IF(Tabelle13245[[#This Row],[Pulled after Start]]="",MIN(Tabelle13245[[#This Row],[Jira Story Points]],Tabelle13245[[#This Row],[Carry-over]]),0)</f>
        <v>0</v>
      </c>
      <c r="N90" s="171">
        <f>MIN(Tabelle13245[[#This Row],[Jira Story Points]],Tabelle13245[[#This Row],[Carry-over]])-Tabelle13245[[#This Row],[SP Initially Planned (COS)]]</f>
        <v>3</v>
      </c>
      <c r="O90"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90" s="173">
        <f>IFERROR(IF(Tabelle13245[[#This Row],[Status]]=$I$5,MIN(Tabelle13245[[#This Row],[Jira Story Points]],Tabelle13245[[#This Row],[Carry-over]]),0),0)</f>
        <v>0</v>
      </c>
      <c r="Q90" s="173">
        <f>IFERROR(IF(Tabelle13245[[#This Row],[Status]]=$I$5,0,MIN(Tabelle13245[[#This Row],[Jira Story Points]],Tabelle13245[[#This Row],[Carry-over]])-Tabelle13245[[#This Row],[SP Completed (COS &amp; SOS)]]),0)</f>
        <v>0</v>
      </c>
    </row>
    <row r="91" spans="1:17" s="46" customFormat="1" ht="13.5" customHeight="1">
      <c r="A91" s="88" t="s">
        <v>3272</v>
      </c>
      <c r="B91" s="47" t="s">
        <v>3273</v>
      </c>
      <c r="C91" s="76" t="s">
        <v>372</v>
      </c>
      <c r="D91" s="76">
        <v>3</v>
      </c>
      <c r="E91" s="76" t="s">
        <v>324</v>
      </c>
      <c r="F91" s="76">
        <v>1</v>
      </c>
      <c r="G91" s="76" t="s">
        <v>27</v>
      </c>
      <c r="H91" s="76" t="s">
        <v>209</v>
      </c>
      <c r="I91" s="103"/>
      <c r="J91" s="76" t="s">
        <v>125</v>
      </c>
      <c r="K91" s="76"/>
      <c r="L91" s="76"/>
      <c r="M91" s="170">
        <f>IF(Tabelle13245[[#This Row],[Pulled after Start]]="",MIN(Tabelle13245[[#This Row],[Jira Story Points]],Tabelle13245[[#This Row],[Carry-over]]),0)</f>
        <v>0</v>
      </c>
      <c r="N91" s="171">
        <f>MIN(Tabelle13245[[#This Row],[Jira Story Points]],Tabelle13245[[#This Row],[Carry-over]])-Tabelle13245[[#This Row],[SP Initially Planned (COS)]]</f>
        <v>1</v>
      </c>
      <c r="O91" s="172">
        <f>IFERROR(IF(Tabelle13245[[#This Row],[Status]]=$I$5,0,IF(AND(Tabelle13245[[#This Row],[Status]]=$H$5,Tabelle13245[[#This Row],[Spill-over]]=0),0,IF(Tabelle13245[[#This Row],[Carry-over]]&lt;&gt;0,Tabelle13245[[#This Row],[Carry-over]]-Tabelle13245[[#This Row],[Spill-over]],Tabelle13245[[#This Row],[Jira Story Points]]-Tabelle13245[[#This Row],[Spill-over]]))),"-")</f>
        <v>1</v>
      </c>
      <c r="P91" s="173">
        <f>IFERROR(IF(Tabelle13245[[#This Row],[Status]]=$I$5,MIN(Tabelle13245[[#This Row],[Jira Story Points]],Tabelle13245[[#This Row],[Carry-over]]),0),0)</f>
        <v>0</v>
      </c>
      <c r="Q91" s="173">
        <f>IFERROR(IF(Tabelle13245[[#This Row],[Status]]=$I$5,0,MIN(Tabelle13245[[#This Row],[Jira Story Points]],Tabelle13245[[#This Row],[Carry-over]])-Tabelle13245[[#This Row],[SP Completed (COS &amp; SOS)]]),0)</f>
        <v>0</v>
      </c>
    </row>
    <row r="92" spans="1:17" s="46" customFormat="1" ht="13.5" customHeight="1">
      <c r="A92" s="88" t="s">
        <v>3274</v>
      </c>
      <c r="B92" s="47" t="s">
        <v>3275</v>
      </c>
      <c r="C92" s="76" t="s">
        <v>375</v>
      </c>
      <c r="D92" s="76">
        <v>1</v>
      </c>
      <c r="E92" s="76" t="s">
        <v>324</v>
      </c>
      <c r="F92" s="76" t="s">
        <v>210</v>
      </c>
      <c r="G92" s="76" t="s">
        <v>27</v>
      </c>
      <c r="H92" s="83" t="s">
        <v>209</v>
      </c>
      <c r="I92" s="103"/>
      <c r="J92" s="76" t="s">
        <v>125</v>
      </c>
      <c r="K92" s="104"/>
      <c r="L92" s="104"/>
      <c r="M92" s="170">
        <f>IF(Tabelle13245[[#This Row],[Pulled after Start]]="",MIN(Tabelle13245[[#This Row],[Jira Story Points]],Tabelle13245[[#This Row],[Carry-over]]),0)</f>
        <v>0</v>
      </c>
      <c r="N92" s="171">
        <f>MIN(Tabelle13245[[#This Row],[Jira Story Points]],Tabelle13245[[#This Row],[Carry-over]])-Tabelle13245[[#This Row],[SP Initially Planned (COS)]]</f>
        <v>0</v>
      </c>
      <c r="O92" s="172" t="str">
        <f>IFERROR(IF(Tabelle13245[[#This Row],[Status]]=$I$5,0,IF(AND(Tabelle13245[[#This Row],[Status]]=$H$5,Tabelle13245[[#This Row],[Spill-over]]=0),0,IF(Tabelle13245[[#This Row],[Carry-over]]&lt;&gt;0,Tabelle13245[[#This Row],[Carry-over]]-Tabelle13245[[#This Row],[Spill-over]],Tabelle13245[[#This Row],[Jira Story Points]]-Tabelle13245[[#This Row],[Spill-over]]))),"-")</f>
        <v>-</v>
      </c>
      <c r="P92" s="173">
        <f>IFERROR(IF(Tabelle13245[[#This Row],[Status]]=$I$5,MIN(Tabelle13245[[#This Row],[Jira Story Points]],Tabelle13245[[#This Row],[Carry-over]]),0),0)</f>
        <v>0</v>
      </c>
      <c r="Q92" s="173">
        <f>IFERROR(IF(Tabelle13245[[#This Row],[Status]]=$I$5,0,MIN(Tabelle13245[[#This Row],[Jira Story Points]],Tabelle13245[[#This Row],[Carry-over]])-Tabelle13245[[#This Row],[SP Completed (COS &amp; SOS)]]),0)</f>
        <v>0</v>
      </c>
    </row>
    <row r="93" spans="1:17" s="46" customFormat="1" ht="13.5" customHeight="1">
      <c r="A93" s="88" t="s">
        <v>3276</v>
      </c>
      <c r="B93" s="47" t="s">
        <v>3277</v>
      </c>
      <c r="C93" s="76" t="s">
        <v>372</v>
      </c>
      <c r="D93" s="76">
        <v>3</v>
      </c>
      <c r="E93" s="76" t="s">
        <v>324</v>
      </c>
      <c r="F93" s="76">
        <v>1</v>
      </c>
      <c r="G93" s="76" t="s">
        <v>27</v>
      </c>
      <c r="H93" s="76" t="s">
        <v>209</v>
      </c>
      <c r="I93" s="103"/>
      <c r="J93" s="76" t="s">
        <v>125</v>
      </c>
      <c r="K93" s="76"/>
      <c r="L93" s="76"/>
      <c r="M93" s="170">
        <f>IF(Tabelle13245[[#This Row],[Pulled after Start]]="",MIN(Tabelle13245[[#This Row],[Jira Story Points]],Tabelle13245[[#This Row],[Carry-over]]),0)</f>
        <v>0</v>
      </c>
      <c r="N93" s="171">
        <f>MIN(Tabelle13245[[#This Row],[Jira Story Points]],Tabelle13245[[#This Row],[Carry-over]])-Tabelle13245[[#This Row],[SP Initially Planned (COS)]]</f>
        <v>1</v>
      </c>
      <c r="O93" s="172">
        <f>IFERROR(IF(Tabelle13245[[#This Row],[Status]]=$I$5,0,IF(AND(Tabelle13245[[#This Row],[Status]]=$H$5,Tabelle13245[[#This Row],[Spill-over]]=0),0,IF(Tabelle13245[[#This Row],[Carry-over]]&lt;&gt;0,Tabelle13245[[#This Row],[Carry-over]]-Tabelle13245[[#This Row],[Spill-over]],Tabelle13245[[#This Row],[Jira Story Points]]-Tabelle13245[[#This Row],[Spill-over]]))),"-")</f>
        <v>1</v>
      </c>
      <c r="P93" s="173">
        <f>IFERROR(IF(Tabelle13245[[#This Row],[Status]]=$I$5,MIN(Tabelle13245[[#This Row],[Jira Story Points]],Tabelle13245[[#This Row],[Carry-over]]),0),0)</f>
        <v>0</v>
      </c>
      <c r="Q93" s="173">
        <f>IFERROR(IF(Tabelle13245[[#This Row],[Status]]=$I$5,0,MIN(Tabelle13245[[#This Row],[Jira Story Points]],Tabelle13245[[#This Row],[Carry-over]])-Tabelle13245[[#This Row],[SP Completed (COS &amp; SOS)]]),0)</f>
        <v>0</v>
      </c>
    </row>
    <row r="94" spans="1:17" s="46" customFormat="1" ht="13.5" customHeight="1">
      <c r="A94" s="165" t="s">
        <v>3037</v>
      </c>
      <c r="B94" s="47" t="s">
        <v>3038</v>
      </c>
      <c r="C94" s="76" t="s">
        <v>372</v>
      </c>
      <c r="D94" s="76">
        <v>3</v>
      </c>
      <c r="E94" s="76" t="s">
        <v>327</v>
      </c>
      <c r="F94" s="104">
        <v>5</v>
      </c>
      <c r="G94" s="76" t="s">
        <v>9</v>
      </c>
      <c r="H94" s="76" t="s">
        <v>209</v>
      </c>
      <c r="I94" s="103"/>
      <c r="J94" s="76" t="s">
        <v>127</v>
      </c>
      <c r="K94" s="104"/>
      <c r="L94" s="104">
        <v>1</v>
      </c>
      <c r="M94" s="170">
        <f>IF(Tabelle13245[[#This Row],[Pulled after Start]]="",MIN(Tabelle13245[[#This Row],[Jira Story Points]],Tabelle13245[[#This Row],[Carry-over]]),0)</f>
        <v>0</v>
      </c>
      <c r="N94" s="171">
        <f>MIN(Tabelle13245[[#This Row],[Jira Story Points]],Tabelle13245[[#This Row],[Carry-over]])-Tabelle13245[[#This Row],[SP Initially Planned (COS)]]</f>
        <v>5</v>
      </c>
      <c r="O94" s="172">
        <f>IFERROR(IF(Tabelle13245[[#This Row],[Status]]=$I$5,0,IF(AND(Tabelle13245[[#This Row],[Status]]=$H$5,Tabelle13245[[#This Row],[Spill-over]]=0),0,IF(Tabelle13245[[#This Row],[Carry-over]]&lt;&gt;0,Tabelle13245[[#This Row],[Carry-over]]-Tabelle13245[[#This Row],[Spill-over]],Tabelle13245[[#This Row],[Jira Story Points]]-Tabelle13245[[#This Row],[Spill-over]]))),"-")</f>
        <v>4</v>
      </c>
      <c r="P94" s="173">
        <f>IFERROR(IF(Tabelle13245[[#This Row],[Status]]=$I$5,MIN(Tabelle13245[[#This Row],[Jira Story Points]],Tabelle13245[[#This Row],[Carry-over]]),0),0)</f>
        <v>0</v>
      </c>
      <c r="Q94" s="173">
        <f>IFERROR(IF(Tabelle13245[[#This Row],[Status]]=$I$5,0,MIN(Tabelle13245[[#This Row],[Jira Story Points]],Tabelle13245[[#This Row],[Carry-over]])-Tabelle13245[[#This Row],[SP Completed (COS &amp; SOS)]]),0)</f>
        <v>1</v>
      </c>
    </row>
    <row r="95" spans="1:17" s="46" customFormat="1" ht="13.5" customHeight="1">
      <c r="A95" s="165" t="s">
        <v>3278</v>
      </c>
      <c r="B95" s="47" t="s">
        <v>3279</v>
      </c>
      <c r="C95" s="76" t="s">
        <v>372</v>
      </c>
      <c r="D95" s="76">
        <v>3</v>
      </c>
      <c r="E95" s="76" t="s">
        <v>324</v>
      </c>
      <c r="F95" s="104">
        <v>5</v>
      </c>
      <c r="G95" s="76" t="s">
        <v>9</v>
      </c>
      <c r="H95" s="76" t="s">
        <v>209</v>
      </c>
      <c r="I95" s="103"/>
      <c r="J95" s="76" t="s">
        <v>125</v>
      </c>
      <c r="K95" s="104"/>
      <c r="L95" s="104"/>
      <c r="M95" s="170">
        <f>IF(Tabelle13245[[#This Row],[Pulled after Start]]="",MIN(Tabelle13245[[#This Row],[Jira Story Points]],Tabelle13245[[#This Row],[Carry-over]]),0)</f>
        <v>0</v>
      </c>
      <c r="N95" s="171">
        <f>MIN(Tabelle13245[[#This Row],[Jira Story Points]],Tabelle13245[[#This Row],[Carry-over]])-Tabelle13245[[#This Row],[SP Initially Planned (COS)]]</f>
        <v>5</v>
      </c>
      <c r="O95" s="172">
        <f>IFERROR(IF(Tabelle13245[[#This Row],[Status]]=$I$5,0,IF(AND(Tabelle13245[[#This Row],[Status]]=$H$5,Tabelle13245[[#This Row],[Spill-over]]=0),0,IF(Tabelle13245[[#This Row],[Carry-over]]&lt;&gt;0,Tabelle13245[[#This Row],[Carry-over]]-Tabelle13245[[#This Row],[Spill-over]],Tabelle13245[[#This Row],[Jira Story Points]]-Tabelle13245[[#This Row],[Spill-over]]))),"-")</f>
        <v>5</v>
      </c>
      <c r="P95" s="173">
        <f>IFERROR(IF(Tabelle13245[[#This Row],[Status]]=$I$5,MIN(Tabelle13245[[#This Row],[Jira Story Points]],Tabelle13245[[#This Row],[Carry-over]]),0),0)</f>
        <v>0</v>
      </c>
      <c r="Q95" s="173">
        <f>IFERROR(IF(Tabelle13245[[#This Row],[Status]]=$I$5,0,MIN(Tabelle13245[[#This Row],[Jira Story Points]],Tabelle13245[[#This Row],[Carry-over]])-Tabelle13245[[#This Row],[SP Completed (COS &amp; SOS)]]),0)</f>
        <v>0</v>
      </c>
    </row>
    <row r="96" spans="1:17" s="46" customFormat="1" ht="13.5" customHeight="1">
      <c r="A96" s="165" t="s">
        <v>3280</v>
      </c>
      <c r="B96" s="47" t="s">
        <v>3281</v>
      </c>
      <c r="C96" s="76" t="s">
        <v>372</v>
      </c>
      <c r="D96" s="76">
        <v>3</v>
      </c>
      <c r="E96" s="76" t="s">
        <v>324</v>
      </c>
      <c r="F96" s="104">
        <v>3</v>
      </c>
      <c r="G96" s="76" t="s">
        <v>9</v>
      </c>
      <c r="H96" s="76" t="s">
        <v>209</v>
      </c>
      <c r="I96" s="103"/>
      <c r="J96" s="76" t="s">
        <v>125</v>
      </c>
      <c r="K96" s="104"/>
      <c r="L96" s="104"/>
      <c r="M96" s="170">
        <f>IF(Tabelle13245[[#This Row],[Pulled after Start]]="",MIN(Tabelle13245[[#This Row],[Jira Story Points]],Tabelle13245[[#This Row],[Carry-over]]),0)</f>
        <v>0</v>
      </c>
      <c r="N96" s="171">
        <f>MIN(Tabelle13245[[#This Row],[Jira Story Points]],Tabelle13245[[#This Row],[Carry-over]])-Tabelle13245[[#This Row],[SP Initially Planned (COS)]]</f>
        <v>3</v>
      </c>
      <c r="O96"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96" s="173">
        <f>IFERROR(IF(Tabelle13245[[#This Row],[Status]]=$I$5,MIN(Tabelle13245[[#This Row],[Jira Story Points]],Tabelle13245[[#This Row],[Carry-over]]),0),0)</f>
        <v>0</v>
      </c>
      <c r="Q96" s="173">
        <f>IFERROR(IF(Tabelle13245[[#This Row],[Status]]=$I$5,0,MIN(Tabelle13245[[#This Row],[Jira Story Points]],Tabelle13245[[#This Row],[Carry-over]])-Tabelle13245[[#This Row],[SP Completed (COS &amp; SOS)]]),0)</f>
        <v>0</v>
      </c>
    </row>
    <row r="97" spans="1:17" s="46" customFormat="1" ht="13.5" customHeight="1">
      <c r="A97" s="175" t="s">
        <v>3282</v>
      </c>
      <c r="B97" s="47" t="s">
        <v>3283</v>
      </c>
      <c r="C97" s="76" t="s">
        <v>372</v>
      </c>
      <c r="D97" s="76">
        <v>3</v>
      </c>
      <c r="E97" s="76" t="s">
        <v>324</v>
      </c>
      <c r="F97" s="76">
        <v>5</v>
      </c>
      <c r="G97" s="76" t="s">
        <v>9</v>
      </c>
      <c r="H97" s="76"/>
      <c r="I97" s="103"/>
      <c r="J97" s="76" t="s">
        <v>125</v>
      </c>
      <c r="K97" s="104">
        <v>1</v>
      </c>
      <c r="L97" s="104"/>
      <c r="M97" s="170">
        <f>IF(Tabelle13245[[#This Row],[Pulled after Start]]="",MIN(Tabelle13245[[#This Row],[Jira Story Points]],Tabelle13245[[#This Row],[Carry-over]]),0)</f>
        <v>1</v>
      </c>
      <c r="N97" s="171">
        <f>MIN(Tabelle13245[[#This Row],[Jira Story Points]],Tabelle13245[[#This Row],[Carry-over]])-Tabelle13245[[#This Row],[SP Initially Planned (COS)]]</f>
        <v>0</v>
      </c>
      <c r="O97" s="172">
        <f>IFERROR(IF(Tabelle13245[[#This Row],[Status]]=$I$5,0,IF(AND(Tabelle13245[[#This Row],[Status]]=$H$5,Tabelle13245[[#This Row],[Spill-over]]=0),0,IF(Tabelle13245[[#This Row],[Carry-over]]&lt;&gt;0,Tabelle13245[[#This Row],[Carry-over]]-Tabelle13245[[#This Row],[Spill-over]],Tabelle13245[[#This Row],[Jira Story Points]]-Tabelle13245[[#This Row],[Spill-over]]))),"-")</f>
        <v>1</v>
      </c>
      <c r="P97" s="173">
        <f>IFERROR(IF(Tabelle13245[[#This Row],[Status]]=$I$5,MIN(Tabelle13245[[#This Row],[Jira Story Points]],Tabelle13245[[#This Row],[Carry-over]]),0),0)</f>
        <v>0</v>
      </c>
      <c r="Q97" s="173">
        <f>IFERROR(IF(Tabelle13245[[#This Row],[Status]]=$I$5,0,MIN(Tabelle13245[[#This Row],[Jira Story Points]],Tabelle13245[[#This Row],[Carry-over]])-Tabelle13245[[#This Row],[SP Completed (COS &amp; SOS)]]),0)</f>
        <v>0</v>
      </c>
    </row>
    <row r="98" spans="1:17" s="46" customFormat="1" ht="13.5" customHeight="1">
      <c r="A98" s="175" t="s">
        <v>3284</v>
      </c>
      <c r="B98" s="47" t="s">
        <v>3285</v>
      </c>
      <c r="C98" s="76" t="s">
        <v>372</v>
      </c>
      <c r="D98" s="76">
        <v>3</v>
      </c>
      <c r="E98" s="76" t="s">
        <v>324</v>
      </c>
      <c r="F98" s="76">
        <v>3</v>
      </c>
      <c r="G98" s="76" t="s">
        <v>9</v>
      </c>
      <c r="H98" s="76"/>
      <c r="I98" s="103"/>
      <c r="J98" s="76" t="s">
        <v>125</v>
      </c>
      <c r="K98" s="104"/>
      <c r="L98" s="104"/>
      <c r="M98" s="170">
        <f>IF(Tabelle13245[[#This Row],[Pulled after Start]]="",MIN(Tabelle13245[[#This Row],[Jira Story Points]],Tabelle13245[[#This Row],[Carry-over]]),0)</f>
        <v>3</v>
      </c>
      <c r="N98" s="171">
        <f>MIN(Tabelle13245[[#This Row],[Jira Story Points]],Tabelle13245[[#This Row],[Carry-over]])-Tabelle13245[[#This Row],[SP Initially Planned (COS)]]</f>
        <v>0</v>
      </c>
      <c r="O98"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98" s="173">
        <f>IFERROR(IF(Tabelle13245[[#This Row],[Status]]=$I$5,MIN(Tabelle13245[[#This Row],[Jira Story Points]],Tabelle13245[[#This Row],[Carry-over]]),0),0)</f>
        <v>0</v>
      </c>
      <c r="Q98" s="173">
        <f>IFERROR(IF(Tabelle13245[[#This Row],[Status]]=$I$5,0,MIN(Tabelle13245[[#This Row],[Jira Story Points]],Tabelle13245[[#This Row],[Carry-over]])-Tabelle13245[[#This Row],[SP Completed (COS &amp; SOS)]]),0)</f>
        <v>0</v>
      </c>
    </row>
    <row r="99" spans="1:17" s="46" customFormat="1" ht="13.5" customHeight="1">
      <c r="A99" s="175" t="s">
        <v>3286</v>
      </c>
      <c r="B99" s="47" t="s">
        <v>3287</v>
      </c>
      <c r="C99" s="76" t="s">
        <v>372</v>
      </c>
      <c r="D99" s="76">
        <v>3</v>
      </c>
      <c r="E99" s="76" t="s">
        <v>324</v>
      </c>
      <c r="F99" s="76">
        <v>2</v>
      </c>
      <c r="G99" s="76" t="s">
        <v>9</v>
      </c>
      <c r="H99" s="76"/>
      <c r="I99" s="103"/>
      <c r="J99" s="76" t="s">
        <v>125</v>
      </c>
      <c r="K99" s="104"/>
      <c r="L99" s="104"/>
      <c r="M99" s="170">
        <f>IF(Tabelle13245[[#This Row],[Pulled after Start]]="",MIN(Tabelle13245[[#This Row],[Jira Story Points]],Tabelle13245[[#This Row],[Carry-over]]),0)</f>
        <v>2</v>
      </c>
      <c r="N99" s="171">
        <f>MIN(Tabelle13245[[#This Row],[Jira Story Points]],Tabelle13245[[#This Row],[Carry-over]])-Tabelle13245[[#This Row],[SP Initially Planned (COS)]]</f>
        <v>0</v>
      </c>
      <c r="O99"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99" s="173">
        <f>IFERROR(IF(Tabelle13245[[#This Row],[Status]]=$I$5,MIN(Tabelle13245[[#This Row],[Jira Story Points]],Tabelle13245[[#This Row],[Carry-over]]),0),0)</f>
        <v>0</v>
      </c>
      <c r="Q99" s="173">
        <f>IFERROR(IF(Tabelle13245[[#This Row],[Status]]=$I$5,0,MIN(Tabelle13245[[#This Row],[Jira Story Points]],Tabelle13245[[#This Row],[Carry-over]])-Tabelle13245[[#This Row],[SP Completed (COS &amp; SOS)]]),0)</f>
        <v>0</v>
      </c>
    </row>
    <row r="100" spans="1:17" s="46" customFormat="1" ht="13.5" customHeight="1">
      <c r="A100" s="175" t="s">
        <v>3288</v>
      </c>
      <c r="B100" s="47" t="s">
        <v>3289</v>
      </c>
      <c r="C100" s="76" t="s">
        <v>372</v>
      </c>
      <c r="D100" s="76">
        <v>3</v>
      </c>
      <c r="E100" s="76" t="s">
        <v>324</v>
      </c>
      <c r="F100" s="76">
        <v>1</v>
      </c>
      <c r="G100" s="76" t="s">
        <v>9</v>
      </c>
      <c r="H100" s="76"/>
      <c r="I100" s="103"/>
      <c r="J100" s="76" t="s">
        <v>125</v>
      </c>
      <c r="K100" s="104"/>
      <c r="L100" s="104"/>
      <c r="M100" s="170">
        <f>IF(Tabelle13245[[#This Row],[Pulled after Start]]="",MIN(Tabelle13245[[#This Row],[Jira Story Points]],Tabelle13245[[#This Row],[Carry-over]]),0)</f>
        <v>1</v>
      </c>
      <c r="N100" s="171">
        <f>MIN(Tabelle13245[[#This Row],[Jira Story Points]],Tabelle13245[[#This Row],[Carry-over]])-Tabelle13245[[#This Row],[SP Initially Planned (COS)]]</f>
        <v>0</v>
      </c>
      <c r="O100" s="172">
        <f>IFERROR(IF(Tabelle13245[[#This Row],[Status]]=$I$5,0,IF(AND(Tabelle13245[[#This Row],[Status]]=$H$5,Tabelle13245[[#This Row],[Spill-over]]=0),0,IF(Tabelle13245[[#This Row],[Carry-over]]&lt;&gt;0,Tabelle13245[[#This Row],[Carry-over]]-Tabelle13245[[#This Row],[Spill-over]],Tabelle13245[[#This Row],[Jira Story Points]]-Tabelle13245[[#This Row],[Spill-over]]))),"-")</f>
        <v>1</v>
      </c>
      <c r="P100" s="173">
        <f>IFERROR(IF(Tabelle13245[[#This Row],[Status]]=$I$5,MIN(Tabelle13245[[#This Row],[Jira Story Points]],Tabelle13245[[#This Row],[Carry-over]]),0),0)</f>
        <v>0</v>
      </c>
      <c r="Q100" s="173">
        <f>IFERROR(IF(Tabelle13245[[#This Row],[Status]]=$I$5,0,MIN(Tabelle13245[[#This Row],[Jira Story Points]],Tabelle13245[[#This Row],[Carry-over]])-Tabelle13245[[#This Row],[SP Completed (COS &amp; SOS)]]),0)</f>
        <v>0</v>
      </c>
    </row>
    <row r="101" spans="1:17" s="46" customFormat="1" ht="13.5" customHeight="1">
      <c r="A101" s="165" t="s">
        <v>3290</v>
      </c>
      <c r="B101" s="47" t="s">
        <v>3291</v>
      </c>
      <c r="C101" s="76" t="s">
        <v>372</v>
      </c>
      <c r="D101" s="76">
        <v>3</v>
      </c>
      <c r="E101" s="76" t="s">
        <v>324</v>
      </c>
      <c r="F101" s="104">
        <v>2</v>
      </c>
      <c r="G101" s="76" t="s">
        <v>9</v>
      </c>
      <c r="H101" s="76" t="s">
        <v>209</v>
      </c>
      <c r="I101" s="103"/>
      <c r="J101" s="76" t="s">
        <v>125</v>
      </c>
      <c r="K101" s="104"/>
      <c r="L101" s="104"/>
      <c r="M101" s="170">
        <f>IF(Tabelle13245[[#This Row],[Pulled after Start]]="",MIN(Tabelle13245[[#This Row],[Jira Story Points]],Tabelle13245[[#This Row],[Carry-over]]),0)</f>
        <v>0</v>
      </c>
      <c r="N101" s="171">
        <f>MIN(Tabelle13245[[#This Row],[Jira Story Points]],Tabelle13245[[#This Row],[Carry-over]])-Tabelle13245[[#This Row],[SP Initially Planned (COS)]]</f>
        <v>2</v>
      </c>
      <c r="O101"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101" s="173">
        <f>IFERROR(IF(Tabelle13245[[#This Row],[Status]]=$I$5,MIN(Tabelle13245[[#This Row],[Jira Story Points]],Tabelle13245[[#This Row],[Carry-over]]),0),0)</f>
        <v>0</v>
      </c>
      <c r="Q101" s="173">
        <f>IFERROR(IF(Tabelle13245[[#This Row],[Status]]=$I$5,0,MIN(Tabelle13245[[#This Row],[Jira Story Points]],Tabelle13245[[#This Row],[Carry-over]])-Tabelle13245[[#This Row],[SP Completed (COS &amp; SOS)]]),0)</f>
        <v>0</v>
      </c>
    </row>
    <row r="102" spans="1:17" s="46" customFormat="1" ht="13.5" customHeight="1">
      <c r="A102" s="175" t="s">
        <v>3292</v>
      </c>
      <c r="B102" s="47" t="s">
        <v>3293</v>
      </c>
      <c r="C102" s="76" t="s">
        <v>372</v>
      </c>
      <c r="D102" s="76">
        <v>3</v>
      </c>
      <c r="E102" s="76" t="s">
        <v>324</v>
      </c>
      <c r="F102" s="76">
        <v>1</v>
      </c>
      <c r="G102" s="76" t="s">
        <v>9</v>
      </c>
      <c r="H102" s="76"/>
      <c r="I102" s="103"/>
      <c r="J102" s="76" t="s">
        <v>125</v>
      </c>
      <c r="K102" s="104"/>
      <c r="L102" s="104"/>
      <c r="M102" s="170">
        <f>IF(Tabelle13245[[#This Row],[Pulled after Start]]="",MIN(Tabelle13245[[#This Row],[Jira Story Points]],Tabelle13245[[#This Row],[Carry-over]]),0)</f>
        <v>1</v>
      </c>
      <c r="N102" s="171">
        <f>MIN(Tabelle13245[[#This Row],[Jira Story Points]],Tabelle13245[[#This Row],[Carry-over]])-Tabelle13245[[#This Row],[SP Initially Planned (COS)]]</f>
        <v>0</v>
      </c>
      <c r="O102" s="172">
        <f>IFERROR(IF(Tabelle13245[[#This Row],[Status]]=$I$5,0,IF(AND(Tabelle13245[[#This Row],[Status]]=$H$5,Tabelle13245[[#This Row],[Spill-over]]=0),0,IF(Tabelle13245[[#This Row],[Carry-over]]&lt;&gt;0,Tabelle13245[[#This Row],[Carry-over]]-Tabelle13245[[#This Row],[Spill-over]],Tabelle13245[[#This Row],[Jira Story Points]]-Tabelle13245[[#This Row],[Spill-over]]))),"-")</f>
        <v>1</v>
      </c>
      <c r="P102" s="173">
        <f>IFERROR(IF(Tabelle13245[[#This Row],[Status]]=$I$5,MIN(Tabelle13245[[#This Row],[Jira Story Points]],Tabelle13245[[#This Row],[Carry-over]]),0),0)</f>
        <v>0</v>
      </c>
      <c r="Q102" s="173">
        <f>IFERROR(IF(Tabelle13245[[#This Row],[Status]]=$I$5,0,MIN(Tabelle13245[[#This Row],[Jira Story Points]],Tabelle13245[[#This Row],[Carry-over]])-Tabelle13245[[#This Row],[SP Completed (COS &amp; SOS)]]),0)</f>
        <v>0</v>
      </c>
    </row>
    <row r="103" spans="1:17" s="46" customFormat="1" ht="13.5" customHeight="1">
      <c r="A103" s="165" t="s">
        <v>3294</v>
      </c>
      <c r="B103" s="47" t="s">
        <v>3295</v>
      </c>
      <c r="C103" s="76" t="s">
        <v>372</v>
      </c>
      <c r="D103" s="76">
        <v>3</v>
      </c>
      <c r="E103" s="76" t="s">
        <v>324</v>
      </c>
      <c r="F103" s="104">
        <v>2</v>
      </c>
      <c r="G103" s="76" t="s">
        <v>9</v>
      </c>
      <c r="H103" s="76" t="s">
        <v>209</v>
      </c>
      <c r="I103" s="103"/>
      <c r="J103" s="76" t="s">
        <v>125</v>
      </c>
      <c r="K103" s="104"/>
      <c r="L103" s="104"/>
      <c r="M103" s="170">
        <f>IF(Tabelle13245[[#This Row],[Pulled after Start]]="",MIN(Tabelle13245[[#This Row],[Jira Story Points]],Tabelle13245[[#This Row],[Carry-over]]),0)</f>
        <v>0</v>
      </c>
      <c r="N103" s="171">
        <f>MIN(Tabelle13245[[#This Row],[Jira Story Points]],Tabelle13245[[#This Row],[Carry-over]])-Tabelle13245[[#This Row],[SP Initially Planned (COS)]]</f>
        <v>2</v>
      </c>
      <c r="O103"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103" s="173">
        <f>IFERROR(IF(Tabelle13245[[#This Row],[Status]]=$I$5,MIN(Tabelle13245[[#This Row],[Jira Story Points]],Tabelle13245[[#This Row],[Carry-over]]),0),0)</f>
        <v>0</v>
      </c>
      <c r="Q103" s="173">
        <f>IFERROR(IF(Tabelle13245[[#This Row],[Status]]=$I$5,0,MIN(Tabelle13245[[#This Row],[Jira Story Points]],Tabelle13245[[#This Row],[Carry-over]])-Tabelle13245[[#This Row],[SP Completed (COS &amp; SOS)]]),0)</f>
        <v>0</v>
      </c>
    </row>
    <row r="104" spans="1:17" s="46" customFormat="1" ht="13.5" customHeight="1">
      <c r="A104" s="176" t="s">
        <v>2159</v>
      </c>
      <c r="B104" s="50" t="s">
        <v>2160</v>
      </c>
      <c r="C104" s="177" t="s">
        <v>372</v>
      </c>
      <c r="D104" s="177">
        <v>3</v>
      </c>
      <c r="E104" s="177" t="s">
        <v>3296</v>
      </c>
      <c r="F104" s="177">
        <v>2</v>
      </c>
      <c r="G104" s="177" t="s">
        <v>9</v>
      </c>
      <c r="H104" s="177"/>
      <c r="I104" s="178" t="s">
        <v>3297</v>
      </c>
      <c r="J104" s="177" t="s">
        <v>126</v>
      </c>
      <c r="K104" s="179"/>
      <c r="L104" s="179"/>
      <c r="M104" s="170">
        <f>IF(Tabelle13245[[#This Row],[Pulled after Start]]="",MIN(Tabelle13245[[#This Row],[Jira Story Points]],Tabelle13245[[#This Row],[Carry-over]]),0)</f>
        <v>2</v>
      </c>
      <c r="N104" s="171">
        <f>MIN(Tabelle13245[[#This Row],[Jira Story Points]],Tabelle13245[[#This Row],[Carry-over]])-Tabelle13245[[#This Row],[SP Initially Planned (COS)]]</f>
        <v>0</v>
      </c>
      <c r="O104"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04" s="173">
        <f>IFERROR(IF(Tabelle13245[[#This Row],[Status]]=$I$5,MIN(Tabelle13245[[#This Row],[Jira Story Points]],Tabelle13245[[#This Row],[Carry-over]]),0),0)</f>
        <v>2</v>
      </c>
      <c r="Q104" s="173">
        <f>IFERROR(IF(Tabelle13245[[#This Row],[Status]]=$I$5,0,MIN(Tabelle13245[[#This Row],[Jira Story Points]],Tabelle13245[[#This Row],[Carry-over]])-Tabelle13245[[#This Row],[SP Completed (COS &amp; SOS)]]),0)</f>
        <v>0</v>
      </c>
    </row>
    <row r="105" spans="1:17" s="46" customFormat="1" ht="13.5" customHeight="1">
      <c r="A105" s="175" t="s">
        <v>3298</v>
      </c>
      <c r="B105" s="47" t="s">
        <v>3299</v>
      </c>
      <c r="C105" s="76" t="s">
        <v>3300</v>
      </c>
      <c r="D105" s="76">
        <v>3</v>
      </c>
      <c r="E105" s="76" t="s">
        <v>324</v>
      </c>
      <c r="F105" s="76">
        <v>5</v>
      </c>
      <c r="G105" s="76" t="s">
        <v>9</v>
      </c>
      <c r="H105" s="76"/>
      <c r="I105" s="103"/>
      <c r="J105" s="76" t="s">
        <v>125</v>
      </c>
      <c r="K105" s="104"/>
      <c r="L105" s="104"/>
      <c r="M105" s="170">
        <f>IF(Tabelle13245[[#This Row],[Pulled after Start]]="",MIN(Tabelle13245[[#This Row],[Jira Story Points]],Tabelle13245[[#This Row],[Carry-over]]),0)</f>
        <v>5</v>
      </c>
      <c r="N105" s="171">
        <f>MIN(Tabelle13245[[#This Row],[Jira Story Points]],Tabelle13245[[#This Row],[Carry-over]])-Tabelle13245[[#This Row],[SP Initially Planned (COS)]]</f>
        <v>0</v>
      </c>
      <c r="O105" s="172">
        <f>IFERROR(IF(Tabelle13245[[#This Row],[Status]]=$I$5,0,IF(AND(Tabelle13245[[#This Row],[Status]]=$H$5,Tabelle13245[[#This Row],[Spill-over]]=0),0,IF(Tabelle13245[[#This Row],[Carry-over]]&lt;&gt;0,Tabelle13245[[#This Row],[Carry-over]]-Tabelle13245[[#This Row],[Spill-over]],Tabelle13245[[#This Row],[Jira Story Points]]-Tabelle13245[[#This Row],[Spill-over]]))),"-")</f>
        <v>5</v>
      </c>
      <c r="P105" s="173">
        <f>IFERROR(IF(Tabelle13245[[#This Row],[Status]]=$I$5,MIN(Tabelle13245[[#This Row],[Jira Story Points]],Tabelle13245[[#This Row],[Carry-over]]),0),0)</f>
        <v>0</v>
      </c>
      <c r="Q105" s="173">
        <f>IFERROR(IF(Tabelle13245[[#This Row],[Status]]=$I$5,0,MIN(Tabelle13245[[#This Row],[Jira Story Points]],Tabelle13245[[#This Row],[Carry-over]])-Tabelle13245[[#This Row],[SP Completed (COS &amp; SOS)]]),0)</f>
        <v>0</v>
      </c>
    </row>
    <row r="106" spans="1:17" s="46" customFormat="1" ht="13.5" customHeight="1">
      <c r="A106" s="175" t="s">
        <v>3301</v>
      </c>
      <c r="B106" s="47" t="s">
        <v>3302</v>
      </c>
      <c r="C106" s="76" t="s">
        <v>3300</v>
      </c>
      <c r="D106" s="76">
        <v>3</v>
      </c>
      <c r="E106" s="76" t="s">
        <v>324</v>
      </c>
      <c r="F106" s="76">
        <v>2</v>
      </c>
      <c r="G106" s="76" t="s">
        <v>9</v>
      </c>
      <c r="H106" s="76"/>
      <c r="I106" s="103"/>
      <c r="J106" s="76" t="s">
        <v>125</v>
      </c>
      <c r="K106" s="104"/>
      <c r="L106" s="104"/>
      <c r="M106" s="170">
        <f>IF(Tabelle13245[[#This Row],[Pulled after Start]]="",MIN(Tabelle13245[[#This Row],[Jira Story Points]],Tabelle13245[[#This Row],[Carry-over]]),0)</f>
        <v>2</v>
      </c>
      <c r="N106" s="171">
        <f>MIN(Tabelle13245[[#This Row],[Jira Story Points]],Tabelle13245[[#This Row],[Carry-over]])-Tabelle13245[[#This Row],[SP Initially Planned (COS)]]</f>
        <v>0</v>
      </c>
      <c r="O106"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106" s="173">
        <f>IFERROR(IF(Tabelle13245[[#This Row],[Status]]=$I$5,MIN(Tabelle13245[[#This Row],[Jira Story Points]],Tabelle13245[[#This Row],[Carry-over]]),0),0)</f>
        <v>0</v>
      </c>
      <c r="Q106" s="173">
        <f>IFERROR(IF(Tabelle13245[[#This Row],[Status]]=$I$5,0,MIN(Tabelle13245[[#This Row],[Jira Story Points]],Tabelle13245[[#This Row],[Carry-over]])-Tabelle13245[[#This Row],[SP Completed (COS &amp; SOS)]]),0)</f>
        <v>0</v>
      </c>
    </row>
    <row r="107" spans="1:17" s="46" customFormat="1" ht="13.5" customHeight="1">
      <c r="A107" s="175" t="s">
        <v>3303</v>
      </c>
      <c r="B107" s="47" t="s">
        <v>3304</v>
      </c>
      <c r="C107" s="76" t="s">
        <v>372</v>
      </c>
      <c r="D107" s="76">
        <v>3</v>
      </c>
      <c r="E107" s="76" t="s">
        <v>324</v>
      </c>
      <c r="F107" s="76">
        <v>3</v>
      </c>
      <c r="G107" s="76" t="s">
        <v>9</v>
      </c>
      <c r="H107" s="76"/>
      <c r="I107" s="103"/>
      <c r="J107" s="76" t="s">
        <v>125</v>
      </c>
      <c r="K107" s="104"/>
      <c r="L107" s="104"/>
      <c r="M107" s="170">
        <f>IF(Tabelle13245[[#This Row],[Pulled after Start]]="",MIN(Tabelle13245[[#This Row],[Jira Story Points]],Tabelle13245[[#This Row],[Carry-over]]),0)</f>
        <v>3</v>
      </c>
      <c r="N107" s="171">
        <f>MIN(Tabelle13245[[#This Row],[Jira Story Points]],Tabelle13245[[#This Row],[Carry-over]])-Tabelle13245[[#This Row],[SP Initially Planned (COS)]]</f>
        <v>0</v>
      </c>
      <c r="O107"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07" s="173">
        <f>IFERROR(IF(Tabelle13245[[#This Row],[Status]]=$I$5,MIN(Tabelle13245[[#This Row],[Jira Story Points]],Tabelle13245[[#This Row],[Carry-over]]),0),0)</f>
        <v>0</v>
      </c>
      <c r="Q107" s="173">
        <f>IFERROR(IF(Tabelle13245[[#This Row],[Status]]=$I$5,0,MIN(Tabelle13245[[#This Row],[Jira Story Points]],Tabelle13245[[#This Row],[Carry-over]])-Tabelle13245[[#This Row],[SP Completed (COS &amp; SOS)]]),0)</f>
        <v>0</v>
      </c>
    </row>
    <row r="108" spans="1:17" s="46" customFormat="1" ht="13.5" customHeight="1">
      <c r="A108" s="175" t="s">
        <v>3305</v>
      </c>
      <c r="B108" s="47" t="s">
        <v>3306</v>
      </c>
      <c r="C108" s="76" t="s">
        <v>372</v>
      </c>
      <c r="D108" s="76">
        <v>3</v>
      </c>
      <c r="E108" s="76" t="s">
        <v>324</v>
      </c>
      <c r="F108" s="76">
        <v>0.5</v>
      </c>
      <c r="G108" s="76" t="s">
        <v>9</v>
      </c>
      <c r="H108" s="76"/>
      <c r="I108" s="103"/>
      <c r="J108" s="76" t="s">
        <v>125</v>
      </c>
      <c r="K108" s="104"/>
      <c r="L108" s="104"/>
      <c r="M108" s="170">
        <f>IF(Tabelle13245[[#This Row],[Pulled after Start]]="",MIN(Tabelle13245[[#This Row],[Jira Story Points]],Tabelle13245[[#This Row],[Carry-over]]),0)</f>
        <v>0.5</v>
      </c>
      <c r="N108" s="171">
        <f>MIN(Tabelle13245[[#This Row],[Jira Story Points]],Tabelle13245[[#This Row],[Carry-over]])-Tabelle13245[[#This Row],[SP Initially Planned (COS)]]</f>
        <v>0</v>
      </c>
      <c r="O108" s="172">
        <f>IFERROR(IF(Tabelle13245[[#This Row],[Status]]=$I$5,0,IF(AND(Tabelle13245[[#This Row],[Status]]=$H$5,Tabelle13245[[#This Row],[Spill-over]]=0),0,IF(Tabelle13245[[#This Row],[Carry-over]]&lt;&gt;0,Tabelle13245[[#This Row],[Carry-over]]-Tabelle13245[[#This Row],[Spill-over]],Tabelle13245[[#This Row],[Jira Story Points]]-Tabelle13245[[#This Row],[Spill-over]]))),"-")</f>
        <v>0.5</v>
      </c>
      <c r="P108" s="173">
        <f>IFERROR(IF(Tabelle13245[[#This Row],[Status]]=$I$5,MIN(Tabelle13245[[#This Row],[Jira Story Points]],Tabelle13245[[#This Row],[Carry-over]]),0),0)</f>
        <v>0</v>
      </c>
      <c r="Q108" s="173">
        <f>IFERROR(IF(Tabelle13245[[#This Row],[Status]]=$I$5,0,MIN(Tabelle13245[[#This Row],[Jira Story Points]],Tabelle13245[[#This Row],[Carry-over]])-Tabelle13245[[#This Row],[SP Completed (COS &amp; SOS)]]),0)</f>
        <v>0</v>
      </c>
    </row>
    <row r="109" spans="1:17" s="46" customFormat="1" ht="13.5" customHeight="1">
      <c r="A109" s="165" t="s">
        <v>3307</v>
      </c>
      <c r="B109" s="47" t="s">
        <v>3308</v>
      </c>
      <c r="C109" s="76" t="s">
        <v>3309</v>
      </c>
      <c r="D109" s="76">
        <v>3</v>
      </c>
      <c r="E109" s="76" t="s">
        <v>324</v>
      </c>
      <c r="F109" s="76">
        <v>0.5</v>
      </c>
      <c r="G109" s="76" t="s">
        <v>9</v>
      </c>
      <c r="H109" s="76" t="s">
        <v>209</v>
      </c>
      <c r="I109" s="103"/>
      <c r="J109" s="76" t="s">
        <v>125</v>
      </c>
      <c r="K109" s="104"/>
      <c r="L109" s="104"/>
      <c r="M109" s="170">
        <f>IF(Tabelle13245[[#This Row],[Pulled after Start]]="",MIN(Tabelle13245[[#This Row],[Jira Story Points]],Tabelle13245[[#This Row],[Carry-over]]),0)</f>
        <v>0</v>
      </c>
      <c r="N109" s="171">
        <f>MIN(Tabelle13245[[#This Row],[Jira Story Points]],Tabelle13245[[#This Row],[Carry-over]])-Tabelle13245[[#This Row],[SP Initially Planned (COS)]]</f>
        <v>0.5</v>
      </c>
      <c r="O109" s="172">
        <f>IFERROR(IF(Tabelle13245[[#This Row],[Status]]=$I$5,0,IF(AND(Tabelle13245[[#This Row],[Status]]=$H$5,Tabelle13245[[#This Row],[Spill-over]]=0),0,IF(Tabelle13245[[#This Row],[Carry-over]]&lt;&gt;0,Tabelle13245[[#This Row],[Carry-over]]-Tabelle13245[[#This Row],[Spill-over]],Tabelle13245[[#This Row],[Jira Story Points]]-Tabelle13245[[#This Row],[Spill-over]]))),"-")</f>
        <v>0.5</v>
      </c>
      <c r="P109" s="173">
        <f>IFERROR(IF(Tabelle13245[[#This Row],[Status]]=$I$5,MIN(Tabelle13245[[#This Row],[Jira Story Points]],Tabelle13245[[#This Row],[Carry-over]]),0),0)</f>
        <v>0</v>
      </c>
      <c r="Q109" s="173">
        <f>IFERROR(IF(Tabelle13245[[#This Row],[Status]]=$I$5,0,MIN(Tabelle13245[[#This Row],[Jira Story Points]],Tabelle13245[[#This Row],[Carry-over]])-Tabelle13245[[#This Row],[SP Completed (COS &amp; SOS)]]),0)</f>
        <v>0</v>
      </c>
    </row>
    <row r="110" spans="1:17" s="46" customFormat="1" ht="13.5" customHeight="1">
      <c r="A110" s="165" t="s">
        <v>3310</v>
      </c>
      <c r="B110" s="47" t="s">
        <v>3311</v>
      </c>
      <c r="C110" s="76" t="s">
        <v>372</v>
      </c>
      <c r="D110" s="76">
        <v>3</v>
      </c>
      <c r="E110" s="76" t="s">
        <v>324</v>
      </c>
      <c r="F110" s="104">
        <v>2</v>
      </c>
      <c r="G110" s="76" t="s">
        <v>9</v>
      </c>
      <c r="H110" s="76" t="s">
        <v>209</v>
      </c>
      <c r="I110" s="103"/>
      <c r="J110" s="76" t="s">
        <v>125</v>
      </c>
      <c r="K110" s="104"/>
      <c r="L110" s="104"/>
      <c r="M110" s="170">
        <f>IF(Tabelle13245[[#This Row],[Pulled after Start]]="",MIN(Tabelle13245[[#This Row],[Jira Story Points]],Tabelle13245[[#This Row],[Carry-over]]),0)</f>
        <v>0</v>
      </c>
      <c r="N110" s="171">
        <f>MIN(Tabelle13245[[#This Row],[Jira Story Points]],Tabelle13245[[#This Row],[Carry-over]])-Tabelle13245[[#This Row],[SP Initially Planned (COS)]]</f>
        <v>2</v>
      </c>
      <c r="O110"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110" s="173">
        <f>IFERROR(IF(Tabelle13245[[#This Row],[Status]]=$I$5,MIN(Tabelle13245[[#This Row],[Jira Story Points]],Tabelle13245[[#This Row],[Carry-over]]),0),0)</f>
        <v>0</v>
      </c>
      <c r="Q110" s="173">
        <f>IFERROR(IF(Tabelle13245[[#This Row],[Status]]=$I$5,0,MIN(Tabelle13245[[#This Row],[Jira Story Points]],Tabelle13245[[#This Row],[Carry-over]])-Tabelle13245[[#This Row],[SP Completed (COS &amp; SOS)]]),0)</f>
        <v>0</v>
      </c>
    </row>
    <row r="111" spans="1:17" s="46" customFormat="1" ht="13.5" customHeight="1">
      <c r="A111" s="166" t="s">
        <v>3047</v>
      </c>
      <c r="B111" s="47" t="s">
        <v>3048</v>
      </c>
      <c r="C111" s="76" t="s">
        <v>372</v>
      </c>
      <c r="D111" s="76">
        <v>3</v>
      </c>
      <c r="E111" s="76" t="s">
        <v>327</v>
      </c>
      <c r="F111" s="104">
        <v>2</v>
      </c>
      <c r="G111" s="76" t="s">
        <v>9</v>
      </c>
      <c r="H111" s="83" t="s">
        <v>209</v>
      </c>
      <c r="I111" s="103" t="s">
        <v>3312</v>
      </c>
      <c r="J111" s="76" t="s">
        <v>127</v>
      </c>
      <c r="K111" s="104"/>
      <c r="L111" s="104">
        <v>2</v>
      </c>
      <c r="M111" s="170">
        <f>IF(Tabelle13245[[#This Row],[Pulled after Start]]="",MIN(Tabelle13245[[#This Row],[Jira Story Points]],Tabelle13245[[#This Row],[Carry-over]]),0)</f>
        <v>0</v>
      </c>
      <c r="N111" s="171">
        <f>MIN(Tabelle13245[[#This Row],[Jira Story Points]],Tabelle13245[[#This Row],[Carry-over]])-Tabelle13245[[#This Row],[SP Initially Planned (COS)]]</f>
        <v>2</v>
      </c>
      <c r="O111"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11" s="173">
        <f>IFERROR(IF(Tabelle13245[[#This Row],[Status]]=$I$5,MIN(Tabelle13245[[#This Row],[Jira Story Points]],Tabelle13245[[#This Row],[Carry-over]]),0),0)</f>
        <v>0</v>
      </c>
      <c r="Q111" s="173">
        <f>IFERROR(IF(Tabelle13245[[#This Row],[Status]]=$I$5,0,MIN(Tabelle13245[[#This Row],[Jira Story Points]],Tabelle13245[[#This Row],[Carry-over]])-Tabelle13245[[#This Row],[SP Completed (COS &amp; SOS)]]),0)</f>
        <v>2</v>
      </c>
    </row>
    <row r="112" spans="1:17" s="46" customFormat="1" ht="13.5" customHeight="1">
      <c r="A112" s="166" t="s">
        <v>3045</v>
      </c>
      <c r="B112" s="47" t="s">
        <v>3046</v>
      </c>
      <c r="C112" s="76" t="s">
        <v>372</v>
      </c>
      <c r="D112" s="76">
        <v>3</v>
      </c>
      <c r="E112" s="76" t="s">
        <v>327</v>
      </c>
      <c r="F112" s="104">
        <v>2</v>
      </c>
      <c r="G112" s="76" t="s">
        <v>9</v>
      </c>
      <c r="H112" s="83" t="s">
        <v>209</v>
      </c>
      <c r="I112" s="103" t="s">
        <v>3312</v>
      </c>
      <c r="J112" s="76" t="s">
        <v>127</v>
      </c>
      <c r="K112" s="104"/>
      <c r="L112" s="104">
        <v>2</v>
      </c>
      <c r="M112" s="170">
        <f>IF(Tabelle13245[[#This Row],[Pulled after Start]]="",MIN(Tabelle13245[[#This Row],[Jira Story Points]],Tabelle13245[[#This Row],[Carry-over]]),0)</f>
        <v>0</v>
      </c>
      <c r="N112" s="171">
        <f>MIN(Tabelle13245[[#This Row],[Jira Story Points]],Tabelle13245[[#This Row],[Carry-over]])-Tabelle13245[[#This Row],[SP Initially Planned (COS)]]</f>
        <v>2</v>
      </c>
      <c r="O112"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12" s="173">
        <f>IFERROR(IF(Tabelle13245[[#This Row],[Status]]=$I$5,MIN(Tabelle13245[[#This Row],[Jira Story Points]],Tabelle13245[[#This Row],[Carry-over]]),0),0)</f>
        <v>0</v>
      </c>
      <c r="Q112" s="173">
        <f>IFERROR(IF(Tabelle13245[[#This Row],[Status]]=$I$5,0,MIN(Tabelle13245[[#This Row],[Jira Story Points]],Tabelle13245[[#This Row],[Carry-over]])-Tabelle13245[[#This Row],[SP Completed (COS &amp; SOS)]]),0)</f>
        <v>2</v>
      </c>
    </row>
    <row r="113" spans="1:17" s="46" customFormat="1" ht="13.5" customHeight="1">
      <c r="A113" s="166" t="s">
        <v>2823</v>
      </c>
      <c r="B113" s="47" t="s">
        <v>2824</v>
      </c>
      <c r="C113" s="76" t="s">
        <v>372</v>
      </c>
      <c r="D113" s="76">
        <v>3</v>
      </c>
      <c r="E113" s="76" t="s">
        <v>327</v>
      </c>
      <c r="F113" s="104">
        <v>8</v>
      </c>
      <c r="G113" s="76" t="s">
        <v>9</v>
      </c>
      <c r="H113" s="83" t="s">
        <v>209</v>
      </c>
      <c r="I113" s="103" t="s">
        <v>3312</v>
      </c>
      <c r="J113" s="76" t="s">
        <v>127</v>
      </c>
      <c r="K113" s="104"/>
      <c r="L113" s="104">
        <v>8</v>
      </c>
      <c r="M113" s="170">
        <f>IF(Tabelle13245[[#This Row],[Pulled after Start]]="",MIN(Tabelle13245[[#This Row],[Jira Story Points]],Tabelle13245[[#This Row],[Carry-over]]),0)</f>
        <v>0</v>
      </c>
      <c r="N113" s="171">
        <f>MIN(Tabelle13245[[#This Row],[Jira Story Points]],Tabelle13245[[#This Row],[Carry-over]])-Tabelle13245[[#This Row],[SP Initially Planned (COS)]]</f>
        <v>8</v>
      </c>
      <c r="O113"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13" s="173">
        <f>IFERROR(IF(Tabelle13245[[#This Row],[Status]]=$I$5,MIN(Tabelle13245[[#This Row],[Jira Story Points]],Tabelle13245[[#This Row],[Carry-over]]),0),0)</f>
        <v>0</v>
      </c>
      <c r="Q113" s="173">
        <f>IFERROR(IF(Tabelle13245[[#This Row],[Status]]=$I$5,0,MIN(Tabelle13245[[#This Row],[Jira Story Points]],Tabelle13245[[#This Row],[Carry-over]])-Tabelle13245[[#This Row],[SP Completed (COS &amp; SOS)]]),0)</f>
        <v>8</v>
      </c>
    </row>
    <row r="114" spans="1:17" s="46" customFormat="1" ht="13.5" customHeight="1">
      <c r="A114" s="88" t="s">
        <v>3021</v>
      </c>
      <c r="B114" s="47" t="s">
        <v>3022</v>
      </c>
      <c r="C114" s="76" t="s">
        <v>372</v>
      </c>
      <c r="D114" s="76">
        <v>3</v>
      </c>
      <c r="E114" s="76" t="s">
        <v>327</v>
      </c>
      <c r="F114" s="76">
        <v>5</v>
      </c>
      <c r="G114" s="76" t="s">
        <v>35</v>
      </c>
      <c r="H114" s="76"/>
      <c r="I114" s="103"/>
      <c r="J114" s="76" t="s">
        <v>127</v>
      </c>
      <c r="K114" s="76"/>
      <c r="L114" s="76"/>
      <c r="M114" s="170">
        <f>IF(Tabelle13245[[#This Row],[Pulled after Start]]="",MIN(Tabelle13245[[#This Row],[Jira Story Points]],Tabelle13245[[#This Row],[Carry-over]]),0)</f>
        <v>5</v>
      </c>
      <c r="N114" s="171">
        <f>MIN(Tabelle13245[[#This Row],[Jira Story Points]],Tabelle13245[[#This Row],[Carry-over]])-Tabelle13245[[#This Row],[SP Initially Planned (COS)]]</f>
        <v>0</v>
      </c>
      <c r="O114"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14" s="173">
        <f>IFERROR(IF(Tabelle13245[[#This Row],[Status]]=$I$5,MIN(Tabelle13245[[#This Row],[Jira Story Points]],Tabelle13245[[#This Row],[Carry-over]]),0),0)</f>
        <v>0</v>
      </c>
      <c r="Q114" s="173">
        <f>IFERROR(IF(Tabelle13245[[#This Row],[Status]]=$I$5,0,MIN(Tabelle13245[[#This Row],[Jira Story Points]],Tabelle13245[[#This Row],[Carry-over]])-Tabelle13245[[#This Row],[SP Completed (COS &amp; SOS)]]),0)</f>
        <v>5</v>
      </c>
    </row>
    <row r="115" spans="1:17" s="46" customFormat="1" ht="13.5" customHeight="1">
      <c r="A115" s="88" t="s">
        <v>3313</v>
      </c>
      <c r="B115" s="46" t="s">
        <v>3314</v>
      </c>
      <c r="C115" s="76" t="s">
        <v>372</v>
      </c>
      <c r="D115" s="76">
        <v>3</v>
      </c>
      <c r="E115" s="76" t="s">
        <v>324</v>
      </c>
      <c r="F115" s="76">
        <v>3</v>
      </c>
      <c r="G115" s="76" t="s">
        <v>35</v>
      </c>
      <c r="H115" s="76"/>
      <c r="I115" s="103"/>
      <c r="J115" s="76" t="s">
        <v>125</v>
      </c>
      <c r="K115" s="76"/>
      <c r="L115" s="76"/>
      <c r="M115" s="170">
        <f>IF(Tabelle13245[[#This Row],[Pulled after Start]]="",MIN(Tabelle13245[[#This Row],[Jira Story Points]],Tabelle13245[[#This Row],[Carry-over]]),0)</f>
        <v>3</v>
      </c>
      <c r="N115" s="171">
        <f>MIN(Tabelle13245[[#This Row],[Jira Story Points]],Tabelle13245[[#This Row],[Carry-over]])-Tabelle13245[[#This Row],[SP Initially Planned (COS)]]</f>
        <v>0</v>
      </c>
      <c r="O115"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15" s="173">
        <f>IFERROR(IF(Tabelle13245[[#This Row],[Status]]=$I$5,MIN(Tabelle13245[[#This Row],[Jira Story Points]],Tabelle13245[[#This Row],[Carry-over]]),0),0)</f>
        <v>0</v>
      </c>
      <c r="Q115" s="173">
        <f>IFERROR(IF(Tabelle13245[[#This Row],[Status]]=$I$5,0,MIN(Tabelle13245[[#This Row],[Jira Story Points]],Tabelle13245[[#This Row],[Carry-over]])-Tabelle13245[[#This Row],[SP Completed (COS &amp; SOS)]]),0)</f>
        <v>0</v>
      </c>
    </row>
    <row r="116" spans="1:17" s="46" customFormat="1" ht="13.5" customHeight="1">
      <c r="A116" s="88" t="s">
        <v>3315</v>
      </c>
      <c r="B116" s="46" t="s">
        <v>3316</v>
      </c>
      <c r="C116" s="76" t="s">
        <v>372</v>
      </c>
      <c r="D116" s="76">
        <v>3</v>
      </c>
      <c r="E116" s="76" t="s">
        <v>324</v>
      </c>
      <c r="F116" s="76">
        <v>3</v>
      </c>
      <c r="G116" s="76" t="s">
        <v>35</v>
      </c>
      <c r="H116" s="76"/>
      <c r="I116" s="103"/>
      <c r="J116" s="76" t="s">
        <v>125</v>
      </c>
      <c r="K116" s="76"/>
      <c r="L116" s="76"/>
      <c r="M116" s="170">
        <f>IF(Tabelle13245[[#This Row],[Pulled after Start]]="",MIN(Tabelle13245[[#This Row],[Jira Story Points]],Tabelle13245[[#This Row],[Carry-over]]),0)</f>
        <v>3</v>
      </c>
      <c r="N116" s="171">
        <f>MIN(Tabelle13245[[#This Row],[Jira Story Points]],Tabelle13245[[#This Row],[Carry-over]])-Tabelle13245[[#This Row],[SP Initially Planned (COS)]]</f>
        <v>0</v>
      </c>
      <c r="O116"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16" s="173">
        <f>IFERROR(IF(Tabelle13245[[#This Row],[Status]]=$I$5,MIN(Tabelle13245[[#This Row],[Jira Story Points]],Tabelle13245[[#This Row],[Carry-over]]),0),0)</f>
        <v>0</v>
      </c>
      <c r="Q116" s="173">
        <f>IFERROR(IF(Tabelle13245[[#This Row],[Status]]=$I$5,0,MIN(Tabelle13245[[#This Row],[Jira Story Points]],Tabelle13245[[#This Row],[Carry-over]])-Tabelle13245[[#This Row],[SP Completed (COS &amp; SOS)]]),0)</f>
        <v>0</v>
      </c>
    </row>
    <row r="117" spans="1:17" s="46" customFormat="1" ht="13.5" customHeight="1">
      <c r="A117" s="88" t="s">
        <v>3003</v>
      </c>
      <c r="B117" s="47" t="s">
        <v>3004</v>
      </c>
      <c r="C117" s="76" t="s">
        <v>372</v>
      </c>
      <c r="D117" s="76">
        <v>3</v>
      </c>
      <c r="E117" s="76" t="s">
        <v>628</v>
      </c>
      <c r="F117" s="76">
        <v>5</v>
      </c>
      <c r="G117" s="76" t="s">
        <v>35</v>
      </c>
      <c r="H117" s="76"/>
      <c r="I117" s="103"/>
      <c r="J117" s="76" t="s">
        <v>125</v>
      </c>
      <c r="K117" s="76"/>
      <c r="L117" s="76"/>
      <c r="M117" s="170">
        <f>IF(Tabelle13245[[#This Row],[Pulled after Start]]="",MIN(Tabelle13245[[#This Row],[Jira Story Points]],Tabelle13245[[#This Row],[Carry-over]]),0)</f>
        <v>5</v>
      </c>
      <c r="N117" s="171">
        <f>MIN(Tabelle13245[[#This Row],[Jira Story Points]],Tabelle13245[[#This Row],[Carry-over]])-Tabelle13245[[#This Row],[SP Initially Planned (COS)]]</f>
        <v>0</v>
      </c>
      <c r="O117" s="172">
        <f>IFERROR(IF(Tabelle13245[[#This Row],[Status]]=$I$5,0,IF(AND(Tabelle13245[[#This Row],[Status]]=$H$5,Tabelle13245[[#This Row],[Spill-over]]=0),0,IF(Tabelle13245[[#This Row],[Carry-over]]&lt;&gt;0,Tabelle13245[[#This Row],[Carry-over]]-Tabelle13245[[#This Row],[Spill-over]],Tabelle13245[[#This Row],[Jira Story Points]]-Tabelle13245[[#This Row],[Spill-over]]))),"-")</f>
        <v>5</v>
      </c>
      <c r="P117" s="173">
        <f>IFERROR(IF(Tabelle13245[[#This Row],[Status]]=$I$5,MIN(Tabelle13245[[#This Row],[Jira Story Points]],Tabelle13245[[#This Row],[Carry-over]]),0),0)</f>
        <v>0</v>
      </c>
      <c r="Q117" s="173">
        <f>IFERROR(IF(Tabelle13245[[#This Row],[Status]]=$I$5,0,MIN(Tabelle13245[[#This Row],[Jira Story Points]],Tabelle13245[[#This Row],[Carry-over]])-Tabelle13245[[#This Row],[SP Completed (COS &amp; SOS)]]),0)</f>
        <v>0</v>
      </c>
    </row>
    <row r="118" spans="1:17" s="46" customFormat="1" ht="13.5" customHeight="1">
      <c r="A118" s="88" t="s">
        <v>3317</v>
      </c>
      <c r="B118" s="46" t="s">
        <v>3318</v>
      </c>
      <c r="C118" s="76" t="s">
        <v>372</v>
      </c>
      <c r="D118" s="76">
        <v>3</v>
      </c>
      <c r="E118" s="76" t="s">
        <v>324</v>
      </c>
      <c r="F118" s="76" t="s">
        <v>210</v>
      </c>
      <c r="G118" s="76" t="s">
        <v>35</v>
      </c>
      <c r="H118" s="76"/>
      <c r="I118" s="103"/>
      <c r="J118" s="76" t="s">
        <v>125</v>
      </c>
      <c r="K118" s="76"/>
      <c r="L118" s="76"/>
      <c r="M118" s="170">
        <f>IF(Tabelle13245[[#This Row],[Pulled after Start]]="",MIN(Tabelle13245[[#This Row],[Jira Story Points]],Tabelle13245[[#This Row],[Carry-over]]),0)</f>
        <v>0</v>
      </c>
      <c r="N118" s="171">
        <f>MIN(Tabelle13245[[#This Row],[Jira Story Points]],Tabelle13245[[#This Row],[Carry-over]])-Tabelle13245[[#This Row],[SP Initially Planned (COS)]]</f>
        <v>0</v>
      </c>
      <c r="O118" s="172" t="str">
        <f>IFERROR(IF(Tabelle13245[[#This Row],[Status]]=$I$5,0,IF(AND(Tabelle13245[[#This Row],[Status]]=$H$5,Tabelle13245[[#This Row],[Spill-over]]=0),0,IF(Tabelle13245[[#This Row],[Carry-over]]&lt;&gt;0,Tabelle13245[[#This Row],[Carry-over]]-Tabelle13245[[#This Row],[Spill-over]],Tabelle13245[[#This Row],[Jira Story Points]]-Tabelle13245[[#This Row],[Spill-over]]))),"-")</f>
        <v>-</v>
      </c>
      <c r="P118" s="173">
        <f>IFERROR(IF(Tabelle13245[[#This Row],[Status]]=$I$5,MIN(Tabelle13245[[#This Row],[Jira Story Points]],Tabelle13245[[#This Row],[Carry-over]]),0),0)</f>
        <v>0</v>
      </c>
      <c r="Q118" s="173">
        <f>IFERROR(IF(Tabelle13245[[#This Row],[Status]]=$I$5,0,MIN(Tabelle13245[[#This Row],[Jira Story Points]],Tabelle13245[[#This Row],[Carry-over]])-Tabelle13245[[#This Row],[SP Completed (COS &amp; SOS)]]),0)</f>
        <v>0</v>
      </c>
    </row>
    <row r="119" spans="1:17" s="46" customFormat="1" ht="13.5" customHeight="1">
      <c r="A119" s="88" t="s">
        <v>3005</v>
      </c>
      <c r="B119" s="47" t="s">
        <v>3006</v>
      </c>
      <c r="C119" s="76" t="s">
        <v>372</v>
      </c>
      <c r="D119" s="76">
        <v>3</v>
      </c>
      <c r="E119" s="76" t="s">
        <v>637</v>
      </c>
      <c r="F119" s="76">
        <v>3</v>
      </c>
      <c r="G119" s="76" t="s">
        <v>35</v>
      </c>
      <c r="H119" s="76"/>
      <c r="I119" s="120" t="s">
        <v>3319</v>
      </c>
      <c r="J119" s="76" t="s">
        <v>127</v>
      </c>
      <c r="K119" s="76"/>
      <c r="L119" s="76"/>
      <c r="M119" s="170">
        <f>IF(Tabelle13245[[#This Row],[Pulled after Start]]="",MIN(Tabelle13245[[#This Row],[Jira Story Points]],Tabelle13245[[#This Row],[Carry-over]]),0)</f>
        <v>3</v>
      </c>
      <c r="N119" s="171">
        <f>MIN(Tabelle13245[[#This Row],[Jira Story Points]],Tabelle13245[[#This Row],[Carry-over]])-Tabelle13245[[#This Row],[SP Initially Planned (COS)]]</f>
        <v>0</v>
      </c>
      <c r="O119"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19" s="173">
        <f>IFERROR(IF(Tabelle13245[[#This Row],[Status]]=$I$5,MIN(Tabelle13245[[#This Row],[Jira Story Points]],Tabelle13245[[#This Row],[Carry-over]]),0),0)</f>
        <v>0</v>
      </c>
      <c r="Q119" s="173">
        <f>IFERROR(IF(Tabelle13245[[#This Row],[Status]]=$I$5,0,MIN(Tabelle13245[[#This Row],[Jira Story Points]],Tabelle13245[[#This Row],[Carry-over]])-Tabelle13245[[#This Row],[SP Completed (COS &amp; SOS)]]),0)</f>
        <v>3</v>
      </c>
    </row>
    <row r="120" spans="1:17" s="46" customFormat="1" ht="13.5" customHeight="1">
      <c r="A120" s="88" t="s">
        <v>3320</v>
      </c>
      <c r="B120" s="46" t="s">
        <v>3321</v>
      </c>
      <c r="C120" s="76" t="s">
        <v>372</v>
      </c>
      <c r="D120" s="76">
        <v>3</v>
      </c>
      <c r="E120" s="76" t="s">
        <v>324</v>
      </c>
      <c r="F120" s="76">
        <v>3</v>
      </c>
      <c r="G120" s="76" t="s">
        <v>35</v>
      </c>
      <c r="H120" s="76"/>
      <c r="I120" s="120" t="s">
        <v>3322</v>
      </c>
      <c r="J120" s="76" t="s">
        <v>125</v>
      </c>
      <c r="K120" s="76"/>
      <c r="L120" s="76"/>
      <c r="M120" s="170">
        <f>IF(Tabelle13245[[#This Row],[Pulled after Start]]="",MIN(Tabelle13245[[#This Row],[Jira Story Points]],Tabelle13245[[#This Row],[Carry-over]]),0)</f>
        <v>3</v>
      </c>
      <c r="N120" s="171">
        <f>MIN(Tabelle13245[[#This Row],[Jira Story Points]],Tabelle13245[[#This Row],[Carry-over]])-Tabelle13245[[#This Row],[SP Initially Planned (COS)]]</f>
        <v>0</v>
      </c>
      <c r="O120"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20" s="173">
        <f>IFERROR(IF(Tabelle13245[[#This Row],[Status]]=$I$5,MIN(Tabelle13245[[#This Row],[Jira Story Points]],Tabelle13245[[#This Row],[Carry-over]]),0),0)</f>
        <v>0</v>
      </c>
      <c r="Q120" s="173">
        <f>IFERROR(IF(Tabelle13245[[#This Row],[Status]]=$I$5,0,MIN(Tabelle13245[[#This Row],[Jira Story Points]],Tabelle13245[[#This Row],[Carry-over]])-Tabelle13245[[#This Row],[SP Completed (COS &amp; SOS)]]),0)</f>
        <v>0</v>
      </c>
    </row>
    <row r="121" spans="1:17" s="46" customFormat="1" ht="13.5" customHeight="1">
      <c r="A121" s="88" t="s">
        <v>3323</v>
      </c>
      <c r="B121" s="46" t="s">
        <v>3324</v>
      </c>
      <c r="C121" s="76" t="s">
        <v>372</v>
      </c>
      <c r="D121" s="76">
        <v>3</v>
      </c>
      <c r="E121" s="76" t="s">
        <v>324</v>
      </c>
      <c r="F121" s="76">
        <v>5</v>
      </c>
      <c r="G121" s="76" t="s">
        <v>35</v>
      </c>
      <c r="H121" s="76"/>
      <c r="I121" s="103"/>
      <c r="J121" s="76" t="s">
        <v>125</v>
      </c>
      <c r="K121" s="76"/>
      <c r="L121" s="76"/>
      <c r="M121" s="170">
        <f>IF(Tabelle13245[[#This Row],[Pulled after Start]]="",MIN(Tabelle13245[[#This Row],[Jira Story Points]],Tabelle13245[[#This Row],[Carry-over]]),0)</f>
        <v>5</v>
      </c>
      <c r="N121" s="171">
        <f>MIN(Tabelle13245[[#This Row],[Jira Story Points]],Tabelle13245[[#This Row],[Carry-over]])-Tabelle13245[[#This Row],[SP Initially Planned (COS)]]</f>
        <v>0</v>
      </c>
      <c r="O121" s="172">
        <f>IFERROR(IF(Tabelle13245[[#This Row],[Status]]=$I$5,0,IF(AND(Tabelle13245[[#This Row],[Status]]=$H$5,Tabelle13245[[#This Row],[Spill-over]]=0),0,IF(Tabelle13245[[#This Row],[Carry-over]]&lt;&gt;0,Tabelle13245[[#This Row],[Carry-over]]-Tabelle13245[[#This Row],[Spill-over]],Tabelle13245[[#This Row],[Jira Story Points]]-Tabelle13245[[#This Row],[Spill-over]]))),"-")</f>
        <v>5</v>
      </c>
      <c r="P121" s="173">
        <f>IFERROR(IF(Tabelle13245[[#This Row],[Status]]=$I$5,MIN(Tabelle13245[[#This Row],[Jira Story Points]],Tabelle13245[[#This Row],[Carry-over]]),0),0)</f>
        <v>0</v>
      </c>
      <c r="Q121" s="173">
        <f>IFERROR(IF(Tabelle13245[[#This Row],[Status]]=$I$5,0,MIN(Tabelle13245[[#This Row],[Jira Story Points]],Tabelle13245[[#This Row],[Carry-over]])-Tabelle13245[[#This Row],[SP Completed (COS &amp; SOS)]]),0)</f>
        <v>0</v>
      </c>
    </row>
    <row r="122" spans="1:17" s="46" customFormat="1" ht="13.5" customHeight="1">
      <c r="A122" s="88" t="s">
        <v>2489</v>
      </c>
      <c r="B122" s="47" t="s">
        <v>3025</v>
      </c>
      <c r="C122" s="76" t="s">
        <v>375</v>
      </c>
      <c r="D122" s="76">
        <v>3</v>
      </c>
      <c r="E122" s="76" t="s">
        <v>637</v>
      </c>
      <c r="F122" s="76">
        <v>3</v>
      </c>
      <c r="G122" s="76" t="s">
        <v>35</v>
      </c>
      <c r="H122" s="76" t="s">
        <v>209</v>
      </c>
      <c r="I122" s="103"/>
      <c r="J122" s="76" t="s">
        <v>127</v>
      </c>
      <c r="K122" s="76"/>
      <c r="L122" s="76"/>
      <c r="M122" s="170">
        <f>IF(Tabelle13245[[#This Row],[Pulled after Start]]="",MIN(Tabelle13245[[#This Row],[Jira Story Points]],Tabelle13245[[#This Row],[Carry-over]]),0)</f>
        <v>0</v>
      </c>
      <c r="N122" s="171">
        <f>MIN(Tabelle13245[[#This Row],[Jira Story Points]],Tabelle13245[[#This Row],[Carry-over]])-Tabelle13245[[#This Row],[SP Initially Planned (COS)]]</f>
        <v>3</v>
      </c>
      <c r="O122"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22" s="173">
        <f>IFERROR(IF(Tabelle13245[[#This Row],[Status]]=$I$5,MIN(Tabelle13245[[#This Row],[Jira Story Points]],Tabelle13245[[#This Row],[Carry-over]]),0),0)</f>
        <v>0</v>
      </c>
      <c r="Q122" s="173">
        <f>IFERROR(IF(Tabelle13245[[#This Row],[Status]]=$I$5,0,MIN(Tabelle13245[[#This Row],[Jira Story Points]],Tabelle13245[[#This Row],[Carry-over]])-Tabelle13245[[#This Row],[SP Completed (COS &amp; SOS)]]),0)</f>
        <v>3</v>
      </c>
    </row>
    <row r="123" spans="1:17" s="46" customFormat="1" ht="13.5" customHeight="1">
      <c r="A123" s="167" t="s">
        <v>3325</v>
      </c>
      <c r="B123" s="47" t="s">
        <v>3326</v>
      </c>
      <c r="C123" s="76" t="s">
        <v>372</v>
      </c>
      <c r="D123" s="76">
        <v>3</v>
      </c>
      <c r="E123" s="76" t="s">
        <v>324</v>
      </c>
      <c r="F123" s="76">
        <v>3</v>
      </c>
      <c r="G123" s="76" t="s">
        <v>35</v>
      </c>
      <c r="H123" s="76"/>
      <c r="I123" s="103"/>
      <c r="J123" s="76" t="s">
        <v>125</v>
      </c>
      <c r="K123" s="76"/>
      <c r="L123" s="76"/>
      <c r="M123" s="170">
        <f>IF(Tabelle13245[[#This Row],[Pulled after Start]]="",MIN(Tabelle13245[[#This Row],[Jira Story Points]],Tabelle13245[[#This Row],[Carry-over]]),0)</f>
        <v>3</v>
      </c>
      <c r="N123" s="171">
        <f>MIN(Tabelle13245[[#This Row],[Jira Story Points]],Tabelle13245[[#This Row],[Carry-over]])-Tabelle13245[[#This Row],[SP Initially Planned (COS)]]</f>
        <v>0</v>
      </c>
      <c r="O123"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23" s="173">
        <f>IFERROR(IF(Tabelle13245[[#This Row],[Status]]=$I$5,MIN(Tabelle13245[[#This Row],[Jira Story Points]],Tabelle13245[[#This Row],[Carry-over]]),0),0)</f>
        <v>0</v>
      </c>
      <c r="Q123" s="173">
        <f>IFERROR(IF(Tabelle13245[[#This Row],[Status]]=$I$5,0,MIN(Tabelle13245[[#This Row],[Jira Story Points]],Tabelle13245[[#This Row],[Carry-over]])-Tabelle13245[[#This Row],[SP Completed (COS &amp; SOS)]]),0)</f>
        <v>0</v>
      </c>
    </row>
    <row r="124" spans="1:17" s="46" customFormat="1" ht="13.5" customHeight="1">
      <c r="A124" s="88" t="s">
        <v>3026</v>
      </c>
      <c r="B124" s="47" t="s">
        <v>3327</v>
      </c>
      <c r="C124" s="76" t="s">
        <v>372</v>
      </c>
      <c r="D124" s="76">
        <v>3</v>
      </c>
      <c r="E124" s="76" t="s">
        <v>637</v>
      </c>
      <c r="F124" s="76" t="s">
        <v>210</v>
      </c>
      <c r="G124" s="76" t="s">
        <v>35</v>
      </c>
      <c r="H124" s="76"/>
      <c r="I124" s="103"/>
      <c r="J124" s="76" t="s">
        <v>125</v>
      </c>
      <c r="K124" s="76"/>
      <c r="L124" s="76"/>
      <c r="M124" s="170">
        <f>IF(Tabelle13245[[#This Row],[Pulled after Start]]="",MIN(Tabelle13245[[#This Row],[Jira Story Points]],Tabelle13245[[#This Row],[Carry-over]]),0)</f>
        <v>0</v>
      </c>
      <c r="N124" s="171">
        <f>MIN(Tabelle13245[[#This Row],[Jira Story Points]],Tabelle13245[[#This Row],[Carry-over]])-Tabelle13245[[#This Row],[SP Initially Planned (COS)]]</f>
        <v>0</v>
      </c>
      <c r="O124" s="172" t="str">
        <f>IFERROR(IF(Tabelle13245[[#This Row],[Status]]=$I$5,0,IF(AND(Tabelle13245[[#This Row],[Status]]=$H$5,Tabelle13245[[#This Row],[Spill-over]]=0),0,IF(Tabelle13245[[#This Row],[Carry-over]]&lt;&gt;0,Tabelle13245[[#This Row],[Carry-over]]-Tabelle13245[[#This Row],[Spill-over]],Tabelle13245[[#This Row],[Jira Story Points]]-Tabelle13245[[#This Row],[Spill-over]]))),"-")</f>
        <v>-</v>
      </c>
      <c r="P124" s="173">
        <f>IFERROR(IF(Tabelle13245[[#This Row],[Status]]=$I$5,MIN(Tabelle13245[[#This Row],[Jira Story Points]],Tabelle13245[[#This Row],[Carry-over]]),0),0)</f>
        <v>0</v>
      </c>
      <c r="Q124" s="173">
        <f>IFERROR(IF(Tabelle13245[[#This Row],[Status]]=$I$5,0,MIN(Tabelle13245[[#This Row],[Jira Story Points]],Tabelle13245[[#This Row],[Carry-over]])-Tabelle13245[[#This Row],[SP Completed (COS &amp; SOS)]]),0)</f>
        <v>0</v>
      </c>
    </row>
    <row r="125" spans="1:17" s="46" customFormat="1" ht="13.5" customHeight="1">
      <c r="A125" s="88" t="s">
        <v>3328</v>
      </c>
      <c r="B125" s="47" t="s">
        <v>2152</v>
      </c>
      <c r="C125" s="76" t="s">
        <v>382</v>
      </c>
      <c r="D125" s="76">
        <v>3</v>
      </c>
      <c r="E125" s="76" t="s">
        <v>330</v>
      </c>
      <c r="F125" s="76" t="s">
        <v>210</v>
      </c>
      <c r="G125" s="76" t="s">
        <v>35</v>
      </c>
      <c r="H125" s="76"/>
      <c r="I125" s="103"/>
      <c r="J125" s="76" t="s">
        <v>125</v>
      </c>
      <c r="K125" s="76"/>
      <c r="L125" s="76"/>
      <c r="M125" s="170">
        <f>IF(Tabelle13245[[#This Row],[Pulled after Start]]="",MIN(Tabelle13245[[#This Row],[Jira Story Points]],Tabelle13245[[#This Row],[Carry-over]]),0)</f>
        <v>0</v>
      </c>
      <c r="N125" s="171">
        <f>MIN(Tabelle13245[[#This Row],[Jira Story Points]],Tabelle13245[[#This Row],[Carry-over]])-Tabelle13245[[#This Row],[SP Initially Planned (COS)]]</f>
        <v>0</v>
      </c>
      <c r="O125" s="172" t="str">
        <f>IFERROR(IF(Tabelle13245[[#This Row],[Status]]=$I$5,0,IF(AND(Tabelle13245[[#This Row],[Status]]=$H$5,Tabelle13245[[#This Row],[Spill-over]]=0),0,IF(Tabelle13245[[#This Row],[Carry-over]]&lt;&gt;0,Tabelle13245[[#This Row],[Carry-over]]-Tabelle13245[[#This Row],[Spill-over]],Tabelle13245[[#This Row],[Jira Story Points]]-Tabelle13245[[#This Row],[Spill-over]]))),"-")</f>
        <v>-</v>
      </c>
      <c r="P125" s="173">
        <f>IFERROR(IF(Tabelle13245[[#This Row],[Status]]=$I$5,MIN(Tabelle13245[[#This Row],[Jira Story Points]],Tabelle13245[[#This Row],[Carry-over]]),0),0)</f>
        <v>0</v>
      </c>
      <c r="Q125" s="173">
        <f>IFERROR(IF(Tabelle13245[[#This Row],[Status]]=$I$5,0,MIN(Tabelle13245[[#This Row],[Jira Story Points]],Tabelle13245[[#This Row],[Carry-over]])-Tabelle13245[[#This Row],[SP Completed (COS &amp; SOS)]]),0)</f>
        <v>0</v>
      </c>
    </row>
    <row r="126" spans="1:17" s="46" customFormat="1" ht="13.5" customHeight="1">
      <c r="A126" s="88" t="s">
        <v>3028</v>
      </c>
      <c r="B126" s="46" t="s">
        <v>3029</v>
      </c>
      <c r="C126" s="76" t="s">
        <v>375</v>
      </c>
      <c r="D126" s="76">
        <v>2</v>
      </c>
      <c r="E126" s="76" t="s">
        <v>637</v>
      </c>
      <c r="F126" s="76">
        <v>3</v>
      </c>
      <c r="G126" s="76" t="s">
        <v>35</v>
      </c>
      <c r="H126" s="83" t="s">
        <v>209</v>
      </c>
      <c r="I126" s="103"/>
      <c r="J126" s="76" t="s">
        <v>127</v>
      </c>
      <c r="K126" s="104"/>
      <c r="L126" s="104"/>
      <c r="M126" s="170">
        <f>IF(Tabelle13245[[#This Row],[Pulled after Start]]="",MIN(Tabelle13245[[#This Row],[Jira Story Points]],Tabelle13245[[#This Row],[Carry-over]]),0)</f>
        <v>0</v>
      </c>
      <c r="N126" s="171">
        <f>MIN(Tabelle13245[[#This Row],[Jira Story Points]],Tabelle13245[[#This Row],[Carry-over]])-Tabelle13245[[#This Row],[SP Initially Planned (COS)]]</f>
        <v>3</v>
      </c>
      <c r="O126"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26" s="173">
        <f>IFERROR(IF(Tabelle13245[[#This Row],[Status]]=$I$5,MIN(Tabelle13245[[#This Row],[Jira Story Points]],Tabelle13245[[#This Row],[Carry-over]]),0),0)</f>
        <v>0</v>
      </c>
      <c r="Q126" s="173">
        <f>IFERROR(IF(Tabelle13245[[#This Row],[Status]]=$I$5,0,MIN(Tabelle13245[[#This Row],[Jira Story Points]],Tabelle13245[[#This Row],[Carry-over]])-Tabelle13245[[#This Row],[SP Completed (COS &amp; SOS)]]),0)</f>
        <v>3</v>
      </c>
    </row>
    <row r="127" spans="1:17" s="46" customFormat="1" ht="13.5" customHeight="1">
      <c r="A127" s="88" t="s">
        <v>2780</v>
      </c>
      <c r="B127" s="47" t="s">
        <v>2781</v>
      </c>
      <c r="C127" s="76" t="s">
        <v>372</v>
      </c>
      <c r="D127" s="76">
        <v>3</v>
      </c>
      <c r="E127" s="76" t="s">
        <v>327</v>
      </c>
      <c r="F127" s="76">
        <v>2</v>
      </c>
      <c r="G127" s="76" t="s">
        <v>35</v>
      </c>
      <c r="H127" s="83" t="s">
        <v>209</v>
      </c>
      <c r="I127" s="103"/>
      <c r="J127" s="76" t="s">
        <v>125</v>
      </c>
      <c r="K127" s="104"/>
      <c r="L127" s="104"/>
      <c r="M127" s="170">
        <f>IF(Tabelle13245[[#This Row],[Pulled after Start]]="",MIN(Tabelle13245[[#This Row],[Jira Story Points]],Tabelle13245[[#This Row],[Carry-over]]),0)</f>
        <v>0</v>
      </c>
      <c r="N127" s="171">
        <f>MIN(Tabelle13245[[#This Row],[Jira Story Points]],Tabelle13245[[#This Row],[Carry-over]])-Tabelle13245[[#This Row],[SP Initially Planned (COS)]]</f>
        <v>2</v>
      </c>
      <c r="O127"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127" s="173">
        <f>IFERROR(IF(Tabelle13245[[#This Row],[Status]]=$I$5,MIN(Tabelle13245[[#This Row],[Jira Story Points]],Tabelle13245[[#This Row],[Carry-over]]),0),0)</f>
        <v>0</v>
      </c>
      <c r="Q127" s="173">
        <f>IFERROR(IF(Tabelle13245[[#This Row],[Status]]=$I$5,0,MIN(Tabelle13245[[#This Row],[Jira Story Points]],Tabelle13245[[#This Row],[Carry-over]])-Tabelle13245[[#This Row],[SP Completed (COS &amp; SOS)]]),0)</f>
        <v>0</v>
      </c>
    </row>
    <row r="128" spans="1:17" s="46" customFormat="1" ht="13.5" customHeight="1">
      <c r="A128" s="88" t="s">
        <v>3329</v>
      </c>
      <c r="B128" s="47" t="s">
        <v>3330</v>
      </c>
      <c r="C128" s="76" t="s">
        <v>372</v>
      </c>
      <c r="D128" s="76">
        <v>1</v>
      </c>
      <c r="E128" s="76" t="s">
        <v>324</v>
      </c>
      <c r="F128" s="76">
        <v>3</v>
      </c>
      <c r="G128" s="76" t="s">
        <v>35</v>
      </c>
      <c r="H128" s="76"/>
      <c r="I128" s="103"/>
      <c r="J128" s="76" t="s">
        <v>125</v>
      </c>
      <c r="K128" s="76"/>
      <c r="L128" s="76"/>
      <c r="M128" s="170">
        <f>IF(Tabelle13245[[#This Row],[Pulled after Start]]="",MIN(Tabelle13245[[#This Row],[Jira Story Points]],Tabelle13245[[#This Row],[Carry-over]]),0)</f>
        <v>3</v>
      </c>
      <c r="N128" s="171">
        <f>MIN(Tabelle13245[[#This Row],[Jira Story Points]],Tabelle13245[[#This Row],[Carry-over]])-Tabelle13245[[#This Row],[SP Initially Planned (COS)]]</f>
        <v>0</v>
      </c>
      <c r="O128"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28" s="173">
        <f>IFERROR(IF(Tabelle13245[[#This Row],[Status]]=$I$5,MIN(Tabelle13245[[#This Row],[Jira Story Points]],Tabelle13245[[#This Row],[Carry-over]]),0),0)</f>
        <v>0</v>
      </c>
      <c r="Q128" s="173">
        <f>IFERROR(IF(Tabelle13245[[#This Row],[Status]]=$I$5,0,MIN(Tabelle13245[[#This Row],[Jira Story Points]],Tabelle13245[[#This Row],[Carry-over]])-Tabelle13245[[#This Row],[SP Completed (COS &amp; SOS)]]),0)</f>
        <v>0</v>
      </c>
    </row>
    <row r="129" spans="1:17" s="46" customFormat="1" ht="13.5" customHeight="1">
      <c r="A129" s="88" t="s">
        <v>3331</v>
      </c>
      <c r="B129" s="47" t="s">
        <v>3332</v>
      </c>
      <c r="C129" s="76" t="s">
        <v>375</v>
      </c>
      <c r="D129" s="76">
        <v>1</v>
      </c>
      <c r="E129" s="76" t="s">
        <v>637</v>
      </c>
      <c r="F129" s="76">
        <v>3</v>
      </c>
      <c r="G129" s="76" t="s">
        <v>35</v>
      </c>
      <c r="H129" s="83" t="s">
        <v>209</v>
      </c>
      <c r="I129" s="103"/>
      <c r="J129" s="76" t="s">
        <v>127</v>
      </c>
      <c r="K129" s="104"/>
      <c r="L129" s="104"/>
      <c r="M129" s="170">
        <f>IF(Tabelle13245[[#This Row],[Pulled after Start]]="",MIN(Tabelle13245[[#This Row],[Jira Story Points]],Tabelle13245[[#This Row],[Carry-over]]),0)</f>
        <v>0</v>
      </c>
      <c r="N129" s="171">
        <f>MIN(Tabelle13245[[#This Row],[Jira Story Points]],Tabelle13245[[#This Row],[Carry-over]])-Tabelle13245[[#This Row],[SP Initially Planned (COS)]]</f>
        <v>3</v>
      </c>
      <c r="O129"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29" s="173">
        <f>IFERROR(IF(Tabelle13245[[#This Row],[Status]]=$I$5,MIN(Tabelle13245[[#This Row],[Jira Story Points]],Tabelle13245[[#This Row],[Carry-over]]),0),0)</f>
        <v>0</v>
      </c>
      <c r="Q129" s="173">
        <f>IFERROR(IF(Tabelle13245[[#This Row],[Status]]=$I$5,0,MIN(Tabelle13245[[#This Row],[Jira Story Points]],Tabelle13245[[#This Row],[Carry-over]])-Tabelle13245[[#This Row],[SP Completed (COS &amp; SOS)]]),0)</f>
        <v>3</v>
      </c>
    </row>
    <row r="130" spans="1:17" s="46" customFormat="1" ht="13.5" customHeight="1">
      <c r="A130" s="88" t="s">
        <v>3333</v>
      </c>
      <c r="B130" s="47" t="s">
        <v>3334</v>
      </c>
      <c r="C130" s="76" t="s">
        <v>372</v>
      </c>
      <c r="D130" s="76">
        <v>1</v>
      </c>
      <c r="E130" s="76" t="s">
        <v>1247</v>
      </c>
      <c r="F130" s="76">
        <v>8</v>
      </c>
      <c r="G130" s="76" t="s">
        <v>35</v>
      </c>
      <c r="H130" s="83" t="s">
        <v>209</v>
      </c>
      <c r="I130" s="103"/>
      <c r="J130" s="76" t="s">
        <v>125</v>
      </c>
      <c r="K130" s="104"/>
      <c r="L130" s="104"/>
      <c r="M130" s="170">
        <f>IF(Tabelle13245[[#This Row],[Pulled after Start]]="",MIN(Tabelle13245[[#This Row],[Jira Story Points]],Tabelle13245[[#This Row],[Carry-over]]),0)</f>
        <v>0</v>
      </c>
      <c r="N130" s="171">
        <f>MIN(Tabelle13245[[#This Row],[Jira Story Points]],Tabelle13245[[#This Row],[Carry-over]])-Tabelle13245[[#This Row],[SP Initially Planned (COS)]]</f>
        <v>8</v>
      </c>
      <c r="O130" s="172">
        <f>IFERROR(IF(Tabelle13245[[#This Row],[Status]]=$I$5,0,IF(AND(Tabelle13245[[#This Row],[Status]]=$H$5,Tabelle13245[[#This Row],[Spill-over]]=0),0,IF(Tabelle13245[[#This Row],[Carry-over]]&lt;&gt;0,Tabelle13245[[#This Row],[Carry-over]]-Tabelle13245[[#This Row],[Spill-over]],Tabelle13245[[#This Row],[Jira Story Points]]-Tabelle13245[[#This Row],[Spill-over]]))),"-")</f>
        <v>8</v>
      </c>
      <c r="P130" s="173">
        <f>IFERROR(IF(Tabelle13245[[#This Row],[Status]]=$I$5,MIN(Tabelle13245[[#This Row],[Jira Story Points]],Tabelle13245[[#This Row],[Carry-over]]),0),0)</f>
        <v>0</v>
      </c>
      <c r="Q130" s="173">
        <f>IFERROR(IF(Tabelle13245[[#This Row],[Status]]=$I$5,0,MIN(Tabelle13245[[#This Row],[Jira Story Points]],Tabelle13245[[#This Row],[Carry-over]])-Tabelle13245[[#This Row],[SP Completed (COS &amp; SOS)]]),0)</f>
        <v>0</v>
      </c>
    </row>
    <row r="131" spans="1:17" s="46" customFormat="1" ht="13.5" customHeight="1">
      <c r="A131" s="88" t="s">
        <v>3335</v>
      </c>
      <c r="B131" s="47" t="s">
        <v>3336</v>
      </c>
      <c r="C131" s="76" t="s">
        <v>382</v>
      </c>
      <c r="D131" s="76">
        <v>3</v>
      </c>
      <c r="E131" s="76" t="s">
        <v>324</v>
      </c>
      <c r="F131" s="76" t="s">
        <v>210</v>
      </c>
      <c r="G131" s="76" t="s">
        <v>35</v>
      </c>
      <c r="H131" s="76" t="s">
        <v>209</v>
      </c>
      <c r="I131" s="120" t="s">
        <v>3337</v>
      </c>
      <c r="J131" s="76" t="s">
        <v>125</v>
      </c>
      <c r="K131" s="76"/>
      <c r="L131" s="76"/>
      <c r="M131" s="170">
        <f>IF(Tabelle13245[[#This Row],[Pulled after Start]]="",MIN(Tabelle13245[[#This Row],[Jira Story Points]],Tabelle13245[[#This Row],[Carry-over]]),0)</f>
        <v>0</v>
      </c>
      <c r="N131" s="171">
        <f>MIN(Tabelle13245[[#This Row],[Jira Story Points]],Tabelle13245[[#This Row],[Carry-over]])-Tabelle13245[[#This Row],[SP Initially Planned (COS)]]</f>
        <v>0</v>
      </c>
      <c r="O131" s="172" t="str">
        <f>IFERROR(IF(Tabelle13245[[#This Row],[Status]]=$I$5,0,IF(AND(Tabelle13245[[#This Row],[Status]]=$H$5,Tabelle13245[[#This Row],[Spill-over]]=0),0,IF(Tabelle13245[[#This Row],[Carry-over]]&lt;&gt;0,Tabelle13245[[#This Row],[Carry-over]]-Tabelle13245[[#This Row],[Spill-over]],Tabelle13245[[#This Row],[Jira Story Points]]-Tabelle13245[[#This Row],[Spill-over]]))),"-")</f>
        <v>-</v>
      </c>
      <c r="P131" s="173">
        <f>IFERROR(IF(Tabelle13245[[#This Row],[Status]]=$I$5,MIN(Tabelle13245[[#This Row],[Jira Story Points]],Tabelle13245[[#This Row],[Carry-over]]),0),0)</f>
        <v>0</v>
      </c>
      <c r="Q131" s="173">
        <f>IFERROR(IF(Tabelle13245[[#This Row],[Status]]=$I$5,0,MIN(Tabelle13245[[#This Row],[Jira Story Points]],Tabelle13245[[#This Row],[Carry-over]])-Tabelle13245[[#This Row],[SP Completed (COS &amp; SOS)]]),0)</f>
        <v>0</v>
      </c>
    </row>
    <row r="132" spans="1:17" s="46" customFormat="1" ht="13.5" customHeight="1">
      <c r="A132" s="88" t="s">
        <v>3338</v>
      </c>
      <c r="B132" s="47" t="s">
        <v>3339</v>
      </c>
      <c r="C132" s="76" t="s">
        <v>382</v>
      </c>
      <c r="D132" s="76">
        <v>3</v>
      </c>
      <c r="E132" s="76" t="s">
        <v>330</v>
      </c>
      <c r="F132" s="76" t="s">
        <v>210</v>
      </c>
      <c r="G132" s="76" t="s">
        <v>35</v>
      </c>
      <c r="H132" s="83" t="s">
        <v>209</v>
      </c>
      <c r="I132" s="103"/>
      <c r="J132" s="76" t="s">
        <v>125</v>
      </c>
      <c r="K132" s="104"/>
      <c r="L132" s="104"/>
      <c r="M132" s="170">
        <f>IF(Tabelle13245[[#This Row],[Pulled after Start]]="",MIN(Tabelle13245[[#This Row],[Jira Story Points]],Tabelle13245[[#This Row],[Carry-over]]),0)</f>
        <v>0</v>
      </c>
      <c r="N132" s="171">
        <f>MIN(Tabelle13245[[#This Row],[Jira Story Points]],Tabelle13245[[#This Row],[Carry-over]])-Tabelle13245[[#This Row],[SP Initially Planned (COS)]]</f>
        <v>0</v>
      </c>
      <c r="O132" s="172" t="str">
        <f>IFERROR(IF(Tabelle13245[[#This Row],[Status]]=$I$5,0,IF(AND(Tabelle13245[[#This Row],[Status]]=$H$5,Tabelle13245[[#This Row],[Spill-over]]=0),0,IF(Tabelle13245[[#This Row],[Carry-over]]&lt;&gt;0,Tabelle13245[[#This Row],[Carry-over]]-Tabelle13245[[#This Row],[Spill-over]],Tabelle13245[[#This Row],[Jira Story Points]]-Tabelle13245[[#This Row],[Spill-over]]))),"-")</f>
        <v>-</v>
      </c>
      <c r="P132" s="173">
        <f>IFERROR(IF(Tabelle13245[[#This Row],[Status]]=$I$5,MIN(Tabelle13245[[#This Row],[Jira Story Points]],Tabelle13245[[#This Row],[Carry-over]]),0),0)</f>
        <v>0</v>
      </c>
      <c r="Q132" s="173">
        <f>IFERROR(IF(Tabelle13245[[#This Row],[Status]]=$I$5,0,MIN(Tabelle13245[[#This Row],[Jira Story Points]],Tabelle13245[[#This Row],[Carry-over]])-Tabelle13245[[#This Row],[SP Completed (COS &amp; SOS)]]),0)</f>
        <v>0</v>
      </c>
    </row>
    <row r="133" spans="1:17" s="46" customFormat="1" ht="13.5" customHeight="1">
      <c r="A133" s="157" t="s">
        <v>2906</v>
      </c>
      <c r="B133" s="47" t="s">
        <v>2907</v>
      </c>
      <c r="C133" s="76" t="s">
        <v>372</v>
      </c>
      <c r="D133" s="76">
        <v>3</v>
      </c>
      <c r="E133" s="76" t="s">
        <v>351</v>
      </c>
      <c r="F133" s="104">
        <v>3</v>
      </c>
      <c r="G133" s="76" t="s">
        <v>24</v>
      </c>
      <c r="H133" s="83"/>
      <c r="I133" s="103"/>
      <c r="J133" s="76" t="s">
        <v>125</v>
      </c>
      <c r="K133" s="104"/>
      <c r="L133" s="104"/>
      <c r="M133" s="170">
        <f>IF(Tabelle13245[[#This Row],[Pulled after Start]]="",MIN(Tabelle13245[[#This Row],[Jira Story Points]],Tabelle13245[[#This Row],[Carry-over]]),0)</f>
        <v>3</v>
      </c>
      <c r="N133" s="171">
        <f>MIN(Tabelle13245[[#This Row],[Jira Story Points]],Tabelle13245[[#This Row],[Carry-over]])-Tabelle13245[[#This Row],[SP Initially Planned (COS)]]</f>
        <v>0</v>
      </c>
      <c r="O133"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33" s="173">
        <f>IFERROR(IF(Tabelle13245[[#This Row],[Status]]=$I$5,MIN(Tabelle13245[[#This Row],[Jira Story Points]],Tabelle13245[[#This Row],[Carry-over]]),0),0)</f>
        <v>0</v>
      </c>
      <c r="Q133" s="173">
        <f>IFERROR(IF(Tabelle13245[[#This Row],[Status]]=$I$5,0,MIN(Tabelle13245[[#This Row],[Jira Story Points]],Tabelle13245[[#This Row],[Carry-over]])-Tabelle13245[[#This Row],[SP Completed (COS &amp; SOS)]]),0)</f>
        <v>0</v>
      </c>
    </row>
    <row r="134" spans="1:17" s="46" customFormat="1" ht="13.5" customHeight="1">
      <c r="A134" s="157" t="s">
        <v>3120</v>
      </c>
      <c r="B134" s="47" t="s">
        <v>3121</v>
      </c>
      <c r="C134" s="76" t="s">
        <v>372</v>
      </c>
      <c r="D134" s="76">
        <v>3</v>
      </c>
      <c r="E134" s="76" t="s">
        <v>327</v>
      </c>
      <c r="F134" s="104">
        <v>3</v>
      </c>
      <c r="G134" s="76" t="s">
        <v>24</v>
      </c>
      <c r="H134" s="83"/>
      <c r="I134" s="103"/>
      <c r="J134" s="76" t="s">
        <v>127</v>
      </c>
      <c r="K134" s="104"/>
      <c r="L134" s="104"/>
      <c r="M134" s="170">
        <f>IF(Tabelle13245[[#This Row],[Pulled after Start]]="",MIN(Tabelle13245[[#This Row],[Jira Story Points]],Tabelle13245[[#This Row],[Carry-over]]),0)</f>
        <v>3</v>
      </c>
      <c r="N134" s="171">
        <f>MIN(Tabelle13245[[#This Row],[Jira Story Points]],Tabelle13245[[#This Row],[Carry-over]])-Tabelle13245[[#This Row],[SP Initially Planned (COS)]]</f>
        <v>0</v>
      </c>
      <c r="O134"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34" s="173">
        <f>IFERROR(IF(Tabelle13245[[#This Row],[Status]]=$I$5,MIN(Tabelle13245[[#This Row],[Jira Story Points]],Tabelle13245[[#This Row],[Carry-over]]),0),0)</f>
        <v>0</v>
      </c>
      <c r="Q134" s="173">
        <f>IFERROR(IF(Tabelle13245[[#This Row],[Status]]=$I$5,0,MIN(Tabelle13245[[#This Row],[Jira Story Points]],Tabelle13245[[#This Row],[Carry-over]])-Tabelle13245[[#This Row],[SP Completed (COS &amp; SOS)]]),0)</f>
        <v>3</v>
      </c>
    </row>
    <row r="135" spans="1:17" s="46" customFormat="1" ht="13.5" customHeight="1">
      <c r="A135" s="166" t="s">
        <v>3340</v>
      </c>
      <c r="B135" s="49" t="s">
        <v>3341</v>
      </c>
      <c r="C135" s="76" t="s">
        <v>382</v>
      </c>
      <c r="D135" s="76">
        <v>3</v>
      </c>
      <c r="E135" s="76" t="s">
        <v>216</v>
      </c>
      <c r="F135" s="104">
        <v>3</v>
      </c>
      <c r="G135" s="76" t="s">
        <v>32</v>
      </c>
      <c r="H135" s="83" t="s">
        <v>209</v>
      </c>
      <c r="I135" s="103"/>
      <c r="J135" s="76" t="s">
        <v>125</v>
      </c>
      <c r="K135" s="104"/>
      <c r="L135" s="104"/>
      <c r="M135" s="170">
        <f>IF(Tabelle13245[[#This Row],[Pulled after Start]]="",MIN(Tabelle13245[[#This Row],[Jira Story Points]],Tabelle13245[[#This Row],[Carry-over]]),0)</f>
        <v>0</v>
      </c>
      <c r="N135" s="171">
        <f>MIN(Tabelle13245[[#This Row],[Jira Story Points]],Tabelle13245[[#This Row],[Carry-over]])-Tabelle13245[[#This Row],[SP Initially Planned (COS)]]</f>
        <v>3</v>
      </c>
      <c r="O135"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35" s="173">
        <f>IFERROR(IF(Tabelle13245[[#This Row],[Status]]=$I$5,MIN(Tabelle13245[[#This Row],[Jira Story Points]],Tabelle13245[[#This Row],[Carry-over]]),0),0)</f>
        <v>0</v>
      </c>
      <c r="Q135" s="173">
        <f>IFERROR(IF(Tabelle13245[[#This Row],[Status]]=$I$5,0,MIN(Tabelle13245[[#This Row],[Jira Story Points]],Tabelle13245[[#This Row],[Carry-over]])-Tabelle13245[[#This Row],[SP Completed (COS &amp; SOS)]]),0)</f>
        <v>0</v>
      </c>
    </row>
    <row r="136" spans="1:17" s="46" customFormat="1" ht="13.5" customHeight="1">
      <c r="A136" s="157" t="s">
        <v>3342</v>
      </c>
      <c r="B136" s="47" t="s">
        <v>3343</v>
      </c>
      <c r="C136" s="76" t="s">
        <v>372</v>
      </c>
      <c r="D136" s="76">
        <v>3</v>
      </c>
      <c r="E136" s="76" t="s">
        <v>324</v>
      </c>
      <c r="F136" s="104">
        <v>2</v>
      </c>
      <c r="G136" s="76" t="s">
        <v>17</v>
      </c>
      <c r="H136" s="83"/>
      <c r="I136" s="103"/>
      <c r="J136" s="76" t="s">
        <v>125</v>
      </c>
      <c r="K136" s="104"/>
      <c r="L136" s="104"/>
      <c r="M136" s="170">
        <f>IF(Tabelle13245[[#This Row],[Pulled after Start]]="",MIN(Tabelle13245[[#This Row],[Jira Story Points]],Tabelle13245[[#This Row],[Carry-over]]),0)</f>
        <v>2</v>
      </c>
      <c r="N136" s="171">
        <f>MIN(Tabelle13245[[#This Row],[Jira Story Points]],Tabelle13245[[#This Row],[Carry-over]])-Tabelle13245[[#This Row],[SP Initially Planned (COS)]]</f>
        <v>0</v>
      </c>
      <c r="O136"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136" s="173">
        <f>IFERROR(IF(Tabelle13245[[#This Row],[Status]]=$I$5,MIN(Tabelle13245[[#This Row],[Jira Story Points]],Tabelle13245[[#This Row],[Carry-over]]),0),0)</f>
        <v>0</v>
      </c>
      <c r="Q136" s="173">
        <f>IFERROR(IF(Tabelle13245[[#This Row],[Status]]=$I$5,0,MIN(Tabelle13245[[#This Row],[Jira Story Points]],Tabelle13245[[#This Row],[Carry-over]])-Tabelle13245[[#This Row],[SP Completed (COS &amp; SOS)]]),0)</f>
        <v>0</v>
      </c>
    </row>
    <row r="137" spans="1:17" s="46" customFormat="1" ht="13.5" customHeight="1">
      <c r="A137" s="168" t="s">
        <v>3344</v>
      </c>
      <c r="B137" s="47" t="s">
        <v>3345</v>
      </c>
      <c r="C137" s="76" t="s">
        <v>375</v>
      </c>
      <c r="D137" s="76">
        <v>2</v>
      </c>
      <c r="E137" s="76" t="s">
        <v>216</v>
      </c>
      <c r="F137" s="104">
        <v>5</v>
      </c>
      <c r="G137" s="76" t="s">
        <v>32</v>
      </c>
      <c r="H137" s="83"/>
      <c r="I137" s="103"/>
      <c r="J137" s="76" t="s">
        <v>125</v>
      </c>
      <c r="K137" s="104"/>
      <c r="L137" s="104"/>
      <c r="M137" s="170">
        <f>IF(Tabelle13245[[#This Row],[Pulled after Start]]="",MIN(Tabelle13245[[#This Row],[Jira Story Points]],Tabelle13245[[#This Row],[Carry-over]]),0)</f>
        <v>5</v>
      </c>
      <c r="N137" s="171">
        <f>MIN(Tabelle13245[[#This Row],[Jira Story Points]],Tabelle13245[[#This Row],[Carry-over]])-Tabelle13245[[#This Row],[SP Initially Planned (COS)]]</f>
        <v>0</v>
      </c>
      <c r="O137" s="172">
        <f>IFERROR(IF(Tabelle13245[[#This Row],[Status]]=$I$5,0,IF(AND(Tabelle13245[[#This Row],[Status]]=$H$5,Tabelle13245[[#This Row],[Spill-over]]=0),0,IF(Tabelle13245[[#This Row],[Carry-over]]&lt;&gt;0,Tabelle13245[[#This Row],[Carry-over]]-Tabelle13245[[#This Row],[Spill-over]],Tabelle13245[[#This Row],[Jira Story Points]]-Tabelle13245[[#This Row],[Spill-over]]))),"-")</f>
        <v>5</v>
      </c>
      <c r="P137" s="173">
        <f>IFERROR(IF(Tabelle13245[[#This Row],[Status]]=$I$5,MIN(Tabelle13245[[#This Row],[Jira Story Points]],Tabelle13245[[#This Row],[Carry-over]]),0),0)</f>
        <v>0</v>
      </c>
      <c r="Q137" s="173">
        <f>IFERROR(IF(Tabelle13245[[#This Row],[Status]]=$I$5,0,MIN(Tabelle13245[[#This Row],[Jira Story Points]],Tabelle13245[[#This Row],[Carry-over]])-Tabelle13245[[#This Row],[SP Completed (COS &amp; SOS)]]),0)</f>
        <v>0</v>
      </c>
    </row>
    <row r="138" spans="1:17" s="46" customFormat="1" ht="13.5" customHeight="1">
      <c r="A138" s="157" t="s">
        <v>2599</v>
      </c>
      <c r="B138" s="47" t="s">
        <v>2600</v>
      </c>
      <c r="C138" s="76" t="s">
        <v>372</v>
      </c>
      <c r="D138" s="76">
        <v>3</v>
      </c>
      <c r="E138" s="76" t="s">
        <v>327</v>
      </c>
      <c r="F138" s="104">
        <v>5</v>
      </c>
      <c r="G138" s="76" t="s">
        <v>17</v>
      </c>
      <c r="H138" s="83"/>
      <c r="I138" s="103"/>
      <c r="J138" s="76" t="s">
        <v>127</v>
      </c>
      <c r="K138" s="104">
        <v>5</v>
      </c>
      <c r="L138" s="104">
        <v>3</v>
      </c>
      <c r="M138" s="170">
        <f>IF(Tabelle13245[[#This Row],[Pulled after Start]]="",MIN(Tabelle13245[[#This Row],[Jira Story Points]],Tabelle13245[[#This Row],[Carry-over]]),0)</f>
        <v>5</v>
      </c>
      <c r="N138" s="171">
        <f>MIN(Tabelle13245[[#This Row],[Jira Story Points]],Tabelle13245[[#This Row],[Carry-over]])-Tabelle13245[[#This Row],[SP Initially Planned (COS)]]</f>
        <v>0</v>
      </c>
      <c r="O138"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138" s="173">
        <f>IFERROR(IF(Tabelle13245[[#This Row],[Status]]=$I$5,MIN(Tabelle13245[[#This Row],[Jira Story Points]],Tabelle13245[[#This Row],[Carry-over]]),0),0)</f>
        <v>0</v>
      </c>
      <c r="Q138" s="173">
        <f>IFERROR(IF(Tabelle13245[[#This Row],[Status]]=$I$5,0,MIN(Tabelle13245[[#This Row],[Jira Story Points]],Tabelle13245[[#This Row],[Carry-over]])-Tabelle13245[[#This Row],[SP Completed (COS &amp; SOS)]]),0)</f>
        <v>3</v>
      </c>
    </row>
    <row r="139" spans="1:17" s="46" customFormat="1" ht="13.5" customHeight="1">
      <c r="A139" s="157" t="s">
        <v>3346</v>
      </c>
      <c r="B139" s="47" t="s">
        <v>3347</v>
      </c>
      <c r="C139" s="76" t="s">
        <v>382</v>
      </c>
      <c r="D139" s="76">
        <v>3</v>
      </c>
      <c r="E139" s="76" t="s">
        <v>324</v>
      </c>
      <c r="F139" s="104">
        <v>2</v>
      </c>
      <c r="G139" s="76" t="s">
        <v>24</v>
      </c>
      <c r="H139" s="83"/>
      <c r="I139" s="103"/>
      <c r="J139" s="76" t="s">
        <v>125</v>
      </c>
      <c r="K139" s="104"/>
      <c r="L139" s="104"/>
      <c r="M139" s="170">
        <f>IF(Tabelle13245[[#This Row],[Pulled after Start]]="",MIN(Tabelle13245[[#This Row],[Jira Story Points]],Tabelle13245[[#This Row],[Carry-over]]),0)</f>
        <v>2</v>
      </c>
      <c r="N139" s="171">
        <f>MIN(Tabelle13245[[#This Row],[Jira Story Points]],Tabelle13245[[#This Row],[Carry-over]])-Tabelle13245[[#This Row],[SP Initially Planned (COS)]]</f>
        <v>0</v>
      </c>
      <c r="O139"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139" s="173">
        <f>IFERROR(IF(Tabelle13245[[#This Row],[Status]]=$I$5,MIN(Tabelle13245[[#This Row],[Jira Story Points]],Tabelle13245[[#This Row],[Carry-over]]),0),0)</f>
        <v>0</v>
      </c>
      <c r="Q139" s="173">
        <f>IFERROR(IF(Tabelle13245[[#This Row],[Status]]=$I$5,0,MIN(Tabelle13245[[#This Row],[Jira Story Points]],Tabelle13245[[#This Row],[Carry-over]])-Tabelle13245[[#This Row],[SP Completed (COS &amp; SOS)]]),0)</f>
        <v>0</v>
      </c>
    </row>
    <row r="140" spans="1:17" s="46" customFormat="1" ht="13.5" customHeight="1">
      <c r="A140" s="157" t="s">
        <v>3348</v>
      </c>
      <c r="B140" s="47" t="s">
        <v>3349</v>
      </c>
      <c r="C140" s="76" t="s">
        <v>382</v>
      </c>
      <c r="D140" s="76">
        <v>3</v>
      </c>
      <c r="E140" s="76" t="s">
        <v>324</v>
      </c>
      <c r="F140" s="104">
        <v>3</v>
      </c>
      <c r="G140" s="76" t="s">
        <v>24</v>
      </c>
      <c r="H140" s="83"/>
      <c r="I140" s="103"/>
      <c r="J140" s="76" t="s">
        <v>125</v>
      </c>
      <c r="K140" s="104"/>
      <c r="L140" s="104"/>
      <c r="M140" s="170">
        <f>IF(Tabelle13245[[#This Row],[Pulled after Start]]="",MIN(Tabelle13245[[#This Row],[Jira Story Points]],Tabelle13245[[#This Row],[Carry-over]]),0)</f>
        <v>3</v>
      </c>
      <c r="N140" s="171">
        <f>MIN(Tabelle13245[[#This Row],[Jira Story Points]],Tabelle13245[[#This Row],[Carry-over]])-Tabelle13245[[#This Row],[SP Initially Planned (COS)]]</f>
        <v>0</v>
      </c>
      <c r="O140"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40" s="173">
        <f>IFERROR(IF(Tabelle13245[[#This Row],[Status]]=$I$5,MIN(Tabelle13245[[#This Row],[Jira Story Points]],Tabelle13245[[#This Row],[Carry-over]]),0),0)</f>
        <v>0</v>
      </c>
      <c r="Q140" s="173">
        <f>IFERROR(IF(Tabelle13245[[#This Row],[Status]]=$I$5,0,MIN(Tabelle13245[[#This Row],[Jira Story Points]],Tabelle13245[[#This Row],[Carry-over]])-Tabelle13245[[#This Row],[SP Completed (COS &amp; SOS)]]),0)</f>
        <v>0</v>
      </c>
    </row>
    <row r="141" spans="1:17" s="46" customFormat="1" ht="13.5" customHeight="1">
      <c r="A141" s="157" t="s">
        <v>3350</v>
      </c>
      <c r="B141" s="47" t="s">
        <v>3351</v>
      </c>
      <c r="C141" s="76" t="s">
        <v>382</v>
      </c>
      <c r="D141" s="76">
        <v>3</v>
      </c>
      <c r="E141" s="76" t="s">
        <v>330</v>
      </c>
      <c r="F141" s="104">
        <v>2</v>
      </c>
      <c r="G141" s="76" t="s">
        <v>24</v>
      </c>
      <c r="H141" s="83"/>
      <c r="I141" s="103"/>
      <c r="J141" s="76" t="s">
        <v>125</v>
      </c>
      <c r="K141" s="104"/>
      <c r="L141" s="104"/>
      <c r="M141" s="170">
        <f>IF(Tabelle13245[[#This Row],[Pulled after Start]]="",MIN(Tabelle13245[[#This Row],[Jira Story Points]],Tabelle13245[[#This Row],[Carry-over]]),0)</f>
        <v>2</v>
      </c>
      <c r="N141" s="171">
        <f>MIN(Tabelle13245[[#This Row],[Jira Story Points]],Tabelle13245[[#This Row],[Carry-over]])-Tabelle13245[[#This Row],[SP Initially Planned (COS)]]</f>
        <v>0</v>
      </c>
      <c r="O141"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141" s="173">
        <f>IFERROR(IF(Tabelle13245[[#This Row],[Status]]=$I$5,MIN(Tabelle13245[[#This Row],[Jira Story Points]],Tabelle13245[[#This Row],[Carry-over]]),0),0)</f>
        <v>0</v>
      </c>
      <c r="Q141" s="173">
        <f>IFERROR(IF(Tabelle13245[[#This Row],[Status]]=$I$5,0,MIN(Tabelle13245[[#This Row],[Jira Story Points]],Tabelle13245[[#This Row],[Carry-over]])-Tabelle13245[[#This Row],[SP Completed (COS &amp; SOS)]]),0)</f>
        <v>0</v>
      </c>
    </row>
    <row r="142" spans="1:17" s="46" customFormat="1" ht="13.5" customHeight="1">
      <c r="A142" s="168" t="s">
        <v>3352</v>
      </c>
      <c r="B142" s="47" t="s">
        <v>3353</v>
      </c>
      <c r="C142" s="76" t="s">
        <v>382</v>
      </c>
      <c r="D142" s="76">
        <v>3</v>
      </c>
      <c r="E142" s="76" t="s">
        <v>216</v>
      </c>
      <c r="F142" s="104">
        <v>2</v>
      </c>
      <c r="G142" s="76" t="s">
        <v>32</v>
      </c>
      <c r="H142" s="83"/>
      <c r="I142" s="103"/>
      <c r="J142" s="76" t="s">
        <v>125</v>
      </c>
      <c r="K142" s="104"/>
      <c r="L142" s="104"/>
      <c r="M142" s="170">
        <f>IF(Tabelle13245[[#This Row],[Pulled after Start]]="",MIN(Tabelle13245[[#This Row],[Jira Story Points]],Tabelle13245[[#This Row],[Carry-over]]),0)</f>
        <v>2</v>
      </c>
      <c r="N142" s="171">
        <f>MIN(Tabelle13245[[#This Row],[Jira Story Points]],Tabelle13245[[#This Row],[Carry-over]])-Tabelle13245[[#This Row],[SP Initially Planned (COS)]]</f>
        <v>0</v>
      </c>
      <c r="O142"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142" s="173">
        <f>IFERROR(IF(Tabelle13245[[#This Row],[Status]]=$I$5,MIN(Tabelle13245[[#This Row],[Jira Story Points]],Tabelle13245[[#This Row],[Carry-over]]),0),0)</f>
        <v>0</v>
      </c>
      <c r="Q142" s="173">
        <f>IFERROR(IF(Tabelle13245[[#This Row],[Status]]=$I$5,0,MIN(Tabelle13245[[#This Row],[Jira Story Points]],Tabelle13245[[#This Row],[Carry-over]])-Tabelle13245[[#This Row],[SP Completed (COS &amp; SOS)]]),0)</f>
        <v>0</v>
      </c>
    </row>
    <row r="143" spans="1:17" s="46" customFormat="1" ht="13.5" customHeight="1">
      <c r="A143" s="168" t="s">
        <v>3354</v>
      </c>
      <c r="B143" s="47" t="s">
        <v>3355</v>
      </c>
      <c r="C143" s="76" t="s">
        <v>382</v>
      </c>
      <c r="D143" s="76">
        <v>3</v>
      </c>
      <c r="E143" s="76" t="s">
        <v>216</v>
      </c>
      <c r="F143" s="104">
        <v>3</v>
      </c>
      <c r="G143" s="76" t="s">
        <v>32</v>
      </c>
      <c r="H143" s="83"/>
      <c r="I143" s="103"/>
      <c r="J143" s="76" t="s">
        <v>125</v>
      </c>
      <c r="K143" s="104"/>
      <c r="L143" s="104"/>
      <c r="M143" s="170">
        <f>IF(Tabelle13245[[#This Row],[Pulled after Start]]="",MIN(Tabelle13245[[#This Row],[Jira Story Points]],Tabelle13245[[#This Row],[Carry-over]]),0)</f>
        <v>3</v>
      </c>
      <c r="N143" s="171">
        <f>MIN(Tabelle13245[[#This Row],[Jira Story Points]],Tabelle13245[[#This Row],[Carry-over]])-Tabelle13245[[#This Row],[SP Initially Planned (COS)]]</f>
        <v>0</v>
      </c>
      <c r="O143"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43" s="173">
        <f>IFERROR(IF(Tabelle13245[[#This Row],[Status]]=$I$5,MIN(Tabelle13245[[#This Row],[Jira Story Points]],Tabelle13245[[#This Row],[Carry-over]]),0),0)</f>
        <v>0</v>
      </c>
      <c r="Q143" s="173">
        <f>IFERROR(IF(Tabelle13245[[#This Row],[Status]]=$I$5,0,MIN(Tabelle13245[[#This Row],[Jira Story Points]],Tabelle13245[[#This Row],[Carry-over]])-Tabelle13245[[#This Row],[SP Completed (COS &amp; SOS)]]),0)</f>
        <v>0</v>
      </c>
    </row>
    <row r="144" spans="1:17" s="46" customFormat="1" ht="13.5" customHeight="1">
      <c r="A144" s="157" t="s">
        <v>3116</v>
      </c>
      <c r="B144" s="47" t="s">
        <v>3117</v>
      </c>
      <c r="C144" s="76" t="s">
        <v>382</v>
      </c>
      <c r="D144" s="76">
        <v>3</v>
      </c>
      <c r="E144" s="76" t="s">
        <v>330</v>
      </c>
      <c r="F144" s="104">
        <v>5</v>
      </c>
      <c r="G144" s="76" t="s">
        <v>24</v>
      </c>
      <c r="H144" s="83"/>
      <c r="I144" s="103"/>
      <c r="J144" s="76" t="s">
        <v>127</v>
      </c>
      <c r="K144" s="104"/>
      <c r="L144" s="104"/>
      <c r="M144" s="170">
        <f>IF(Tabelle13245[[#This Row],[Pulled after Start]]="",MIN(Tabelle13245[[#This Row],[Jira Story Points]],Tabelle13245[[#This Row],[Carry-over]]),0)</f>
        <v>5</v>
      </c>
      <c r="N144" s="171">
        <f>MIN(Tabelle13245[[#This Row],[Jira Story Points]],Tabelle13245[[#This Row],[Carry-over]])-Tabelle13245[[#This Row],[SP Initially Planned (COS)]]</f>
        <v>0</v>
      </c>
      <c r="O144"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44" s="173">
        <f>IFERROR(IF(Tabelle13245[[#This Row],[Status]]=$I$5,MIN(Tabelle13245[[#This Row],[Jira Story Points]],Tabelle13245[[#This Row],[Carry-over]]),0),0)</f>
        <v>0</v>
      </c>
      <c r="Q144" s="173">
        <f>IFERROR(IF(Tabelle13245[[#This Row],[Status]]=$I$5,0,MIN(Tabelle13245[[#This Row],[Jira Story Points]],Tabelle13245[[#This Row],[Carry-over]])-Tabelle13245[[#This Row],[SP Completed (COS &amp; SOS)]]),0)</f>
        <v>5</v>
      </c>
    </row>
    <row r="145" spans="1:17" s="46" customFormat="1" ht="13.5" customHeight="1">
      <c r="A145" s="157" t="s">
        <v>3356</v>
      </c>
      <c r="B145" s="47" t="s">
        <v>3357</v>
      </c>
      <c r="C145" s="76" t="s">
        <v>372</v>
      </c>
      <c r="D145" s="76">
        <v>2</v>
      </c>
      <c r="E145" s="76" t="s">
        <v>324</v>
      </c>
      <c r="F145" s="104">
        <v>3</v>
      </c>
      <c r="G145" s="76" t="s">
        <v>24</v>
      </c>
      <c r="H145" s="83"/>
      <c r="I145" s="103"/>
      <c r="J145" s="76" t="s">
        <v>125</v>
      </c>
      <c r="K145" s="104"/>
      <c r="L145" s="104"/>
      <c r="M145" s="170">
        <f>IF(Tabelle13245[[#This Row],[Pulled after Start]]="",MIN(Tabelle13245[[#This Row],[Jira Story Points]],Tabelle13245[[#This Row],[Carry-over]]),0)</f>
        <v>3</v>
      </c>
      <c r="N145" s="171">
        <f>MIN(Tabelle13245[[#This Row],[Jira Story Points]],Tabelle13245[[#This Row],[Carry-over]])-Tabelle13245[[#This Row],[SP Initially Planned (COS)]]</f>
        <v>0</v>
      </c>
      <c r="O145"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45" s="173">
        <f>IFERROR(IF(Tabelle13245[[#This Row],[Status]]=$I$5,MIN(Tabelle13245[[#This Row],[Jira Story Points]],Tabelle13245[[#This Row],[Carry-over]]),0),0)</f>
        <v>0</v>
      </c>
      <c r="Q145" s="173">
        <f>IFERROR(IF(Tabelle13245[[#This Row],[Status]]=$I$5,0,MIN(Tabelle13245[[#This Row],[Jira Story Points]],Tabelle13245[[#This Row],[Carry-over]])-Tabelle13245[[#This Row],[SP Completed (COS &amp; SOS)]]),0)</f>
        <v>0</v>
      </c>
    </row>
    <row r="146" spans="1:17" s="46" customFormat="1" ht="13.5" customHeight="1">
      <c r="A146" s="168" t="s">
        <v>3358</v>
      </c>
      <c r="B146" s="47" t="s">
        <v>3359</v>
      </c>
      <c r="C146" s="76" t="s">
        <v>382</v>
      </c>
      <c r="D146" s="76">
        <v>3</v>
      </c>
      <c r="E146" s="76" t="s">
        <v>216</v>
      </c>
      <c r="F146" s="104">
        <v>3</v>
      </c>
      <c r="G146" s="76" t="s">
        <v>32</v>
      </c>
      <c r="H146" s="83"/>
      <c r="I146" s="103"/>
      <c r="J146" s="76" t="s">
        <v>125</v>
      </c>
      <c r="K146" s="104"/>
      <c r="L146" s="104"/>
      <c r="M146" s="170">
        <f>IF(Tabelle13245[[#This Row],[Pulled after Start]]="",MIN(Tabelle13245[[#This Row],[Jira Story Points]],Tabelle13245[[#This Row],[Carry-over]]),0)</f>
        <v>3</v>
      </c>
      <c r="N146" s="171">
        <f>MIN(Tabelle13245[[#This Row],[Jira Story Points]],Tabelle13245[[#This Row],[Carry-over]])-Tabelle13245[[#This Row],[SP Initially Planned (COS)]]</f>
        <v>0</v>
      </c>
      <c r="O146"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46" s="173">
        <f>IFERROR(IF(Tabelle13245[[#This Row],[Status]]=$I$5,MIN(Tabelle13245[[#This Row],[Jira Story Points]],Tabelle13245[[#This Row],[Carry-over]]),0),0)</f>
        <v>0</v>
      </c>
      <c r="Q146" s="173">
        <f>IFERROR(IF(Tabelle13245[[#This Row],[Status]]=$I$5,0,MIN(Tabelle13245[[#This Row],[Jira Story Points]],Tabelle13245[[#This Row],[Carry-over]])-Tabelle13245[[#This Row],[SP Completed (COS &amp; SOS)]]),0)</f>
        <v>0</v>
      </c>
    </row>
    <row r="147" spans="1:17" s="46" customFormat="1" ht="13.5" customHeight="1">
      <c r="A147" s="157" t="s">
        <v>3098</v>
      </c>
      <c r="B147" s="47" t="s">
        <v>3099</v>
      </c>
      <c r="C147" s="76" t="s">
        <v>375</v>
      </c>
      <c r="D147" s="76">
        <v>2</v>
      </c>
      <c r="E147" s="76" t="s">
        <v>327</v>
      </c>
      <c r="F147" s="104">
        <v>3</v>
      </c>
      <c r="G147" s="76" t="s">
        <v>17</v>
      </c>
      <c r="H147" s="83"/>
      <c r="I147" s="103"/>
      <c r="J147" s="76" t="s">
        <v>127</v>
      </c>
      <c r="K147" s="104">
        <v>3</v>
      </c>
      <c r="L147" s="104">
        <v>3</v>
      </c>
      <c r="M147" s="170">
        <f>IF(Tabelle13245[[#This Row],[Pulled after Start]]="",MIN(Tabelle13245[[#This Row],[Jira Story Points]],Tabelle13245[[#This Row],[Carry-over]]),0)</f>
        <v>3</v>
      </c>
      <c r="N147" s="171">
        <f>MIN(Tabelle13245[[#This Row],[Jira Story Points]],Tabelle13245[[#This Row],[Carry-over]])-Tabelle13245[[#This Row],[SP Initially Planned (COS)]]</f>
        <v>0</v>
      </c>
      <c r="O147"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47" s="173">
        <f>IFERROR(IF(Tabelle13245[[#This Row],[Status]]=$I$5,MIN(Tabelle13245[[#This Row],[Jira Story Points]],Tabelle13245[[#This Row],[Carry-over]]),0),0)</f>
        <v>0</v>
      </c>
      <c r="Q147" s="173">
        <f>IFERROR(IF(Tabelle13245[[#This Row],[Status]]=$I$5,0,MIN(Tabelle13245[[#This Row],[Jira Story Points]],Tabelle13245[[#This Row],[Carry-over]])-Tabelle13245[[#This Row],[SP Completed (COS &amp; SOS)]]),0)</f>
        <v>3</v>
      </c>
    </row>
    <row r="148" spans="1:17" s="46" customFormat="1" ht="13.5" customHeight="1">
      <c r="A148" s="157" t="s">
        <v>3360</v>
      </c>
      <c r="B148" s="47" t="s">
        <v>3361</v>
      </c>
      <c r="C148" s="76" t="s">
        <v>372</v>
      </c>
      <c r="D148" s="76">
        <v>3</v>
      </c>
      <c r="E148" s="76" t="s">
        <v>324</v>
      </c>
      <c r="F148" s="104">
        <v>5</v>
      </c>
      <c r="G148" s="76" t="s">
        <v>17</v>
      </c>
      <c r="H148" s="83"/>
      <c r="I148" s="103"/>
      <c r="J148" s="76" t="s">
        <v>125</v>
      </c>
      <c r="K148" s="104"/>
      <c r="L148" s="104"/>
      <c r="M148" s="170">
        <f>IF(Tabelle13245[[#This Row],[Pulled after Start]]="",MIN(Tabelle13245[[#This Row],[Jira Story Points]],Tabelle13245[[#This Row],[Carry-over]]),0)</f>
        <v>5</v>
      </c>
      <c r="N148" s="171">
        <f>MIN(Tabelle13245[[#This Row],[Jira Story Points]],Tabelle13245[[#This Row],[Carry-over]])-Tabelle13245[[#This Row],[SP Initially Planned (COS)]]</f>
        <v>0</v>
      </c>
      <c r="O148" s="172">
        <f>IFERROR(IF(Tabelle13245[[#This Row],[Status]]=$I$5,0,IF(AND(Tabelle13245[[#This Row],[Status]]=$H$5,Tabelle13245[[#This Row],[Spill-over]]=0),0,IF(Tabelle13245[[#This Row],[Carry-over]]&lt;&gt;0,Tabelle13245[[#This Row],[Carry-over]]-Tabelle13245[[#This Row],[Spill-over]],Tabelle13245[[#This Row],[Jira Story Points]]-Tabelle13245[[#This Row],[Spill-over]]))),"-")</f>
        <v>5</v>
      </c>
      <c r="P148" s="173">
        <f>IFERROR(IF(Tabelle13245[[#This Row],[Status]]=$I$5,MIN(Tabelle13245[[#This Row],[Jira Story Points]],Tabelle13245[[#This Row],[Carry-over]]),0),0)</f>
        <v>0</v>
      </c>
      <c r="Q148" s="173">
        <f>IFERROR(IF(Tabelle13245[[#This Row],[Status]]=$I$5,0,MIN(Tabelle13245[[#This Row],[Jira Story Points]],Tabelle13245[[#This Row],[Carry-over]])-Tabelle13245[[#This Row],[SP Completed (COS &amp; SOS)]]),0)</f>
        <v>0</v>
      </c>
    </row>
    <row r="149" spans="1:17" s="46" customFormat="1" ht="13.5" customHeight="1">
      <c r="A149" s="157" t="s">
        <v>1606</v>
      </c>
      <c r="B149" s="47" t="s">
        <v>1607</v>
      </c>
      <c r="C149" s="76" t="s">
        <v>375</v>
      </c>
      <c r="D149" s="76">
        <v>2</v>
      </c>
      <c r="E149" s="76" t="s">
        <v>327</v>
      </c>
      <c r="F149" s="104">
        <v>3</v>
      </c>
      <c r="G149" s="76" t="s">
        <v>24</v>
      </c>
      <c r="H149" s="83" t="s">
        <v>209</v>
      </c>
      <c r="I149" s="103"/>
      <c r="J149" s="76" t="s">
        <v>127</v>
      </c>
      <c r="K149" s="104"/>
      <c r="L149" s="104"/>
      <c r="M149" s="170">
        <f>IF(Tabelle13245[[#This Row],[Pulled after Start]]="",MIN(Tabelle13245[[#This Row],[Jira Story Points]],Tabelle13245[[#This Row],[Carry-over]]),0)</f>
        <v>0</v>
      </c>
      <c r="N149" s="171">
        <f>MIN(Tabelle13245[[#This Row],[Jira Story Points]],Tabelle13245[[#This Row],[Carry-over]])-Tabelle13245[[#This Row],[SP Initially Planned (COS)]]</f>
        <v>3</v>
      </c>
      <c r="O149"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49" s="173">
        <f>IFERROR(IF(Tabelle13245[[#This Row],[Status]]=$I$5,MIN(Tabelle13245[[#This Row],[Jira Story Points]],Tabelle13245[[#This Row],[Carry-over]]),0),0)</f>
        <v>0</v>
      </c>
      <c r="Q149" s="173">
        <f>IFERROR(IF(Tabelle13245[[#This Row],[Status]]=$I$5,0,MIN(Tabelle13245[[#This Row],[Jira Story Points]],Tabelle13245[[#This Row],[Carry-over]])-Tabelle13245[[#This Row],[SP Completed (COS &amp; SOS)]]),0)</f>
        <v>3</v>
      </c>
    </row>
    <row r="150" spans="1:17" s="46" customFormat="1" ht="13.5" customHeight="1">
      <c r="A150" s="166" t="s">
        <v>3362</v>
      </c>
      <c r="B150" s="47" t="s">
        <v>3363</v>
      </c>
      <c r="C150" s="76" t="s">
        <v>382</v>
      </c>
      <c r="D150" s="76">
        <v>3</v>
      </c>
      <c r="E150" s="76" t="s">
        <v>216</v>
      </c>
      <c r="F150" s="104">
        <v>3</v>
      </c>
      <c r="G150" s="76" t="s">
        <v>32</v>
      </c>
      <c r="H150" s="83"/>
      <c r="I150" s="103"/>
      <c r="J150" s="76" t="s">
        <v>125</v>
      </c>
      <c r="K150" s="104"/>
      <c r="L150" s="104"/>
      <c r="M150" s="170">
        <f>IF(Tabelle13245[[#This Row],[Pulled after Start]]="",MIN(Tabelle13245[[#This Row],[Jira Story Points]],Tabelle13245[[#This Row],[Carry-over]]),0)</f>
        <v>3</v>
      </c>
      <c r="N150" s="171">
        <f>MIN(Tabelle13245[[#This Row],[Jira Story Points]],Tabelle13245[[#This Row],[Carry-over]])-Tabelle13245[[#This Row],[SP Initially Planned (COS)]]</f>
        <v>0</v>
      </c>
      <c r="O150"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50" s="173">
        <f>IFERROR(IF(Tabelle13245[[#This Row],[Status]]=$I$5,MIN(Tabelle13245[[#This Row],[Jira Story Points]],Tabelle13245[[#This Row],[Carry-over]]),0),0)</f>
        <v>0</v>
      </c>
      <c r="Q150" s="173">
        <f>IFERROR(IF(Tabelle13245[[#This Row],[Status]]=$I$5,0,MIN(Tabelle13245[[#This Row],[Jira Story Points]],Tabelle13245[[#This Row],[Carry-over]])-Tabelle13245[[#This Row],[SP Completed (COS &amp; SOS)]]),0)</f>
        <v>0</v>
      </c>
    </row>
    <row r="151" spans="1:17" s="46" customFormat="1" ht="13.5" customHeight="1">
      <c r="A151" s="166" t="s">
        <v>3364</v>
      </c>
      <c r="B151" s="47" t="s">
        <v>3365</v>
      </c>
      <c r="C151" s="76" t="s">
        <v>382</v>
      </c>
      <c r="D151" s="76">
        <v>3</v>
      </c>
      <c r="E151" s="76" t="s">
        <v>216</v>
      </c>
      <c r="F151" s="104">
        <v>3</v>
      </c>
      <c r="G151" s="76" t="s">
        <v>32</v>
      </c>
      <c r="H151" s="83"/>
      <c r="I151" s="103"/>
      <c r="J151" s="76" t="s">
        <v>125</v>
      </c>
      <c r="K151" s="104"/>
      <c r="L151" s="104"/>
      <c r="M151" s="170">
        <f>IF(Tabelle13245[[#This Row],[Pulled after Start]]="",MIN(Tabelle13245[[#This Row],[Jira Story Points]],Tabelle13245[[#This Row],[Carry-over]]),0)</f>
        <v>3</v>
      </c>
      <c r="N151" s="171">
        <f>MIN(Tabelle13245[[#This Row],[Jira Story Points]],Tabelle13245[[#This Row],[Carry-over]])-Tabelle13245[[#This Row],[SP Initially Planned (COS)]]</f>
        <v>0</v>
      </c>
      <c r="O151"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51" s="173">
        <f>IFERROR(IF(Tabelle13245[[#This Row],[Status]]=$I$5,MIN(Tabelle13245[[#This Row],[Jira Story Points]],Tabelle13245[[#This Row],[Carry-over]]),0),0)</f>
        <v>0</v>
      </c>
      <c r="Q151" s="173">
        <f>IFERROR(IF(Tabelle13245[[#This Row],[Status]]=$I$5,0,MIN(Tabelle13245[[#This Row],[Jira Story Points]],Tabelle13245[[#This Row],[Carry-over]])-Tabelle13245[[#This Row],[SP Completed (COS &amp; SOS)]]),0)</f>
        <v>0</v>
      </c>
    </row>
    <row r="152" spans="1:17" s="46" customFormat="1" ht="13.5" customHeight="1">
      <c r="A152" s="157" t="s">
        <v>3122</v>
      </c>
      <c r="B152" s="47" t="s">
        <v>3123</v>
      </c>
      <c r="C152" s="76" t="s">
        <v>382</v>
      </c>
      <c r="D152" s="76">
        <v>3</v>
      </c>
      <c r="E152" s="76" t="s">
        <v>330</v>
      </c>
      <c r="F152" s="104">
        <v>3</v>
      </c>
      <c r="G152" s="76" t="s">
        <v>24</v>
      </c>
      <c r="H152" s="83"/>
      <c r="I152" s="103"/>
      <c r="J152" s="76" t="s">
        <v>127</v>
      </c>
      <c r="K152" s="104"/>
      <c r="L152" s="104"/>
      <c r="M152" s="170">
        <f>IF(Tabelle13245[[#This Row],[Pulled after Start]]="",MIN(Tabelle13245[[#This Row],[Jira Story Points]],Tabelle13245[[#This Row],[Carry-over]]),0)</f>
        <v>3</v>
      </c>
      <c r="N152" s="171">
        <f>MIN(Tabelle13245[[#This Row],[Jira Story Points]],Tabelle13245[[#This Row],[Carry-over]])-Tabelle13245[[#This Row],[SP Initially Planned (COS)]]</f>
        <v>0</v>
      </c>
      <c r="O152"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52" s="173">
        <f>IFERROR(IF(Tabelle13245[[#This Row],[Status]]=$I$5,MIN(Tabelle13245[[#This Row],[Jira Story Points]],Tabelle13245[[#This Row],[Carry-over]]),0),0)</f>
        <v>0</v>
      </c>
      <c r="Q152" s="173">
        <f>IFERROR(IF(Tabelle13245[[#This Row],[Status]]=$I$5,0,MIN(Tabelle13245[[#This Row],[Jira Story Points]],Tabelle13245[[#This Row],[Carry-over]])-Tabelle13245[[#This Row],[SP Completed (COS &amp; SOS)]]),0)</f>
        <v>3</v>
      </c>
    </row>
    <row r="153" spans="1:17" s="46" customFormat="1" ht="13.5" customHeight="1">
      <c r="A153" s="166" t="s">
        <v>3366</v>
      </c>
      <c r="B153" s="47" t="s">
        <v>3367</v>
      </c>
      <c r="C153" s="76" t="s">
        <v>382</v>
      </c>
      <c r="D153" s="76">
        <v>3</v>
      </c>
      <c r="E153" s="76" t="s">
        <v>216</v>
      </c>
      <c r="F153" s="104">
        <v>3</v>
      </c>
      <c r="G153" s="76" t="s">
        <v>32</v>
      </c>
      <c r="H153" s="83"/>
      <c r="I153" s="103"/>
      <c r="J153" s="76" t="s">
        <v>125</v>
      </c>
      <c r="K153" s="104"/>
      <c r="L153" s="104"/>
      <c r="M153" s="170">
        <f>IF(Tabelle13245[[#This Row],[Pulled after Start]]="",MIN(Tabelle13245[[#This Row],[Jira Story Points]],Tabelle13245[[#This Row],[Carry-over]]),0)</f>
        <v>3</v>
      </c>
      <c r="N153" s="171">
        <f>MIN(Tabelle13245[[#This Row],[Jira Story Points]],Tabelle13245[[#This Row],[Carry-over]])-Tabelle13245[[#This Row],[SP Initially Planned (COS)]]</f>
        <v>0</v>
      </c>
      <c r="O153"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53" s="173">
        <f>IFERROR(IF(Tabelle13245[[#This Row],[Status]]=$I$5,MIN(Tabelle13245[[#This Row],[Jira Story Points]],Tabelle13245[[#This Row],[Carry-over]]),0),0)</f>
        <v>0</v>
      </c>
      <c r="Q153" s="173">
        <f>IFERROR(IF(Tabelle13245[[#This Row],[Status]]=$I$5,0,MIN(Tabelle13245[[#This Row],[Jira Story Points]],Tabelle13245[[#This Row],[Carry-over]])-Tabelle13245[[#This Row],[SP Completed (COS &amp; SOS)]]),0)</f>
        <v>0</v>
      </c>
    </row>
    <row r="154" spans="1:17" s="46" customFormat="1" ht="13.5" customHeight="1">
      <c r="A154" s="166" t="s">
        <v>3368</v>
      </c>
      <c r="B154" s="47" t="s">
        <v>3369</v>
      </c>
      <c r="C154" s="76" t="s">
        <v>382</v>
      </c>
      <c r="D154" s="76">
        <v>3</v>
      </c>
      <c r="E154" s="76" t="s">
        <v>216</v>
      </c>
      <c r="F154" s="104">
        <v>3</v>
      </c>
      <c r="G154" s="76" t="s">
        <v>32</v>
      </c>
      <c r="H154" s="83"/>
      <c r="I154" s="103"/>
      <c r="J154" s="76" t="s">
        <v>125</v>
      </c>
      <c r="K154" s="104"/>
      <c r="L154" s="104"/>
      <c r="M154" s="170">
        <f>IF(Tabelle13245[[#This Row],[Pulled after Start]]="",MIN(Tabelle13245[[#This Row],[Jira Story Points]],Tabelle13245[[#This Row],[Carry-over]]),0)</f>
        <v>3</v>
      </c>
      <c r="N154" s="171">
        <f>MIN(Tabelle13245[[#This Row],[Jira Story Points]],Tabelle13245[[#This Row],[Carry-over]])-Tabelle13245[[#This Row],[SP Initially Planned (COS)]]</f>
        <v>0</v>
      </c>
      <c r="O154"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54" s="173">
        <f>IFERROR(IF(Tabelle13245[[#This Row],[Status]]=$I$5,MIN(Tabelle13245[[#This Row],[Jira Story Points]],Tabelle13245[[#This Row],[Carry-over]]),0),0)</f>
        <v>0</v>
      </c>
      <c r="Q154" s="173">
        <f>IFERROR(IF(Tabelle13245[[#This Row],[Status]]=$I$5,0,MIN(Tabelle13245[[#This Row],[Jira Story Points]],Tabelle13245[[#This Row],[Carry-over]])-Tabelle13245[[#This Row],[SP Completed (COS &amp; SOS)]]),0)</f>
        <v>0</v>
      </c>
    </row>
    <row r="155" spans="1:17" s="46" customFormat="1" ht="13.5" customHeight="1">
      <c r="A155" s="158" t="s">
        <v>3370</v>
      </c>
      <c r="B155" s="47" t="s">
        <v>3371</v>
      </c>
      <c r="C155" s="76" t="s">
        <v>382</v>
      </c>
      <c r="D155" s="76">
        <v>3</v>
      </c>
      <c r="E155" s="76" t="s">
        <v>216</v>
      </c>
      <c r="F155" s="104">
        <v>3</v>
      </c>
      <c r="G155" s="76" t="s">
        <v>32</v>
      </c>
      <c r="H155" s="76"/>
      <c r="I155" s="103"/>
      <c r="J155" s="76" t="s">
        <v>125</v>
      </c>
      <c r="K155" s="76"/>
      <c r="L155" s="76"/>
      <c r="M155" s="170">
        <f>IF(Tabelle13245[[#This Row],[Pulled after Start]]="",MIN(Tabelle13245[[#This Row],[Jira Story Points]],Tabelle13245[[#This Row],[Carry-over]]),0)</f>
        <v>3</v>
      </c>
      <c r="N155" s="171">
        <f>MIN(Tabelle13245[[#This Row],[Jira Story Points]],Tabelle13245[[#This Row],[Carry-over]])-Tabelle13245[[#This Row],[SP Initially Planned (COS)]]</f>
        <v>0</v>
      </c>
      <c r="O155"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55" s="173">
        <f>IFERROR(IF(Tabelle13245[[#This Row],[Status]]=$I$5,MIN(Tabelle13245[[#This Row],[Jira Story Points]],Tabelle13245[[#This Row],[Carry-over]]),0),0)</f>
        <v>0</v>
      </c>
      <c r="Q155" s="173">
        <f>IFERROR(IF(Tabelle13245[[#This Row],[Status]]=$I$5,0,MIN(Tabelle13245[[#This Row],[Jira Story Points]],Tabelle13245[[#This Row],[Carry-over]])-Tabelle13245[[#This Row],[SP Completed (COS &amp; SOS)]]),0)</f>
        <v>0</v>
      </c>
    </row>
    <row r="156" spans="1:17" s="46" customFormat="1" ht="13.5" customHeight="1">
      <c r="A156" s="88" t="s">
        <v>3372</v>
      </c>
      <c r="B156" s="47" t="s">
        <v>3373</v>
      </c>
      <c r="C156" s="76" t="s">
        <v>382</v>
      </c>
      <c r="D156" s="76">
        <v>3</v>
      </c>
      <c r="E156" s="76" t="s">
        <v>216</v>
      </c>
      <c r="F156" s="104">
        <v>3</v>
      </c>
      <c r="G156" s="76" t="s">
        <v>32</v>
      </c>
      <c r="H156" s="76"/>
      <c r="I156" s="103"/>
      <c r="J156" s="76" t="s">
        <v>125</v>
      </c>
      <c r="K156" s="76"/>
      <c r="L156" s="76"/>
      <c r="M156" s="170">
        <f>IF(Tabelle13245[[#This Row],[Pulled after Start]]="",MIN(Tabelle13245[[#This Row],[Jira Story Points]],Tabelle13245[[#This Row],[Carry-over]]),0)</f>
        <v>3</v>
      </c>
      <c r="N156" s="171">
        <f>MIN(Tabelle13245[[#This Row],[Jira Story Points]],Tabelle13245[[#This Row],[Carry-over]])-Tabelle13245[[#This Row],[SP Initially Planned (COS)]]</f>
        <v>0</v>
      </c>
      <c r="O156"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56" s="173">
        <f>IFERROR(IF(Tabelle13245[[#This Row],[Status]]=$I$5,MIN(Tabelle13245[[#This Row],[Jira Story Points]],Tabelle13245[[#This Row],[Carry-over]]),0),0)</f>
        <v>0</v>
      </c>
      <c r="Q156" s="173">
        <f>IFERROR(IF(Tabelle13245[[#This Row],[Status]]=$I$5,0,MIN(Tabelle13245[[#This Row],[Jira Story Points]],Tabelle13245[[#This Row],[Carry-over]])-Tabelle13245[[#This Row],[SP Completed (COS &amp; SOS)]]),0)</f>
        <v>0</v>
      </c>
    </row>
    <row r="157" spans="1:17" s="46" customFormat="1" ht="13.5" customHeight="1">
      <c r="A157" s="160" t="s">
        <v>3374</v>
      </c>
      <c r="B157" s="47" t="s">
        <v>3375</v>
      </c>
      <c r="C157" s="76" t="s">
        <v>382</v>
      </c>
      <c r="D157" s="76">
        <v>3</v>
      </c>
      <c r="E157" s="76" t="s">
        <v>216</v>
      </c>
      <c r="F157" s="104">
        <v>3</v>
      </c>
      <c r="G157" s="76" t="s">
        <v>32</v>
      </c>
      <c r="H157" s="83"/>
      <c r="I157" s="103"/>
      <c r="J157" s="76" t="s">
        <v>125</v>
      </c>
      <c r="K157" s="104"/>
      <c r="L157" s="104"/>
      <c r="M157" s="170">
        <f>IF(Tabelle13245[[#This Row],[Pulled after Start]]="",MIN(Tabelle13245[[#This Row],[Jira Story Points]],Tabelle13245[[#This Row],[Carry-over]]),0)</f>
        <v>3</v>
      </c>
      <c r="N157" s="171">
        <f>MIN(Tabelle13245[[#This Row],[Jira Story Points]],Tabelle13245[[#This Row],[Carry-over]])-Tabelle13245[[#This Row],[SP Initially Planned (COS)]]</f>
        <v>0</v>
      </c>
      <c r="O157"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57" s="173">
        <f>IFERROR(IF(Tabelle13245[[#This Row],[Status]]=$I$5,MIN(Tabelle13245[[#This Row],[Jira Story Points]],Tabelle13245[[#This Row],[Carry-over]]),0),0)</f>
        <v>0</v>
      </c>
      <c r="Q157" s="173">
        <f>IFERROR(IF(Tabelle13245[[#This Row],[Status]]=$I$5,0,MIN(Tabelle13245[[#This Row],[Jira Story Points]],Tabelle13245[[#This Row],[Carry-over]])-Tabelle13245[[#This Row],[SP Completed (COS &amp; SOS)]]),0)</f>
        <v>0</v>
      </c>
    </row>
    <row r="158" spans="1:17" s="46" customFormat="1" ht="13.5" customHeight="1">
      <c r="A158" s="168" t="s">
        <v>3376</v>
      </c>
      <c r="B158" s="47" t="s">
        <v>3377</v>
      </c>
      <c r="C158" s="76" t="s">
        <v>372</v>
      </c>
      <c r="D158" s="76">
        <v>3</v>
      </c>
      <c r="E158" s="76" t="s">
        <v>216</v>
      </c>
      <c r="F158" s="104">
        <v>3</v>
      </c>
      <c r="G158" s="76" t="s">
        <v>32</v>
      </c>
      <c r="H158" s="83"/>
      <c r="I158" s="103"/>
      <c r="J158" s="76" t="s">
        <v>125</v>
      </c>
      <c r="K158" s="104"/>
      <c r="L158" s="104"/>
      <c r="M158" s="170">
        <f>IF(Tabelle13245[[#This Row],[Pulled after Start]]="",MIN(Tabelle13245[[#This Row],[Jira Story Points]],Tabelle13245[[#This Row],[Carry-over]]),0)</f>
        <v>3</v>
      </c>
      <c r="N158" s="171">
        <f>MIN(Tabelle13245[[#This Row],[Jira Story Points]],Tabelle13245[[#This Row],[Carry-over]])-Tabelle13245[[#This Row],[SP Initially Planned (COS)]]</f>
        <v>0</v>
      </c>
      <c r="O158"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58" s="173">
        <f>IFERROR(IF(Tabelle13245[[#This Row],[Status]]=$I$5,MIN(Tabelle13245[[#This Row],[Jira Story Points]],Tabelle13245[[#This Row],[Carry-over]]),0),0)</f>
        <v>0</v>
      </c>
      <c r="Q158" s="173">
        <f>IFERROR(IF(Tabelle13245[[#This Row],[Status]]=$I$5,0,MIN(Tabelle13245[[#This Row],[Jira Story Points]],Tabelle13245[[#This Row],[Carry-over]])-Tabelle13245[[#This Row],[SP Completed (COS &amp; SOS)]]),0)</f>
        <v>0</v>
      </c>
    </row>
    <row r="159" spans="1:17" s="46" customFormat="1" ht="13.5" customHeight="1">
      <c r="A159" s="166" t="s">
        <v>3378</v>
      </c>
      <c r="B159" s="47" t="s">
        <v>3379</v>
      </c>
      <c r="C159" s="76" t="s">
        <v>372</v>
      </c>
      <c r="D159" s="76">
        <v>3</v>
      </c>
      <c r="E159" s="76" t="s">
        <v>324</v>
      </c>
      <c r="F159" s="104">
        <v>3</v>
      </c>
      <c r="G159" s="76" t="s">
        <v>32</v>
      </c>
      <c r="H159" s="83"/>
      <c r="I159" s="103"/>
      <c r="J159" s="76" t="s">
        <v>125</v>
      </c>
      <c r="K159" s="104"/>
      <c r="L159" s="104"/>
      <c r="M159" s="170">
        <f>IF(Tabelle13245[[#This Row],[Pulled after Start]]="",MIN(Tabelle13245[[#This Row],[Jira Story Points]],Tabelle13245[[#This Row],[Carry-over]]),0)</f>
        <v>3</v>
      </c>
      <c r="N159" s="171">
        <f>MIN(Tabelle13245[[#This Row],[Jira Story Points]],Tabelle13245[[#This Row],[Carry-over]])-Tabelle13245[[#This Row],[SP Initially Planned (COS)]]</f>
        <v>0</v>
      </c>
      <c r="O159"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59" s="173">
        <f>IFERROR(IF(Tabelle13245[[#This Row],[Status]]=$I$5,MIN(Tabelle13245[[#This Row],[Jira Story Points]],Tabelle13245[[#This Row],[Carry-over]]),0),0)</f>
        <v>0</v>
      </c>
      <c r="Q159" s="173">
        <f>IFERROR(IF(Tabelle13245[[#This Row],[Status]]=$I$5,0,MIN(Tabelle13245[[#This Row],[Jira Story Points]],Tabelle13245[[#This Row],[Carry-over]])-Tabelle13245[[#This Row],[SP Completed (COS &amp; SOS)]]),0)</f>
        <v>0</v>
      </c>
    </row>
    <row r="160" spans="1:17" s="46" customFormat="1" ht="13.5" customHeight="1">
      <c r="A160" s="166" t="s">
        <v>3380</v>
      </c>
      <c r="B160" s="47" t="s">
        <v>3381</v>
      </c>
      <c r="C160" s="76" t="s">
        <v>382</v>
      </c>
      <c r="D160" s="76">
        <v>3</v>
      </c>
      <c r="E160" s="76" t="s">
        <v>324</v>
      </c>
      <c r="F160" s="104">
        <v>3</v>
      </c>
      <c r="G160" s="76" t="s">
        <v>32</v>
      </c>
      <c r="H160" s="83" t="s">
        <v>209</v>
      </c>
      <c r="I160" s="103"/>
      <c r="J160" s="76" t="s">
        <v>125</v>
      </c>
      <c r="K160" s="104"/>
      <c r="L160" s="104"/>
      <c r="M160" s="170">
        <f>IF(Tabelle13245[[#This Row],[Pulled after Start]]="",MIN(Tabelle13245[[#This Row],[Jira Story Points]],Tabelle13245[[#This Row],[Carry-over]]),0)</f>
        <v>0</v>
      </c>
      <c r="N160" s="171">
        <f>MIN(Tabelle13245[[#This Row],[Jira Story Points]],Tabelle13245[[#This Row],[Carry-over]])-Tabelle13245[[#This Row],[SP Initially Planned (COS)]]</f>
        <v>3</v>
      </c>
      <c r="O160"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60" s="173">
        <f>IFERROR(IF(Tabelle13245[[#This Row],[Status]]=$I$5,MIN(Tabelle13245[[#This Row],[Jira Story Points]],Tabelle13245[[#This Row],[Carry-over]]),0),0)</f>
        <v>0</v>
      </c>
      <c r="Q160" s="173">
        <f>IFERROR(IF(Tabelle13245[[#This Row],[Status]]=$I$5,0,MIN(Tabelle13245[[#This Row],[Jira Story Points]],Tabelle13245[[#This Row],[Carry-over]])-Tabelle13245[[#This Row],[SP Completed (COS &amp; SOS)]]),0)</f>
        <v>0</v>
      </c>
    </row>
    <row r="161" spans="1:17" s="46" customFormat="1" ht="13.5" customHeight="1">
      <c r="A161" s="166" t="s">
        <v>3382</v>
      </c>
      <c r="B161" s="47" t="s">
        <v>3383</v>
      </c>
      <c r="C161" s="76" t="s">
        <v>382</v>
      </c>
      <c r="D161" s="76">
        <v>3</v>
      </c>
      <c r="E161" s="76" t="s">
        <v>324</v>
      </c>
      <c r="F161" s="104">
        <v>3</v>
      </c>
      <c r="G161" s="76" t="s">
        <v>32</v>
      </c>
      <c r="H161" s="83" t="s">
        <v>209</v>
      </c>
      <c r="I161" s="103"/>
      <c r="J161" s="76" t="s">
        <v>125</v>
      </c>
      <c r="K161" s="104"/>
      <c r="L161" s="104"/>
      <c r="M161" s="170">
        <f>IF(Tabelle13245[[#This Row],[Pulled after Start]]="",MIN(Tabelle13245[[#This Row],[Jira Story Points]],Tabelle13245[[#This Row],[Carry-over]]),0)</f>
        <v>0</v>
      </c>
      <c r="N161" s="171">
        <f>MIN(Tabelle13245[[#This Row],[Jira Story Points]],Tabelle13245[[#This Row],[Carry-over]])-Tabelle13245[[#This Row],[SP Initially Planned (COS)]]</f>
        <v>3</v>
      </c>
      <c r="O161"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61" s="173">
        <f>IFERROR(IF(Tabelle13245[[#This Row],[Status]]=$I$5,MIN(Tabelle13245[[#This Row],[Jira Story Points]],Tabelle13245[[#This Row],[Carry-over]]),0),0)</f>
        <v>0</v>
      </c>
      <c r="Q161" s="173">
        <f>IFERROR(IF(Tabelle13245[[#This Row],[Status]]=$I$5,0,MIN(Tabelle13245[[#This Row],[Jira Story Points]],Tabelle13245[[#This Row],[Carry-over]])-Tabelle13245[[#This Row],[SP Completed (COS &amp; SOS)]]),0)</f>
        <v>0</v>
      </c>
    </row>
    <row r="162" spans="1:17" s="46" customFormat="1" ht="13.5" customHeight="1">
      <c r="A162" s="166" t="s">
        <v>3384</v>
      </c>
      <c r="B162" s="47" t="s">
        <v>3385</v>
      </c>
      <c r="C162" s="76" t="s">
        <v>382</v>
      </c>
      <c r="D162" s="76">
        <v>3</v>
      </c>
      <c r="E162" s="76" t="s">
        <v>324</v>
      </c>
      <c r="F162" s="104">
        <v>2</v>
      </c>
      <c r="G162" s="76" t="s">
        <v>32</v>
      </c>
      <c r="H162" s="83"/>
      <c r="I162" s="103"/>
      <c r="J162" s="76" t="s">
        <v>125</v>
      </c>
      <c r="K162" s="104"/>
      <c r="L162" s="104"/>
      <c r="M162" s="170">
        <f>IF(Tabelle13245[[#This Row],[Pulled after Start]]="",MIN(Tabelle13245[[#This Row],[Jira Story Points]],Tabelle13245[[#This Row],[Carry-over]]),0)</f>
        <v>2</v>
      </c>
      <c r="N162" s="171">
        <f>MIN(Tabelle13245[[#This Row],[Jira Story Points]],Tabelle13245[[#This Row],[Carry-over]])-Tabelle13245[[#This Row],[SP Initially Planned (COS)]]</f>
        <v>0</v>
      </c>
      <c r="O162"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162" s="173">
        <f>IFERROR(IF(Tabelle13245[[#This Row],[Status]]=$I$5,MIN(Tabelle13245[[#This Row],[Jira Story Points]],Tabelle13245[[#This Row],[Carry-over]]),0),0)</f>
        <v>0</v>
      </c>
      <c r="Q162" s="173">
        <f>IFERROR(IF(Tabelle13245[[#This Row],[Status]]=$I$5,0,MIN(Tabelle13245[[#This Row],[Jira Story Points]],Tabelle13245[[#This Row],[Carry-over]])-Tabelle13245[[#This Row],[SP Completed (COS &amp; SOS)]]),0)</f>
        <v>0</v>
      </c>
    </row>
    <row r="163" spans="1:17" s="46" customFormat="1" ht="13.5" customHeight="1">
      <c r="A163" s="157" t="s">
        <v>3386</v>
      </c>
      <c r="B163" s="47" t="s">
        <v>3387</v>
      </c>
      <c r="C163" s="76" t="s">
        <v>382</v>
      </c>
      <c r="D163" s="76">
        <v>3</v>
      </c>
      <c r="E163" s="76" t="s">
        <v>324</v>
      </c>
      <c r="F163" s="104">
        <v>3</v>
      </c>
      <c r="G163" s="76" t="s">
        <v>17</v>
      </c>
      <c r="H163" s="83"/>
      <c r="I163" s="103"/>
      <c r="J163" s="76" t="s">
        <v>125</v>
      </c>
      <c r="K163" s="104"/>
      <c r="L163" s="104"/>
      <c r="M163" s="170">
        <f>IF(Tabelle13245[[#This Row],[Pulled after Start]]="",MIN(Tabelle13245[[#This Row],[Jira Story Points]],Tabelle13245[[#This Row],[Carry-over]]),0)</f>
        <v>3</v>
      </c>
      <c r="N163" s="171">
        <f>MIN(Tabelle13245[[#This Row],[Jira Story Points]],Tabelle13245[[#This Row],[Carry-over]])-Tabelle13245[[#This Row],[SP Initially Planned (COS)]]</f>
        <v>0</v>
      </c>
      <c r="O163"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63" s="173">
        <f>IFERROR(IF(Tabelle13245[[#This Row],[Status]]=$I$5,MIN(Tabelle13245[[#This Row],[Jira Story Points]],Tabelle13245[[#This Row],[Carry-over]]),0),0)</f>
        <v>0</v>
      </c>
      <c r="Q163" s="173">
        <f>IFERROR(IF(Tabelle13245[[#This Row],[Status]]=$I$5,0,MIN(Tabelle13245[[#This Row],[Jira Story Points]],Tabelle13245[[#This Row],[Carry-over]])-Tabelle13245[[#This Row],[SP Completed (COS &amp; SOS)]]),0)</f>
        <v>0</v>
      </c>
    </row>
    <row r="164" spans="1:17" s="46" customFormat="1" ht="13.5" customHeight="1">
      <c r="A164" s="157" t="s">
        <v>3388</v>
      </c>
      <c r="B164" s="47" t="s">
        <v>3389</v>
      </c>
      <c r="C164" s="76" t="s">
        <v>382</v>
      </c>
      <c r="D164" s="76">
        <v>3</v>
      </c>
      <c r="E164" s="76" t="s">
        <v>324</v>
      </c>
      <c r="F164" s="104">
        <v>3</v>
      </c>
      <c r="G164" s="76" t="s">
        <v>17</v>
      </c>
      <c r="H164" s="83"/>
      <c r="I164" s="103"/>
      <c r="J164" s="76" t="s">
        <v>125</v>
      </c>
      <c r="K164" s="104"/>
      <c r="L164" s="104"/>
      <c r="M164" s="170">
        <f>IF(Tabelle13245[[#This Row],[Pulled after Start]]="",MIN(Tabelle13245[[#This Row],[Jira Story Points]],Tabelle13245[[#This Row],[Carry-over]]),0)</f>
        <v>3</v>
      </c>
      <c r="N164" s="171">
        <f>MIN(Tabelle13245[[#This Row],[Jira Story Points]],Tabelle13245[[#This Row],[Carry-over]])-Tabelle13245[[#This Row],[SP Initially Planned (COS)]]</f>
        <v>0</v>
      </c>
      <c r="O164"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64" s="173">
        <f>IFERROR(IF(Tabelle13245[[#This Row],[Status]]=$I$5,MIN(Tabelle13245[[#This Row],[Jira Story Points]],Tabelle13245[[#This Row],[Carry-over]]),0),0)</f>
        <v>0</v>
      </c>
      <c r="Q164" s="173">
        <f>IFERROR(IF(Tabelle13245[[#This Row],[Status]]=$I$5,0,MIN(Tabelle13245[[#This Row],[Jira Story Points]],Tabelle13245[[#This Row],[Carry-over]])-Tabelle13245[[#This Row],[SP Completed (COS &amp; SOS)]]),0)</f>
        <v>0</v>
      </c>
    </row>
    <row r="165" spans="1:17" s="46" customFormat="1" ht="13.5" customHeight="1">
      <c r="A165" s="157" t="s">
        <v>3390</v>
      </c>
      <c r="B165" s="47" t="s">
        <v>3391</v>
      </c>
      <c r="C165" s="76" t="s">
        <v>382</v>
      </c>
      <c r="D165" s="76">
        <v>3</v>
      </c>
      <c r="E165" s="76" t="s">
        <v>324</v>
      </c>
      <c r="F165" s="104">
        <v>3</v>
      </c>
      <c r="G165" s="76" t="s">
        <v>17</v>
      </c>
      <c r="H165" s="83"/>
      <c r="I165" s="103"/>
      <c r="J165" s="76" t="s">
        <v>125</v>
      </c>
      <c r="K165" s="104"/>
      <c r="L165" s="104"/>
      <c r="M165" s="170">
        <f>IF(Tabelle13245[[#This Row],[Pulled after Start]]="",MIN(Tabelle13245[[#This Row],[Jira Story Points]],Tabelle13245[[#This Row],[Carry-over]]),0)</f>
        <v>3</v>
      </c>
      <c r="N165" s="171">
        <f>MIN(Tabelle13245[[#This Row],[Jira Story Points]],Tabelle13245[[#This Row],[Carry-over]])-Tabelle13245[[#This Row],[SP Initially Planned (COS)]]</f>
        <v>0</v>
      </c>
      <c r="O165"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65" s="173">
        <f>IFERROR(IF(Tabelle13245[[#This Row],[Status]]=$I$5,MIN(Tabelle13245[[#This Row],[Jira Story Points]],Tabelle13245[[#This Row],[Carry-over]]),0),0)</f>
        <v>0</v>
      </c>
      <c r="Q165" s="173">
        <f>IFERROR(IF(Tabelle13245[[#This Row],[Status]]=$I$5,0,MIN(Tabelle13245[[#This Row],[Jira Story Points]],Tabelle13245[[#This Row],[Carry-over]])-Tabelle13245[[#This Row],[SP Completed (COS &amp; SOS)]]),0)</f>
        <v>0</v>
      </c>
    </row>
    <row r="166" spans="1:17" s="46" customFormat="1" ht="13.5" customHeight="1">
      <c r="A166" s="166" t="s">
        <v>3392</v>
      </c>
      <c r="B166" s="47" t="s">
        <v>3393</v>
      </c>
      <c r="C166" s="76" t="s">
        <v>382</v>
      </c>
      <c r="D166" s="76">
        <v>3</v>
      </c>
      <c r="E166" s="76" t="s">
        <v>324</v>
      </c>
      <c r="F166" s="104">
        <v>0</v>
      </c>
      <c r="G166" s="76" t="s">
        <v>32</v>
      </c>
      <c r="H166" s="83"/>
      <c r="I166" s="103"/>
      <c r="J166" s="76" t="s">
        <v>125</v>
      </c>
      <c r="K166" s="104"/>
      <c r="L166" s="104"/>
      <c r="M166" s="170">
        <f>IF(Tabelle13245[[#This Row],[Pulled after Start]]="",MIN(Tabelle13245[[#This Row],[Jira Story Points]],Tabelle13245[[#This Row],[Carry-over]]),0)</f>
        <v>0</v>
      </c>
      <c r="N166" s="171">
        <f>MIN(Tabelle13245[[#This Row],[Jira Story Points]],Tabelle13245[[#This Row],[Carry-over]])-Tabelle13245[[#This Row],[SP Initially Planned (COS)]]</f>
        <v>0</v>
      </c>
      <c r="O166"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66" s="173">
        <f>IFERROR(IF(Tabelle13245[[#This Row],[Status]]=$I$5,MIN(Tabelle13245[[#This Row],[Jira Story Points]],Tabelle13245[[#This Row],[Carry-over]]),0),0)</f>
        <v>0</v>
      </c>
      <c r="Q166" s="173">
        <f>IFERROR(IF(Tabelle13245[[#This Row],[Status]]=$I$5,0,MIN(Tabelle13245[[#This Row],[Jira Story Points]],Tabelle13245[[#This Row],[Carry-over]])-Tabelle13245[[#This Row],[SP Completed (COS &amp; SOS)]]),0)</f>
        <v>0</v>
      </c>
    </row>
    <row r="167" spans="1:17" s="46" customFormat="1" ht="13.5" customHeight="1">
      <c r="A167" s="157" t="s">
        <v>2910</v>
      </c>
      <c r="B167" s="47" t="s">
        <v>2911</v>
      </c>
      <c r="C167" s="76" t="s">
        <v>372</v>
      </c>
      <c r="D167" s="76">
        <v>3</v>
      </c>
      <c r="E167" s="76" t="s">
        <v>327</v>
      </c>
      <c r="F167" s="104">
        <v>5</v>
      </c>
      <c r="G167" s="76" t="s">
        <v>24</v>
      </c>
      <c r="H167" s="83"/>
      <c r="I167" s="103"/>
      <c r="J167" s="76" t="s">
        <v>125</v>
      </c>
      <c r="K167" s="104"/>
      <c r="L167" s="104"/>
      <c r="M167" s="170">
        <f>IF(Tabelle13245[[#This Row],[Pulled after Start]]="",MIN(Tabelle13245[[#This Row],[Jira Story Points]],Tabelle13245[[#This Row],[Carry-over]]),0)</f>
        <v>5</v>
      </c>
      <c r="N167" s="171">
        <f>MIN(Tabelle13245[[#This Row],[Jira Story Points]],Tabelle13245[[#This Row],[Carry-over]])-Tabelle13245[[#This Row],[SP Initially Planned (COS)]]</f>
        <v>0</v>
      </c>
      <c r="O167" s="172">
        <f>IFERROR(IF(Tabelle13245[[#This Row],[Status]]=$I$5,0,IF(AND(Tabelle13245[[#This Row],[Status]]=$H$5,Tabelle13245[[#This Row],[Spill-over]]=0),0,IF(Tabelle13245[[#This Row],[Carry-over]]&lt;&gt;0,Tabelle13245[[#This Row],[Carry-over]]-Tabelle13245[[#This Row],[Spill-over]],Tabelle13245[[#This Row],[Jira Story Points]]-Tabelle13245[[#This Row],[Spill-over]]))),"-")</f>
        <v>5</v>
      </c>
      <c r="P167" s="173">
        <f>IFERROR(IF(Tabelle13245[[#This Row],[Status]]=$I$5,MIN(Tabelle13245[[#This Row],[Jira Story Points]],Tabelle13245[[#This Row],[Carry-over]]),0),0)</f>
        <v>0</v>
      </c>
      <c r="Q167" s="173">
        <f>IFERROR(IF(Tabelle13245[[#This Row],[Status]]=$I$5,0,MIN(Tabelle13245[[#This Row],[Jira Story Points]],Tabelle13245[[#This Row],[Carry-over]])-Tabelle13245[[#This Row],[SP Completed (COS &amp; SOS)]]),0)</f>
        <v>0</v>
      </c>
    </row>
    <row r="168" spans="1:17" s="46" customFormat="1" ht="13.5" customHeight="1">
      <c r="A168" s="166" t="s">
        <v>3150</v>
      </c>
      <c r="B168" s="47" t="s">
        <v>3151</v>
      </c>
      <c r="C168" s="76" t="s">
        <v>382</v>
      </c>
      <c r="D168" s="76">
        <v>3</v>
      </c>
      <c r="E168" s="76" t="s">
        <v>330</v>
      </c>
      <c r="F168" s="104">
        <v>5</v>
      </c>
      <c r="G168" s="76" t="s">
        <v>32</v>
      </c>
      <c r="H168" s="83"/>
      <c r="I168" s="103"/>
      <c r="J168" s="76" t="s">
        <v>127</v>
      </c>
      <c r="K168" s="104">
        <v>0</v>
      </c>
      <c r="L168" s="104">
        <v>5</v>
      </c>
      <c r="M168" s="170">
        <f>IF(Tabelle13245[[#This Row],[Pulled after Start]]="",MIN(Tabelle13245[[#This Row],[Jira Story Points]],Tabelle13245[[#This Row],[Carry-over]]),0)</f>
        <v>0</v>
      </c>
      <c r="N168" s="171">
        <f>MIN(Tabelle13245[[#This Row],[Jira Story Points]],Tabelle13245[[#This Row],[Carry-over]])-Tabelle13245[[#This Row],[SP Initially Planned (COS)]]</f>
        <v>0</v>
      </c>
      <c r="O168"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68" s="173">
        <f>IFERROR(IF(Tabelle13245[[#This Row],[Status]]=$I$5,MIN(Tabelle13245[[#This Row],[Jira Story Points]],Tabelle13245[[#This Row],[Carry-over]]),0),0)</f>
        <v>0</v>
      </c>
      <c r="Q168" s="173">
        <f>IFERROR(IF(Tabelle13245[[#This Row],[Status]]=$I$5,0,MIN(Tabelle13245[[#This Row],[Jira Story Points]],Tabelle13245[[#This Row],[Carry-over]])-Tabelle13245[[#This Row],[SP Completed (COS &amp; SOS)]]),0)</f>
        <v>0</v>
      </c>
    </row>
    <row r="169" spans="1:17" s="46" customFormat="1" ht="13.5" customHeight="1">
      <c r="A169" s="157" t="s">
        <v>3394</v>
      </c>
      <c r="B169" s="47" t="s">
        <v>3395</v>
      </c>
      <c r="C169" s="76" t="s">
        <v>382</v>
      </c>
      <c r="D169" s="76">
        <v>3</v>
      </c>
      <c r="E169" s="76" t="s">
        <v>324</v>
      </c>
      <c r="F169" s="104">
        <v>1</v>
      </c>
      <c r="G169" s="76" t="s">
        <v>24</v>
      </c>
      <c r="H169" s="83"/>
      <c r="I169" s="103"/>
      <c r="J169" s="76" t="s">
        <v>125</v>
      </c>
      <c r="K169" s="104"/>
      <c r="L169" s="104"/>
      <c r="M169" s="170">
        <f>IF(Tabelle13245[[#This Row],[Pulled after Start]]="",MIN(Tabelle13245[[#This Row],[Jira Story Points]],Tabelle13245[[#This Row],[Carry-over]]),0)</f>
        <v>1</v>
      </c>
      <c r="N169" s="171">
        <f>MIN(Tabelle13245[[#This Row],[Jira Story Points]],Tabelle13245[[#This Row],[Carry-over]])-Tabelle13245[[#This Row],[SP Initially Planned (COS)]]</f>
        <v>0</v>
      </c>
      <c r="O169" s="172">
        <f>IFERROR(IF(Tabelle13245[[#This Row],[Status]]=$I$5,0,IF(AND(Tabelle13245[[#This Row],[Status]]=$H$5,Tabelle13245[[#This Row],[Spill-over]]=0),0,IF(Tabelle13245[[#This Row],[Carry-over]]&lt;&gt;0,Tabelle13245[[#This Row],[Carry-over]]-Tabelle13245[[#This Row],[Spill-over]],Tabelle13245[[#This Row],[Jira Story Points]]-Tabelle13245[[#This Row],[Spill-over]]))),"-")</f>
        <v>1</v>
      </c>
      <c r="P169" s="173">
        <f>IFERROR(IF(Tabelle13245[[#This Row],[Status]]=$I$5,MIN(Tabelle13245[[#This Row],[Jira Story Points]],Tabelle13245[[#This Row],[Carry-over]]),0),0)</f>
        <v>0</v>
      </c>
      <c r="Q169" s="173">
        <f>IFERROR(IF(Tabelle13245[[#This Row],[Status]]=$I$5,0,MIN(Tabelle13245[[#This Row],[Jira Story Points]],Tabelle13245[[#This Row],[Carry-over]])-Tabelle13245[[#This Row],[SP Completed (COS &amp; SOS)]]),0)</f>
        <v>0</v>
      </c>
    </row>
    <row r="170" spans="1:17" s="46" customFormat="1" ht="13.5" customHeight="1">
      <c r="A170" s="157" t="s">
        <v>3396</v>
      </c>
      <c r="B170" s="47" t="s">
        <v>3397</v>
      </c>
      <c r="C170" s="76" t="s">
        <v>375</v>
      </c>
      <c r="D170" s="76">
        <v>3</v>
      </c>
      <c r="E170" s="76" t="s">
        <v>324</v>
      </c>
      <c r="F170" s="104">
        <v>3</v>
      </c>
      <c r="G170" s="76" t="s">
        <v>17</v>
      </c>
      <c r="H170" s="83"/>
      <c r="I170" s="103"/>
      <c r="J170" s="76" t="s">
        <v>125</v>
      </c>
      <c r="K170" s="104"/>
      <c r="L170" s="104"/>
      <c r="M170" s="170">
        <f>IF(Tabelle13245[[#This Row],[Pulled after Start]]="",MIN(Tabelle13245[[#This Row],[Jira Story Points]],Tabelle13245[[#This Row],[Carry-over]]),0)</f>
        <v>3</v>
      </c>
      <c r="N170" s="171">
        <f>MIN(Tabelle13245[[#This Row],[Jira Story Points]],Tabelle13245[[#This Row],[Carry-over]])-Tabelle13245[[#This Row],[SP Initially Planned (COS)]]</f>
        <v>0</v>
      </c>
      <c r="O170"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70" s="173">
        <f>IFERROR(IF(Tabelle13245[[#This Row],[Status]]=$I$5,MIN(Tabelle13245[[#This Row],[Jira Story Points]],Tabelle13245[[#This Row],[Carry-over]]),0),0)</f>
        <v>0</v>
      </c>
      <c r="Q170" s="173">
        <f>IFERROR(IF(Tabelle13245[[#This Row],[Status]]=$I$5,0,MIN(Tabelle13245[[#This Row],[Jira Story Points]],Tabelle13245[[#This Row],[Carry-over]])-Tabelle13245[[#This Row],[SP Completed (COS &amp; SOS)]]),0)</f>
        <v>0</v>
      </c>
    </row>
    <row r="171" spans="1:17" s="46" customFormat="1" ht="13.5" customHeight="1">
      <c r="A171" s="180" t="s">
        <v>3398</v>
      </c>
      <c r="B171" s="47" t="s">
        <v>3399</v>
      </c>
      <c r="C171" s="76" t="s">
        <v>382</v>
      </c>
      <c r="D171" s="76">
        <v>3</v>
      </c>
      <c r="E171" s="76" t="s">
        <v>324</v>
      </c>
      <c r="F171" s="104">
        <v>3</v>
      </c>
      <c r="G171" s="76" t="s">
        <v>24</v>
      </c>
      <c r="H171" s="83"/>
      <c r="I171" s="103"/>
      <c r="J171" s="76" t="s">
        <v>125</v>
      </c>
      <c r="K171" s="104"/>
      <c r="L171" s="104"/>
      <c r="M171" s="170">
        <f>IF(Tabelle13245[[#This Row],[Pulled after Start]]="",MIN(Tabelle13245[[#This Row],[Jira Story Points]],Tabelle13245[[#This Row],[Carry-over]]),0)</f>
        <v>3</v>
      </c>
      <c r="N171" s="171">
        <f>MIN(Tabelle13245[[#This Row],[Jira Story Points]],Tabelle13245[[#This Row],[Carry-over]])-Tabelle13245[[#This Row],[SP Initially Planned (COS)]]</f>
        <v>0</v>
      </c>
      <c r="O171"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71" s="173">
        <f>IFERROR(IF(Tabelle13245[[#This Row],[Status]]=$I$5,MIN(Tabelle13245[[#This Row],[Jira Story Points]],Tabelle13245[[#This Row],[Carry-over]]),0),0)</f>
        <v>0</v>
      </c>
      <c r="Q171" s="173">
        <f>IFERROR(IF(Tabelle13245[[#This Row],[Status]]=$I$5,0,MIN(Tabelle13245[[#This Row],[Jira Story Points]],Tabelle13245[[#This Row],[Carry-over]])-Tabelle13245[[#This Row],[SP Completed (COS &amp; SOS)]]),0)</f>
        <v>0</v>
      </c>
    </row>
    <row r="172" spans="1:17" s="46" customFormat="1" ht="13.5" customHeight="1">
      <c r="A172" s="180" t="s">
        <v>3400</v>
      </c>
      <c r="B172" s="47" t="s">
        <v>3401</v>
      </c>
      <c r="C172" s="76" t="s">
        <v>382</v>
      </c>
      <c r="D172" s="76">
        <v>3</v>
      </c>
      <c r="E172" s="76" t="s">
        <v>324</v>
      </c>
      <c r="F172" s="104">
        <v>3</v>
      </c>
      <c r="G172" s="76" t="s">
        <v>24</v>
      </c>
      <c r="H172" s="83"/>
      <c r="I172" s="103"/>
      <c r="J172" s="76" t="s">
        <v>125</v>
      </c>
      <c r="K172" s="104"/>
      <c r="L172" s="104"/>
      <c r="M172" s="170">
        <f>IF(Tabelle13245[[#This Row],[Pulled after Start]]="",MIN(Tabelle13245[[#This Row],[Jira Story Points]],Tabelle13245[[#This Row],[Carry-over]]),0)</f>
        <v>3</v>
      </c>
      <c r="N172" s="171">
        <f>MIN(Tabelle13245[[#This Row],[Jira Story Points]],Tabelle13245[[#This Row],[Carry-over]])-Tabelle13245[[#This Row],[SP Initially Planned (COS)]]</f>
        <v>0</v>
      </c>
      <c r="O172"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72" s="173">
        <f>IFERROR(IF(Tabelle13245[[#This Row],[Status]]=$I$5,MIN(Tabelle13245[[#This Row],[Jira Story Points]],Tabelle13245[[#This Row],[Carry-over]]),0),0)</f>
        <v>0</v>
      </c>
      <c r="Q172" s="173">
        <f>IFERROR(IF(Tabelle13245[[#This Row],[Status]]=$I$5,0,MIN(Tabelle13245[[#This Row],[Jira Story Points]],Tabelle13245[[#This Row],[Carry-over]])-Tabelle13245[[#This Row],[SP Completed (COS &amp; SOS)]]),0)</f>
        <v>0</v>
      </c>
    </row>
    <row r="173" spans="1:17" s="46" customFormat="1" ht="13.5" customHeight="1">
      <c r="A173" s="180" t="s">
        <v>3402</v>
      </c>
      <c r="B173" s="47" t="s">
        <v>3403</v>
      </c>
      <c r="C173" s="76" t="s">
        <v>382</v>
      </c>
      <c r="D173" s="76">
        <v>3</v>
      </c>
      <c r="E173" s="76" t="s">
        <v>324</v>
      </c>
      <c r="F173" s="104">
        <v>3</v>
      </c>
      <c r="G173" s="76" t="s">
        <v>24</v>
      </c>
      <c r="H173" s="83"/>
      <c r="I173" s="103"/>
      <c r="J173" s="76" t="s">
        <v>125</v>
      </c>
      <c r="K173" s="104"/>
      <c r="L173" s="104"/>
      <c r="M173" s="170">
        <f>IF(Tabelle13245[[#This Row],[Pulled after Start]]="",MIN(Tabelle13245[[#This Row],[Jira Story Points]],Tabelle13245[[#This Row],[Carry-over]]),0)</f>
        <v>3</v>
      </c>
      <c r="N173" s="171">
        <f>MIN(Tabelle13245[[#This Row],[Jira Story Points]],Tabelle13245[[#This Row],[Carry-over]])-Tabelle13245[[#This Row],[SP Initially Planned (COS)]]</f>
        <v>0</v>
      </c>
      <c r="O173"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73" s="173">
        <f>IFERROR(IF(Tabelle13245[[#This Row],[Status]]=$I$5,MIN(Tabelle13245[[#This Row],[Jira Story Points]],Tabelle13245[[#This Row],[Carry-over]]),0),0)</f>
        <v>0</v>
      </c>
      <c r="Q173" s="173">
        <f>IFERROR(IF(Tabelle13245[[#This Row],[Status]]=$I$5,0,MIN(Tabelle13245[[#This Row],[Jira Story Points]],Tabelle13245[[#This Row],[Carry-over]])-Tabelle13245[[#This Row],[SP Completed (COS &amp; SOS)]]),0)</f>
        <v>0</v>
      </c>
    </row>
    <row r="174" spans="1:17" s="46" customFormat="1" ht="13.5" customHeight="1">
      <c r="A174" s="180" t="s">
        <v>3404</v>
      </c>
      <c r="B174" s="47" t="s">
        <v>3405</v>
      </c>
      <c r="C174" s="76" t="s">
        <v>382</v>
      </c>
      <c r="D174" s="76">
        <v>3</v>
      </c>
      <c r="E174" s="76" t="s">
        <v>324</v>
      </c>
      <c r="F174" s="104"/>
      <c r="G174" s="76" t="s">
        <v>17</v>
      </c>
      <c r="H174" s="83"/>
      <c r="I174" s="103"/>
      <c r="J174" s="76" t="s">
        <v>125</v>
      </c>
      <c r="K174" s="104"/>
      <c r="L174" s="104"/>
      <c r="M174" s="170">
        <f>IF(Tabelle13245[[#This Row],[Pulled after Start]]="",MIN(Tabelle13245[[#This Row],[Jira Story Points]],Tabelle13245[[#This Row],[Carry-over]]),0)</f>
        <v>0</v>
      </c>
      <c r="N174" s="171">
        <f>MIN(Tabelle13245[[#This Row],[Jira Story Points]],Tabelle13245[[#This Row],[Carry-over]])-Tabelle13245[[#This Row],[SP Initially Planned (COS)]]</f>
        <v>0</v>
      </c>
      <c r="O174"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74" s="173">
        <f>IFERROR(IF(Tabelle13245[[#This Row],[Status]]=$I$5,MIN(Tabelle13245[[#This Row],[Jira Story Points]],Tabelle13245[[#This Row],[Carry-over]]),0),0)</f>
        <v>0</v>
      </c>
      <c r="Q174" s="173">
        <f>IFERROR(IF(Tabelle13245[[#This Row],[Status]]=$I$5,0,MIN(Tabelle13245[[#This Row],[Jira Story Points]],Tabelle13245[[#This Row],[Carry-over]])-Tabelle13245[[#This Row],[SP Completed (COS &amp; SOS)]]),0)</f>
        <v>0</v>
      </c>
    </row>
    <row r="175" spans="1:17" s="46" customFormat="1" ht="13.5" customHeight="1">
      <c r="A175" s="180" t="s">
        <v>2609</v>
      </c>
      <c r="B175" s="47" t="s">
        <v>2610</v>
      </c>
      <c r="C175" s="76" t="s">
        <v>375</v>
      </c>
      <c r="D175" s="76">
        <v>2</v>
      </c>
      <c r="E175" s="76" t="s">
        <v>327</v>
      </c>
      <c r="F175" s="104">
        <v>3</v>
      </c>
      <c r="G175" s="76" t="s">
        <v>24</v>
      </c>
      <c r="H175" s="83" t="s">
        <v>209</v>
      </c>
      <c r="I175" s="103"/>
      <c r="J175" s="76" t="s">
        <v>127</v>
      </c>
      <c r="K175" s="104"/>
      <c r="L175" s="104"/>
      <c r="M175" s="170">
        <f>IF(Tabelle13245[[#This Row],[Pulled after Start]]="",MIN(Tabelle13245[[#This Row],[Jira Story Points]],Tabelle13245[[#This Row],[Carry-over]]),0)</f>
        <v>0</v>
      </c>
      <c r="N175" s="171">
        <f>MIN(Tabelle13245[[#This Row],[Jira Story Points]],Tabelle13245[[#This Row],[Carry-over]])-Tabelle13245[[#This Row],[SP Initially Planned (COS)]]</f>
        <v>3</v>
      </c>
      <c r="O175"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75" s="173">
        <f>IFERROR(IF(Tabelle13245[[#This Row],[Status]]=$I$5,MIN(Tabelle13245[[#This Row],[Jira Story Points]],Tabelle13245[[#This Row],[Carry-over]]),0),0)</f>
        <v>0</v>
      </c>
      <c r="Q175" s="173">
        <f>IFERROR(IF(Tabelle13245[[#This Row],[Status]]=$I$5,0,MIN(Tabelle13245[[#This Row],[Jira Story Points]],Tabelle13245[[#This Row],[Carry-over]])-Tabelle13245[[#This Row],[SP Completed (COS &amp; SOS)]]),0)</f>
        <v>3</v>
      </c>
    </row>
    <row r="176" spans="1:17" s="46" customFormat="1" ht="13.5" customHeight="1">
      <c r="A176" s="180" t="s">
        <v>3406</v>
      </c>
      <c r="B176" s="47" t="s">
        <v>3407</v>
      </c>
      <c r="C176" s="76" t="s">
        <v>375</v>
      </c>
      <c r="D176" s="76">
        <v>3</v>
      </c>
      <c r="E176" s="76" t="s">
        <v>448</v>
      </c>
      <c r="F176" s="104">
        <v>8</v>
      </c>
      <c r="G176" s="76" t="s">
        <v>24</v>
      </c>
      <c r="H176" s="83" t="s">
        <v>209</v>
      </c>
      <c r="I176" s="103"/>
      <c r="J176" s="76" t="s">
        <v>127</v>
      </c>
      <c r="K176" s="104"/>
      <c r="L176" s="104"/>
      <c r="M176" s="170">
        <f>IF(Tabelle13245[[#This Row],[Pulled after Start]]="",MIN(Tabelle13245[[#This Row],[Jira Story Points]],Tabelle13245[[#This Row],[Carry-over]]),0)</f>
        <v>0</v>
      </c>
      <c r="N176" s="171">
        <f>MIN(Tabelle13245[[#This Row],[Jira Story Points]],Tabelle13245[[#This Row],[Carry-over]])-Tabelle13245[[#This Row],[SP Initially Planned (COS)]]</f>
        <v>8</v>
      </c>
      <c r="O176"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76" s="173">
        <f>IFERROR(IF(Tabelle13245[[#This Row],[Status]]=$I$5,MIN(Tabelle13245[[#This Row],[Jira Story Points]],Tabelle13245[[#This Row],[Carry-over]]),0),0)</f>
        <v>0</v>
      </c>
      <c r="Q176" s="173">
        <f>IFERROR(IF(Tabelle13245[[#This Row],[Status]]=$I$5,0,MIN(Tabelle13245[[#This Row],[Jira Story Points]],Tabelle13245[[#This Row],[Carry-over]])-Tabelle13245[[#This Row],[SP Completed (COS &amp; SOS)]]),0)</f>
        <v>8</v>
      </c>
    </row>
    <row r="177" spans="1:17" s="46" customFormat="1" ht="13.5" customHeight="1">
      <c r="A177" s="180" t="s">
        <v>3408</v>
      </c>
      <c r="B177" s="47" t="s">
        <v>3155</v>
      </c>
      <c r="C177" s="76" t="s">
        <v>382</v>
      </c>
      <c r="D177" s="76">
        <v>3</v>
      </c>
      <c r="E177" s="76" t="s">
        <v>324</v>
      </c>
      <c r="F177" s="104">
        <v>1</v>
      </c>
      <c r="G177" s="76" t="s">
        <v>17</v>
      </c>
      <c r="H177" s="83" t="s">
        <v>209</v>
      </c>
      <c r="I177" s="103"/>
      <c r="J177" s="76" t="s">
        <v>125</v>
      </c>
      <c r="K177" s="104"/>
      <c r="L177" s="104"/>
      <c r="M177" s="170">
        <f>IF(Tabelle13245[[#This Row],[Pulled after Start]]="",MIN(Tabelle13245[[#This Row],[Jira Story Points]],Tabelle13245[[#This Row],[Carry-over]]),0)</f>
        <v>0</v>
      </c>
      <c r="N177" s="171">
        <f>MIN(Tabelle13245[[#This Row],[Jira Story Points]],Tabelle13245[[#This Row],[Carry-over]])-Tabelle13245[[#This Row],[SP Initially Planned (COS)]]</f>
        <v>1</v>
      </c>
      <c r="O177" s="172">
        <f>IFERROR(IF(Tabelle13245[[#This Row],[Status]]=$I$5,0,IF(AND(Tabelle13245[[#This Row],[Status]]=$H$5,Tabelle13245[[#This Row],[Spill-over]]=0),0,IF(Tabelle13245[[#This Row],[Carry-over]]&lt;&gt;0,Tabelle13245[[#This Row],[Carry-over]]-Tabelle13245[[#This Row],[Spill-over]],Tabelle13245[[#This Row],[Jira Story Points]]-Tabelle13245[[#This Row],[Spill-over]]))),"-")</f>
        <v>1</v>
      </c>
      <c r="P177" s="173">
        <f>IFERROR(IF(Tabelle13245[[#This Row],[Status]]=$I$5,MIN(Tabelle13245[[#This Row],[Jira Story Points]],Tabelle13245[[#This Row],[Carry-over]]),0),0)</f>
        <v>0</v>
      </c>
      <c r="Q177" s="173">
        <f>IFERROR(IF(Tabelle13245[[#This Row],[Status]]=$I$5,0,MIN(Tabelle13245[[#This Row],[Jira Story Points]],Tabelle13245[[#This Row],[Carry-over]])-Tabelle13245[[#This Row],[SP Completed (COS &amp; SOS)]]),0)</f>
        <v>0</v>
      </c>
    </row>
    <row r="178" spans="1:17" s="46" customFormat="1" ht="13.5" customHeight="1">
      <c r="A178" s="181" t="s">
        <v>3409</v>
      </c>
      <c r="B178" s="47" t="s">
        <v>3410</v>
      </c>
      <c r="C178" s="76" t="s">
        <v>375</v>
      </c>
      <c r="D178" s="76">
        <v>1</v>
      </c>
      <c r="E178" s="76" t="s">
        <v>324</v>
      </c>
      <c r="F178" s="104">
        <v>3</v>
      </c>
      <c r="G178" s="76" t="s">
        <v>17</v>
      </c>
      <c r="H178" s="83" t="s">
        <v>209</v>
      </c>
      <c r="I178" s="103"/>
      <c r="J178" s="76" t="s">
        <v>125</v>
      </c>
      <c r="K178" s="104"/>
      <c r="L178" s="104"/>
      <c r="M178" s="170">
        <f>IF(Tabelle13245[[#This Row],[Pulled after Start]]="",MIN(Tabelle13245[[#This Row],[Jira Story Points]],Tabelle13245[[#This Row],[Carry-over]]),0)</f>
        <v>0</v>
      </c>
      <c r="N178" s="171">
        <f>MIN(Tabelle13245[[#This Row],[Jira Story Points]],Tabelle13245[[#This Row],[Carry-over]])-Tabelle13245[[#This Row],[SP Initially Planned (COS)]]</f>
        <v>3</v>
      </c>
      <c r="O178"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78" s="173">
        <f>IFERROR(IF(Tabelle13245[[#This Row],[Status]]=$I$5,MIN(Tabelle13245[[#This Row],[Jira Story Points]],Tabelle13245[[#This Row],[Carry-over]]),0),0)</f>
        <v>0</v>
      </c>
      <c r="Q178" s="173">
        <f>IFERROR(IF(Tabelle13245[[#This Row],[Status]]=$I$5,0,MIN(Tabelle13245[[#This Row],[Jira Story Points]],Tabelle13245[[#This Row],[Carry-over]])-Tabelle13245[[#This Row],[SP Completed (COS &amp; SOS)]]),0)</f>
        <v>0</v>
      </c>
    </row>
    <row r="179" spans="1:17" s="46" customFormat="1" ht="13.5" customHeight="1">
      <c r="A179" s="180" t="s">
        <v>3411</v>
      </c>
      <c r="B179" s="47" t="s">
        <v>3412</v>
      </c>
      <c r="C179" s="76" t="s">
        <v>382</v>
      </c>
      <c r="D179" s="76">
        <v>3</v>
      </c>
      <c r="E179" s="76" t="s">
        <v>324</v>
      </c>
      <c r="F179" s="104">
        <v>1</v>
      </c>
      <c r="G179" s="76" t="s">
        <v>17</v>
      </c>
      <c r="H179" s="83" t="s">
        <v>209</v>
      </c>
      <c r="I179" s="103"/>
      <c r="J179" s="76" t="s">
        <v>125</v>
      </c>
      <c r="K179" s="104"/>
      <c r="L179" s="104"/>
      <c r="M179" s="170">
        <f>IF(Tabelle13245[[#This Row],[Pulled after Start]]="",MIN(Tabelle13245[[#This Row],[Jira Story Points]],Tabelle13245[[#This Row],[Carry-over]]),0)</f>
        <v>0</v>
      </c>
      <c r="N179" s="171">
        <f>MIN(Tabelle13245[[#This Row],[Jira Story Points]],Tabelle13245[[#This Row],[Carry-over]])-Tabelle13245[[#This Row],[SP Initially Planned (COS)]]</f>
        <v>1</v>
      </c>
      <c r="O179" s="172">
        <f>IFERROR(IF(Tabelle13245[[#This Row],[Status]]=$I$5,0,IF(AND(Tabelle13245[[#This Row],[Status]]=$H$5,Tabelle13245[[#This Row],[Spill-over]]=0),0,IF(Tabelle13245[[#This Row],[Carry-over]]&lt;&gt;0,Tabelle13245[[#This Row],[Carry-over]]-Tabelle13245[[#This Row],[Spill-over]],Tabelle13245[[#This Row],[Jira Story Points]]-Tabelle13245[[#This Row],[Spill-over]]))),"-")</f>
        <v>1</v>
      </c>
      <c r="P179" s="173">
        <f>IFERROR(IF(Tabelle13245[[#This Row],[Status]]=$I$5,MIN(Tabelle13245[[#This Row],[Jira Story Points]],Tabelle13245[[#This Row],[Carry-over]]),0),0)</f>
        <v>0</v>
      </c>
      <c r="Q179" s="173">
        <f>IFERROR(IF(Tabelle13245[[#This Row],[Status]]=$I$5,0,MIN(Tabelle13245[[#This Row],[Jira Story Points]],Tabelle13245[[#This Row],[Carry-over]])-Tabelle13245[[#This Row],[SP Completed (COS &amp; SOS)]]),0)</f>
        <v>0</v>
      </c>
    </row>
    <row r="180" spans="1:17" s="46" customFormat="1" ht="13.5" customHeight="1">
      <c r="A180" s="180" t="s">
        <v>3413</v>
      </c>
      <c r="B180" s="47" t="s">
        <v>3414</v>
      </c>
      <c r="C180" s="76" t="s">
        <v>382</v>
      </c>
      <c r="D180" s="76">
        <v>3</v>
      </c>
      <c r="E180" s="76" t="s">
        <v>324</v>
      </c>
      <c r="F180" s="104">
        <v>1</v>
      </c>
      <c r="G180" s="76" t="s">
        <v>17</v>
      </c>
      <c r="H180" s="83" t="s">
        <v>209</v>
      </c>
      <c r="I180" s="103"/>
      <c r="J180" s="76" t="s">
        <v>125</v>
      </c>
      <c r="K180" s="104"/>
      <c r="L180" s="104"/>
      <c r="M180" s="170">
        <f>IF(Tabelle13245[[#This Row],[Pulled after Start]]="",MIN(Tabelle13245[[#This Row],[Jira Story Points]],Tabelle13245[[#This Row],[Carry-over]]),0)</f>
        <v>0</v>
      </c>
      <c r="N180" s="171">
        <f>MIN(Tabelle13245[[#This Row],[Jira Story Points]],Tabelle13245[[#This Row],[Carry-over]])-Tabelle13245[[#This Row],[SP Initially Planned (COS)]]</f>
        <v>1</v>
      </c>
      <c r="O180" s="172">
        <f>IFERROR(IF(Tabelle13245[[#This Row],[Status]]=$I$5,0,IF(AND(Tabelle13245[[#This Row],[Status]]=$H$5,Tabelle13245[[#This Row],[Spill-over]]=0),0,IF(Tabelle13245[[#This Row],[Carry-over]]&lt;&gt;0,Tabelle13245[[#This Row],[Carry-over]]-Tabelle13245[[#This Row],[Spill-over]],Tabelle13245[[#This Row],[Jira Story Points]]-Tabelle13245[[#This Row],[Spill-over]]))),"-")</f>
        <v>1</v>
      </c>
      <c r="P180" s="173">
        <f>IFERROR(IF(Tabelle13245[[#This Row],[Status]]=$I$5,MIN(Tabelle13245[[#This Row],[Jira Story Points]],Tabelle13245[[#This Row],[Carry-over]]),0),0)</f>
        <v>0</v>
      </c>
      <c r="Q180" s="173">
        <f>IFERROR(IF(Tabelle13245[[#This Row],[Status]]=$I$5,0,MIN(Tabelle13245[[#This Row],[Jira Story Points]],Tabelle13245[[#This Row],[Carry-over]])-Tabelle13245[[#This Row],[SP Completed (COS &amp; SOS)]]),0)</f>
        <v>0</v>
      </c>
    </row>
    <row r="181" spans="1:17" s="46" customFormat="1" ht="13.5" customHeight="1">
      <c r="A181" s="180" t="s">
        <v>3415</v>
      </c>
      <c r="B181" s="47" t="s">
        <v>3416</v>
      </c>
      <c r="C181" s="76" t="s">
        <v>375</v>
      </c>
      <c r="D181" s="76">
        <v>1</v>
      </c>
      <c r="E181" s="76" t="s">
        <v>324</v>
      </c>
      <c r="F181" s="104">
        <v>3</v>
      </c>
      <c r="G181" s="76" t="s">
        <v>17</v>
      </c>
      <c r="H181" s="83" t="s">
        <v>209</v>
      </c>
      <c r="I181" s="103"/>
      <c r="J181" s="76" t="s">
        <v>125</v>
      </c>
      <c r="K181" s="104"/>
      <c r="L181" s="104"/>
      <c r="M181" s="170">
        <f>IF(Tabelle13245[[#This Row],[Pulled after Start]]="",MIN(Tabelle13245[[#This Row],[Jira Story Points]],Tabelle13245[[#This Row],[Carry-over]]),0)</f>
        <v>0</v>
      </c>
      <c r="N181" s="171">
        <f>MIN(Tabelle13245[[#This Row],[Jira Story Points]],Tabelle13245[[#This Row],[Carry-over]])-Tabelle13245[[#This Row],[SP Initially Planned (COS)]]</f>
        <v>3</v>
      </c>
      <c r="O181"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81" s="173">
        <f>IFERROR(IF(Tabelle13245[[#This Row],[Status]]=$I$5,MIN(Tabelle13245[[#This Row],[Jira Story Points]],Tabelle13245[[#This Row],[Carry-over]]),0),0)</f>
        <v>0</v>
      </c>
      <c r="Q181" s="173">
        <f>IFERROR(IF(Tabelle13245[[#This Row],[Status]]=$I$5,0,MIN(Tabelle13245[[#This Row],[Jira Story Points]],Tabelle13245[[#This Row],[Carry-over]])-Tabelle13245[[#This Row],[SP Completed (COS &amp; SOS)]]),0)</f>
        <v>0</v>
      </c>
    </row>
    <row r="182" spans="1:17" s="46" customFormat="1" ht="13.5" customHeight="1">
      <c r="A182" s="180" t="s">
        <v>3417</v>
      </c>
      <c r="B182" s="47" t="s">
        <v>3414</v>
      </c>
      <c r="C182" s="76" t="s">
        <v>382</v>
      </c>
      <c r="D182" s="76">
        <v>3</v>
      </c>
      <c r="E182" s="76" t="s">
        <v>324</v>
      </c>
      <c r="F182" s="104">
        <v>2</v>
      </c>
      <c r="G182" s="76" t="s">
        <v>24</v>
      </c>
      <c r="H182" s="83" t="s">
        <v>209</v>
      </c>
      <c r="I182" s="103"/>
      <c r="J182" s="76" t="s">
        <v>125</v>
      </c>
      <c r="K182" s="104"/>
      <c r="L182" s="104"/>
      <c r="M182" s="170">
        <f>IF(Tabelle13245[[#This Row],[Pulled after Start]]="",MIN(Tabelle13245[[#This Row],[Jira Story Points]],Tabelle13245[[#This Row],[Carry-over]]),0)</f>
        <v>0</v>
      </c>
      <c r="N182" s="171">
        <f>MIN(Tabelle13245[[#This Row],[Jira Story Points]],Tabelle13245[[#This Row],[Carry-over]])-Tabelle13245[[#This Row],[SP Initially Planned (COS)]]</f>
        <v>2</v>
      </c>
      <c r="O182" s="172">
        <f>IFERROR(IF(Tabelle13245[[#This Row],[Status]]=$I$5,0,IF(AND(Tabelle13245[[#This Row],[Status]]=$H$5,Tabelle13245[[#This Row],[Spill-over]]=0),0,IF(Tabelle13245[[#This Row],[Carry-over]]&lt;&gt;0,Tabelle13245[[#This Row],[Carry-over]]-Tabelle13245[[#This Row],[Spill-over]],Tabelle13245[[#This Row],[Jira Story Points]]-Tabelle13245[[#This Row],[Spill-over]]))),"-")</f>
        <v>2</v>
      </c>
      <c r="P182" s="173">
        <f>IFERROR(IF(Tabelle13245[[#This Row],[Status]]=$I$5,MIN(Tabelle13245[[#This Row],[Jira Story Points]],Tabelle13245[[#This Row],[Carry-over]]),0),0)</f>
        <v>0</v>
      </c>
      <c r="Q182" s="173">
        <f>IFERROR(IF(Tabelle13245[[#This Row],[Status]]=$I$5,0,MIN(Tabelle13245[[#This Row],[Jira Story Points]],Tabelle13245[[#This Row],[Carry-over]])-Tabelle13245[[#This Row],[SP Completed (COS &amp; SOS)]]),0)</f>
        <v>0</v>
      </c>
    </row>
    <row r="183" spans="1:17" s="46" customFormat="1" ht="13.5" customHeight="1">
      <c r="A183" s="157" t="s">
        <v>3418</v>
      </c>
      <c r="B183" s="47" t="s">
        <v>3419</v>
      </c>
      <c r="C183" s="76" t="s">
        <v>382</v>
      </c>
      <c r="D183" s="76">
        <v>3</v>
      </c>
      <c r="E183" s="76" t="s">
        <v>324</v>
      </c>
      <c r="F183" s="104">
        <v>1</v>
      </c>
      <c r="G183" s="76" t="s">
        <v>17</v>
      </c>
      <c r="H183" s="83" t="s">
        <v>209</v>
      </c>
      <c r="I183" s="103"/>
      <c r="J183" s="76" t="s">
        <v>125</v>
      </c>
      <c r="K183" s="104"/>
      <c r="L183" s="104"/>
      <c r="M183" s="170">
        <f>IF(Tabelle13245[[#This Row],[Pulled after Start]]="",MIN(Tabelle13245[[#This Row],[Jira Story Points]],Tabelle13245[[#This Row],[Carry-over]]),0)</f>
        <v>0</v>
      </c>
      <c r="N183" s="171">
        <f>MIN(Tabelle13245[[#This Row],[Jira Story Points]],Tabelle13245[[#This Row],[Carry-over]])-Tabelle13245[[#This Row],[SP Initially Planned (COS)]]</f>
        <v>1</v>
      </c>
      <c r="O183" s="172">
        <f>IFERROR(IF(Tabelle13245[[#This Row],[Status]]=$I$5,0,IF(AND(Tabelle13245[[#This Row],[Status]]=$H$5,Tabelle13245[[#This Row],[Spill-over]]=0),0,IF(Tabelle13245[[#This Row],[Carry-over]]&lt;&gt;0,Tabelle13245[[#This Row],[Carry-over]]-Tabelle13245[[#This Row],[Spill-over]],Tabelle13245[[#This Row],[Jira Story Points]]-Tabelle13245[[#This Row],[Spill-over]]))),"-")</f>
        <v>1</v>
      </c>
      <c r="P183" s="173">
        <f>IFERROR(IF(Tabelle13245[[#This Row],[Status]]=$I$5,MIN(Tabelle13245[[#This Row],[Jira Story Points]],Tabelle13245[[#This Row],[Carry-over]]),0),0)</f>
        <v>0</v>
      </c>
      <c r="Q183" s="173">
        <f>IFERROR(IF(Tabelle13245[[#This Row],[Status]]=$I$5,0,MIN(Tabelle13245[[#This Row],[Jira Story Points]],Tabelle13245[[#This Row],[Carry-over]])-Tabelle13245[[#This Row],[SP Completed (COS &amp; SOS)]]),0)</f>
        <v>0</v>
      </c>
    </row>
    <row r="184" spans="1:17" s="46" customFormat="1" ht="13.5" customHeight="1">
      <c r="A184" s="157" t="s">
        <v>3420</v>
      </c>
      <c r="B184" s="47" t="s">
        <v>3421</v>
      </c>
      <c r="C184" s="76" t="s">
        <v>382</v>
      </c>
      <c r="D184" s="76">
        <v>3</v>
      </c>
      <c r="E184" s="76" t="s">
        <v>324</v>
      </c>
      <c r="F184" s="104">
        <v>1</v>
      </c>
      <c r="G184" s="76" t="s">
        <v>17</v>
      </c>
      <c r="H184" s="83" t="s">
        <v>209</v>
      </c>
      <c r="I184" s="103"/>
      <c r="J184" s="76" t="s">
        <v>125</v>
      </c>
      <c r="K184" s="104"/>
      <c r="L184" s="104"/>
      <c r="M184" s="170">
        <f>IF(Tabelle13245[[#This Row],[Pulled after Start]]="",MIN(Tabelle13245[[#This Row],[Jira Story Points]],Tabelle13245[[#This Row],[Carry-over]]),0)</f>
        <v>0</v>
      </c>
      <c r="N184" s="171">
        <f>MIN(Tabelle13245[[#This Row],[Jira Story Points]],Tabelle13245[[#This Row],[Carry-over]])-Tabelle13245[[#This Row],[SP Initially Planned (COS)]]</f>
        <v>1</v>
      </c>
      <c r="O184" s="172">
        <f>IFERROR(IF(Tabelle13245[[#This Row],[Status]]=$I$5,0,IF(AND(Tabelle13245[[#This Row],[Status]]=$H$5,Tabelle13245[[#This Row],[Spill-over]]=0),0,IF(Tabelle13245[[#This Row],[Carry-over]]&lt;&gt;0,Tabelle13245[[#This Row],[Carry-over]]-Tabelle13245[[#This Row],[Spill-over]],Tabelle13245[[#This Row],[Jira Story Points]]-Tabelle13245[[#This Row],[Spill-over]]))),"-")</f>
        <v>1</v>
      </c>
      <c r="P184" s="173">
        <f>IFERROR(IF(Tabelle13245[[#This Row],[Status]]=$I$5,MIN(Tabelle13245[[#This Row],[Jira Story Points]],Tabelle13245[[#This Row],[Carry-over]]),0),0)</f>
        <v>0</v>
      </c>
      <c r="Q184" s="173">
        <f>IFERROR(IF(Tabelle13245[[#This Row],[Status]]=$I$5,0,MIN(Tabelle13245[[#This Row],[Jira Story Points]],Tabelle13245[[#This Row],[Carry-over]])-Tabelle13245[[#This Row],[SP Completed (COS &amp; SOS)]]),0)</f>
        <v>0</v>
      </c>
    </row>
    <row r="185" spans="1:17" s="46" customFormat="1" ht="13.5" customHeight="1">
      <c r="A185" s="157" t="s">
        <v>3422</v>
      </c>
      <c r="B185" s="47" t="s">
        <v>3423</v>
      </c>
      <c r="C185" s="76" t="s">
        <v>372</v>
      </c>
      <c r="D185" s="76">
        <v>3</v>
      </c>
      <c r="E185" s="76" t="s">
        <v>327</v>
      </c>
      <c r="F185" s="104">
        <v>8</v>
      </c>
      <c r="G185" s="76" t="s">
        <v>24</v>
      </c>
      <c r="H185" s="83"/>
      <c r="I185" s="103"/>
      <c r="J185" s="76" t="s">
        <v>125</v>
      </c>
      <c r="K185" s="104"/>
      <c r="L185" s="104"/>
      <c r="M185" s="170">
        <f>IF(Tabelle13245[[#This Row],[Pulled after Start]]="",MIN(Tabelle13245[[#This Row],[Jira Story Points]],Tabelle13245[[#This Row],[Carry-over]]),0)</f>
        <v>8</v>
      </c>
      <c r="N185" s="171">
        <f>MIN(Tabelle13245[[#This Row],[Jira Story Points]],Tabelle13245[[#This Row],[Carry-over]])-Tabelle13245[[#This Row],[SP Initially Planned (COS)]]</f>
        <v>0</v>
      </c>
      <c r="O185" s="172">
        <f>IFERROR(IF(Tabelle13245[[#This Row],[Status]]=$I$5,0,IF(AND(Tabelle13245[[#This Row],[Status]]=$H$5,Tabelle13245[[#This Row],[Spill-over]]=0),0,IF(Tabelle13245[[#This Row],[Carry-over]]&lt;&gt;0,Tabelle13245[[#This Row],[Carry-over]]-Tabelle13245[[#This Row],[Spill-over]],Tabelle13245[[#This Row],[Jira Story Points]]-Tabelle13245[[#This Row],[Spill-over]]))),"-")</f>
        <v>8</v>
      </c>
      <c r="P185" s="173">
        <f>IFERROR(IF(Tabelle13245[[#This Row],[Status]]=$I$5,MIN(Tabelle13245[[#This Row],[Jira Story Points]],Tabelle13245[[#This Row],[Carry-over]]),0),0)</f>
        <v>0</v>
      </c>
      <c r="Q185" s="173">
        <f>IFERROR(IF(Tabelle13245[[#This Row],[Status]]=$I$5,0,MIN(Tabelle13245[[#This Row],[Jira Story Points]],Tabelle13245[[#This Row],[Carry-over]])-Tabelle13245[[#This Row],[SP Completed (COS &amp; SOS)]]),0)</f>
        <v>0</v>
      </c>
    </row>
    <row r="186" spans="1:17" s="46" customFormat="1" ht="13.5" customHeight="1">
      <c r="A186" s="158" t="s">
        <v>2391</v>
      </c>
      <c r="B186" s="46" t="s">
        <v>3424</v>
      </c>
      <c r="C186" s="76" t="s">
        <v>372</v>
      </c>
      <c r="D186" s="76">
        <v>3</v>
      </c>
      <c r="E186" s="76" t="s">
        <v>273</v>
      </c>
      <c r="F186" s="104">
        <v>3</v>
      </c>
      <c r="G186" s="76" t="s">
        <v>32</v>
      </c>
      <c r="H186" s="83"/>
      <c r="I186" s="103"/>
      <c r="J186" s="76" t="s">
        <v>127</v>
      </c>
      <c r="K186" s="104">
        <v>2</v>
      </c>
      <c r="L186" s="104">
        <v>1</v>
      </c>
      <c r="M186" s="170">
        <f>IF(Tabelle13245[[#This Row],[Pulled after Start]]="",MIN(Tabelle13245[[#This Row],[Jira Story Points]],Tabelle13245[[#This Row],[Carry-over]]),0)</f>
        <v>2</v>
      </c>
      <c r="N186" s="171">
        <f>MIN(Tabelle13245[[#This Row],[Jira Story Points]],Tabelle13245[[#This Row],[Carry-over]])-Tabelle13245[[#This Row],[SP Initially Planned (COS)]]</f>
        <v>0</v>
      </c>
      <c r="O186" s="172">
        <f>IFERROR(IF(Tabelle13245[[#This Row],[Status]]=$I$5,0,IF(AND(Tabelle13245[[#This Row],[Status]]=$H$5,Tabelle13245[[#This Row],[Spill-over]]=0),0,IF(Tabelle13245[[#This Row],[Carry-over]]&lt;&gt;0,Tabelle13245[[#This Row],[Carry-over]]-Tabelle13245[[#This Row],[Spill-over]],Tabelle13245[[#This Row],[Jira Story Points]]-Tabelle13245[[#This Row],[Spill-over]]))),"-")</f>
        <v>1</v>
      </c>
      <c r="P186" s="173">
        <f>IFERROR(IF(Tabelle13245[[#This Row],[Status]]=$I$5,MIN(Tabelle13245[[#This Row],[Jira Story Points]],Tabelle13245[[#This Row],[Carry-over]]),0),0)</f>
        <v>0</v>
      </c>
      <c r="Q186" s="173">
        <f>IFERROR(IF(Tabelle13245[[#This Row],[Status]]=$I$5,0,MIN(Tabelle13245[[#This Row],[Jira Story Points]],Tabelle13245[[#This Row],[Carry-over]])-Tabelle13245[[#This Row],[SP Completed (COS &amp; SOS)]]),0)</f>
        <v>1</v>
      </c>
    </row>
    <row r="187" spans="1:17" s="46" customFormat="1" ht="13.5" customHeight="1">
      <c r="A187" s="166" t="s">
        <v>3152</v>
      </c>
      <c r="B187" s="159" t="s">
        <v>3153</v>
      </c>
      <c r="C187" s="76" t="s">
        <v>382</v>
      </c>
      <c r="D187" s="76">
        <v>3</v>
      </c>
      <c r="E187" s="76" t="s">
        <v>330</v>
      </c>
      <c r="F187" s="104">
        <v>5</v>
      </c>
      <c r="G187" s="76" t="s">
        <v>32</v>
      </c>
      <c r="H187" s="83"/>
      <c r="I187" s="103"/>
      <c r="J187" s="76" t="s">
        <v>127</v>
      </c>
      <c r="K187" s="104">
        <v>0</v>
      </c>
      <c r="L187" s="104">
        <v>5</v>
      </c>
      <c r="M187" s="170">
        <f>IF(Tabelle13245[[#This Row],[Pulled after Start]]="",MIN(Tabelle13245[[#This Row],[Jira Story Points]],Tabelle13245[[#This Row],[Carry-over]]),0)</f>
        <v>0</v>
      </c>
      <c r="N187" s="171">
        <f>MIN(Tabelle13245[[#This Row],[Jira Story Points]],Tabelle13245[[#This Row],[Carry-over]])-Tabelle13245[[#This Row],[SP Initially Planned (COS)]]</f>
        <v>0</v>
      </c>
      <c r="O187"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87" s="173">
        <f>IFERROR(IF(Tabelle13245[[#This Row],[Status]]=$I$5,MIN(Tabelle13245[[#This Row],[Jira Story Points]],Tabelle13245[[#This Row],[Carry-over]]),0),0)</f>
        <v>0</v>
      </c>
      <c r="Q187" s="173">
        <f>IFERROR(IF(Tabelle13245[[#This Row],[Status]]=$I$5,0,MIN(Tabelle13245[[#This Row],[Jira Story Points]],Tabelle13245[[#This Row],[Carry-over]])-Tabelle13245[[#This Row],[SP Completed (COS &amp; SOS)]]),0)</f>
        <v>0</v>
      </c>
    </row>
    <row r="188" spans="1:17" s="46" customFormat="1" ht="13.5" customHeight="1">
      <c r="A188" s="166" t="s">
        <v>3148</v>
      </c>
      <c r="B188" s="47" t="s">
        <v>3149</v>
      </c>
      <c r="C188" s="76" t="s">
        <v>372</v>
      </c>
      <c r="D188" s="76">
        <v>3</v>
      </c>
      <c r="E188" s="76" t="s">
        <v>327</v>
      </c>
      <c r="F188" s="104">
        <v>5</v>
      </c>
      <c r="G188" s="76" t="s">
        <v>32</v>
      </c>
      <c r="H188" s="83"/>
      <c r="I188" s="103"/>
      <c r="J188" s="76" t="s">
        <v>127</v>
      </c>
      <c r="K188" s="104">
        <v>4</v>
      </c>
      <c r="L188" s="104">
        <v>1</v>
      </c>
      <c r="M188" s="170">
        <f>IF(Tabelle13245[[#This Row],[Pulled after Start]]="",MIN(Tabelle13245[[#This Row],[Jira Story Points]],Tabelle13245[[#This Row],[Carry-over]]),0)</f>
        <v>4</v>
      </c>
      <c r="N188" s="171">
        <f>MIN(Tabelle13245[[#This Row],[Jira Story Points]],Tabelle13245[[#This Row],[Carry-over]])-Tabelle13245[[#This Row],[SP Initially Planned (COS)]]</f>
        <v>0</v>
      </c>
      <c r="O188"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88" s="173">
        <f>IFERROR(IF(Tabelle13245[[#This Row],[Status]]=$I$5,MIN(Tabelle13245[[#This Row],[Jira Story Points]],Tabelle13245[[#This Row],[Carry-over]]),0),0)</f>
        <v>0</v>
      </c>
      <c r="Q188" s="173">
        <f>IFERROR(IF(Tabelle13245[[#This Row],[Status]]=$I$5,0,MIN(Tabelle13245[[#This Row],[Jira Story Points]],Tabelle13245[[#This Row],[Carry-over]])-Tabelle13245[[#This Row],[SP Completed (COS &amp; SOS)]]),0)</f>
        <v>1</v>
      </c>
    </row>
    <row r="189" spans="1:17" s="46" customFormat="1" ht="13.5" customHeight="1">
      <c r="A189" s="168" t="s">
        <v>2956</v>
      </c>
      <c r="B189" s="47" t="s">
        <v>2957</v>
      </c>
      <c r="C189" s="76" t="s">
        <v>382</v>
      </c>
      <c r="D189" s="76">
        <v>3</v>
      </c>
      <c r="E189" s="76" t="s">
        <v>330</v>
      </c>
      <c r="F189" s="104">
        <v>0</v>
      </c>
      <c r="G189" s="76" t="s">
        <v>32</v>
      </c>
      <c r="H189" s="83"/>
      <c r="I189" s="103"/>
      <c r="J189" s="76" t="s">
        <v>127</v>
      </c>
      <c r="K189" s="104"/>
      <c r="L189" s="104"/>
      <c r="M189" s="170">
        <f>IF(Tabelle13245[[#This Row],[Pulled after Start]]="",MIN(Tabelle13245[[#This Row],[Jira Story Points]],Tabelle13245[[#This Row],[Carry-over]]),0)</f>
        <v>0</v>
      </c>
      <c r="N189" s="171">
        <f>MIN(Tabelle13245[[#This Row],[Jira Story Points]],Tabelle13245[[#This Row],[Carry-over]])-Tabelle13245[[#This Row],[SP Initially Planned (COS)]]</f>
        <v>0</v>
      </c>
      <c r="O189"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89" s="173">
        <f>IFERROR(IF(Tabelle13245[[#This Row],[Status]]=$I$5,MIN(Tabelle13245[[#This Row],[Jira Story Points]],Tabelle13245[[#This Row],[Carry-over]]),0),0)</f>
        <v>0</v>
      </c>
      <c r="Q189" s="173">
        <f>IFERROR(IF(Tabelle13245[[#This Row],[Status]]=$I$5,0,MIN(Tabelle13245[[#This Row],[Jira Story Points]],Tabelle13245[[#This Row],[Carry-over]])-Tabelle13245[[#This Row],[SP Completed (COS &amp; SOS)]]),0)</f>
        <v>0</v>
      </c>
    </row>
    <row r="190" spans="1:17" s="46" customFormat="1" ht="13.5" customHeight="1">
      <c r="A190" s="159" t="s">
        <v>3154</v>
      </c>
      <c r="B190" s="47" t="s">
        <v>3155</v>
      </c>
      <c r="C190" s="76" t="s">
        <v>382</v>
      </c>
      <c r="D190" s="76">
        <v>3</v>
      </c>
      <c r="E190" s="76" t="s">
        <v>330</v>
      </c>
      <c r="F190" s="104">
        <v>5</v>
      </c>
      <c r="G190" s="76" t="s">
        <v>32</v>
      </c>
      <c r="H190" s="83" t="s">
        <v>209</v>
      </c>
      <c r="I190" s="103"/>
      <c r="J190" s="76" t="s">
        <v>127</v>
      </c>
      <c r="K190" s="104">
        <v>0</v>
      </c>
      <c r="L190" s="104">
        <v>5</v>
      </c>
      <c r="M190" s="170">
        <f>IF(Tabelle13245[[#This Row],[Pulled after Start]]="",MIN(Tabelle13245[[#This Row],[Jira Story Points]],Tabelle13245[[#This Row],[Carry-over]]),0)</f>
        <v>0</v>
      </c>
      <c r="N190" s="171">
        <f>MIN(Tabelle13245[[#This Row],[Jira Story Points]],Tabelle13245[[#This Row],[Carry-over]])-Tabelle13245[[#This Row],[SP Initially Planned (COS)]]</f>
        <v>0</v>
      </c>
      <c r="O190" s="172">
        <f>IFERROR(IF(Tabelle13245[[#This Row],[Status]]=$I$5,0,IF(AND(Tabelle13245[[#This Row],[Status]]=$H$5,Tabelle13245[[#This Row],[Spill-over]]=0),0,IF(Tabelle13245[[#This Row],[Carry-over]]&lt;&gt;0,Tabelle13245[[#This Row],[Carry-over]]-Tabelle13245[[#This Row],[Spill-over]],Tabelle13245[[#This Row],[Jira Story Points]]-Tabelle13245[[#This Row],[Spill-over]]))),"-")</f>
        <v>0</v>
      </c>
      <c r="P190" s="173">
        <f>IFERROR(IF(Tabelle13245[[#This Row],[Status]]=$I$5,MIN(Tabelle13245[[#This Row],[Jira Story Points]],Tabelle13245[[#This Row],[Carry-over]]),0),0)</f>
        <v>0</v>
      </c>
      <c r="Q190" s="173">
        <f>IFERROR(IF(Tabelle13245[[#This Row],[Status]]=$I$5,0,MIN(Tabelle13245[[#This Row],[Jira Story Points]],Tabelle13245[[#This Row],[Carry-over]])-Tabelle13245[[#This Row],[SP Completed (COS &amp; SOS)]]),0)</f>
        <v>0</v>
      </c>
    </row>
    <row r="191" spans="1:17" s="46" customFormat="1" ht="13.5" customHeight="1">
      <c r="A191" s="166" t="s">
        <v>3146</v>
      </c>
      <c r="B191" s="47" t="s">
        <v>3147</v>
      </c>
      <c r="C191" s="76" t="s">
        <v>382</v>
      </c>
      <c r="D191" s="76">
        <v>3</v>
      </c>
      <c r="E191" s="76" t="s">
        <v>330</v>
      </c>
      <c r="F191" s="104">
        <v>3</v>
      </c>
      <c r="G191" s="76" t="s">
        <v>32</v>
      </c>
      <c r="H191" s="83"/>
      <c r="I191" s="103"/>
      <c r="J191" s="76" t="s">
        <v>127</v>
      </c>
      <c r="K191" s="104">
        <v>2</v>
      </c>
      <c r="L191" s="104">
        <v>1</v>
      </c>
      <c r="M191" s="170">
        <f>IF(Tabelle13245[[#This Row],[Pulled after Start]]="",MIN(Tabelle13245[[#This Row],[Jira Story Points]],Tabelle13245[[#This Row],[Carry-over]]),0)</f>
        <v>2</v>
      </c>
      <c r="N191" s="171">
        <f>MIN(Tabelle13245[[#This Row],[Jira Story Points]],Tabelle13245[[#This Row],[Carry-over]])-Tabelle13245[[#This Row],[SP Initially Planned (COS)]]</f>
        <v>0</v>
      </c>
      <c r="O191" s="172">
        <f>IFERROR(IF(Tabelle13245[[#This Row],[Status]]=$I$5,0,IF(AND(Tabelle13245[[#This Row],[Status]]=$H$5,Tabelle13245[[#This Row],[Spill-over]]=0),0,IF(Tabelle13245[[#This Row],[Carry-over]]&lt;&gt;0,Tabelle13245[[#This Row],[Carry-over]]-Tabelle13245[[#This Row],[Spill-over]],Tabelle13245[[#This Row],[Jira Story Points]]-Tabelle13245[[#This Row],[Spill-over]]))),"-")</f>
        <v>1</v>
      </c>
      <c r="P191" s="173">
        <f>IFERROR(IF(Tabelle13245[[#This Row],[Status]]=$I$5,MIN(Tabelle13245[[#This Row],[Jira Story Points]],Tabelle13245[[#This Row],[Carry-over]]),0),0)</f>
        <v>0</v>
      </c>
      <c r="Q191" s="173">
        <f>IFERROR(IF(Tabelle13245[[#This Row],[Status]]=$I$5,0,MIN(Tabelle13245[[#This Row],[Jira Story Points]],Tabelle13245[[#This Row],[Carry-over]])-Tabelle13245[[#This Row],[SP Completed (COS &amp; SOS)]]),0)</f>
        <v>1</v>
      </c>
    </row>
    <row r="192" spans="1:17" s="46" customFormat="1" ht="13.5" customHeight="1">
      <c r="A192" s="117" t="s">
        <v>3425</v>
      </c>
      <c r="B192" s="47" t="s">
        <v>3426</v>
      </c>
      <c r="C192" s="76" t="s">
        <v>375</v>
      </c>
      <c r="D192" s="76">
        <v>3</v>
      </c>
      <c r="E192" s="76" t="s">
        <v>637</v>
      </c>
      <c r="F192" s="104">
        <v>3</v>
      </c>
      <c r="G192" s="76" t="s">
        <v>107</v>
      </c>
      <c r="H192" s="83" t="s">
        <v>209</v>
      </c>
      <c r="I192" s="103" t="s">
        <v>3427</v>
      </c>
      <c r="J192" s="76" t="s">
        <v>125</v>
      </c>
      <c r="K192" s="104"/>
      <c r="L192" s="104"/>
      <c r="M192" s="170">
        <f>IF(Tabelle13245[[#This Row],[Pulled after Start]]="",MIN(Tabelle13245[[#This Row],[Jira Story Points]],Tabelle13245[[#This Row],[Carry-over]]),0)</f>
        <v>0</v>
      </c>
      <c r="N192" s="171">
        <f>MIN(Tabelle13245[[#This Row],[Jira Story Points]],Tabelle13245[[#This Row],[Carry-over]])-Tabelle13245[[#This Row],[SP Initially Planned (COS)]]</f>
        <v>3</v>
      </c>
      <c r="O192" s="172">
        <f>IFERROR(IF(Tabelle13245[[#This Row],[Status]]=$I$5,0,IF(AND(Tabelle13245[[#This Row],[Status]]=$H$5,Tabelle13245[[#This Row],[Spill-over]]=0),0,IF(Tabelle13245[[#This Row],[Carry-over]]&lt;&gt;0,Tabelle13245[[#This Row],[Carry-over]]-Tabelle13245[[#This Row],[Spill-over]],Tabelle13245[[#This Row],[Jira Story Points]]-Tabelle13245[[#This Row],[Spill-over]]))),"-")</f>
        <v>3</v>
      </c>
      <c r="P192" s="173">
        <f>IFERROR(IF(Tabelle13245[[#This Row],[Status]]=$I$5,MIN(Tabelle13245[[#This Row],[Jira Story Points]],Tabelle13245[[#This Row],[Carry-over]]),0),0)</f>
        <v>0</v>
      </c>
      <c r="Q192" s="173">
        <f>IFERROR(IF(Tabelle13245[[#This Row],[Status]]=$I$5,0,MIN(Tabelle13245[[#This Row],[Jira Story Points]],Tabelle13245[[#This Row],[Carry-over]])-Tabelle13245[[#This Row],[SP Completed (COS &amp; SOS)]]),0)</f>
        <v>0</v>
      </c>
    </row>
    <row r="193" spans="1:17" s="46" customFormat="1" ht="13.5" customHeight="1">
      <c r="A193" s="117" t="s">
        <v>3247</v>
      </c>
      <c r="B193" s="47" t="s">
        <v>2984</v>
      </c>
      <c r="C193" s="76" t="s">
        <v>375</v>
      </c>
      <c r="D193" s="76">
        <v>2</v>
      </c>
      <c r="E193" s="76" t="s">
        <v>637</v>
      </c>
      <c r="F193" s="104">
        <v>8</v>
      </c>
      <c r="G193" s="76" t="s">
        <v>107</v>
      </c>
      <c r="H193" s="83" t="s">
        <v>209</v>
      </c>
      <c r="I193" s="103" t="s">
        <v>3428</v>
      </c>
      <c r="J193" s="76" t="s">
        <v>127</v>
      </c>
      <c r="K193" s="104"/>
      <c r="L193" s="104">
        <v>3</v>
      </c>
      <c r="M193" s="170">
        <f>IF(Tabelle13245[[#This Row],[Pulled after Start]]="",MIN(Tabelle13245[[#This Row],[Jira Story Points]],Tabelle13245[[#This Row],[Carry-over]]),0)</f>
        <v>0</v>
      </c>
      <c r="N193" s="171">
        <f>MIN(Tabelle13245[[#This Row],[Jira Story Points]],Tabelle13245[[#This Row],[Carry-over]])-Tabelle13245[[#This Row],[SP Initially Planned (COS)]]</f>
        <v>8</v>
      </c>
      <c r="O193" s="172">
        <f>IFERROR(IF(Tabelle13245[[#This Row],[Status]]=$I$5,0,IF(AND(Tabelle13245[[#This Row],[Status]]=$H$5,Tabelle13245[[#This Row],[Spill-over]]=0),0,IF(Tabelle13245[[#This Row],[Carry-over]]&lt;&gt;0,Tabelle13245[[#This Row],[Carry-over]]-Tabelle13245[[#This Row],[Spill-over]],Tabelle13245[[#This Row],[Jira Story Points]]-Tabelle13245[[#This Row],[Spill-over]]))),"-")</f>
        <v>5</v>
      </c>
      <c r="P193" s="173">
        <f>IFERROR(IF(Tabelle13245[[#This Row],[Status]]=$I$5,MIN(Tabelle13245[[#This Row],[Jira Story Points]],Tabelle13245[[#This Row],[Carry-over]]),0),0)</f>
        <v>0</v>
      </c>
      <c r="Q193" s="173">
        <f>IFERROR(IF(Tabelle13245[[#This Row],[Status]]=$I$5,0,MIN(Tabelle13245[[#This Row],[Jira Story Points]],Tabelle13245[[#This Row],[Carry-over]])-Tabelle13245[[#This Row],[SP Completed (COS &amp; SOS)]]),0)</f>
        <v>3</v>
      </c>
    </row>
  </sheetData>
  <mergeCells count="11">
    <mergeCell ref="N22:O22"/>
    <mergeCell ref="C1:J1"/>
    <mergeCell ref="G3:I3"/>
    <mergeCell ref="E4:J4"/>
    <mergeCell ref="L4:Q4"/>
    <mergeCell ref="L22:M22"/>
    <mergeCell ref="B6:B15"/>
    <mergeCell ref="D22:E22"/>
    <mergeCell ref="F22:G22"/>
    <mergeCell ref="H22:I22"/>
    <mergeCell ref="J22:K22"/>
  </mergeCells>
  <dataValidations count="4">
    <dataValidation type="list" allowBlank="1" showErrorMessage="1" sqref="H58:H73 H32:H42" xr:uid="{573CD6A8-4B5C-4528-B6D7-92497F9B4F31}">
      <formula1>"yes"</formula1>
    </dataValidation>
    <dataValidation type="list" allowBlank="1" showErrorMessage="1" sqref="G58:G73 G32:G42" xr:uid="{62ED9E19-E56E-4CBC-AB0A-27FB8FE28E4E}">
      <formula1>$C$6:$C$15</formula1>
    </dataValidation>
    <dataValidation allowBlank="1" showInputMessage="1" showErrorMessage="1" sqref="K32 K34:L183 L33 M32:N193" xr:uid="{2DCDF3DC-B7F8-4133-8FCC-2C83B194C05E}"/>
    <dataValidation type="list" allowBlank="1" showErrorMessage="1" sqref="J174:J183 J185:J187 J32:J172 J190:J193" xr:uid="{4B24ABF2-20E1-4BF6-9F1E-F768FC2FF68A}">
      <formula1>$G$5:$I$5</formula1>
    </dataValidation>
  </dataValidations>
  <hyperlinks>
    <hyperlink ref="A47" r:id="rId1" display="https://aldi-sued.atlassian.net/browse/ANP-23181" xr:uid="{5187FE89-AF20-4D13-BB5E-244ABFF3AD1F}"/>
    <hyperlink ref="A56" r:id="rId2" display="https://aldi-sued.atlassian.net/browse/ANP-23670" xr:uid="{AFF1BEB9-43E0-40F8-9E39-F5B1485C5FC1}"/>
    <hyperlink ref="A37" r:id="rId3" display="https://aldi-sued.atlassian.net/browse/ANP-19512" xr:uid="{824D7A26-DD6C-4790-A7B2-B1871641A016}"/>
    <hyperlink ref="A53" r:id="rId4" display="https://aldi-sued.atlassian.net/browse/ANP-23344" xr:uid="{30574612-5EC1-4756-9D62-48C27A31615A}"/>
    <hyperlink ref="A49" r:id="rId5" display="https://aldi-sued.atlassian.net/browse/ANP-23197" xr:uid="{B526CE42-34D3-4D5F-BD48-191F5DFE5872}"/>
    <hyperlink ref="A69" r:id="rId6" display="https://aldi-sued.atlassian.net/browse/ANP-23973" xr:uid="{849271EB-229A-42CB-B8BA-A7220A6AF7DD}"/>
    <hyperlink ref="A77" r:id="rId7" display="https://aldi-sued.atlassian.net/browse/ANP-24068" xr:uid="{D3F7F936-E33B-439D-8581-A9A2DBE05511}"/>
    <hyperlink ref="A188" r:id="rId8" display="https://aldi-sued.atlassian.net/browse/NPSCO-17729" xr:uid="{ADEC30C6-E0D4-44B1-BC1D-C7B43B35D360}"/>
    <hyperlink ref="A159" r:id="rId9" display="https://aldi-sued.atlassian.net/browse/NPSCO-17728" xr:uid="{39C01FF2-5A33-4418-A7CF-22D56734652D}"/>
    <hyperlink ref="A158" r:id="rId10" display="https://aldi-sued.atlassian.net/browse/NPSCO-17700" xr:uid="{AC65ABF4-9851-4CE4-A83C-EB4182E116CD}"/>
    <hyperlink ref="A146" r:id="rId11" display="https://aldi-sued.atlassian.net/browse/NPSCO-17739" xr:uid="{F534F987-16DC-4BB8-B43C-2F0F4BF9D600}"/>
    <hyperlink ref="A143" r:id="rId12" display="https://aldi-sued.atlassian.net/browse/NPSCO-17738" xr:uid="{D8B94D3F-EACF-421A-AB78-22FFF9148581}"/>
    <hyperlink ref="A142" r:id="rId13" display="https://aldi-sued.atlassian.net/browse/NPSCO-17699" xr:uid="{1D9177D2-CF93-4838-AF4C-B5A9A0A86017}"/>
    <hyperlink ref="A137" r:id="rId14" display="https://aldi-sued.atlassian.net/browse/NPSCO-17240" xr:uid="{3AB140AF-B8CD-4140-9962-E63976CE0044}"/>
    <hyperlink ref="A189" r:id="rId15" display="https://aldi-sued.atlassian.net/browse/NPSCO-17881" xr:uid="{230C3C14-23CF-4B8D-B35F-B4D0AC262447}"/>
    <hyperlink ref="A186" r:id="rId16" display="https://aldi-sued.atlassian.net/browse/NPSCO-16261" xr:uid="{2B04F95C-EC38-4159-9480-95AAAE2B6275}"/>
    <hyperlink ref="A135" r:id="rId17" display="https://aldi-sued.atlassian.net/browse/NPSCO-17005" xr:uid="{65BDFAB7-A782-486D-98F2-CB09F65EF29E}"/>
    <hyperlink ref="A168" r:id="rId18" display="https://aldi-sued.atlassian.net/browse/NPSCO-16190" xr:uid="{CDA45914-7282-494C-8C9C-81F54ECE9DEB}"/>
    <hyperlink ref="A187" r:id="rId19" display="https://aldi-sued.atlassian.net/browse/NPSCO-17011" xr:uid="{109F5A0D-8BC3-47F2-BD18-DD4E8EC40F21}"/>
    <hyperlink ref="A153" r:id="rId20" display="https://aldi-sued.atlassian.net/browse/NPSCO-17742" xr:uid="{7507B8E8-64A2-46C2-A1AB-F7CB19CFC2F8}"/>
    <hyperlink ref="A154" r:id="rId21" display="https://aldi-sued.atlassian.net/browse/NPSCO-17743" xr:uid="{2512642B-5340-4140-8C27-F877DFC4B827}"/>
    <hyperlink ref="A150" r:id="rId22" display="https://aldi-sued.atlassian.net/browse/NPSCO-17740" xr:uid="{EA4A3828-71FE-4D2A-8732-D418C36B7E4C}"/>
    <hyperlink ref="A151" r:id="rId23" display="https://aldi-sued.atlassian.net/browse/NPSCO-17741" xr:uid="{19BCAABA-0386-451D-8147-6ED57725CD9E}"/>
    <hyperlink ref="A156" r:id="rId24" display="https://aldi-sued.atlassian.net/browse/NPSCO-18015" xr:uid="{B7D383DF-6498-409D-95EE-C79994EFB19A}"/>
    <hyperlink ref="A155" r:id="rId25" display="https://aldi-sued.atlassian.net/browse/NPSCO-17746" xr:uid="{53D5C7E2-D2CC-4BAC-A5F6-62A6580B8B02}"/>
    <hyperlink ref="A40" r:id="rId26" display="https://aldi-sued.atlassian.net/browse/ANP-21725" xr:uid="{AF24BA05-9EA1-46E9-88CD-A2C837635A76}"/>
    <hyperlink ref="A45" r:id="rId27" display="https://aldi-sued.atlassian.net/browse/ANP-22884" xr:uid="{667EC9BF-0A07-4537-A7AD-AB74CFA188EE}"/>
    <hyperlink ref="A46" r:id="rId28" display="https://aldi-sued.atlassian.net/browse/ANP-23002" xr:uid="{E5BA0F62-C8C5-4EAB-947D-2133F93E5363}"/>
    <hyperlink ref="A66" r:id="rId29" display="https://aldi-sued.atlassian.net/browse/ANP-23910" xr:uid="{4BBC2523-D1BB-4258-B90A-90DA5CC888A1}"/>
    <hyperlink ref="A81" r:id="rId30" display="https://aldi-sued.atlassian.net/browse/ANP-24125" xr:uid="{F08AC8B0-2101-46AF-873A-7CED2BA783C5}"/>
    <hyperlink ref="A91" r:id="rId31" display="https://aldi-sued.atlassian.net/browse/ANP-24255" xr:uid="{93A4E5A7-7F98-4204-9853-83FA048D6D0B}"/>
    <hyperlink ref="A92" r:id="rId32" display="https://aldi-sued.atlassian.net/browse/ANP-24307" xr:uid="{E7A15E80-790A-4FCC-9188-8A9D88CE10CE}"/>
    <hyperlink ref="A93" r:id="rId33" display="https://aldi-sued.atlassian.net/browse/ANP-24309" xr:uid="{C50AF7FE-07B2-4358-BCC8-0DEFAC62EF30}"/>
    <hyperlink ref="A39" r:id="rId34" display="https://aldi-sued.atlassian.net/browse/ANP-20258" xr:uid="{E3178C9C-1FDF-4A07-9915-A7341F703BD8}"/>
    <hyperlink ref="A55" r:id="rId35" display="https://aldi-sued.atlassian.net/browse/ANP-23454" xr:uid="{CE7066CC-E124-4EFC-B2F6-16657FA50D61}"/>
    <hyperlink ref="A86" r:id="rId36" display="https://aldi-sued.atlassian.net/browse/ANP-24205" xr:uid="{44DDB189-7632-42F0-88F5-7657FF3F6587}"/>
    <hyperlink ref="A87" r:id="rId37" display="https://aldi-sued.atlassian.net/browse/ANP-24209" xr:uid="{CCB7175C-59E8-4196-8AEF-917886C8B630}"/>
    <hyperlink ref="A89" r:id="rId38" display="https://aldi-sued.atlassian.net/browse/ANP-24249" xr:uid="{DF31AE76-2433-4720-AF67-346C104D03C1}"/>
    <hyperlink ref="A32" r:id="rId39" display="https://aldi-sued.atlassian.net/browse/ANP-17528" xr:uid="{A50F3F8D-9982-43D1-817F-6EBB40F97F91}"/>
    <hyperlink ref="A34" r:id="rId40" display="https://aldi-sued.atlassian.net/browse/ANP-22666" xr:uid="{76AC876F-5E71-43B1-9F45-6AC3A5802480}"/>
    <hyperlink ref="A35" r:id="rId41" display="https://aldi-sued.atlassian.net/browse/ANP-23450" xr:uid="{620F6D50-57A5-4795-80DE-C508313F6510}"/>
    <hyperlink ref="A41" r:id="rId42" display="https://aldi-sued.atlassian.net/browse/ANP-23721" xr:uid="{0FFD33EC-0B15-4FD6-8AD0-BB2259E3B6B3}"/>
    <hyperlink ref="A44" r:id="rId43" display="https://aldi-sued.atlassian.net/browse/ANP-24032" xr:uid="{98D4DE8D-9C7F-404C-B506-836A89A1CA1D}"/>
    <hyperlink ref="A54" r:id="rId44" display="https://aldi-sued.atlassian.net/browse/ANP-24033" xr:uid="{13E3D2E5-C689-400B-B61D-92E2CD4BBC5A}"/>
    <hyperlink ref="A59" r:id="rId45" display="https://aldi-sued.atlassian.net/browse/ANP-22307" xr:uid="{CA01AB1A-79FF-471D-A018-A52E29D5E1AE}"/>
    <hyperlink ref="A61" r:id="rId46" display="https://aldi-sued.atlassian.net/browse/ANP-23684" xr:uid="{9AA5A27A-1709-4F9D-8F6C-AE26CF29B4A7}"/>
    <hyperlink ref="A71" r:id="rId47" display="https://aldi-sued.atlassian.net/browse/ANP-23847" xr:uid="{E6636AAF-CCF0-4386-B288-ED65775628A3}"/>
    <hyperlink ref="A83" r:id="rId48" display="https://aldi-sued.atlassian.net/browse/ANP-23979" xr:uid="{E0B7029D-733F-4200-97F5-BA7B37349E5C}"/>
    <hyperlink ref="A72" r:id="rId49" display="https://aldi-sued.atlassian.net/browse/ANP-23992" xr:uid="{3EE9BE42-EE2D-4007-B05B-D2964C824CAB}"/>
    <hyperlink ref="A57" r:id="rId50" display="https://aldi-sued.atlassian.net/browse/ANP-24186" xr:uid="{DD242E51-C5DB-4476-B656-6583DCB7B289}"/>
    <hyperlink ref="A97" r:id="rId51" xr:uid="{E008A6E4-F1C5-4D7E-8830-EE8DD911CA4F}"/>
    <hyperlink ref="A98" r:id="rId52" xr:uid="{823B8A25-3B77-4855-BD90-4BF2ACD41594}"/>
    <hyperlink ref="A99" r:id="rId53" xr:uid="{03901C9A-645C-4E45-B777-4354CD8840E5}"/>
    <hyperlink ref="A100" r:id="rId54" xr:uid="{B38E14FC-7628-42DB-9600-F61B4D23EF13}"/>
    <hyperlink ref="A102" r:id="rId55" xr:uid="{A807E858-E765-4438-BBDF-4EFB63FE0E11}"/>
    <hyperlink ref="A104" r:id="rId56" xr:uid="{BCB384A1-0496-477B-8B10-AC9588F2FD88}"/>
    <hyperlink ref="A105" r:id="rId57" xr:uid="{87D3F97D-2790-4FED-BA9E-C1FFFA836C2F}"/>
    <hyperlink ref="A106" r:id="rId58" xr:uid="{AEDB35F2-27CB-434D-BEBF-5AB50E0F0EAF}"/>
    <hyperlink ref="A107" r:id="rId59" xr:uid="{D2A49B99-8DD4-43D9-960C-0E142465369B}"/>
    <hyperlink ref="A108" r:id="rId60" display="_x000a_BF-588" xr:uid="{52869882-2428-4675-A57E-900E435BD36B}"/>
    <hyperlink ref="A109" r:id="rId61" xr:uid="{61615F4B-BC78-406F-9930-8594A31A472F}"/>
    <hyperlink ref="A110" r:id="rId62" xr:uid="{4248F649-4E15-4690-9BF1-24876DB527BA}"/>
    <hyperlink ref="A103" r:id="rId63" xr:uid="{06E66124-A92B-46FF-8D68-442A83ED4A53}"/>
    <hyperlink ref="A101" r:id="rId64" xr:uid="{C70B2015-2DC8-40EC-A5AD-3BDF249AB151}"/>
    <hyperlink ref="A95" r:id="rId65" xr:uid="{3D5C3B56-BD64-4200-B75A-EB4D1ACAE611}"/>
    <hyperlink ref="A94" r:id="rId66" xr:uid="{137E3C82-CFFF-48CA-B6DD-774008C41A2A}"/>
    <hyperlink ref="A96" r:id="rId67" xr:uid="{E40ADD61-86E0-498D-AA66-0AE38867A57C}"/>
    <hyperlink ref="A74" r:id="rId68" display="https://aldi-sued.atlassian.net/browse/ANP-15539" xr:uid="{234B0E87-C8DF-4530-BCE0-869F2BF265AF}"/>
    <hyperlink ref="A73" r:id="rId69" display="https://aldi-sued.atlassian.net/browse/ANP-14099" xr:uid="{CA74DD68-F2A0-47BB-A484-6D99BF7DA741}"/>
    <hyperlink ref="A65" r:id="rId70" display="https://aldi-sued.atlassian.net/browse/ANP-23903" xr:uid="{2739867B-E57F-4C8A-8ABF-B0937DBAFBAF}"/>
    <hyperlink ref="A62" r:id="rId71" display="https://aldi-sued.atlassian.net/browse/ANP-23896" xr:uid="{B445ADF6-3B04-4D4F-B3E5-BCE4CE480F80}"/>
    <hyperlink ref="A63" r:id="rId72" display="https://aldi-sued.atlassian.net/browse/ANP-23897" xr:uid="{BA646A6F-4349-4D6A-87B9-E712C90F017A}"/>
    <hyperlink ref="A190" r:id="rId73" display="https://aldi-sued.atlassian.net/browse/NPSCO-18290" xr:uid="{69E58375-B39D-4462-BB1A-4085CE529DAF}"/>
    <hyperlink ref="A160" r:id="rId74" display="https://aldi-sued.atlassian.net/browse/NPSCO-18250" xr:uid="{AF095142-ED97-4D9D-9CEF-FEF6DB383CA8}"/>
    <hyperlink ref="A161" r:id="rId75" display="https://aldi-sued.atlassian.net/browse/NPSCO-18251" xr:uid="{CA89379F-ED2A-44CF-A5D8-CF0D39CA0B6C}"/>
    <hyperlink ref="A157" r:id="rId76" display="https://aldi-sued.atlassian.net/browse/NPSCO-18016" xr:uid="{538F56D4-02F4-4B32-92D4-87A98B909A33}"/>
    <hyperlink ref="A162" r:id="rId77" display="https://aldi-sued.atlassian.net/browse/NPSCO-18128" xr:uid="{76B02C0F-A61C-48CC-9CC9-7944B7C0A160}"/>
    <hyperlink ref="A166" r:id="rId78" display="https://aldi-sued.atlassian.net/browse/NPSCO-18056" xr:uid="{0DDCB214-6825-4E90-B21D-BE6DB4170E79}"/>
    <hyperlink ref="A191" r:id="rId79" xr:uid="{197E7DF0-3F7D-438A-B9C0-D389746C6F2F}"/>
    <hyperlink ref="A113" r:id="rId80" xr:uid="{4E04A4DB-60EE-428B-905D-142888AD9476}"/>
    <hyperlink ref="A112" r:id="rId81" xr:uid="{BEC0AF4B-0882-47F3-A6DE-F481583AD53A}"/>
    <hyperlink ref="A111" r:id="rId82" xr:uid="{AF51936E-73E8-43E2-99A4-4EB829185C0F}"/>
  </hyperlinks>
  <pageMargins left="0.23622047244094491" right="0.23622047244094491" top="0.35433070866141736" bottom="0.35433070866141736" header="0" footer="0"/>
  <pageSetup paperSize="9" scale="88" fitToHeight="0" orientation="landscape" r:id="rId83"/>
  <headerFooter>
    <oddFooter>&amp;CS. &amp;P / &amp;N</oddFooter>
  </headerFooter>
  <tableParts count="1">
    <tablePart r:id="rId8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5B8D4-BC40-4D4E-B019-832D9B3C263D}">
  <sheetPr>
    <outlinePr summaryBelow="0" summaryRight="0"/>
    <pageSetUpPr fitToPage="1"/>
  </sheetPr>
  <dimension ref="A1:AM185"/>
  <sheetViews>
    <sheetView topLeftCell="D4" zoomScale="90" zoomScaleNormal="90" workbookViewId="0">
      <selection activeCell="Z6" sqref="Z6:Z15"/>
    </sheetView>
  </sheetViews>
  <sheetFormatPr baseColWidth="10" defaultColWidth="8.85546875" defaultRowHeight="13.5" customHeight="1"/>
  <cols>
    <col min="1" max="1" width="13.42578125" style="27" bestFit="1" customWidth="1"/>
    <col min="2" max="2" width="66.42578125" style="27" customWidth="1"/>
    <col min="3" max="3" width="10.42578125" style="28" customWidth="1"/>
    <col min="4" max="4" width="7.140625" style="28" customWidth="1"/>
    <col min="5" max="6" width="15.42578125" style="28" customWidth="1"/>
    <col min="7" max="7" width="10.140625" style="28" bestFit="1" customWidth="1"/>
    <col min="8" max="8" width="13.85546875" style="28" bestFit="1" customWidth="1"/>
    <col min="9" max="9" width="15.42578125" style="29" customWidth="1"/>
    <col min="10" max="10" width="12.85546875" style="29" bestFit="1" customWidth="1"/>
    <col min="11" max="11" width="15.42578125" style="29" customWidth="1"/>
    <col min="12" max="12" width="15.42578125" style="30" customWidth="1"/>
    <col min="13" max="13" width="15.42578125" style="28" customWidth="1"/>
    <col min="14" max="17" width="15.42578125" style="1" customWidth="1"/>
    <col min="18" max="28" width="10.42578125" style="1" customWidth="1"/>
    <col min="29" max="34" width="8.42578125" style="1" customWidth="1"/>
    <col min="35" max="35" width="3.42578125" style="1" customWidth="1"/>
    <col min="36" max="36" width="8.42578125" style="1" customWidth="1"/>
    <col min="37" max="16384" width="8.85546875" style="1"/>
  </cols>
  <sheetData>
    <row r="1" spans="2:26" ht="13.5" customHeight="1">
      <c r="C1" s="417" t="s">
        <v>2976</v>
      </c>
      <c r="D1" s="417"/>
      <c r="E1" s="417"/>
      <c r="F1" s="417"/>
      <c r="G1" s="417"/>
      <c r="H1" s="417"/>
      <c r="I1" s="417"/>
      <c r="J1" s="417"/>
      <c r="K1" s="2"/>
      <c r="L1" s="2"/>
      <c r="M1" s="2"/>
    </row>
    <row r="2" spans="2:26" ht="13.5" customHeight="1">
      <c r="C2" s="1"/>
      <c r="D2" s="1"/>
      <c r="E2" s="2"/>
      <c r="F2" s="2"/>
      <c r="G2" s="2"/>
      <c r="H2" s="2"/>
      <c r="I2" s="2"/>
      <c r="J2" s="1"/>
      <c r="K2" s="2"/>
      <c r="L2" s="2"/>
      <c r="M2" s="1"/>
    </row>
    <row r="3" spans="2:26" ht="13.5" customHeight="1" thickBot="1">
      <c r="C3" s="3" t="s">
        <v>162</v>
      </c>
      <c r="D3" s="18"/>
      <c r="E3" s="19"/>
      <c r="F3" s="19"/>
      <c r="G3" s="441" t="s">
        <v>3429</v>
      </c>
      <c r="H3" s="441"/>
      <c r="I3" s="441"/>
      <c r="J3" s="19"/>
      <c r="K3" s="4"/>
      <c r="L3" s="4"/>
      <c r="M3" s="2"/>
    </row>
    <row r="4" spans="2:26" ht="13.5" customHeight="1">
      <c r="C4" s="10"/>
      <c r="D4" s="10"/>
      <c r="E4" s="442" t="s">
        <v>165</v>
      </c>
      <c r="F4" s="442"/>
      <c r="G4" s="442"/>
      <c r="H4" s="442"/>
      <c r="I4" s="442"/>
      <c r="J4" s="442"/>
      <c r="K4" s="2"/>
      <c r="L4" s="424" t="s">
        <v>1303</v>
      </c>
      <c r="M4" s="424"/>
      <c r="N4" s="424"/>
      <c r="O4" s="424"/>
      <c r="P4" s="424"/>
      <c r="Q4" s="424"/>
      <c r="Z4" s="292" t="s">
        <v>164</v>
      </c>
    </row>
    <row r="5" spans="2:26" ht="27">
      <c r="C5" s="20" t="s">
        <v>167</v>
      </c>
      <c r="D5" s="20" t="s">
        <v>164</v>
      </c>
      <c r="E5" s="21" t="s">
        <v>105</v>
      </c>
      <c r="F5" s="21" t="s">
        <v>106</v>
      </c>
      <c r="G5" s="20" t="s">
        <v>125</v>
      </c>
      <c r="H5" s="20" t="s">
        <v>127</v>
      </c>
      <c r="I5" s="20" t="s">
        <v>126</v>
      </c>
      <c r="J5" s="21" t="s">
        <v>172</v>
      </c>
      <c r="K5" s="2"/>
      <c r="L5" s="21" t="s">
        <v>105</v>
      </c>
      <c r="M5" s="21" t="s">
        <v>106</v>
      </c>
      <c r="N5" s="31" t="s">
        <v>125</v>
      </c>
      <c r="O5" s="31" t="str">
        <f t="shared" ref="O5" si="0">I5</f>
        <v>Removed</v>
      </c>
      <c r="P5" s="31" t="s">
        <v>127</v>
      </c>
      <c r="Q5" s="39" t="s">
        <v>173</v>
      </c>
      <c r="Z5" s="293" t="str">
        <f>G5</f>
        <v>Completed</v>
      </c>
    </row>
    <row r="6" spans="2:26" ht="13.5" customHeight="1">
      <c r="B6" s="415" t="s">
        <v>3185</v>
      </c>
      <c r="C6" s="6" t="s">
        <v>35</v>
      </c>
      <c r="D6" s="6">
        <f>COUNTIFS(Tabelle1324[Team],$C6)</f>
        <v>23</v>
      </c>
      <c r="E6" s="6">
        <f>SUMIFS(Tabelle1324[Jira Story Points],Tabelle1324[Pulled after Start],"",Tabelle1324[Team],$C6)</f>
        <v>57</v>
      </c>
      <c r="F6" s="6">
        <f>SUMIFS(Tabelle1324[Jira Story Points],Tabelle1324[Pulled after Start],"yes",Tabelle1324[Team],$C6)</f>
        <v>6</v>
      </c>
      <c r="G6" s="7">
        <f>SUMIFS(Tabelle1324[Jira Story Points],Tabelle1324[Status],$G$5,Tabelle1324[Team],$C6)</f>
        <v>59</v>
      </c>
      <c r="H6" s="6">
        <f>SUMIFS(Tabelle1324[Jira Story Points],Tabelle1324[Status],$H$5,Tabelle1324[Team],$C6)</f>
        <v>4</v>
      </c>
      <c r="I6" s="6">
        <f>SUMIFS(Tabelle1324[Jira Story Points],Tabelle1324[Status],$I$5,Tabelle1324[Team],$C6)</f>
        <v>0</v>
      </c>
      <c r="J6" s="6">
        <f>SUMIFS(Tabelle1324[Jira Story Points],Tabelle1324[Team],$C6)</f>
        <v>63</v>
      </c>
      <c r="K6" s="85">
        <f>G6/E6</f>
        <v>1.0350877192982457</v>
      </c>
      <c r="L6" s="6">
        <f>SUMIFS(Tabelle1324[SP Initially Planned (COS)],Tabelle1324[Pulled after Start],"",Tabelle1324[Team],$C6)</f>
        <v>57</v>
      </c>
      <c r="M6" s="6">
        <f>SUMIFS(Tabelle1324[SP Pulled after Start (COS)],Tabelle1324[Team],$C6)</f>
        <v>6</v>
      </c>
      <c r="N6" s="25">
        <f>SUMIFS(Tabelle1324[SP Completed (COS &amp; SOS)],Tabelle1324[Team],$C6)</f>
        <v>59</v>
      </c>
      <c r="O6" s="25">
        <f>SUMIFS(Tabelle1324[SP Removed (COS &amp; SOS)],Tabelle1324[Team],$C6)</f>
        <v>0</v>
      </c>
      <c r="P6" s="41">
        <f>SUMIFS(Tabelle1324[SP Not Completed (COS &amp; SOS)],Tabelle1324[Team],$C6)</f>
        <v>4</v>
      </c>
      <c r="Q6" s="40">
        <f t="shared" ref="Q6:Q15" si="1">IFERROR(N6/$L6," ")</f>
        <v>1.0350877192982457</v>
      </c>
      <c r="T6" s="43"/>
      <c r="Z6" s="294">
        <f>COUNTIFS(Tabelle1324[Team],$C6,Tabelle1324[Status],$Z$5)</f>
        <v>21</v>
      </c>
    </row>
    <row r="7" spans="2:26" ht="13.5" customHeight="1">
      <c r="B7" s="415"/>
      <c r="C7" s="6" t="s">
        <v>12</v>
      </c>
      <c r="D7" s="6">
        <f>COUNTIFS(Tabelle1324[Team],$C7)</f>
        <v>9</v>
      </c>
      <c r="E7" s="6">
        <f>SUMIFS(Tabelle1324[Jira Story Points],Tabelle1324[Pulled after Start],"",Tabelle1324[Team],$C7)</f>
        <v>13</v>
      </c>
      <c r="F7" s="6">
        <f>SUMIFS(Tabelle1324[Jira Story Points],Tabelle1324[Pulled after Start],"yes",Tabelle1324[Team],$C7)</f>
        <v>11</v>
      </c>
      <c r="G7" s="7">
        <f>SUMIFS(Tabelle1324[Jira Story Points],Tabelle1324[Status],$G$5,Tabelle1324[Team],$C7)</f>
        <v>12</v>
      </c>
      <c r="H7" s="6">
        <f>SUMIFS(Tabelle1324[Jira Story Points],Tabelle1324[Status],$H$5,Tabelle1324[Team],$C7)</f>
        <v>12</v>
      </c>
      <c r="I7" s="6">
        <f>SUMIFS(Tabelle1324[Jira Story Points],Tabelle1324[Status],$I$5,Tabelle1324[Team],$C7)</f>
        <v>0</v>
      </c>
      <c r="J7" s="6">
        <f>SUMIFS(Tabelle1324[Jira Story Points],Tabelle1324[Team],$C7)</f>
        <v>24</v>
      </c>
      <c r="K7" s="85">
        <f t="shared" ref="K7:K16" si="2">G7/E7</f>
        <v>0.92307692307692313</v>
      </c>
      <c r="L7" s="6">
        <f>SUMIFS(Tabelle1324[SP Initially Planned (COS)],Tabelle1324[Pulled after Start],"",Tabelle1324[Team],$C7)</f>
        <v>10</v>
      </c>
      <c r="M7" s="6">
        <f>SUMIFS(Tabelle1324[SP Pulled after Start (COS)],Tabelle1324[Team],$C7)</f>
        <v>10</v>
      </c>
      <c r="N7" s="25">
        <f>SUMIFS(Tabelle1324[SP Completed (COS &amp; SOS)],Tabelle1324[Team],$C7)</f>
        <v>11</v>
      </c>
      <c r="O7" s="25">
        <f>SUMIFS(Tabelle1324[SP Removed (COS &amp; SOS)],Tabelle1324[Team],$C7)</f>
        <v>0</v>
      </c>
      <c r="P7" s="41">
        <f>SUMIFS(Tabelle1324[SP Not Completed (COS &amp; SOS)],Tabelle1324[Team],$C7)</f>
        <v>9</v>
      </c>
      <c r="Q7" s="40">
        <f t="shared" si="1"/>
        <v>1.1000000000000001</v>
      </c>
      <c r="T7" s="43"/>
      <c r="Z7" s="294">
        <f>COUNTIFS(Tabelle1324[Team],$C7,Tabelle1324[Status],$Z$5)</f>
        <v>4</v>
      </c>
    </row>
    <row r="8" spans="2:26" ht="13.5" customHeight="1">
      <c r="B8" s="415"/>
      <c r="C8" s="6" t="s">
        <v>27</v>
      </c>
      <c r="D8" s="6">
        <f>COUNTIFS(Tabelle1324[Team],$C8)</f>
        <v>12</v>
      </c>
      <c r="E8" s="6">
        <f>SUMIFS(Tabelle1324[Jira Story Points],Tabelle1324[Pulled after Start],"",Tabelle1324[Team],$C8)</f>
        <v>39</v>
      </c>
      <c r="F8" s="6">
        <f>SUMIFS(Tabelle1324[Jira Story Points],Tabelle1324[Pulled after Start],"yes",Tabelle1324[Team],$C8)</f>
        <v>19</v>
      </c>
      <c r="G8" s="7">
        <f>SUMIFS(Tabelle1324[Jira Story Points],Tabelle1324[Status],$G$5,Tabelle1324[Team],$C8)</f>
        <v>50</v>
      </c>
      <c r="H8" s="6">
        <f>SUMIFS(Tabelle1324[Jira Story Points],Tabelle1324[Status],$H$5,Tabelle1324[Team],$C8)</f>
        <v>8</v>
      </c>
      <c r="I8" s="6">
        <f>SUMIFS(Tabelle1324[Jira Story Points],Tabelle1324[Status],$I$5,Tabelle1324[Team],$C8)</f>
        <v>0</v>
      </c>
      <c r="J8" s="6">
        <f>SUMIFS(Tabelle1324[Jira Story Points],Tabelle1324[Team],$C8)</f>
        <v>58</v>
      </c>
      <c r="K8" s="85">
        <f t="shared" si="2"/>
        <v>1.2820512820512822</v>
      </c>
      <c r="L8" s="6">
        <f>SUMIFS(Tabelle1324[SP Initially Planned (COS)],Tabelle1324[Pulled after Start],"",Tabelle1324[Team],$C8)</f>
        <v>39</v>
      </c>
      <c r="M8" s="6">
        <f>SUMIFS(Tabelle1324[SP Pulled after Start (COS)],Tabelle1324[Team],$C8)</f>
        <v>19</v>
      </c>
      <c r="N8" s="25">
        <f>SUMIFS(Tabelle1324[SP Completed (COS &amp; SOS)],Tabelle1324[Team],$C8)</f>
        <v>50</v>
      </c>
      <c r="O8" s="25">
        <f>SUMIFS(Tabelle1324[SP Removed (COS &amp; SOS)],Tabelle1324[Team],$C8)</f>
        <v>0</v>
      </c>
      <c r="P8" s="41">
        <f>SUMIFS(Tabelle1324[SP Not Completed (COS &amp; SOS)],Tabelle1324[Team],$C8)</f>
        <v>8</v>
      </c>
      <c r="Q8" s="40">
        <f t="shared" si="1"/>
        <v>1.2820512820512822</v>
      </c>
      <c r="T8" s="43"/>
      <c r="Z8" s="294">
        <f>COUNTIFS(Tabelle1324[Team],$C8,Tabelle1324[Status],$Z$5)</f>
        <v>11</v>
      </c>
    </row>
    <row r="9" spans="2:26" ht="13.5" customHeight="1">
      <c r="B9" s="415"/>
      <c r="C9" s="6" t="s">
        <v>5</v>
      </c>
      <c r="D9" s="6">
        <f>COUNTIFS(Tabelle1324[Team],$C9)</f>
        <v>13</v>
      </c>
      <c r="E9" s="6">
        <f>SUMIFS(Tabelle1324[Jira Story Points],Tabelle1324[Pulled after Start],"",Tabelle1324[Team],$C9)</f>
        <v>51</v>
      </c>
      <c r="F9" s="6">
        <f>SUMIFS(Tabelle1324[Jira Story Points],Tabelle1324[Pulled after Start],"yes",Tabelle1324[Team],$C9)</f>
        <v>0</v>
      </c>
      <c r="G9" s="7">
        <f>SUMIFS(Tabelle1324[Jira Story Points],Tabelle1324[Status],$G$5,Tabelle1324[Team],$C9)</f>
        <v>40</v>
      </c>
      <c r="H9" s="6">
        <f>SUMIFS(Tabelle1324[Jira Story Points],Tabelle1324[Status],$H$5,Tabelle1324[Team],$C9)</f>
        <v>11</v>
      </c>
      <c r="I9" s="6">
        <f>SUMIFS(Tabelle1324[Jira Story Points],Tabelle1324[Status],$I$5,Tabelle1324[Team],$C9)</f>
        <v>0</v>
      </c>
      <c r="J9" s="6">
        <f>SUMIFS(Tabelle1324[Jira Story Points],Tabelle1324[Team],$C9)</f>
        <v>51</v>
      </c>
      <c r="K9" s="85">
        <f t="shared" si="2"/>
        <v>0.78431372549019607</v>
      </c>
      <c r="L9" s="6">
        <f>SUMIFS(Tabelle1324[SP Initially Planned (COS)],Tabelle1324[Pulled after Start],"",Tabelle1324[Team],$C9)</f>
        <v>40</v>
      </c>
      <c r="M9" s="6">
        <f>SUMIFS(Tabelle1324[SP Pulled after Start (COS)],Tabelle1324[Team],$C9)</f>
        <v>0</v>
      </c>
      <c r="N9" s="25">
        <f>SUMIFS(Tabelle1324[SP Completed (COS &amp; SOS)],Tabelle1324[Team],$C9)</f>
        <v>29</v>
      </c>
      <c r="O9" s="25">
        <f>SUMIFS(Tabelle1324[SP Removed (COS &amp; SOS)],Tabelle1324[Team],$C9)</f>
        <v>0</v>
      </c>
      <c r="P9" s="41">
        <f>SUMIFS(Tabelle1324[SP Not Completed (COS &amp; SOS)],Tabelle1324[Team],$C9)</f>
        <v>11</v>
      </c>
      <c r="Q9" s="40">
        <f t="shared" si="1"/>
        <v>0.72499999999999998</v>
      </c>
      <c r="T9" s="43"/>
      <c r="Z9" s="294">
        <f>COUNTIFS(Tabelle1324[Team],$C9,Tabelle1324[Status],$Z$5)</f>
        <v>9</v>
      </c>
    </row>
    <row r="10" spans="2:26" ht="13.5" customHeight="1">
      <c r="B10" s="415"/>
      <c r="C10" s="6" t="s">
        <v>32</v>
      </c>
      <c r="D10" s="6">
        <f>COUNTIFS(Tabelle1324[Team],$C10)</f>
        <v>28</v>
      </c>
      <c r="E10" s="6">
        <f>SUMIFS(Tabelle1324[Jira Story Points],Tabelle1324[Pulled after Start],"",Tabelle1324[Team],$C10)</f>
        <v>76</v>
      </c>
      <c r="F10" s="6">
        <f>SUMIFS(Tabelle1324[Jira Story Points],Tabelle1324[Pulled after Start],"yes",Tabelle1324[Team],$C10)</f>
        <v>3</v>
      </c>
      <c r="G10" s="7">
        <f>SUMIFS(Tabelle1324[Jira Story Points],Tabelle1324[Status],$G$5,Tabelle1324[Team],$C10)</f>
        <v>36</v>
      </c>
      <c r="H10" s="6">
        <f>SUMIFS(Tabelle1324[Jira Story Points],Tabelle1324[Status],$H$5,Tabelle1324[Team],$C10)</f>
        <v>40</v>
      </c>
      <c r="I10" s="6">
        <f>SUMIFS(Tabelle1324[Jira Story Points],Tabelle1324[Status],$I$5,Tabelle1324[Team],$C10)</f>
        <v>3</v>
      </c>
      <c r="J10" s="6">
        <f>SUMIFS(Tabelle1324[Jira Story Points],Tabelle1324[Team],$C10)</f>
        <v>79</v>
      </c>
      <c r="K10" s="85">
        <f t="shared" si="2"/>
        <v>0.47368421052631576</v>
      </c>
      <c r="L10" s="6">
        <f>SUMIFS(Tabelle1324[SP Initially Planned (COS)],Tabelle1324[Pulled after Start],"",Tabelle1324[Team],$C10)</f>
        <v>76</v>
      </c>
      <c r="M10" s="6">
        <f>SUMIFS(Tabelle1324[SP Pulled after Start (COS)],Tabelle1324[Team],$C10)</f>
        <v>3</v>
      </c>
      <c r="N10" s="25">
        <f>SUMIFS(Tabelle1324[SP Completed (COS &amp; SOS)],Tabelle1324[Team],$C10)</f>
        <v>36</v>
      </c>
      <c r="O10" s="25">
        <f>SUMIFS(Tabelle1324[SP Removed (COS &amp; SOS)],Tabelle1324[Team],$C10)</f>
        <v>3</v>
      </c>
      <c r="P10" s="41">
        <f>SUMIFS(Tabelle1324[SP Not Completed (COS &amp; SOS)],Tabelle1324[Team],$C10)</f>
        <v>40</v>
      </c>
      <c r="Q10" s="40">
        <f t="shared" si="1"/>
        <v>0.47368421052631576</v>
      </c>
      <c r="T10" s="43"/>
      <c r="Z10" s="294">
        <f>COUNTIFS(Tabelle1324[Team],$C10,Tabelle1324[Status],$Z$5)</f>
        <v>11</v>
      </c>
    </row>
    <row r="11" spans="2:26" ht="13.5" customHeight="1">
      <c r="B11" s="415"/>
      <c r="C11" s="6" t="s">
        <v>24</v>
      </c>
      <c r="D11" s="6">
        <f>COUNTIFS(Tabelle1324[Team],$C11)</f>
        <v>18</v>
      </c>
      <c r="E11" s="6">
        <f>SUMIFS(Tabelle1324[Jira Story Points],Tabelle1324[Pulled after Start],"",Tabelle1324[Team],$C11)</f>
        <v>40</v>
      </c>
      <c r="F11" s="6">
        <f>SUMIFS(Tabelle1324[Jira Story Points],Tabelle1324[Pulled after Start],"yes",Tabelle1324[Team],$C11)</f>
        <v>11</v>
      </c>
      <c r="G11" s="7">
        <f>SUMIFS(Tabelle1324[Jira Story Points],Tabelle1324[Status],$G$5,Tabelle1324[Team],$C11)</f>
        <v>35</v>
      </c>
      <c r="H11" s="6">
        <f>SUMIFS(Tabelle1324[Jira Story Points],Tabelle1324[Status],$H$5,Tabelle1324[Team],$C11)</f>
        <v>13</v>
      </c>
      <c r="I11" s="6">
        <f>SUMIFS(Tabelle1324[Jira Story Points],Tabelle1324[Status],$I$5,Tabelle1324[Team],$C11)</f>
        <v>3</v>
      </c>
      <c r="J11" s="6">
        <f>SUMIFS(Tabelle1324[Jira Story Points],Tabelle1324[Team],$C11)</f>
        <v>51</v>
      </c>
      <c r="K11" s="85">
        <f t="shared" si="2"/>
        <v>0.875</v>
      </c>
      <c r="L11" s="6">
        <f>SUMIFS(Tabelle1324[SP Initially Planned (COS)],Tabelle1324[Pulled after Start],"",Tabelle1324[Team],$C11)</f>
        <v>40</v>
      </c>
      <c r="M11" s="6">
        <f>SUMIFS(Tabelle1324[SP Pulled after Start (COS)],Tabelle1324[Team],$C11)</f>
        <v>11</v>
      </c>
      <c r="N11" s="25">
        <f>SUMIFS(Tabelle1324[SP Completed (COS &amp; SOS)],Tabelle1324[Team],$C11)</f>
        <v>34</v>
      </c>
      <c r="O11" s="25">
        <f>SUMIFS(Tabelle1324[SP Removed (COS &amp; SOS)],Tabelle1324[Team],$C11)</f>
        <v>3</v>
      </c>
      <c r="P11" s="41">
        <f>SUMIFS(Tabelle1324[SP Not Completed (COS &amp; SOS)],Tabelle1324[Team],$C11)</f>
        <v>14</v>
      </c>
      <c r="Q11" s="40">
        <f t="shared" si="1"/>
        <v>0.85</v>
      </c>
      <c r="T11" s="43"/>
      <c r="Z11" s="294">
        <f>COUNTIFS(Tabelle1324[Team],$C11,Tabelle1324[Status],$Z$5)</f>
        <v>12</v>
      </c>
    </row>
    <row r="12" spans="2:26" ht="13.5" customHeight="1">
      <c r="B12" s="415"/>
      <c r="C12" s="6" t="s">
        <v>17</v>
      </c>
      <c r="D12" s="6">
        <f>COUNTIFS(Tabelle1324[Team],$C12)</f>
        <v>15</v>
      </c>
      <c r="E12" s="6">
        <f>SUMIFS(Tabelle1324[Jira Story Points],Tabelle1324[Pulled after Start],"",Tabelle1324[Team],$C12)</f>
        <v>46</v>
      </c>
      <c r="F12" s="6">
        <f>SUMIFS(Tabelle1324[Jira Story Points],Tabelle1324[Pulled after Start],"yes",Tabelle1324[Team],$C12)</f>
        <v>8</v>
      </c>
      <c r="G12" s="7">
        <f>SUMIFS(Tabelle1324[Jira Story Points],Tabelle1324[Status],$G$5,Tabelle1324[Team],$C12)</f>
        <v>30</v>
      </c>
      <c r="H12" s="6">
        <f>SUMIFS(Tabelle1324[Jira Story Points],Tabelle1324[Status],$H$5,Tabelle1324[Team],$C12)</f>
        <v>24</v>
      </c>
      <c r="I12" s="6">
        <f>SUMIFS(Tabelle1324[Jira Story Points],Tabelle1324[Status],$I$5,Tabelle1324[Team],$C12)</f>
        <v>0</v>
      </c>
      <c r="J12" s="6">
        <f>SUMIFS(Tabelle1324[Jira Story Points],Tabelle1324[Team],$C12)</f>
        <v>54</v>
      </c>
      <c r="K12" s="85">
        <f t="shared" si="2"/>
        <v>0.65217391304347827</v>
      </c>
      <c r="L12" s="6">
        <f>SUMIFS(Tabelle1324[SP Initially Planned (COS)],Tabelle1324[Pulled after Start],"",Tabelle1324[Team],$C12)</f>
        <v>46</v>
      </c>
      <c r="M12" s="6">
        <f>SUMIFS(Tabelle1324[SP Pulled after Start (COS)],Tabelle1324[Team],$C12)</f>
        <v>8</v>
      </c>
      <c r="N12" s="25">
        <f>SUMIFS(Tabelle1324[SP Completed (COS &amp; SOS)],Tabelle1324[Team],$C12)</f>
        <v>30</v>
      </c>
      <c r="O12" s="25">
        <f>SUMIFS(Tabelle1324[SP Removed (COS &amp; SOS)],Tabelle1324[Team],$C12)</f>
        <v>0</v>
      </c>
      <c r="P12" s="41">
        <f>SUMIFS(Tabelle1324[SP Not Completed (COS &amp; SOS)],Tabelle1324[Team],$C12)</f>
        <v>24</v>
      </c>
      <c r="Q12" s="40">
        <f t="shared" si="1"/>
        <v>0.65217391304347827</v>
      </c>
      <c r="T12" s="43"/>
      <c r="Z12" s="294">
        <f>COUNTIFS(Tabelle1324[Team],$C12,Tabelle1324[Status],$Z$5)</f>
        <v>9</v>
      </c>
    </row>
    <row r="13" spans="2:26" ht="13.5" customHeight="1">
      <c r="B13" s="415"/>
      <c r="C13" s="32" t="s">
        <v>107</v>
      </c>
      <c r="D13" s="6">
        <f>COUNTIFS(Tabelle1324[Team],$C13)</f>
        <v>10</v>
      </c>
      <c r="E13" s="6">
        <f>SUMIFS(Tabelle1324[Jira Story Points],Tabelle1324[Pulled after Start],"",Tabelle1324[Team],$C13)</f>
        <v>34</v>
      </c>
      <c r="F13" s="6">
        <f>SUMIFS(Tabelle1324[Jira Story Points],Tabelle1324[Pulled after Start],"yes",Tabelle1324[Team],$C13)</f>
        <v>8</v>
      </c>
      <c r="G13" s="7">
        <f>SUMIFS(Tabelle1324[Jira Story Points],Tabelle1324[Status],$G$5,Tabelle1324[Team],$C13)</f>
        <v>16</v>
      </c>
      <c r="H13" s="6">
        <f>SUMIFS(Tabelle1324[Jira Story Points],Tabelle1324[Status],$H$5,Tabelle1324[Team],$C13)</f>
        <v>26</v>
      </c>
      <c r="I13" s="6">
        <f>SUMIFS(Tabelle1324[Jira Story Points],Tabelle1324[Status],$I$5,Tabelle1324[Team],$C13)</f>
        <v>0</v>
      </c>
      <c r="J13" s="6">
        <f>SUMIFS(Tabelle1324[Jira Story Points],Tabelle1324[Team],$C13)</f>
        <v>42</v>
      </c>
      <c r="K13" s="85">
        <f t="shared" si="2"/>
        <v>0.47058823529411764</v>
      </c>
      <c r="L13" s="6">
        <f>SUMIFS(Tabelle1324[SP Initially Planned (COS)],Tabelle1324[Pulled after Start],"",Tabelle1324[Team],$C13)</f>
        <v>6</v>
      </c>
      <c r="M13" s="6">
        <f>SUMIFS(Tabelle1324[SP Pulled after Start (COS)],Tabelle1324[Team],$C13)</f>
        <v>8</v>
      </c>
      <c r="N13" s="25">
        <f>SUMIFS(Tabelle1324[SP Completed (COS &amp; SOS)],Tabelle1324[Team],$C13)</f>
        <v>11</v>
      </c>
      <c r="O13" s="25">
        <f>SUMIFS(Tabelle1324[SP Removed (COS &amp; SOS)],Tabelle1324[Team],$C13)</f>
        <v>0</v>
      </c>
      <c r="P13" s="41">
        <f>SUMIFS(Tabelle1324[SP Not Completed (COS &amp; SOS)],Tabelle1324[Team],$C13)</f>
        <v>3</v>
      </c>
      <c r="Q13" s="40">
        <f t="shared" si="1"/>
        <v>1.8333333333333333</v>
      </c>
      <c r="T13" s="43"/>
      <c r="Z13" s="294">
        <f>COUNTIFS(Tabelle1324[Team],$C13,Tabelle1324[Status],$Z$5)</f>
        <v>7</v>
      </c>
    </row>
    <row r="14" spans="2:26" ht="13.5" customHeight="1">
      <c r="B14" s="415"/>
      <c r="C14" s="8" t="s">
        <v>21</v>
      </c>
      <c r="D14" s="6">
        <f>COUNTIFS(Tabelle1324[Team],$C14)</f>
        <v>12</v>
      </c>
      <c r="E14" s="6">
        <f>SUMIFS(Tabelle1324[Jira Story Points],Tabelle1324[Pulled after Start],"",Tabelle1324[Team],$C14)</f>
        <v>29</v>
      </c>
      <c r="F14" s="6">
        <f>SUMIFS(Tabelle1324[Jira Story Points],Tabelle1324[Pulled after Start],"yes",Tabelle1324[Team],$C14)</f>
        <v>6</v>
      </c>
      <c r="G14" s="7">
        <f>SUMIFS(Tabelle1324[Jira Story Points],Tabelle1324[Status],$G$5,Tabelle1324[Team],$C14)</f>
        <v>23</v>
      </c>
      <c r="H14" s="6">
        <f>SUMIFS(Tabelle1324[Jira Story Points],Tabelle1324[Status],$H$5,Tabelle1324[Team],$C14)</f>
        <v>12</v>
      </c>
      <c r="I14" s="6">
        <f>SUMIFS(Tabelle1324[Jira Story Points],Tabelle1324[Status],$I$5,Tabelle1324[Team],$C14)</f>
        <v>0</v>
      </c>
      <c r="J14" s="6">
        <f>SUMIFS(Tabelle1324[Jira Story Points],Tabelle1324[Team],$C14)</f>
        <v>35</v>
      </c>
      <c r="K14" s="85">
        <f t="shared" si="2"/>
        <v>0.7931034482758621</v>
      </c>
      <c r="L14" s="6">
        <f>SUMIFS(Tabelle1324[SP Initially Planned (COS)],Tabelle1324[Pulled after Start],"",Tabelle1324[Team],$C14)</f>
        <v>29</v>
      </c>
      <c r="M14" s="6">
        <f>SUMIFS(Tabelle1324[SP Pulled after Start (COS)],Tabelle1324[Team],$C14)</f>
        <v>6</v>
      </c>
      <c r="N14" s="25">
        <f>SUMIFS(Tabelle1324[SP Completed (COS &amp; SOS)],Tabelle1324[Team],$C14)</f>
        <v>24</v>
      </c>
      <c r="O14" s="25">
        <f>SUMIFS(Tabelle1324[SP Removed (COS &amp; SOS)],Tabelle1324[Team],$C14)</f>
        <v>0</v>
      </c>
      <c r="P14" s="41">
        <f>SUMIFS(Tabelle1324[SP Not Completed (COS &amp; SOS)],Tabelle1324[Team],$C14)</f>
        <v>11</v>
      </c>
      <c r="Q14" s="40">
        <f t="shared" si="1"/>
        <v>0.82758620689655171</v>
      </c>
      <c r="T14" s="43"/>
      <c r="Z14" s="294">
        <f>COUNTIFS(Tabelle1324[Team],$C14,Tabelle1324[Status],$Z$5)</f>
        <v>9</v>
      </c>
    </row>
    <row r="15" spans="2:26" ht="13.5" customHeight="1">
      <c r="B15" s="415"/>
      <c r="C15" s="8" t="s">
        <v>9</v>
      </c>
      <c r="D15" s="6">
        <f>COUNTIFS(Tabelle1324[Team],$C15)</f>
        <v>11</v>
      </c>
      <c r="E15" s="6">
        <f>SUMIFS(Tabelle1324[Jira Story Points],Tabelle1324[Pulled after Start],"",Tabelle1324[Team],$C15)</f>
        <v>28</v>
      </c>
      <c r="F15" s="6">
        <f>SUMIFS(Tabelle1324[Jira Story Points],Tabelle1324[Pulled after Start],"yes",Tabelle1324[Team],$C15)</f>
        <v>2</v>
      </c>
      <c r="G15" s="7">
        <f>SUMIFS(Tabelle1324[Jira Story Points],Tabelle1324[Status],$G$5,Tabelle1324[Team],$C15)</f>
        <v>17</v>
      </c>
      <c r="H15" s="6">
        <f>SUMIFS(Tabelle1324[Jira Story Points],Tabelle1324[Status],$H$5,Tabelle1324[Team],$C15)</f>
        <v>10</v>
      </c>
      <c r="I15" s="6">
        <f>SUMIFS(Tabelle1324[Jira Story Points],Tabelle1324[Status],$I$5,Tabelle1324[Team],$C15)</f>
        <v>0</v>
      </c>
      <c r="J15" s="6">
        <f>SUMIFS(Tabelle1324[Jira Story Points],Tabelle1324[Team],$C15)</f>
        <v>30</v>
      </c>
      <c r="K15" s="85">
        <f t="shared" si="2"/>
        <v>0.6071428571428571</v>
      </c>
      <c r="L15" s="6">
        <f>SUMIFS(Tabelle1324[SP Initially Planned (COS)],Tabelle1324[Pulled after Start],"",Tabelle1324[Team],$C15)</f>
        <v>22</v>
      </c>
      <c r="M15" s="6">
        <f>SUMIFS(Tabelle1324[SP Pulled after Start (COS)],Tabelle1324[Team],$C15)</f>
        <v>2</v>
      </c>
      <c r="N15" s="25">
        <f>SUMIFS(Tabelle1324[SP Completed (COS &amp; SOS)],Tabelle1324[Team],$C15)</f>
        <v>19</v>
      </c>
      <c r="O15" s="25">
        <f>SUMIFS(Tabelle1324[SP Removed (COS &amp; SOS)],Tabelle1324[Team],$C15)</f>
        <v>0</v>
      </c>
      <c r="P15" s="41">
        <f>SUMIFS(Tabelle1324[SP Not Completed (COS &amp; SOS)],Tabelle1324[Team],$C15)</f>
        <v>5</v>
      </c>
      <c r="Q15" s="40">
        <f t="shared" si="1"/>
        <v>0.86363636363636365</v>
      </c>
      <c r="T15" s="43"/>
      <c r="Z15" s="294">
        <f>COUNTIFS(Tabelle1324[Team],$C15,Tabelle1324[Status],$Z$5)</f>
        <v>7</v>
      </c>
    </row>
    <row r="16" spans="2:26" ht="13.5" customHeight="1">
      <c r="C16" s="22" t="s">
        <v>172</v>
      </c>
      <c r="D16" s="22">
        <f t="shared" ref="D16:J16" si="3">SUM(D6:D13)</f>
        <v>128</v>
      </c>
      <c r="E16" s="23">
        <f t="shared" si="3"/>
        <v>356</v>
      </c>
      <c r="F16" s="23">
        <f t="shared" si="3"/>
        <v>66</v>
      </c>
      <c r="G16" s="22">
        <f t="shared" si="3"/>
        <v>278</v>
      </c>
      <c r="H16" s="22">
        <f t="shared" si="3"/>
        <v>138</v>
      </c>
      <c r="I16" s="22">
        <f t="shared" si="3"/>
        <v>6</v>
      </c>
      <c r="J16" s="23">
        <f t="shared" si="3"/>
        <v>422</v>
      </c>
      <c r="K16" s="85">
        <f t="shared" si="2"/>
        <v>0.7808988764044944</v>
      </c>
      <c r="L16" s="23">
        <f t="shared" ref="L16:M16" si="4">SUM(L6:L13)</f>
        <v>314</v>
      </c>
      <c r="M16" s="21">
        <f t="shared" si="4"/>
        <v>65</v>
      </c>
      <c r="N16" s="31">
        <f>SUM(N6:N13)</f>
        <v>260</v>
      </c>
      <c r="O16" s="31">
        <f>SUM(O6:O13)</f>
        <v>6</v>
      </c>
      <c r="P16" s="22">
        <f>SUM(P6:P13)</f>
        <v>113</v>
      </c>
      <c r="Q16" s="38" t="s">
        <v>185</v>
      </c>
      <c r="T16" s="42"/>
      <c r="U16" s="42"/>
      <c r="V16" s="42"/>
    </row>
    <row r="17" spans="1:39" ht="13.5" customHeight="1">
      <c r="T17" s="5"/>
      <c r="U17" s="5"/>
      <c r="V17" s="5"/>
    </row>
    <row r="18" spans="1:39" ht="13.5" customHeight="1">
      <c r="T18" s="5"/>
      <c r="U18" s="5"/>
      <c r="V18" s="5"/>
    </row>
    <row r="19" spans="1:39" ht="13.5" customHeight="1">
      <c r="T19" s="5"/>
      <c r="U19" s="5"/>
      <c r="V19" s="5"/>
    </row>
    <row r="20" spans="1:39" ht="13.5" customHeight="1">
      <c r="T20" s="5"/>
      <c r="U20" s="5"/>
      <c r="V20" s="5"/>
    </row>
    <row r="21" spans="1:39" ht="13.5" customHeight="1">
      <c r="C21" s="33" t="s">
        <v>186</v>
      </c>
      <c r="D21" s="9"/>
      <c r="E21" s="9"/>
      <c r="F21" s="9"/>
      <c r="G21" s="9"/>
      <c r="H21" s="9"/>
      <c r="I21" s="9"/>
      <c r="J21" s="9"/>
      <c r="K21" s="9"/>
      <c r="L21" s="9"/>
      <c r="M21" s="9"/>
      <c r="N21" s="9"/>
      <c r="O21" s="9"/>
      <c r="T21" s="5"/>
      <c r="U21" s="5"/>
      <c r="V21" s="5"/>
    </row>
    <row r="22" spans="1:39" ht="13.5" customHeight="1">
      <c r="C22" s="10"/>
      <c r="D22" s="425" t="s">
        <v>187</v>
      </c>
      <c r="E22" s="443"/>
      <c r="F22" s="425" t="s">
        <v>106</v>
      </c>
      <c r="G22" s="443"/>
      <c r="H22" s="425" t="s">
        <v>172</v>
      </c>
      <c r="I22" s="444"/>
      <c r="J22" s="426" t="s">
        <v>2134</v>
      </c>
      <c r="K22" s="445"/>
      <c r="L22" s="426" t="s">
        <v>189</v>
      </c>
      <c r="M22" s="445"/>
      <c r="N22" s="416" t="s">
        <v>172</v>
      </c>
      <c r="O22" s="446"/>
    </row>
    <row r="23" spans="1:39" ht="13.5" customHeight="1">
      <c r="C23" s="10"/>
      <c r="D23" s="11" t="s">
        <v>190</v>
      </c>
      <c r="E23" s="12" t="s">
        <v>191</v>
      </c>
      <c r="F23" s="11" t="s">
        <v>190</v>
      </c>
      <c r="G23" s="12" t="s">
        <v>191</v>
      </c>
      <c r="H23" s="12" t="s">
        <v>190</v>
      </c>
      <c r="I23" s="12" t="s">
        <v>191</v>
      </c>
      <c r="J23" s="34" t="s">
        <v>190</v>
      </c>
      <c r="K23" s="13" t="s">
        <v>191</v>
      </c>
      <c r="L23" s="14" t="s">
        <v>190</v>
      </c>
      <c r="M23" s="14" t="s">
        <v>191</v>
      </c>
      <c r="N23" s="14" t="s">
        <v>190</v>
      </c>
      <c r="O23" s="14" t="s">
        <v>191</v>
      </c>
    </row>
    <row r="24" spans="1:39" ht="13.5" customHeight="1">
      <c r="C24" s="15" t="s">
        <v>192</v>
      </c>
      <c r="D24" s="7">
        <f>COUNTIFS(Tabelle1324[Team],"*",Tabelle1324[Pulled after Start],"&lt;&gt;yes")</f>
        <v>120</v>
      </c>
      <c r="E24" s="7">
        <f>SUMIFS(Tabelle1324[Jira Story Points],Tabelle1324[Team],"*",Tabelle1324[Pulled after Start],"&lt;&gt;yes")+COUNTIFS(Tabelle1324[Team],"*",Tabelle1324[Jira Story Points],"-",Tabelle1324[Pulled after Start],"&lt;&gt;yes")*$M$28</f>
        <v>425</v>
      </c>
      <c r="F24" s="7">
        <f>COUNTIF(Tabelle1324[Pulled after Start],"yes")</f>
        <v>31</v>
      </c>
      <c r="G24" s="7">
        <f>SUMIFS(Tabelle1324[Jira Story Points],Tabelle1324[Team],"*",Tabelle1324[Pulled after Start],"yes")+COUNTIFS(Tabelle1324[Team],"*",Tabelle1324[Jira Story Points],"-",Tabelle1324[Pulled after Start],"yes")*$M$28</f>
        <v>76</v>
      </c>
      <c r="H24" s="7">
        <f t="shared" ref="H24:I27" si="5">D24+F24</f>
        <v>151</v>
      </c>
      <c r="I24" s="7">
        <f t="shared" si="5"/>
        <v>501</v>
      </c>
      <c r="J24" s="7">
        <f>COUNTIFS(Tabelle1324[Team],"*",Tabelle1324[Jira Story Points],"&lt;&gt;-")</f>
        <v>144</v>
      </c>
      <c r="K24" s="16">
        <f>SUMIFS(Tabelle1324[Jira Story Points],Tabelle1324[Team],"*",Tabelle1324[Jira Story Points],"&lt;&gt;-")</f>
        <v>487</v>
      </c>
      <c r="L24" s="8">
        <f>COUNTIFS(Tabelle1324[Team],"*",Tabelle1324[Jira Story Points],"-")</f>
        <v>7</v>
      </c>
      <c r="M24" s="8">
        <f>L24*$M$28</f>
        <v>14</v>
      </c>
      <c r="N24" s="35">
        <f t="shared" ref="N24:O27" si="6">J24+L24</f>
        <v>151</v>
      </c>
      <c r="O24" s="7">
        <f t="shared" si="6"/>
        <v>501</v>
      </c>
    </row>
    <row r="25" spans="1:39" ht="13.5" customHeight="1">
      <c r="C25" s="15" t="s">
        <v>125</v>
      </c>
      <c r="D25" s="7">
        <f>COUNTIFS(Tabelle1324[Team],"*",Tabelle1324[Pulled after Start],"&lt;&gt;yes",Tabelle1324[Status],G5)</f>
        <v>81</v>
      </c>
      <c r="E25" s="7">
        <f>SUMIFS(Tabelle1324[Jira Story Points],Tabelle1324[Team],"*",Tabelle1324[Pulled after Start],"&lt;&gt;yes",Tabelle1324[Status],G5)+COUNTIFS(Tabelle1324[Team],"*",Tabelle1324[Jira Story Points],"-",Tabelle1324[Pulled after Start],"&lt;&gt;yes",Tabelle1324[Status],G5)*$M$28</f>
        <v>282</v>
      </c>
      <c r="F25" s="7">
        <f>COUNTIFS(Tabelle1324[Pulled after Start],"yes",Tabelle1324[Status],G5)</f>
        <v>19</v>
      </c>
      <c r="G25" s="7">
        <f>SUMIFS(Tabelle1324[Jira Story Points],Tabelle1324[Team],"*",Tabelle1324[Pulled after Start],"yes",Tabelle1324[Status],G5)+COUNTIFS(Tabelle1324[Team],"*",Tabelle1324[Jira Story Points],"-",Tabelle1324[Pulled after Start],"yes",Tabelle1324[Status],G5)*$M$28</f>
        <v>46</v>
      </c>
      <c r="H25" s="7">
        <f t="shared" si="5"/>
        <v>100</v>
      </c>
      <c r="I25" s="7">
        <f t="shared" si="5"/>
        <v>328</v>
      </c>
      <c r="J25" s="7">
        <f>COUNTIFS(Tabelle1324[Team],"*",Tabelle1324[Jira Story Points],"&lt;&gt;-",Tabelle1324[Status],G5)</f>
        <v>95</v>
      </c>
      <c r="K25" s="7">
        <f>SUMIFS(Tabelle1324[Jira Story Points],Tabelle1324[Team],"*",Tabelle1324[Jira Story Points],"&lt;&gt;-",Tabelle1324[Status],G5)</f>
        <v>318</v>
      </c>
      <c r="L25" s="17">
        <f>COUNTIFS(Tabelle1324[Team],"*",Tabelle1324[Jira Story Points],"-",Tabelle1324[Status],G5)</f>
        <v>5</v>
      </c>
      <c r="M25" s="8">
        <f>L25*$M$28</f>
        <v>10</v>
      </c>
      <c r="N25" s="7">
        <f t="shared" si="6"/>
        <v>100</v>
      </c>
      <c r="O25" s="7">
        <f t="shared" si="6"/>
        <v>328</v>
      </c>
    </row>
    <row r="26" spans="1:39" ht="13.5" customHeight="1">
      <c r="C26" s="15" t="s">
        <v>127</v>
      </c>
      <c r="D26" s="7">
        <f>COUNTIFS(Tabelle1324[Team],"*",Tabelle1324[Pulled after Start],"&lt;&gt;yes",Tabelle1324[Status],H5)</f>
        <v>36</v>
      </c>
      <c r="E26" s="7">
        <f>SUMIFS(Tabelle1324[Jira Story Points],Tabelle1324[Team],"*",Tabelle1324[Pulled after Start],"&lt;&gt;yes",Tabelle1324[Status],H5)+COUNTIFS(Tabelle1324[Team],"*",Tabelle1324[Jira Story Points],"-",Tabelle1324[Pulled after Start],"&lt;&gt;yes",Tabelle1324[Status],H5)*$M$28</f>
        <v>134</v>
      </c>
      <c r="F26" s="7">
        <f>COUNTIFS(Tabelle1324[Pulled after Start],"yes",Tabelle1324[Status],H5)</f>
        <v>12</v>
      </c>
      <c r="G26" s="7">
        <f>SUMIFS(Tabelle1324[Jira Story Points],Tabelle1324[Team],"*",Tabelle1324[Pulled after Start],"yes",Tabelle1324[Status],H5)+COUNTIFS(Tabelle1324[Team],"*",Tabelle1324[Jira Story Points],"-",Tabelle1324[Pulled after Start],"yes",Tabelle1324[Status],H5)*$M$28</f>
        <v>30</v>
      </c>
      <c r="H26" s="7">
        <f t="shared" si="5"/>
        <v>48</v>
      </c>
      <c r="I26" s="7">
        <f t="shared" si="5"/>
        <v>164</v>
      </c>
      <c r="J26" s="7">
        <f>COUNTIFS(Tabelle1324[Team],"*",Tabelle1324[Jira Story Points],"&lt;&gt;-",Tabelle1324[Status],H5)</f>
        <v>46</v>
      </c>
      <c r="K26" s="7">
        <f>SUMIFS(Tabelle1324[Jira Story Points],Tabelle1324[Team],"*",Tabelle1324[Jira Story Points],"&lt;&gt;-",Tabelle1324[Status],H5)</f>
        <v>160</v>
      </c>
      <c r="L26" s="17">
        <f>COUNTIFS(Tabelle1324[Team],"*",Tabelle1324[Jira Story Points],"-",Tabelle1324[Status],H5)</f>
        <v>2</v>
      </c>
      <c r="M26" s="8">
        <f>L26*$M$28</f>
        <v>4</v>
      </c>
      <c r="N26" s="7">
        <f t="shared" si="6"/>
        <v>48</v>
      </c>
      <c r="O26" s="7">
        <f t="shared" si="6"/>
        <v>164</v>
      </c>
    </row>
    <row r="27" spans="1:39" ht="13.5" customHeight="1">
      <c r="C27" s="15" t="s">
        <v>126</v>
      </c>
      <c r="D27" s="7">
        <f>COUNTIFS(Tabelle1324[Team],"*",Tabelle1324[Pulled after Start],"&lt;&gt;yes",Tabelle1324[Status],I5)</f>
        <v>2</v>
      </c>
      <c r="E27" s="7">
        <f>SUMIFS(Tabelle1324[Jira Story Points],Tabelle1324[Team],"*",Tabelle1324[Pulled after Start],"&lt;&gt;yes",Tabelle1324[Status],I5)+COUNTIFS(Tabelle1324[Team],"*",Tabelle1324[Jira Story Points],"-",Tabelle1324[Pulled after Start],"&lt;&gt;yes",Tabelle1324[Status],I5)*$M$28</f>
        <v>6</v>
      </c>
      <c r="F27" s="7">
        <f>COUNTIFS(Tabelle1324[Pulled after Start],"yes",Tabelle1324[Status],I5)</f>
        <v>0</v>
      </c>
      <c r="G27" s="7">
        <f>SUMIFS(Tabelle1324[Jira Story Points],Tabelle1324[Team],"*",Tabelle1324[Pulled after Start],"yes",Tabelle1324[Status],I5)+COUNTIFS(Tabelle1324[Team],"*",Tabelle1324[Jira Story Points],"-",Tabelle1324[Pulled after Start],"yes",Tabelle1324[Status],I5)*$M$28</f>
        <v>0</v>
      </c>
      <c r="H27" s="7">
        <f t="shared" si="5"/>
        <v>2</v>
      </c>
      <c r="I27" s="7">
        <f t="shared" si="5"/>
        <v>6</v>
      </c>
      <c r="J27" s="7">
        <f>COUNTIFS(Tabelle1324[Team],"*",Tabelle1324[Jira Story Points],"&lt;&gt;-",Tabelle1324[Status],I5)</f>
        <v>2</v>
      </c>
      <c r="K27" s="7">
        <f>SUMIFS(Tabelle1324[Jira Story Points],Tabelle1324[Team],"*",Tabelle1324[Jira Story Points],"&lt;&gt;-",Tabelle1324[Status],I5)</f>
        <v>6</v>
      </c>
      <c r="L27" s="17">
        <f>COUNTIFS(Tabelle1324[Team],"*",Tabelle1324[Jira Story Points],"-",Tabelle1324[Status],I5)</f>
        <v>0</v>
      </c>
      <c r="M27" s="8">
        <f>L27*$M$28</f>
        <v>0</v>
      </c>
      <c r="N27" s="7">
        <f t="shared" si="6"/>
        <v>2</v>
      </c>
      <c r="O27" s="7">
        <f t="shared" si="6"/>
        <v>6</v>
      </c>
    </row>
    <row r="28" spans="1:39" ht="13.5" customHeight="1" thickBot="1">
      <c r="C28" s="1"/>
      <c r="D28" s="1"/>
      <c r="E28" s="1"/>
      <c r="F28" s="1"/>
      <c r="G28" s="1"/>
      <c r="H28" s="1"/>
      <c r="I28" s="1"/>
      <c r="J28" s="1"/>
      <c r="K28" s="1"/>
      <c r="L28" s="24" t="s">
        <v>193</v>
      </c>
      <c r="M28" s="45">
        <v>2</v>
      </c>
    </row>
    <row r="29" spans="1:39" ht="13.5" customHeight="1" thickTop="1"/>
    <row r="31" spans="1:39" s="116" customFormat="1" ht="27">
      <c r="A31" s="146" t="s">
        <v>194</v>
      </c>
      <c r="B31" s="146" t="s">
        <v>195</v>
      </c>
      <c r="C31" s="146" t="s">
        <v>196</v>
      </c>
      <c r="D31" s="146" t="s">
        <v>197</v>
      </c>
      <c r="E31" s="146" t="s">
        <v>198</v>
      </c>
      <c r="F31" s="146" t="s">
        <v>199</v>
      </c>
      <c r="G31" s="146" t="s">
        <v>167</v>
      </c>
      <c r="H31" s="146" t="s">
        <v>106</v>
      </c>
      <c r="I31" s="146" t="s">
        <v>200</v>
      </c>
      <c r="J31" s="146" t="s">
        <v>201</v>
      </c>
      <c r="K31" s="146" t="s">
        <v>202</v>
      </c>
      <c r="L31" s="146" t="s">
        <v>203</v>
      </c>
      <c r="M31" s="162" t="s">
        <v>1304</v>
      </c>
      <c r="N31" s="162" t="s">
        <v>1305</v>
      </c>
      <c r="O31" s="162" t="s">
        <v>1306</v>
      </c>
      <c r="P31" s="163" t="s">
        <v>1307</v>
      </c>
      <c r="Q31" s="162" t="s">
        <v>1308</v>
      </c>
    </row>
    <row r="32" spans="1:39" s="109" customFormat="1">
      <c r="A32" s="88" t="s">
        <v>3430</v>
      </c>
      <c r="B32" s="46" t="s">
        <v>3431</v>
      </c>
      <c r="C32" s="76" t="s">
        <v>375</v>
      </c>
      <c r="D32" s="76">
        <v>3</v>
      </c>
      <c r="E32" s="76" t="s">
        <v>324</v>
      </c>
      <c r="F32" s="76">
        <v>3</v>
      </c>
      <c r="G32" s="76" t="s">
        <v>107</v>
      </c>
      <c r="H32" s="76" t="s">
        <v>209</v>
      </c>
      <c r="I32" s="103"/>
      <c r="J32" s="76" t="s">
        <v>125</v>
      </c>
      <c r="K32" s="76"/>
      <c r="L32" s="76"/>
      <c r="M32" s="136">
        <f>IF(Tabelle1324[[#This Row],[Pulled after Start]]="",MIN(Tabelle1324[[#This Row],[Jira Story Points]],Tabelle1324[[#This Row],[Carry-over]]),0)</f>
        <v>0</v>
      </c>
      <c r="N32" s="136">
        <f>MIN(Tabelle1324[[#This Row],[Jira Story Points]],Tabelle1324[[#This Row],[Carry-over]])-Tabelle1324[[#This Row],[SP Initially Planned (COS)]]</f>
        <v>3</v>
      </c>
      <c r="O32" s="104">
        <f>IFERROR(IF(Tabelle1324[[#This Row],[Status]]=$I$5,0,IF(AND(Tabelle1324[[#This Row],[Status]]=$H$5,Tabelle1324[[#This Row],[Spill-over]]=0),0,IF(Tabelle1324[[#This Row],[Carry-over]]&lt;&gt;0,Tabelle1324[[#This Row],[Carry-over]]-Tabelle1324[[#This Row],[Spill-over]],Tabelle1324[[#This Row],[Jira Story Points]]-Tabelle1324[[#This Row],[Spill-over]]))),"-")</f>
        <v>3</v>
      </c>
      <c r="P32" s="136">
        <f>IFERROR(IF(Tabelle1324[[#This Row],[Status]]=$I$5,MIN(Tabelle1324[[#This Row],[Jira Story Points]],Tabelle1324[[#This Row],[Carry-over]]),0),0)</f>
        <v>0</v>
      </c>
      <c r="Q32" s="156">
        <f>IFERROR(IF(Tabelle1324[[#This Row],[Status]]=$I$5,0,MIN(Tabelle1324[[#This Row],[Jira Story Points]],Tabelle1324[[#This Row],[Carry-over]])-Tabelle1324[[#This Row],[SP Completed (COS &amp; SOS)]]),0)</f>
        <v>0</v>
      </c>
      <c r="AA32" s="46"/>
      <c r="AB32" s="46"/>
      <c r="AC32" s="46"/>
      <c r="AD32" s="46"/>
      <c r="AE32" s="46"/>
      <c r="AF32" s="46"/>
      <c r="AG32" s="46"/>
      <c r="AH32" s="46"/>
      <c r="AI32" s="46"/>
      <c r="AJ32" s="46"/>
      <c r="AK32" s="46"/>
      <c r="AL32" s="46"/>
      <c r="AM32" s="46"/>
    </row>
    <row r="33" spans="1:39" s="109" customFormat="1">
      <c r="A33" s="88" t="s">
        <v>3432</v>
      </c>
      <c r="B33" s="46" t="s">
        <v>3433</v>
      </c>
      <c r="C33" s="76" t="s">
        <v>375</v>
      </c>
      <c r="D33" s="76">
        <v>2</v>
      </c>
      <c r="E33" s="76" t="s">
        <v>324</v>
      </c>
      <c r="F33" s="76">
        <v>3</v>
      </c>
      <c r="G33" s="76" t="s">
        <v>107</v>
      </c>
      <c r="H33" s="76" t="s">
        <v>209</v>
      </c>
      <c r="I33" s="103"/>
      <c r="J33" s="76" t="s">
        <v>125</v>
      </c>
      <c r="K33" s="76"/>
      <c r="L33" s="76"/>
      <c r="M33" s="136">
        <f>IF(Tabelle1324[[#This Row],[Pulled after Start]]="",MIN(Tabelle1324[[#This Row],[Jira Story Points]],Tabelle1324[[#This Row],[Carry-over]]),0)</f>
        <v>0</v>
      </c>
      <c r="N33" s="136">
        <f>MIN(Tabelle1324[[#This Row],[Jira Story Points]],Tabelle1324[[#This Row],[Carry-over]])-Tabelle1324[[#This Row],[SP Initially Planned (COS)]]</f>
        <v>3</v>
      </c>
      <c r="O33" s="104">
        <f>IFERROR(IF(Tabelle1324[[#This Row],[Status]]=$I$5,0,IF(AND(Tabelle1324[[#This Row],[Status]]=$H$5,Tabelle1324[[#This Row],[Spill-over]]=0),0,IF(Tabelle1324[[#This Row],[Carry-over]]&lt;&gt;0,Tabelle1324[[#This Row],[Carry-over]]-Tabelle1324[[#This Row],[Spill-over]],Tabelle1324[[#This Row],[Jira Story Points]]-Tabelle1324[[#This Row],[Spill-over]]))),"-")</f>
        <v>3</v>
      </c>
      <c r="P33" s="136">
        <f>IFERROR(IF(Tabelle1324[[#This Row],[Status]]=$I$5,MIN(Tabelle1324[[#This Row],[Jira Story Points]],Tabelle1324[[#This Row],[Carry-over]]),0),0)</f>
        <v>0</v>
      </c>
      <c r="Q33" s="156">
        <f>IFERROR(IF(Tabelle1324[[#This Row],[Status]]=$I$5,0,MIN(Tabelle1324[[#This Row],[Jira Story Points]],Tabelle1324[[#This Row],[Carry-over]])-Tabelle1324[[#This Row],[SP Completed (COS &amp; SOS)]]),0)</f>
        <v>0</v>
      </c>
      <c r="AA33" s="112"/>
      <c r="AB33" s="112"/>
      <c r="AC33" s="112"/>
      <c r="AD33" s="112"/>
      <c r="AE33" s="112"/>
      <c r="AF33" s="112"/>
      <c r="AG33" s="112"/>
      <c r="AH33" s="112"/>
      <c r="AI33" s="112"/>
      <c r="AJ33" s="112"/>
      <c r="AK33" s="112"/>
      <c r="AL33" s="112"/>
      <c r="AM33" s="112"/>
    </row>
    <row r="34" spans="1:39" s="113" customFormat="1">
      <c r="A34" s="88" t="s">
        <v>3434</v>
      </c>
      <c r="B34" s="46" t="s">
        <v>3435</v>
      </c>
      <c r="C34" s="76" t="s">
        <v>375</v>
      </c>
      <c r="D34" s="76">
        <v>4</v>
      </c>
      <c r="E34" s="76" t="s">
        <v>637</v>
      </c>
      <c r="F34" s="76">
        <v>5</v>
      </c>
      <c r="G34" s="76" t="s">
        <v>107</v>
      </c>
      <c r="H34" s="76"/>
      <c r="I34" s="46" t="s">
        <v>3436</v>
      </c>
      <c r="J34" s="76" t="s">
        <v>125</v>
      </c>
      <c r="K34" s="76">
        <v>1</v>
      </c>
      <c r="L34" s="76"/>
      <c r="M34" s="136">
        <f>IF(Tabelle1324[[#This Row],[Pulled after Start]]="",MIN(Tabelle1324[[#This Row],[Jira Story Points]],Tabelle1324[[#This Row],[Carry-over]]),0)</f>
        <v>1</v>
      </c>
      <c r="N34" s="136">
        <f>MIN(Tabelle1324[[#This Row],[Jira Story Points]],Tabelle1324[[#This Row],[Carry-over]])-Tabelle1324[[#This Row],[SP Initially Planned (COS)]]</f>
        <v>0</v>
      </c>
      <c r="O34" s="104">
        <f>IFERROR(IF(Tabelle1324[[#This Row],[Status]]=$I$5,0,IF(AND(Tabelle1324[[#This Row],[Status]]=$H$5,Tabelle1324[[#This Row],[Spill-over]]=0),0,IF(Tabelle1324[[#This Row],[Carry-over]]&lt;&gt;0,Tabelle1324[[#This Row],[Carry-over]]-Tabelle1324[[#This Row],[Spill-over]],Tabelle1324[[#This Row],[Jira Story Points]]-Tabelle1324[[#This Row],[Spill-over]]))),"-")</f>
        <v>1</v>
      </c>
      <c r="P34" s="136">
        <f>IFERROR(IF(Tabelle1324[[#This Row],[Status]]=$I$5,MIN(Tabelle1324[[#This Row],[Jira Story Points]],Tabelle1324[[#This Row],[Carry-over]]),0),0)</f>
        <v>0</v>
      </c>
      <c r="Q34" s="156">
        <f>IFERROR(IF(Tabelle1324[[#This Row],[Status]]=$I$5,0,MIN(Tabelle1324[[#This Row],[Jira Story Points]],Tabelle1324[[#This Row],[Carry-over]])-Tabelle1324[[#This Row],[SP Completed (COS &amp; SOS)]]),0)</f>
        <v>0</v>
      </c>
      <c r="AA34" s="46"/>
      <c r="AB34" s="46"/>
      <c r="AC34" s="46"/>
      <c r="AD34" s="46"/>
      <c r="AE34" s="46"/>
      <c r="AF34" s="46"/>
      <c r="AG34" s="46"/>
      <c r="AH34" s="46"/>
      <c r="AI34" s="46"/>
      <c r="AK34" s="112"/>
      <c r="AL34" s="112"/>
      <c r="AM34" s="112"/>
    </row>
    <row r="35" spans="1:39" s="46" customFormat="1">
      <c r="A35" s="88" t="s">
        <v>3188</v>
      </c>
      <c r="B35" s="46" t="s">
        <v>3189</v>
      </c>
      <c r="C35" s="76" t="s">
        <v>375</v>
      </c>
      <c r="D35" s="76">
        <v>3</v>
      </c>
      <c r="E35" s="76" t="s">
        <v>327</v>
      </c>
      <c r="F35" s="76">
        <v>5</v>
      </c>
      <c r="G35" s="76" t="s">
        <v>107</v>
      </c>
      <c r="H35" s="76"/>
      <c r="I35" s="103" t="s">
        <v>3437</v>
      </c>
      <c r="J35" s="76" t="s">
        <v>127</v>
      </c>
      <c r="K35" s="76">
        <v>1</v>
      </c>
      <c r="L35" s="76">
        <v>1</v>
      </c>
      <c r="M35" s="136">
        <f>IF(Tabelle1324[[#This Row],[Pulled after Start]]="",MIN(Tabelle1324[[#This Row],[Jira Story Points]],Tabelle1324[[#This Row],[Carry-over]]),0)</f>
        <v>1</v>
      </c>
      <c r="N35" s="136">
        <f>MIN(Tabelle1324[[#This Row],[Jira Story Points]],Tabelle1324[[#This Row],[Carry-over]])-Tabelle1324[[#This Row],[SP Initially Planned (COS)]]</f>
        <v>0</v>
      </c>
      <c r="O35" s="104">
        <f>IFERROR(IF(Tabelle1324[[#This Row],[Status]]=$I$5,0,IF(AND(Tabelle1324[[#This Row],[Status]]=$H$5,Tabelle1324[[#This Row],[Spill-over]]=0),0,IF(Tabelle1324[[#This Row],[Carry-over]]&lt;&gt;0,Tabelle1324[[#This Row],[Carry-over]]-Tabelle1324[[#This Row],[Spill-over]],Tabelle1324[[#This Row],[Jira Story Points]]-Tabelle1324[[#This Row],[Spill-over]]))),"-")</f>
        <v>0</v>
      </c>
      <c r="P35" s="136">
        <f>IFERROR(IF(Tabelle1324[[#This Row],[Status]]=$I$5,MIN(Tabelle1324[[#This Row],[Jira Story Points]],Tabelle1324[[#This Row],[Carry-over]]),0),0)</f>
        <v>0</v>
      </c>
      <c r="Q35" s="156">
        <f>IFERROR(IF(Tabelle1324[[#This Row],[Status]]=$I$5,0,MIN(Tabelle1324[[#This Row],[Jira Story Points]],Tabelle1324[[#This Row],[Carry-over]])-Tabelle1324[[#This Row],[SP Completed (COS &amp; SOS)]]),0)</f>
        <v>1</v>
      </c>
      <c r="AL35" s="112"/>
      <c r="AM35" s="112"/>
    </row>
    <row r="36" spans="1:39" s="46" customFormat="1">
      <c r="A36" s="88" t="s">
        <v>3438</v>
      </c>
      <c r="B36" s="46" t="s">
        <v>3439</v>
      </c>
      <c r="C36" s="76" t="s">
        <v>372</v>
      </c>
      <c r="D36" s="76">
        <v>3</v>
      </c>
      <c r="E36" s="76" t="s">
        <v>324</v>
      </c>
      <c r="F36" s="76">
        <v>1</v>
      </c>
      <c r="G36" s="76" t="s">
        <v>107</v>
      </c>
      <c r="H36" s="76"/>
      <c r="I36" s="103"/>
      <c r="J36" s="76" t="s">
        <v>125</v>
      </c>
      <c r="K36" s="76"/>
      <c r="L36" s="76"/>
      <c r="M36" s="136">
        <f>IF(Tabelle1324[[#This Row],[Pulled after Start]]="",MIN(Tabelle1324[[#This Row],[Jira Story Points]],Tabelle1324[[#This Row],[Carry-over]]),0)</f>
        <v>1</v>
      </c>
      <c r="N36" s="136">
        <f>MIN(Tabelle1324[[#This Row],[Jira Story Points]],Tabelle1324[[#This Row],[Carry-over]])-Tabelle1324[[#This Row],[SP Initially Planned (COS)]]</f>
        <v>0</v>
      </c>
      <c r="O36" s="104">
        <f>IFERROR(IF(Tabelle1324[[#This Row],[Status]]=$I$5,0,IF(AND(Tabelle1324[[#This Row],[Status]]=$H$5,Tabelle1324[[#This Row],[Spill-over]]=0),0,IF(Tabelle1324[[#This Row],[Carry-over]]&lt;&gt;0,Tabelle1324[[#This Row],[Carry-over]]-Tabelle1324[[#This Row],[Spill-over]],Tabelle1324[[#This Row],[Jira Story Points]]-Tabelle1324[[#This Row],[Spill-over]]))),"-")</f>
        <v>1</v>
      </c>
      <c r="P36" s="136">
        <f>IFERROR(IF(Tabelle1324[[#This Row],[Status]]=$I$5,MIN(Tabelle1324[[#This Row],[Jira Story Points]],Tabelle1324[[#This Row],[Carry-over]]),0),0)</f>
        <v>0</v>
      </c>
      <c r="Q36" s="156">
        <f>IFERROR(IF(Tabelle1324[[#This Row],[Status]]=$I$5,0,MIN(Tabelle1324[[#This Row],[Jira Story Points]],Tabelle1324[[#This Row],[Carry-over]])-Tabelle1324[[#This Row],[SP Completed (COS &amp; SOS)]]),0)</f>
        <v>0</v>
      </c>
      <c r="AL36" s="112"/>
      <c r="AM36" s="112"/>
    </row>
    <row r="37" spans="1:39" s="46" customFormat="1">
      <c r="A37" s="88" t="s">
        <v>3218</v>
      </c>
      <c r="B37" s="46" t="s">
        <v>3219</v>
      </c>
      <c r="C37" s="76" t="s">
        <v>372</v>
      </c>
      <c r="D37" s="76">
        <v>3</v>
      </c>
      <c r="E37" s="76" t="s">
        <v>327</v>
      </c>
      <c r="F37" s="76">
        <v>13</v>
      </c>
      <c r="G37" s="76" t="s">
        <v>107</v>
      </c>
      <c r="H37" s="76"/>
      <c r="I37" s="46" t="s">
        <v>3440</v>
      </c>
      <c r="J37" s="76" t="s">
        <v>127</v>
      </c>
      <c r="K37" s="76">
        <v>1</v>
      </c>
      <c r="L37" s="76">
        <v>1</v>
      </c>
      <c r="M37" s="136">
        <f>IF(Tabelle1324[[#This Row],[Pulled after Start]]="",MIN(Tabelle1324[[#This Row],[Jira Story Points]],Tabelle1324[[#This Row],[Carry-over]]),0)</f>
        <v>1</v>
      </c>
      <c r="N37" s="136">
        <f>MIN(Tabelle1324[[#This Row],[Jira Story Points]],Tabelle1324[[#This Row],[Carry-over]])-Tabelle1324[[#This Row],[SP Initially Planned (COS)]]</f>
        <v>0</v>
      </c>
      <c r="O37" s="104">
        <f>IFERROR(IF(Tabelle1324[[#This Row],[Status]]=$I$5,0,IF(AND(Tabelle1324[[#This Row],[Status]]=$H$5,Tabelle1324[[#This Row],[Spill-over]]=0),0,IF(Tabelle1324[[#This Row],[Carry-over]]&lt;&gt;0,Tabelle1324[[#This Row],[Carry-over]]-Tabelle1324[[#This Row],[Spill-over]],Tabelle1324[[#This Row],[Jira Story Points]]-Tabelle1324[[#This Row],[Spill-over]]))),"-")</f>
        <v>0</v>
      </c>
      <c r="P37" s="136">
        <f>IFERROR(IF(Tabelle1324[[#This Row],[Status]]=$I$5,MIN(Tabelle1324[[#This Row],[Jira Story Points]],Tabelle1324[[#This Row],[Carry-over]]),0),0)</f>
        <v>0</v>
      </c>
      <c r="Q37" s="156">
        <f>IFERROR(IF(Tabelle1324[[#This Row],[Status]]=$I$5,0,MIN(Tabelle1324[[#This Row],[Jira Story Points]],Tabelle1324[[#This Row],[Carry-over]])-Tabelle1324[[#This Row],[SP Completed (COS &amp; SOS)]]),0)</f>
        <v>1</v>
      </c>
      <c r="AJ37" s="112"/>
      <c r="AK37" s="112"/>
      <c r="AL37" s="112"/>
      <c r="AM37" s="112"/>
    </row>
    <row r="38" spans="1:39" s="46" customFormat="1">
      <c r="A38" s="88" t="s">
        <v>3441</v>
      </c>
      <c r="B38" s="46" t="s">
        <v>3442</v>
      </c>
      <c r="C38" s="76" t="s">
        <v>372</v>
      </c>
      <c r="D38" s="76">
        <v>3</v>
      </c>
      <c r="E38" s="76" t="s">
        <v>324</v>
      </c>
      <c r="F38" s="76">
        <v>1</v>
      </c>
      <c r="G38" s="76" t="s">
        <v>107</v>
      </c>
      <c r="H38" s="76" t="s">
        <v>209</v>
      </c>
      <c r="J38" s="76" t="s">
        <v>125</v>
      </c>
      <c r="K38" s="76"/>
      <c r="L38" s="76"/>
      <c r="M38" s="136">
        <f>IF(Tabelle1324[[#This Row],[Pulled after Start]]="",MIN(Tabelle1324[[#This Row],[Jira Story Points]],Tabelle1324[[#This Row],[Carry-over]]),0)</f>
        <v>0</v>
      </c>
      <c r="N38" s="136">
        <f>MIN(Tabelle1324[[#This Row],[Jira Story Points]],Tabelle1324[[#This Row],[Carry-over]])-Tabelle1324[[#This Row],[SP Initially Planned (COS)]]</f>
        <v>1</v>
      </c>
      <c r="O38" s="104">
        <f>IFERROR(IF(Tabelle1324[[#This Row],[Status]]=$I$5,0,IF(AND(Tabelle1324[[#This Row],[Status]]=$H$5,Tabelle1324[[#This Row],[Spill-over]]=0),0,IF(Tabelle1324[[#This Row],[Carry-over]]&lt;&gt;0,Tabelle1324[[#This Row],[Carry-over]]-Tabelle1324[[#This Row],[Spill-over]],Tabelle1324[[#This Row],[Jira Story Points]]-Tabelle1324[[#This Row],[Spill-over]]))),"-")</f>
        <v>1</v>
      </c>
      <c r="P38" s="136">
        <f>IFERROR(IF(Tabelle1324[[#This Row],[Status]]=$I$5,MIN(Tabelle1324[[#This Row],[Jira Story Points]],Tabelle1324[[#This Row],[Carry-over]]),0),0)</f>
        <v>0</v>
      </c>
      <c r="Q38" s="156">
        <f>IFERROR(IF(Tabelle1324[[#This Row],[Status]]=$I$5,0,MIN(Tabelle1324[[#This Row],[Jira Story Points]],Tabelle1324[[#This Row],[Carry-over]])-Tabelle1324[[#This Row],[SP Completed (COS &amp; SOS)]]),0)</f>
        <v>0</v>
      </c>
      <c r="AJ38" s="112"/>
      <c r="AK38" s="112"/>
      <c r="AL38" s="112"/>
      <c r="AM38" s="112"/>
    </row>
    <row r="39" spans="1:39" s="46" customFormat="1">
      <c r="A39" s="88" t="s">
        <v>3203</v>
      </c>
      <c r="B39" s="46" t="s">
        <v>3204</v>
      </c>
      <c r="C39" s="76" t="s">
        <v>372</v>
      </c>
      <c r="D39" s="76">
        <v>3</v>
      </c>
      <c r="E39" s="76" t="s">
        <v>327</v>
      </c>
      <c r="F39" s="76">
        <v>8</v>
      </c>
      <c r="G39" s="76" t="s">
        <v>107</v>
      </c>
      <c r="H39" s="76"/>
      <c r="I39" s="46" t="s">
        <v>3443</v>
      </c>
      <c r="J39" s="76" t="s">
        <v>127</v>
      </c>
      <c r="K39" s="76">
        <v>1</v>
      </c>
      <c r="L39" s="76">
        <v>1</v>
      </c>
      <c r="M39" s="136">
        <f>IF(Tabelle1324[[#This Row],[Pulled after Start]]="",MIN(Tabelle1324[[#This Row],[Jira Story Points]],Tabelle1324[[#This Row],[Carry-over]]),0)</f>
        <v>1</v>
      </c>
      <c r="N39" s="136">
        <f>MIN(Tabelle1324[[#This Row],[Jira Story Points]],Tabelle1324[[#This Row],[Carry-over]])-Tabelle1324[[#This Row],[SP Initially Planned (COS)]]</f>
        <v>0</v>
      </c>
      <c r="O39" s="104">
        <f>IFERROR(IF(Tabelle1324[[#This Row],[Status]]=$I$5,0,IF(AND(Tabelle1324[[#This Row],[Status]]=$H$5,Tabelle1324[[#This Row],[Spill-over]]=0),0,IF(Tabelle1324[[#This Row],[Carry-over]]&lt;&gt;0,Tabelle1324[[#This Row],[Carry-over]]-Tabelle1324[[#This Row],[Spill-over]],Tabelle1324[[#This Row],[Jira Story Points]]-Tabelle1324[[#This Row],[Spill-over]]))),"-")</f>
        <v>0</v>
      </c>
      <c r="P39" s="136">
        <f>IFERROR(IF(Tabelle1324[[#This Row],[Status]]=$I$5,MIN(Tabelle1324[[#This Row],[Jira Story Points]],Tabelle1324[[#This Row],[Carry-over]]),0),0)</f>
        <v>0</v>
      </c>
      <c r="Q39" s="156">
        <f>IFERROR(IF(Tabelle1324[[#This Row],[Status]]=$I$5,0,MIN(Tabelle1324[[#This Row],[Jira Story Points]],Tabelle1324[[#This Row],[Carry-over]])-Tabelle1324[[#This Row],[SP Completed (COS &amp; SOS)]]),0)</f>
        <v>1</v>
      </c>
      <c r="AJ39" s="112"/>
      <c r="AK39" s="112"/>
      <c r="AL39" s="112"/>
      <c r="AM39" s="112"/>
    </row>
    <row r="40" spans="1:39" s="46" customFormat="1" ht="14.45" customHeight="1">
      <c r="A40" s="88" t="s">
        <v>3444</v>
      </c>
      <c r="B40" s="46" t="s">
        <v>3445</v>
      </c>
      <c r="C40" s="76" t="s">
        <v>372</v>
      </c>
      <c r="D40" s="76">
        <v>3</v>
      </c>
      <c r="E40" s="76" t="s">
        <v>324</v>
      </c>
      <c r="F40" s="76">
        <v>2</v>
      </c>
      <c r="G40" s="76" t="s">
        <v>107</v>
      </c>
      <c r="H40" s="76"/>
      <c r="I40" s="103"/>
      <c r="J40" s="76" t="s">
        <v>125</v>
      </c>
      <c r="K40" s="76">
        <v>1</v>
      </c>
      <c r="L40" s="76"/>
      <c r="M40" s="136">
        <f>IF(Tabelle1324[[#This Row],[Pulled after Start]]="",MIN(Tabelle1324[[#This Row],[Jira Story Points]],Tabelle1324[[#This Row],[Carry-over]]),0)</f>
        <v>1</v>
      </c>
      <c r="N40" s="136">
        <f>MIN(Tabelle1324[[#This Row],[Jira Story Points]],Tabelle1324[[#This Row],[Carry-over]])-Tabelle1324[[#This Row],[SP Initially Planned (COS)]]</f>
        <v>0</v>
      </c>
      <c r="O40" s="104">
        <f>IFERROR(IF(Tabelle1324[[#This Row],[Status]]=$I$5,0,IF(AND(Tabelle1324[[#This Row],[Status]]=$H$5,Tabelle1324[[#This Row],[Spill-over]]=0),0,IF(Tabelle1324[[#This Row],[Carry-over]]&lt;&gt;0,Tabelle1324[[#This Row],[Carry-over]]-Tabelle1324[[#This Row],[Spill-over]],Tabelle1324[[#This Row],[Jira Story Points]]-Tabelle1324[[#This Row],[Spill-over]]))),"-")</f>
        <v>1</v>
      </c>
      <c r="P40" s="136">
        <f>IFERROR(IF(Tabelle1324[[#This Row],[Status]]=$I$5,MIN(Tabelle1324[[#This Row],[Jira Story Points]],Tabelle1324[[#This Row],[Carry-over]]),0),0)</f>
        <v>0</v>
      </c>
      <c r="Q40" s="156">
        <f>IFERROR(IF(Tabelle1324[[#This Row],[Status]]=$I$5,0,MIN(Tabelle1324[[#This Row],[Jira Story Points]],Tabelle1324[[#This Row],[Carry-over]])-Tabelle1324[[#This Row],[SP Completed (COS &amp; SOS)]]),0)</f>
        <v>0</v>
      </c>
      <c r="AJ40" s="112"/>
      <c r="AK40" s="112"/>
      <c r="AL40" s="112"/>
      <c r="AM40" s="112"/>
    </row>
    <row r="41" spans="1:39" s="46" customFormat="1" ht="14.45" customHeight="1">
      <c r="A41" s="117" t="s">
        <v>3446</v>
      </c>
      <c r="B41" s="47" t="s">
        <v>3447</v>
      </c>
      <c r="C41" s="76" t="s">
        <v>372</v>
      </c>
      <c r="D41" s="76">
        <v>3</v>
      </c>
      <c r="E41" s="76" t="s">
        <v>324</v>
      </c>
      <c r="F41" s="104">
        <v>1</v>
      </c>
      <c r="G41" s="76" t="s">
        <v>107</v>
      </c>
      <c r="H41" s="83" t="s">
        <v>209</v>
      </c>
      <c r="I41" s="103"/>
      <c r="J41" s="76" t="s">
        <v>125</v>
      </c>
      <c r="K41" s="104"/>
      <c r="L41" s="104"/>
      <c r="M41" s="136">
        <f>IF(Tabelle1324[[#This Row],[Pulled after Start]]="",MIN(Tabelle1324[[#This Row],[Jira Story Points]],Tabelle1324[[#This Row],[Carry-over]]),0)</f>
        <v>0</v>
      </c>
      <c r="N41" s="136">
        <f>MIN(Tabelle1324[[#This Row],[Jira Story Points]],Tabelle1324[[#This Row],[Carry-over]])-Tabelle1324[[#This Row],[SP Initially Planned (COS)]]</f>
        <v>1</v>
      </c>
      <c r="O41" s="104">
        <f>IFERROR(IF(Tabelle1324[[#This Row],[Status]]=$I$5,0,IF(AND(Tabelle1324[[#This Row],[Status]]=$H$5,Tabelle1324[[#This Row],[Spill-over]]=0),0,IF(Tabelle1324[[#This Row],[Carry-over]]&lt;&gt;0,Tabelle1324[[#This Row],[Carry-over]]-Tabelle1324[[#This Row],[Spill-over]],Tabelle1324[[#This Row],[Jira Story Points]]-Tabelle1324[[#This Row],[Spill-over]]))),"-")</f>
        <v>1</v>
      </c>
      <c r="P41" s="136">
        <f>IFERROR(IF(Tabelle1324[[#This Row],[Status]]=$I$5,MIN(Tabelle1324[[#This Row],[Jira Story Points]],Tabelle1324[[#This Row],[Carry-over]]),0),0)</f>
        <v>0</v>
      </c>
      <c r="Q41" s="156">
        <f>IFERROR(IF(Tabelle1324[[#This Row],[Status]]=$I$5,0,MIN(Tabelle1324[[#This Row],[Jira Story Points]],Tabelle1324[[#This Row],[Carry-over]])-Tabelle1324[[#This Row],[SP Completed (COS &amp; SOS)]]),0)</f>
        <v>0</v>
      </c>
      <c r="AJ41" s="112"/>
      <c r="AK41" s="112"/>
      <c r="AL41" s="112"/>
      <c r="AM41" s="112"/>
    </row>
    <row r="42" spans="1:39" s="46" customFormat="1" ht="14.45" customHeight="1">
      <c r="A42" s="88" t="s">
        <v>3448</v>
      </c>
      <c r="B42" s="46" t="s">
        <v>3449</v>
      </c>
      <c r="C42" s="76" t="s">
        <v>372</v>
      </c>
      <c r="D42" s="76">
        <v>3</v>
      </c>
      <c r="E42" s="76" t="s">
        <v>324</v>
      </c>
      <c r="F42" s="104">
        <v>1</v>
      </c>
      <c r="G42" s="76" t="s">
        <v>35</v>
      </c>
      <c r="H42" s="83"/>
      <c r="I42" s="103"/>
      <c r="J42" s="76" t="s">
        <v>125</v>
      </c>
      <c r="K42" s="104"/>
      <c r="L42" s="104"/>
      <c r="M42" s="136">
        <f>IF(Tabelle1324[[#This Row],[Pulled after Start]]="",MIN(Tabelle1324[[#This Row],[Jira Story Points]],Tabelle1324[[#This Row],[Carry-over]]),0)</f>
        <v>1</v>
      </c>
      <c r="N42" s="136">
        <f>MIN(Tabelle1324[[#This Row],[Jira Story Points]],Tabelle1324[[#This Row],[Carry-over]])-Tabelle1324[[#This Row],[SP Initially Planned (COS)]]</f>
        <v>0</v>
      </c>
      <c r="O42" s="104">
        <f>IFERROR(IF(Tabelle1324[[#This Row],[Status]]=$I$5,0,IF(AND(Tabelle1324[[#This Row],[Status]]=$H$5,Tabelle1324[[#This Row],[Spill-over]]=0),0,IF(Tabelle1324[[#This Row],[Carry-over]]&lt;&gt;0,Tabelle1324[[#This Row],[Carry-over]]-Tabelle1324[[#This Row],[Spill-over]],Tabelle1324[[#This Row],[Jira Story Points]]-Tabelle1324[[#This Row],[Spill-over]]))),"-")</f>
        <v>1</v>
      </c>
      <c r="P42" s="136">
        <f>IFERROR(IF(Tabelle1324[[#This Row],[Status]]=$I$5,MIN(Tabelle1324[[#This Row],[Jira Story Points]],Tabelle1324[[#This Row],[Carry-over]]),0),0)</f>
        <v>0</v>
      </c>
      <c r="Q42" s="156">
        <f>IFERROR(IF(Tabelle1324[[#This Row],[Status]]=$I$5,0,MIN(Tabelle1324[[#This Row],[Jira Story Points]],Tabelle1324[[#This Row],[Carry-over]])-Tabelle1324[[#This Row],[SP Completed (COS &amp; SOS)]]),0)</f>
        <v>0</v>
      </c>
      <c r="AJ42" s="112"/>
      <c r="AK42" s="112"/>
      <c r="AL42" s="112"/>
      <c r="AM42" s="112"/>
    </row>
    <row r="43" spans="1:39" s="46" customFormat="1" ht="14.45" customHeight="1">
      <c r="A43" s="159" t="s">
        <v>3450</v>
      </c>
      <c r="B43" s="47" t="s">
        <v>3451</v>
      </c>
      <c r="C43" s="76" t="s">
        <v>375</v>
      </c>
      <c r="D43" s="76">
        <v>3</v>
      </c>
      <c r="E43" s="76" t="s">
        <v>327</v>
      </c>
      <c r="F43" s="104">
        <v>2</v>
      </c>
      <c r="G43" s="76" t="s">
        <v>35</v>
      </c>
      <c r="H43" s="83"/>
      <c r="I43" s="103"/>
      <c r="J43" s="76" t="s">
        <v>125</v>
      </c>
      <c r="K43" s="104"/>
      <c r="L43" s="104"/>
      <c r="M43" s="136">
        <f>IF(Tabelle1324[[#This Row],[Pulled after Start]]="",MIN(Tabelle1324[[#This Row],[Jira Story Points]],Tabelle1324[[#This Row],[Carry-over]]),0)</f>
        <v>2</v>
      </c>
      <c r="N43" s="136">
        <f>MIN(Tabelle1324[[#This Row],[Jira Story Points]],Tabelle1324[[#This Row],[Carry-over]])-Tabelle1324[[#This Row],[SP Initially Planned (COS)]]</f>
        <v>0</v>
      </c>
      <c r="O43" s="104">
        <f>IFERROR(IF(Tabelle1324[[#This Row],[Status]]=$I$5,0,IF(AND(Tabelle1324[[#This Row],[Status]]=$H$5,Tabelle1324[[#This Row],[Spill-over]]=0),0,IF(Tabelle1324[[#This Row],[Carry-over]]&lt;&gt;0,Tabelle1324[[#This Row],[Carry-over]]-Tabelle1324[[#This Row],[Spill-over]],Tabelle1324[[#This Row],[Jira Story Points]]-Tabelle1324[[#This Row],[Spill-over]]))),"-")</f>
        <v>2</v>
      </c>
      <c r="P43" s="136">
        <f>IFERROR(IF(Tabelle1324[[#This Row],[Status]]=$I$5,MIN(Tabelle1324[[#This Row],[Jira Story Points]],Tabelle1324[[#This Row],[Carry-over]]),0),0)</f>
        <v>0</v>
      </c>
      <c r="Q43" s="156">
        <f>IFERROR(IF(Tabelle1324[[#This Row],[Status]]=$I$5,0,MIN(Tabelle1324[[#This Row],[Jira Story Points]],Tabelle1324[[#This Row],[Carry-over]])-Tabelle1324[[#This Row],[SP Completed (COS &amp; SOS)]]),0)</f>
        <v>0</v>
      </c>
      <c r="AJ43" s="112"/>
      <c r="AK43" s="112"/>
      <c r="AL43" s="112"/>
      <c r="AM43" s="112"/>
    </row>
    <row r="44" spans="1:39" s="46" customFormat="1" ht="14.45" customHeight="1">
      <c r="A44" s="88" t="s">
        <v>3452</v>
      </c>
      <c r="B44" s="46" t="s">
        <v>3453</v>
      </c>
      <c r="C44" s="76" t="s">
        <v>382</v>
      </c>
      <c r="D44" s="76">
        <v>1</v>
      </c>
      <c r="E44" s="76" t="s">
        <v>324</v>
      </c>
      <c r="F44" s="46" t="s">
        <v>210</v>
      </c>
      <c r="G44" s="76" t="s">
        <v>35</v>
      </c>
      <c r="H44" s="83" t="s">
        <v>209</v>
      </c>
      <c r="I44" s="103"/>
      <c r="J44" s="76" t="s">
        <v>125</v>
      </c>
      <c r="K44" s="104"/>
      <c r="L44" s="104"/>
      <c r="M44" s="136">
        <f>IF(Tabelle1324[[#This Row],[Pulled after Start]]="",MIN(Tabelle1324[[#This Row],[Jira Story Points]],Tabelle1324[[#This Row],[Carry-over]]),0)</f>
        <v>0</v>
      </c>
      <c r="N44" s="136">
        <f>MIN(Tabelle1324[[#This Row],[Jira Story Points]],Tabelle1324[[#This Row],[Carry-over]])-Tabelle1324[[#This Row],[SP Initially Planned (COS)]]</f>
        <v>0</v>
      </c>
      <c r="O44" s="104" t="str">
        <f>IFERROR(IF(Tabelle1324[[#This Row],[Status]]=$I$5,0,IF(AND(Tabelle1324[[#This Row],[Status]]=$H$5,Tabelle1324[[#This Row],[Spill-over]]=0),0,IF(Tabelle1324[[#This Row],[Carry-over]]&lt;&gt;0,Tabelle1324[[#This Row],[Carry-over]]-Tabelle1324[[#This Row],[Spill-over]],Tabelle1324[[#This Row],[Jira Story Points]]-Tabelle1324[[#This Row],[Spill-over]]))),"-")</f>
        <v>-</v>
      </c>
      <c r="P44" s="136">
        <f>IFERROR(IF(Tabelle1324[[#This Row],[Status]]=$I$5,MIN(Tabelle1324[[#This Row],[Jira Story Points]],Tabelle1324[[#This Row],[Carry-over]]),0),0)</f>
        <v>0</v>
      </c>
      <c r="Q44" s="156">
        <f>IFERROR(IF(Tabelle1324[[#This Row],[Status]]=$I$5,0,MIN(Tabelle1324[[#This Row],[Jira Story Points]],Tabelle1324[[#This Row],[Carry-over]])-Tabelle1324[[#This Row],[SP Completed (COS &amp; SOS)]]),0)</f>
        <v>0</v>
      </c>
      <c r="AJ44" s="112"/>
      <c r="AK44" s="112"/>
      <c r="AL44" s="112"/>
      <c r="AM44" s="112"/>
    </row>
    <row r="45" spans="1:39" s="46" customFormat="1" ht="14.45" customHeight="1">
      <c r="A45" s="88" t="s">
        <v>3454</v>
      </c>
      <c r="B45" s="46" t="s">
        <v>3455</v>
      </c>
      <c r="C45" s="76" t="s">
        <v>372</v>
      </c>
      <c r="D45" s="76">
        <v>3</v>
      </c>
      <c r="E45" s="76" t="s">
        <v>324</v>
      </c>
      <c r="F45" s="104">
        <v>3</v>
      </c>
      <c r="G45" s="76" t="s">
        <v>35</v>
      </c>
      <c r="H45" s="83"/>
      <c r="I45" s="103"/>
      <c r="J45" s="76" t="s">
        <v>125</v>
      </c>
      <c r="K45" s="104"/>
      <c r="L45" s="104"/>
      <c r="M45" s="136">
        <f>IF(Tabelle1324[[#This Row],[Pulled after Start]]="",MIN(Tabelle1324[[#This Row],[Jira Story Points]],Tabelle1324[[#This Row],[Carry-over]]),0)</f>
        <v>3</v>
      </c>
      <c r="N45" s="136">
        <f>MIN(Tabelle1324[[#This Row],[Jira Story Points]],Tabelle1324[[#This Row],[Carry-over]])-Tabelle1324[[#This Row],[SP Initially Planned (COS)]]</f>
        <v>0</v>
      </c>
      <c r="O45" s="104">
        <f>IFERROR(IF(Tabelle1324[[#This Row],[Status]]=$I$5,0,IF(AND(Tabelle1324[[#This Row],[Status]]=$H$5,Tabelle1324[[#This Row],[Spill-over]]=0),0,IF(Tabelle1324[[#This Row],[Carry-over]]&lt;&gt;0,Tabelle1324[[#This Row],[Carry-over]]-Tabelle1324[[#This Row],[Spill-over]],Tabelle1324[[#This Row],[Jira Story Points]]-Tabelle1324[[#This Row],[Spill-over]]))),"-")</f>
        <v>3</v>
      </c>
      <c r="P45" s="136">
        <f>IFERROR(IF(Tabelle1324[[#This Row],[Status]]=$I$5,MIN(Tabelle1324[[#This Row],[Jira Story Points]],Tabelle1324[[#This Row],[Carry-over]]),0),0)</f>
        <v>0</v>
      </c>
      <c r="Q45" s="156">
        <f>IFERROR(IF(Tabelle1324[[#This Row],[Status]]=$I$5,0,MIN(Tabelle1324[[#This Row],[Jira Story Points]],Tabelle1324[[#This Row],[Carry-over]])-Tabelle1324[[#This Row],[SP Completed (COS &amp; SOS)]]),0)</f>
        <v>0</v>
      </c>
      <c r="AJ45" s="112"/>
      <c r="AK45" s="112"/>
      <c r="AL45" s="112"/>
      <c r="AM45" s="112"/>
    </row>
    <row r="46" spans="1:39" s="46" customFormat="1" ht="14.45" customHeight="1">
      <c r="A46" s="159" t="s">
        <v>3456</v>
      </c>
      <c r="B46" s="47" t="s">
        <v>2514</v>
      </c>
      <c r="C46" s="76" t="s">
        <v>372</v>
      </c>
      <c r="D46" s="76">
        <v>3</v>
      </c>
      <c r="E46" s="76" t="s">
        <v>637</v>
      </c>
      <c r="F46" s="104">
        <v>1</v>
      </c>
      <c r="G46" s="76" t="s">
        <v>35</v>
      </c>
      <c r="H46" s="83"/>
      <c r="I46" s="103" t="s">
        <v>3457</v>
      </c>
      <c r="J46" s="76" t="s">
        <v>127</v>
      </c>
      <c r="K46" s="104"/>
      <c r="L46" s="104"/>
      <c r="M46" s="136">
        <f>IF(Tabelle1324[[#This Row],[Pulled after Start]]="",MIN(Tabelle1324[[#This Row],[Jira Story Points]],Tabelle1324[[#This Row],[Carry-over]]),0)</f>
        <v>1</v>
      </c>
      <c r="N46" s="136">
        <f>MIN(Tabelle1324[[#This Row],[Jira Story Points]],Tabelle1324[[#This Row],[Carry-over]])-Tabelle1324[[#This Row],[SP Initially Planned (COS)]]</f>
        <v>0</v>
      </c>
      <c r="O46" s="104">
        <f>IFERROR(IF(Tabelle1324[[#This Row],[Status]]=$I$5,0,IF(AND(Tabelle1324[[#This Row],[Status]]=$H$5,Tabelle1324[[#This Row],[Spill-over]]=0),0,IF(Tabelle1324[[#This Row],[Carry-over]]&lt;&gt;0,Tabelle1324[[#This Row],[Carry-over]]-Tabelle1324[[#This Row],[Spill-over]],Tabelle1324[[#This Row],[Jira Story Points]]-Tabelle1324[[#This Row],[Spill-over]]))),"-")</f>
        <v>0</v>
      </c>
      <c r="P46" s="136">
        <f>IFERROR(IF(Tabelle1324[[#This Row],[Status]]=$I$5,MIN(Tabelle1324[[#This Row],[Jira Story Points]],Tabelle1324[[#This Row],[Carry-over]]),0),0)</f>
        <v>0</v>
      </c>
      <c r="Q46" s="156">
        <f>IFERROR(IF(Tabelle1324[[#This Row],[Status]]=$I$5,0,MIN(Tabelle1324[[#This Row],[Jira Story Points]],Tabelle1324[[#This Row],[Carry-over]])-Tabelle1324[[#This Row],[SP Completed (COS &amp; SOS)]]),0)</f>
        <v>1</v>
      </c>
      <c r="AJ46" s="112"/>
      <c r="AK46" s="112"/>
      <c r="AL46" s="112"/>
      <c r="AM46" s="112"/>
    </row>
    <row r="47" spans="1:39" s="46" customFormat="1" ht="14.45" customHeight="1">
      <c r="A47" s="159" t="s">
        <v>3458</v>
      </c>
      <c r="B47" s="47" t="s">
        <v>3459</v>
      </c>
      <c r="C47" s="76" t="s">
        <v>372</v>
      </c>
      <c r="D47" s="76">
        <v>2</v>
      </c>
      <c r="E47" s="76" t="s">
        <v>628</v>
      </c>
      <c r="F47" s="104">
        <v>5</v>
      </c>
      <c r="G47" s="76" t="s">
        <v>35</v>
      </c>
      <c r="H47" s="83"/>
      <c r="I47" s="103"/>
      <c r="J47" s="76" t="s">
        <v>125</v>
      </c>
      <c r="K47" s="104"/>
      <c r="L47" s="104"/>
      <c r="M47" s="136">
        <f>IF(Tabelle1324[[#This Row],[Pulled after Start]]="",MIN(Tabelle1324[[#This Row],[Jira Story Points]],Tabelle1324[[#This Row],[Carry-over]]),0)</f>
        <v>5</v>
      </c>
      <c r="N47" s="136">
        <f>MIN(Tabelle1324[[#This Row],[Jira Story Points]],Tabelle1324[[#This Row],[Carry-over]])-Tabelle1324[[#This Row],[SP Initially Planned (COS)]]</f>
        <v>0</v>
      </c>
      <c r="O47" s="104">
        <f>IFERROR(IF(Tabelle1324[[#This Row],[Status]]=$I$5,0,IF(AND(Tabelle1324[[#This Row],[Status]]=$H$5,Tabelle1324[[#This Row],[Spill-over]]=0),0,IF(Tabelle1324[[#This Row],[Carry-over]]&lt;&gt;0,Tabelle1324[[#This Row],[Carry-over]]-Tabelle1324[[#This Row],[Spill-over]],Tabelle1324[[#This Row],[Jira Story Points]]-Tabelle1324[[#This Row],[Spill-over]]))),"-")</f>
        <v>5</v>
      </c>
      <c r="P47" s="136">
        <f>IFERROR(IF(Tabelle1324[[#This Row],[Status]]=$I$5,MIN(Tabelle1324[[#This Row],[Jira Story Points]],Tabelle1324[[#This Row],[Carry-over]]),0),0)</f>
        <v>0</v>
      </c>
      <c r="Q47" s="156">
        <f>IFERROR(IF(Tabelle1324[[#This Row],[Status]]=$I$5,0,MIN(Tabelle1324[[#This Row],[Jira Story Points]],Tabelle1324[[#This Row],[Carry-over]])-Tabelle1324[[#This Row],[SP Completed (COS &amp; SOS)]]),0)</f>
        <v>0</v>
      </c>
      <c r="AJ47" s="112"/>
      <c r="AK47" s="112"/>
      <c r="AL47" s="112"/>
      <c r="AM47" s="112"/>
    </row>
    <row r="48" spans="1:39" s="46" customFormat="1" ht="14.45" customHeight="1">
      <c r="A48" s="88" t="s">
        <v>3460</v>
      </c>
      <c r="B48" s="46" t="s">
        <v>3461</v>
      </c>
      <c r="C48" s="76" t="s">
        <v>372</v>
      </c>
      <c r="D48" s="76">
        <v>3</v>
      </c>
      <c r="E48" s="76" t="s">
        <v>324</v>
      </c>
      <c r="F48" s="104">
        <v>5</v>
      </c>
      <c r="G48" s="76" t="s">
        <v>35</v>
      </c>
      <c r="H48" s="83"/>
      <c r="I48" s="103"/>
      <c r="J48" s="76" t="s">
        <v>125</v>
      </c>
      <c r="K48" s="104"/>
      <c r="L48" s="104"/>
      <c r="M48" s="136">
        <f>IF(Tabelle1324[[#This Row],[Pulled after Start]]="",MIN(Tabelle1324[[#This Row],[Jira Story Points]],Tabelle1324[[#This Row],[Carry-over]]),0)</f>
        <v>5</v>
      </c>
      <c r="N48" s="136">
        <f>MIN(Tabelle1324[[#This Row],[Jira Story Points]],Tabelle1324[[#This Row],[Carry-over]])-Tabelle1324[[#This Row],[SP Initially Planned (COS)]]</f>
        <v>0</v>
      </c>
      <c r="O48" s="104">
        <f>IFERROR(IF(Tabelle1324[[#This Row],[Status]]=$I$5,0,IF(AND(Tabelle1324[[#This Row],[Status]]=$H$5,Tabelle1324[[#This Row],[Spill-over]]=0),0,IF(Tabelle1324[[#This Row],[Carry-over]]&lt;&gt;0,Tabelle1324[[#This Row],[Carry-over]]-Tabelle1324[[#This Row],[Spill-over]],Tabelle1324[[#This Row],[Jira Story Points]]-Tabelle1324[[#This Row],[Spill-over]]))),"-")</f>
        <v>5</v>
      </c>
      <c r="P48" s="136">
        <f>IFERROR(IF(Tabelle1324[[#This Row],[Status]]=$I$5,MIN(Tabelle1324[[#This Row],[Jira Story Points]],Tabelle1324[[#This Row],[Carry-over]]),0),0)</f>
        <v>0</v>
      </c>
      <c r="Q48" s="156">
        <f>IFERROR(IF(Tabelle1324[[#This Row],[Status]]=$I$5,0,MIN(Tabelle1324[[#This Row],[Jira Story Points]],Tabelle1324[[#This Row],[Carry-over]])-Tabelle1324[[#This Row],[SP Completed (COS &amp; SOS)]]),0)</f>
        <v>0</v>
      </c>
      <c r="AJ48" s="112"/>
      <c r="AK48" s="112"/>
      <c r="AL48" s="112"/>
      <c r="AM48" s="112"/>
    </row>
    <row r="49" spans="1:39" s="46" customFormat="1" ht="14.45" customHeight="1">
      <c r="A49" s="159" t="s">
        <v>3462</v>
      </c>
      <c r="B49" s="47" t="s">
        <v>3463</v>
      </c>
      <c r="C49" s="76" t="s">
        <v>372</v>
      </c>
      <c r="D49" s="76">
        <v>3</v>
      </c>
      <c r="E49" s="76" t="s">
        <v>327</v>
      </c>
      <c r="F49" s="104">
        <v>2</v>
      </c>
      <c r="G49" s="76" t="s">
        <v>35</v>
      </c>
      <c r="H49" s="83"/>
      <c r="I49" s="103"/>
      <c r="J49" s="76" t="s">
        <v>125</v>
      </c>
      <c r="K49" s="104"/>
      <c r="L49" s="104"/>
      <c r="M49" s="136">
        <f>IF(Tabelle1324[[#This Row],[Pulled after Start]]="",MIN(Tabelle1324[[#This Row],[Jira Story Points]],Tabelle1324[[#This Row],[Carry-over]]),0)</f>
        <v>2</v>
      </c>
      <c r="N49" s="136">
        <f>MIN(Tabelle1324[[#This Row],[Jira Story Points]],Tabelle1324[[#This Row],[Carry-over]])-Tabelle1324[[#This Row],[SP Initially Planned (COS)]]</f>
        <v>0</v>
      </c>
      <c r="O49" s="104">
        <f>IFERROR(IF(Tabelle1324[[#This Row],[Status]]=$I$5,0,IF(AND(Tabelle1324[[#This Row],[Status]]=$H$5,Tabelle1324[[#This Row],[Spill-over]]=0),0,IF(Tabelle1324[[#This Row],[Carry-over]]&lt;&gt;0,Tabelle1324[[#This Row],[Carry-over]]-Tabelle1324[[#This Row],[Spill-over]],Tabelle1324[[#This Row],[Jira Story Points]]-Tabelle1324[[#This Row],[Spill-over]]))),"-")</f>
        <v>2</v>
      </c>
      <c r="P49" s="136">
        <f>IFERROR(IF(Tabelle1324[[#This Row],[Status]]=$I$5,MIN(Tabelle1324[[#This Row],[Jira Story Points]],Tabelle1324[[#This Row],[Carry-over]]),0),0)</f>
        <v>0</v>
      </c>
      <c r="Q49" s="156">
        <f>IFERROR(IF(Tabelle1324[[#This Row],[Status]]=$I$5,0,MIN(Tabelle1324[[#This Row],[Jira Story Points]],Tabelle1324[[#This Row],[Carry-over]])-Tabelle1324[[#This Row],[SP Completed (COS &amp; SOS)]]),0)</f>
        <v>0</v>
      </c>
      <c r="AJ49" s="112"/>
      <c r="AK49" s="112"/>
      <c r="AL49" s="112"/>
      <c r="AM49" s="112"/>
    </row>
    <row r="50" spans="1:39" s="46" customFormat="1" ht="14.45" customHeight="1">
      <c r="A50" s="159" t="s">
        <v>3464</v>
      </c>
      <c r="B50" s="47" t="s">
        <v>3465</v>
      </c>
      <c r="C50" s="76" t="s">
        <v>372</v>
      </c>
      <c r="D50" s="76">
        <v>3</v>
      </c>
      <c r="E50" s="76" t="s">
        <v>637</v>
      </c>
      <c r="F50" s="104">
        <v>2</v>
      </c>
      <c r="G50" s="76" t="s">
        <v>35</v>
      </c>
      <c r="H50" s="83"/>
      <c r="I50" s="103"/>
      <c r="J50" s="76" t="s">
        <v>125</v>
      </c>
      <c r="K50" s="104"/>
      <c r="L50" s="104"/>
      <c r="M50" s="136">
        <f>IF(Tabelle1324[[#This Row],[Pulled after Start]]="",MIN(Tabelle1324[[#This Row],[Jira Story Points]],Tabelle1324[[#This Row],[Carry-over]]),0)</f>
        <v>2</v>
      </c>
      <c r="N50" s="136">
        <f>MIN(Tabelle1324[[#This Row],[Jira Story Points]],Tabelle1324[[#This Row],[Carry-over]])-Tabelle1324[[#This Row],[SP Initially Planned (COS)]]</f>
        <v>0</v>
      </c>
      <c r="O50" s="104">
        <f>IFERROR(IF(Tabelle1324[[#This Row],[Status]]=$I$5,0,IF(AND(Tabelle1324[[#This Row],[Status]]=$H$5,Tabelle1324[[#This Row],[Spill-over]]=0),0,IF(Tabelle1324[[#This Row],[Carry-over]]&lt;&gt;0,Tabelle1324[[#This Row],[Carry-over]]-Tabelle1324[[#This Row],[Spill-over]],Tabelle1324[[#This Row],[Jira Story Points]]-Tabelle1324[[#This Row],[Spill-over]]))),"-")</f>
        <v>2</v>
      </c>
      <c r="P50" s="136">
        <f>IFERROR(IF(Tabelle1324[[#This Row],[Status]]=$I$5,MIN(Tabelle1324[[#This Row],[Jira Story Points]],Tabelle1324[[#This Row],[Carry-over]]),0),0)</f>
        <v>0</v>
      </c>
      <c r="Q50" s="156">
        <f>IFERROR(IF(Tabelle1324[[#This Row],[Status]]=$I$5,0,MIN(Tabelle1324[[#This Row],[Jira Story Points]],Tabelle1324[[#This Row],[Carry-over]])-Tabelle1324[[#This Row],[SP Completed (COS &amp; SOS)]]),0)</f>
        <v>0</v>
      </c>
      <c r="AJ50" s="112"/>
      <c r="AK50" s="112"/>
      <c r="AL50" s="112"/>
      <c r="AM50" s="112"/>
    </row>
    <row r="51" spans="1:39" s="46" customFormat="1" ht="14.45" customHeight="1">
      <c r="A51" s="159" t="s">
        <v>3466</v>
      </c>
      <c r="B51" s="47" t="s">
        <v>3467</v>
      </c>
      <c r="C51" s="76" t="s">
        <v>375</v>
      </c>
      <c r="D51" s="76">
        <v>2</v>
      </c>
      <c r="E51" s="76" t="s">
        <v>637</v>
      </c>
      <c r="F51" s="104">
        <v>3</v>
      </c>
      <c r="G51" s="76" t="s">
        <v>35</v>
      </c>
      <c r="H51" s="83"/>
      <c r="I51" s="103"/>
      <c r="J51" s="76" t="s">
        <v>125</v>
      </c>
      <c r="K51" s="104"/>
      <c r="L51" s="104"/>
      <c r="M51" s="136">
        <f>IF(Tabelle1324[[#This Row],[Pulled after Start]]="",MIN(Tabelle1324[[#This Row],[Jira Story Points]],Tabelle1324[[#This Row],[Carry-over]]),0)</f>
        <v>3</v>
      </c>
      <c r="N51" s="136">
        <f>MIN(Tabelle1324[[#This Row],[Jira Story Points]],Tabelle1324[[#This Row],[Carry-over]])-Tabelle1324[[#This Row],[SP Initially Planned (COS)]]</f>
        <v>0</v>
      </c>
      <c r="O51" s="104">
        <f>IFERROR(IF(Tabelle1324[[#This Row],[Status]]=$I$5,0,IF(AND(Tabelle1324[[#This Row],[Status]]=$H$5,Tabelle1324[[#This Row],[Spill-over]]=0),0,IF(Tabelle1324[[#This Row],[Carry-over]]&lt;&gt;0,Tabelle1324[[#This Row],[Carry-over]]-Tabelle1324[[#This Row],[Spill-over]],Tabelle1324[[#This Row],[Jira Story Points]]-Tabelle1324[[#This Row],[Spill-over]]))),"-")</f>
        <v>3</v>
      </c>
      <c r="P51" s="136">
        <f>IFERROR(IF(Tabelle1324[[#This Row],[Status]]=$I$5,MIN(Tabelle1324[[#This Row],[Jira Story Points]],Tabelle1324[[#This Row],[Carry-over]]),0),0)</f>
        <v>0</v>
      </c>
      <c r="Q51" s="156">
        <f>IFERROR(IF(Tabelle1324[[#This Row],[Status]]=$I$5,0,MIN(Tabelle1324[[#This Row],[Jira Story Points]],Tabelle1324[[#This Row],[Carry-over]])-Tabelle1324[[#This Row],[SP Completed (COS &amp; SOS)]]),0)</f>
        <v>0</v>
      </c>
      <c r="AJ51" s="112"/>
      <c r="AK51" s="112"/>
      <c r="AL51" s="112"/>
      <c r="AM51" s="112"/>
    </row>
    <row r="52" spans="1:39" s="46" customFormat="1" ht="14.45" customHeight="1">
      <c r="A52" s="160" t="s">
        <v>3468</v>
      </c>
      <c r="B52" s="47" t="s">
        <v>3469</v>
      </c>
      <c r="C52" s="76" t="s">
        <v>372</v>
      </c>
      <c r="D52" s="76">
        <v>3</v>
      </c>
      <c r="E52" s="76" t="s">
        <v>324</v>
      </c>
      <c r="F52" s="104">
        <v>2</v>
      </c>
      <c r="G52" s="76" t="s">
        <v>35</v>
      </c>
      <c r="H52" s="83"/>
      <c r="I52" s="103"/>
      <c r="J52" s="76" t="s">
        <v>125</v>
      </c>
      <c r="K52" s="104"/>
      <c r="L52" s="104"/>
      <c r="M52" s="136">
        <f>IF(Tabelle1324[[#This Row],[Pulled after Start]]="",MIN(Tabelle1324[[#This Row],[Jira Story Points]],Tabelle1324[[#This Row],[Carry-over]]),0)</f>
        <v>2</v>
      </c>
      <c r="N52" s="136">
        <f>MIN(Tabelle1324[[#This Row],[Jira Story Points]],Tabelle1324[[#This Row],[Carry-over]])-Tabelle1324[[#This Row],[SP Initially Planned (COS)]]</f>
        <v>0</v>
      </c>
      <c r="O52" s="104">
        <f>IFERROR(IF(Tabelle1324[[#This Row],[Status]]=$I$5,0,IF(AND(Tabelle1324[[#This Row],[Status]]=$H$5,Tabelle1324[[#This Row],[Spill-over]]=0),0,IF(Tabelle1324[[#This Row],[Carry-over]]&lt;&gt;0,Tabelle1324[[#This Row],[Carry-over]]-Tabelle1324[[#This Row],[Spill-over]],Tabelle1324[[#This Row],[Jira Story Points]]-Tabelle1324[[#This Row],[Spill-over]]))),"-")</f>
        <v>2</v>
      </c>
      <c r="P52" s="136">
        <f>IFERROR(IF(Tabelle1324[[#This Row],[Status]]=$I$5,MIN(Tabelle1324[[#This Row],[Jira Story Points]],Tabelle1324[[#This Row],[Carry-over]]),0),0)</f>
        <v>0</v>
      </c>
      <c r="Q52" s="156">
        <f>IFERROR(IF(Tabelle1324[[#This Row],[Status]]=$I$5,0,MIN(Tabelle1324[[#This Row],[Jira Story Points]],Tabelle1324[[#This Row],[Carry-over]])-Tabelle1324[[#This Row],[SP Completed (COS &amp; SOS)]]),0)</f>
        <v>0</v>
      </c>
      <c r="AJ52" s="112"/>
      <c r="AK52" s="112"/>
      <c r="AL52" s="112"/>
      <c r="AM52" s="112"/>
    </row>
    <row r="53" spans="1:39" s="46" customFormat="1" ht="14.45" customHeight="1">
      <c r="A53" s="160" t="s">
        <v>3470</v>
      </c>
      <c r="B53" s="47" t="s">
        <v>3471</v>
      </c>
      <c r="C53" s="76" t="s">
        <v>372</v>
      </c>
      <c r="D53" s="76">
        <v>3</v>
      </c>
      <c r="E53" s="76" t="s">
        <v>324</v>
      </c>
      <c r="F53" s="104">
        <v>1</v>
      </c>
      <c r="G53" s="76" t="s">
        <v>35</v>
      </c>
      <c r="H53" s="83"/>
      <c r="I53" s="103"/>
      <c r="J53" s="76" t="s">
        <v>125</v>
      </c>
      <c r="K53" s="104"/>
      <c r="L53" s="104"/>
      <c r="M53" s="136">
        <f>IF(Tabelle1324[[#This Row],[Pulled after Start]]="",MIN(Tabelle1324[[#This Row],[Jira Story Points]],Tabelle1324[[#This Row],[Carry-over]]),0)</f>
        <v>1</v>
      </c>
      <c r="N53" s="136">
        <f>MIN(Tabelle1324[[#This Row],[Jira Story Points]],Tabelle1324[[#This Row],[Carry-over]])-Tabelle1324[[#This Row],[SP Initially Planned (COS)]]</f>
        <v>0</v>
      </c>
      <c r="O53" s="104">
        <f>IFERROR(IF(Tabelle1324[[#This Row],[Status]]=$I$5,0,IF(AND(Tabelle1324[[#This Row],[Status]]=$H$5,Tabelle1324[[#This Row],[Spill-over]]=0),0,IF(Tabelle1324[[#This Row],[Carry-over]]&lt;&gt;0,Tabelle1324[[#This Row],[Carry-over]]-Tabelle1324[[#This Row],[Spill-over]],Tabelle1324[[#This Row],[Jira Story Points]]-Tabelle1324[[#This Row],[Spill-over]]))),"-")</f>
        <v>1</v>
      </c>
      <c r="P53" s="136">
        <f>IFERROR(IF(Tabelle1324[[#This Row],[Status]]=$I$5,MIN(Tabelle1324[[#This Row],[Jira Story Points]],Tabelle1324[[#This Row],[Carry-over]]),0),0)</f>
        <v>0</v>
      </c>
      <c r="Q53" s="156">
        <f>IFERROR(IF(Tabelle1324[[#This Row],[Status]]=$I$5,0,MIN(Tabelle1324[[#This Row],[Jira Story Points]],Tabelle1324[[#This Row],[Carry-over]])-Tabelle1324[[#This Row],[SP Completed (COS &amp; SOS)]]),0)</f>
        <v>0</v>
      </c>
      <c r="AJ53" s="112"/>
      <c r="AK53" s="112"/>
      <c r="AL53" s="112"/>
      <c r="AM53" s="112"/>
    </row>
    <row r="54" spans="1:39" s="46" customFormat="1" ht="14.45" customHeight="1">
      <c r="A54" s="160" t="s">
        <v>3472</v>
      </c>
      <c r="B54" s="47" t="s">
        <v>3473</v>
      </c>
      <c r="C54" s="76" t="s">
        <v>375</v>
      </c>
      <c r="D54" s="76">
        <v>3</v>
      </c>
      <c r="E54" s="76" t="s">
        <v>324</v>
      </c>
      <c r="F54" s="104">
        <v>3</v>
      </c>
      <c r="G54" s="76" t="s">
        <v>35</v>
      </c>
      <c r="H54" s="83"/>
      <c r="I54" s="103"/>
      <c r="J54" s="76" t="s">
        <v>125</v>
      </c>
      <c r="K54" s="104"/>
      <c r="L54" s="104"/>
      <c r="M54" s="136">
        <f>IF(Tabelle1324[[#This Row],[Pulled after Start]]="",MIN(Tabelle1324[[#This Row],[Jira Story Points]],Tabelle1324[[#This Row],[Carry-over]]),0)</f>
        <v>3</v>
      </c>
      <c r="N54" s="136">
        <f>MIN(Tabelle1324[[#This Row],[Jira Story Points]],Tabelle1324[[#This Row],[Carry-over]])-Tabelle1324[[#This Row],[SP Initially Planned (COS)]]</f>
        <v>0</v>
      </c>
      <c r="O54" s="104">
        <f>IFERROR(IF(Tabelle1324[[#This Row],[Status]]=$I$5,0,IF(AND(Tabelle1324[[#This Row],[Status]]=$H$5,Tabelle1324[[#This Row],[Spill-over]]=0),0,IF(Tabelle1324[[#This Row],[Carry-over]]&lt;&gt;0,Tabelle1324[[#This Row],[Carry-over]]-Tabelle1324[[#This Row],[Spill-over]],Tabelle1324[[#This Row],[Jira Story Points]]-Tabelle1324[[#This Row],[Spill-over]]))),"-")</f>
        <v>3</v>
      </c>
      <c r="P54" s="136">
        <f>IFERROR(IF(Tabelle1324[[#This Row],[Status]]=$I$5,MIN(Tabelle1324[[#This Row],[Jira Story Points]],Tabelle1324[[#This Row],[Carry-over]]),0),0)</f>
        <v>0</v>
      </c>
      <c r="Q54" s="156">
        <f>IFERROR(IF(Tabelle1324[[#This Row],[Status]]=$I$5,0,MIN(Tabelle1324[[#This Row],[Jira Story Points]],Tabelle1324[[#This Row],[Carry-over]])-Tabelle1324[[#This Row],[SP Completed (COS &amp; SOS)]]),0)</f>
        <v>0</v>
      </c>
      <c r="AJ54" s="112"/>
      <c r="AK54" s="112"/>
      <c r="AL54" s="112"/>
      <c r="AM54" s="112"/>
    </row>
    <row r="55" spans="1:39" s="46" customFormat="1">
      <c r="A55" s="159" t="s">
        <v>3474</v>
      </c>
      <c r="B55" s="47" t="s">
        <v>3475</v>
      </c>
      <c r="C55" s="76" t="s">
        <v>372</v>
      </c>
      <c r="D55" s="76">
        <v>3</v>
      </c>
      <c r="E55" s="76" t="s">
        <v>628</v>
      </c>
      <c r="F55" s="104">
        <v>5</v>
      </c>
      <c r="G55" s="76" t="s">
        <v>35</v>
      </c>
      <c r="H55" s="83"/>
      <c r="I55" s="103"/>
      <c r="J55" s="76" t="s">
        <v>125</v>
      </c>
      <c r="K55" s="104"/>
      <c r="L55" s="104"/>
      <c r="M55" s="136">
        <f>IF(Tabelle1324[[#This Row],[Pulled after Start]]="",MIN(Tabelle1324[[#This Row],[Jira Story Points]],Tabelle1324[[#This Row],[Carry-over]]),0)</f>
        <v>5</v>
      </c>
      <c r="N55" s="136">
        <f>MIN(Tabelle1324[[#This Row],[Jira Story Points]],Tabelle1324[[#This Row],[Carry-over]])-Tabelle1324[[#This Row],[SP Initially Planned (COS)]]</f>
        <v>0</v>
      </c>
      <c r="O55" s="104">
        <f>IFERROR(IF(Tabelle1324[[#This Row],[Status]]=$I$5,0,IF(AND(Tabelle1324[[#This Row],[Status]]=$H$5,Tabelle1324[[#This Row],[Spill-over]]=0),0,IF(Tabelle1324[[#This Row],[Carry-over]]&lt;&gt;0,Tabelle1324[[#This Row],[Carry-over]]-Tabelle1324[[#This Row],[Spill-over]],Tabelle1324[[#This Row],[Jira Story Points]]-Tabelle1324[[#This Row],[Spill-over]]))),"-")</f>
        <v>5</v>
      </c>
      <c r="P55" s="136">
        <f>IFERROR(IF(Tabelle1324[[#This Row],[Status]]=$I$5,MIN(Tabelle1324[[#This Row],[Jira Story Points]],Tabelle1324[[#This Row],[Carry-over]]),0),0)</f>
        <v>0</v>
      </c>
      <c r="Q55" s="156">
        <f>IFERROR(IF(Tabelle1324[[#This Row],[Status]]=$I$5,0,MIN(Tabelle1324[[#This Row],[Jira Story Points]],Tabelle1324[[#This Row],[Carry-over]])-Tabelle1324[[#This Row],[SP Completed (COS &amp; SOS)]]),0)</f>
        <v>0</v>
      </c>
      <c r="AJ55" s="112"/>
      <c r="AK55" s="112"/>
      <c r="AL55" s="112"/>
      <c r="AM55" s="112"/>
    </row>
    <row r="56" spans="1:39" s="46" customFormat="1">
      <c r="A56" s="160" t="s">
        <v>3476</v>
      </c>
      <c r="B56" s="47" t="s">
        <v>3477</v>
      </c>
      <c r="C56" s="76" t="s">
        <v>375</v>
      </c>
      <c r="D56" s="76">
        <v>3</v>
      </c>
      <c r="E56" s="76" t="s">
        <v>324</v>
      </c>
      <c r="F56" s="104">
        <v>3</v>
      </c>
      <c r="G56" s="76" t="s">
        <v>35</v>
      </c>
      <c r="H56" s="83"/>
      <c r="I56" s="103"/>
      <c r="J56" s="76" t="s">
        <v>125</v>
      </c>
      <c r="K56" s="104"/>
      <c r="L56" s="104"/>
      <c r="M56" s="136">
        <f>IF(Tabelle1324[[#This Row],[Pulled after Start]]="",MIN(Tabelle1324[[#This Row],[Jira Story Points]],Tabelle1324[[#This Row],[Carry-over]]),0)</f>
        <v>3</v>
      </c>
      <c r="N56" s="136">
        <f>MIN(Tabelle1324[[#This Row],[Jira Story Points]],Tabelle1324[[#This Row],[Carry-over]])-Tabelle1324[[#This Row],[SP Initially Planned (COS)]]</f>
        <v>0</v>
      </c>
      <c r="O56" s="104">
        <f>IFERROR(IF(Tabelle1324[[#This Row],[Status]]=$I$5,0,IF(AND(Tabelle1324[[#This Row],[Status]]=$H$5,Tabelle1324[[#This Row],[Spill-over]]=0),0,IF(Tabelle1324[[#This Row],[Carry-over]]&lt;&gt;0,Tabelle1324[[#This Row],[Carry-over]]-Tabelle1324[[#This Row],[Spill-over]],Tabelle1324[[#This Row],[Jira Story Points]]-Tabelle1324[[#This Row],[Spill-over]]))),"-")</f>
        <v>3</v>
      </c>
      <c r="P56" s="136">
        <f>IFERROR(IF(Tabelle1324[[#This Row],[Status]]=$I$5,MIN(Tabelle1324[[#This Row],[Jira Story Points]],Tabelle1324[[#This Row],[Carry-over]]),0),0)</f>
        <v>0</v>
      </c>
      <c r="Q56" s="156">
        <f>IFERROR(IF(Tabelle1324[[#This Row],[Status]]=$I$5,0,MIN(Tabelle1324[[#This Row],[Jira Story Points]],Tabelle1324[[#This Row],[Carry-over]])-Tabelle1324[[#This Row],[SP Completed (COS &amp; SOS)]]),0)</f>
        <v>0</v>
      </c>
      <c r="AJ56" s="112"/>
      <c r="AK56" s="112"/>
      <c r="AL56" s="112"/>
      <c r="AM56" s="112"/>
    </row>
    <row r="57" spans="1:39" s="46" customFormat="1">
      <c r="A57" s="160" t="s">
        <v>3478</v>
      </c>
      <c r="B57" s="47" t="s">
        <v>3479</v>
      </c>
      <c r="C57" s="76" t="s">
        <v>372</v>
      </c>
      <c r="D57" s="76">
        <v>3</v>
      </c>
      <c r="E57" s="76" t="s">
        <v>324</v>
      </c>
      <c r="F57" s="104">
        <v>3</v>
      </c>
      <c r="G57" s="76" t="s">
        <v>35</v>
      </c>
      <c r="H57" s="83"/>
      <c r="I57" s="103"/>
      <c r="J57" s="76" t="s">
        <v>125</v>
      </c>
      <c r="K57" s="104"/>
      <c r="L57" s="104"/>
      <c r="M57" s="136">
        <f>IF(Tabelle1324[[#This Row],[Pulled after Start]]="",MIN(Tabelle1324[[#This Row],[Jira Story Points]],Tabelle1324[[#This Row],[Carry-over]]),0)</f>
        <v>3</v>
      </c>
      <c r="N57" s="136">
        <f>MIN(Tabelle1324[[#This Row],[Jira Story Points]],Tabelle1324[[#This Row],[Carry-over]])-Tabelle1324[[#This Row],[SP Initially Planned (COS)]]</f>
        <v>0</v>
      </c>
      <c r="O57" s="104">
        <f>IFERROR(IF(Tabelle1324[[#This Row],[Status]]=$I$5,0,IF(AND(Tabelle1324[[#This Row],[Status]]=$H$5,Tabelle1324[[#This Row],[Spill-over]]=0),0,IF(Tabelle1324[[#This Row],[Carry-over]]&lt;&gt;0,Tabelle1324[[#This Row],[Carry-over]]-Tabelle1324[[#This Row],[Spill-over]],Tabelle1324[[#This Row],[Jira Story Points]]-Tabelle1324[[#This Row],[Spill-over]]))),"-")</f>
        <v>3</v>
      </c>
      <c r="P57" s="136">
        <f>IFERROR(IF(Tabelle1324[[#This Row],[Status]]=$I$5,MIN(Tabelle1324[[#This Row],[Jira Story Points]],Tabelle1324[[#This Row],[Carry-over]]),0),0)</f>
        <v>0</v>
      </c>
      <c r="Q57" s="156">
        <f>IFERROR(IF(Tabelle1324[[#This Row],[Status]]=$I$5,0,MIN(Tabelle1324[[#This Row],[Jira Story Points]],Tabelle1324[[#This Row],[Carry-over]])-Tabelle1324[[#This Row],[SP Completed (COS &amp; SOS)]]),0)</f>
        <v>0</v>
      </c>
      <c r="AJ57" s="112"/>
      <c r="AK57" s="112"/>
      <c r="AL57" s="112"/>
      <c r="AM57" s="112"/>
    </row>
    <row r="58" spans="1:39" s="46" customFormat="1">
      <c r="A58" s="159" t="s">
        <v>3480</v>
      </c>
      <c r="B58" s="47" t="s">
        <v>3481</v>
      </c>
      <c r="C58" s="76" t="s">
        <v>372</v>
      </c>
      <c r="D58" s="76">
        <v>3</v>
      </c>
      <c r="E58" s="76" t="s">
        <v>324</v>
      </c>
      <c r="F58" s="104">
        <v>5</v>
      </c>
      <c r="G58" s="76" t="s">
        <v>35</v>
      </c>
      <c r="H58" s="83"/>
      <c r="I58" s="103"/>
      <c r="J58" s="76" t="s">
        <v>125</v>
      </c>
      <c r="K58" s="104"/>
      <c r="L58" s="104"/>
      <c r="M58" s="136">
        <f>IF(Tabelle1324[[#This Row],[Pulled after Start]]="",MIN(Tabelle1324[[#This Row],[Jira Story Points]],Tabelle1324[[#This Row],[Carry-over]]),0)</f>
        <v>5</v>
      </c>
      <c r="N58" s="136">
        <f>MIN(Tabelle1324[[#This Row],[Jira Story Points]],Tabelle1324[[#This Row],[Carry-over]])-Tabelle1324[[#This Row],[SP Initially Planned (COS)]]</f>
        <v>0</v>
      </c>
      <c r="O58" s="104">
        <f>IFERROR(IF(Tabelle1324[[#This Row],[Status]]=$I$5,0,IF(AND(Tabelle1324[[#This Row],[Status]]=$H$5,Tabelle1324[[#This Row],[Spill-over]]=0),0,IF(Tabelle1324[[#This Row],[Carry-over]]&lt;&gt;0,Tabelle1324[[#This Row],[Carry-over]]-Tabelle1324[[#This Row],[Spill-over]],Tabelle1324[[#This Row],[Jira Story Points]]-Tabelle1324[[#This Row],[Spill-over]]))),"-")</f>
        <v>5</v>
      </c>
      <c r="P58" s="136">
        <f>IFERROR(IF(Tabelle1324[[#This Row],[Status]]=$I$5,MIN(Tabelle1324[[#This Row],[Jira Story Points]],Tabelle1324[[#This Row],[Carry-over]]),0),0)</f>
        <v>0</v>
      </c>
      <c r="Q58" s="156">
        <f>IFERROR(IF(Tabelle1324[[#This Row],[Status]]=$I$5,0,MIN(Tabelle1324[[#This Row],[Jira Story Points]],Tabelle1324[[#This Row],[Carry-over]])-Tabelle1324[[#This Row],[SP Completed (COS &amp; SOS)]]),0)</f>
        <v>0</v>
      </c>
      <c r="AJ58" s="112"/>
      <c r="AK58" s="112"/>
      <c r="AL58" s="112"/>
      <c r="AM58" s="112"/>
    </row>
    <row r="59" spans="1:39" s="46" customFormat="1">
      <c r="A59" s="159" t="s">
        <v>3482</v>
      </c>
      <c r="B59" s="47" t="s">
        <v>3483</v>
      </c>
      <c r="C59" s="76" t="s">
        <v>375</v>
      </c>
      <c r="D59" s="76">
        <v>3</v>
      </c>
      <c r="E59" s="76" t="s">
        <v>324</v>
      </c>
      <c r="F59" s="104">
        <v>3</v>
      </c>
      <c r="G59" s="76" t="s">
        <v>35</v>
      </c>
      <c r="H59" s="83" t="s">
        <v>209</v>
      </c>
      <c r="I59" s="103"/>
      <c r="J59" s="76" t="s">
        <v>125</v>
      </c>
      <c r="K59" s="104"/>
      <c r="L59" s="104"/>
      <c r="M59" s="136">
        <f>IF(Tabelle1324[[#This Row],[Pulled after Start]]="",MIN(Tabelle1324[[#This Row],[Jira Story Points]],Tabelle1324[[#This Row],[Carry-over]]),0)</f>
        <v>0</v>
      </c>
      <c r="N59" s="136">
        <f>MIN(Tabelle1324[[#This Row],[Jira Story Points]],Tabelle1324[[#This Row],[Carry-over]])-Tabelle1324[[#This Row],[SP Initially Planned (COS)]]</f>
        <v>3</v>
      </c>
      <c r="O59" s="104">
        <f>IFERROR(IF(Tabelle1324[[#This Row],[Status]]=$I$5,0,IF(AND(Tabelle1324[[#This Row],[Status]]=$H$5,Tabelle1324[[#This Row],[Spill-over]]=0),0,IF(Tabelle1324[[#This Row],[Carry-over]]&lt;&gt;0,Tabelle1324[[#This Row],[Carry-over]]-Tabelle1324[[#This Row],[Spill-over]],Tabelle1324[[#This Row],[Jira Story Points]]-Tabelle1324[[#This Row],[Spill-over]]))),"-")</f>
        <v>3</v>
      </c>
      <c r="P59" s="136">
        <f>IFERROR(IF(Tabelle1324[[#This Row],[Status]]=$I$5,MIN(Tabelle1324[[#This Row],[Jira Story Points]],Tabelle1324[[#This Row],[Carry-over]]),0),0)</f>
        <v>0</v>
      </c>
      <c r="Q59" s="156">
        <f>IFERROR(IF(Tabelle1324[[#This Row],[Status]]=$I$5,0,MIN(Tabelle1324[[#This Row],[Jira Story Points]],Tabelle1324[[#This Row],[Carry-over]])-Tabelle1324[[#This Row],[SP Completed (COS &amp; SOS)]]),0)</f>
        <v>0</v>
      </c>
      <c r="AJ59" s="112"/>
      <c r="AK59" s="112"/>
      <c r="AL59" s="112"/>
      <c r="AM59" s="112"/>
    </row>
    <row r="60" spans="1:39" s="46" customFormat="1">
      <c r="A60" s="159" t="s">
        <v>2762</v>
      </c>
      <c r="B60" s="47" t="s">
        <v>2763</v>
      </c>
      <c r="C60" s="76" t="s">
        <v>372</v>
      </c>
      <c r="D60" s="76">
        <v>3</v>
      </c>
      <c r="E60" s="76" t="s">
        <v>351</v>
      </c>
      <c r="F60" s="104">
        <v>3</v>
      </c>
      <c r="G60" s="76" t="s">
        <v>35</v>
      </c>
      <c r="H60" s="83"/>
      <c r="I60" s="103"/>
      <c r="J60" s="76" t="s">
        <v>127</v>
      </c>
      <c r="K60" s="104"/>
      <c r="L60" s="104"/>
      <c r="M60" s="136">
        <f>IF(Tabelle1324[[#This Row],[Pulled after Start]]="",MIN(Tabelle1324[[#This Row],[Jira Story Points]],Tabelle1324[[#This Row],[Carry-over]]),0)</f>
        <v>3</v>
      </c>
      <c r="N60" s="136">
        <f>MIN(Tabelle1324[[#This Row],[Jira Story Points]],Tabelle1324[[#This Row],[Carry-over]])-Tabelle1324[[#This Row],[SP Initially Planned (COS)]]</f>
        <v>0</v>
      </c>
      <c r="O60" s="104">
        <f>IFERROR(IF(Tabelle1324[[#This Row],[Status]]=$I$5,0,IF(AND(Tabelle1324[[#This Row],[Status]]=$H$5,Tabelle1324[[#This Row],[Spill-over]]=0),0,IF(Tabelle1324[[#This Row],[Carry-over]]&lt;&gt;0,Tabelle1324[[#This Row],[Carry-over]]-Tabelle1324[[#This Row],[Spill-over]],Tabelle1324[[#This Row],[Jira Story Points]]-Tabelle1324[[#This Row],[Spill-over]]))),"-")</f>
        <v>0</v>
      </c>
      <c r="P60" s="136">
        <f>IFERROR(IF(Tabelle1324[[#This Row],[Status]]=$I$5,MIN(Tabelle1324[[#This Row],[Jira Story Points]],Tabelle1324[[#This Row],[Carry-over]]),0),0)</f>
        <v>0</v>
      </c>
      <c r="Q60" s="156">
        <f>IFERROR(IF(Tabelle1324[[#This Row],[Status]]=$I$5,0,MIN(Tabelle1324[[#This Row],[Jira Story Points]],Tabelle1324[[#This Row],[Carry-over]])-Tabelle1324[[#This Row],[SP Completed (COS &amp; SOS)]]),0)</f>
        <v>3</v>
      </c>
      <c r="AJ60" s="112"/>
      <c r="AK60" s="112"/>
      <c r="AL60" s="112"/>
      <c r="AM60" s="112"/>
    </row>
    <row r="61" spans="1:39" s="46" customFormat="1">
      <c r="A61" s="159" t="s">
        <v>3484</v>
      </c>
      <c r="B61" s="47" t="s">
        <v>3485</v>
      </c>
      <c r="C61" s="76" t="s">
        <v>372</v>
      </c>
      <c r="D61" s="76">
        <v>3</v>
      </c>
      <c r="E61" s="76" t="s">
        <v>324</v>
      </c>
      <c r="F61" s="104">
        <v>5</v>
      </c>
      <c r="G61" s="76" t="s">
        <v>35</v>
      </c>
      <c r="H61" s="83"/>
      <c r="I61" s="103"/>
      <c r="J61" s="76" t="s">
        <v>125</v>
      </c>
      <c r="K61" s="104"/>
      <c r="L61" s="104"/>
      <c r="M61" s="136">
        <f>IF(Tabelle1324[[#This Row],[Pulled after Start]]="",MIN(Tabelle1324[[#This Row],[Jira Story Points]],Tabelle1324[[#This Row],[Carry-over]]),0)</f>
        <v>5</v>
      </c>
      <c r="N61" s="136">
        <f>MIN(Tabelle1324[[#This Row],[Jira Story Points]],Tabelle1324[[#This Row],[Carry-over]])-Tabelle1324[[#This Row],[SP Initially Planned (COS)]]</f>
        <v>0</v>
      </c>
      <c r="O61" s="104">
        <f>IFERROR(IF(Tabelle1324[[#This Row],[Status]]=$I$5,0,IF(AND(Tabelle1324[[#This Row],[Status]]=$H$5,Tabelle1324[[#This Row],[Spill-over]]=0),0,IF(Tabelle1324[[#This Row],[Carry-over]]&lt;&gt;0,Tabelle1324[[#This Row],[Carry-over]]-Tabelle1324[[#This Row],[Spill-over]],Tabelle1324[[#This Row],[Jira Story Points]]-Tabelle1324[[#This Row],[Spill-over]]))),"-")</f>
        <v>5</v>
      </c>
      <c r="P61" s="136">
        <f>IFERROR(IF(Tabelle1324[[#This Row],[Status]]=$I$5,MIN(Tabelle1324[[#This Row],[Jira Story Points]],Tabelle1324[[#This Row],[Carry-over]]),0),0)</f>
        <v>0</v>
      </c>
      <c r="Q61" s="156">
        <f>IFERROR(IF(Tabelle1324[[#This Row],[Status]]=$I$5,0,MIN(Tabelle1324[[#This Row],[Jira Story Points]],Tabelle1324[[#This Row],[Carry-over]])-Tabelle1324[[#This Row],[SP Completed (COS &amp; SOS)]]),0)</f>
        <v>0</v>
      </c>
      <c r="AJ61" s="112"/>
      <c r="AK61" s="112"/>
      <c r="AL61" s="112"/>
      <c r="AM61" s="112"/>
    </row>
    <row r="62" spans="1:39" s="46" customFormat="1">
      <c r="A62" s="159" t="s">
        <v>3486</v>
      </c>
      <c r="B62" s="47" t="s">
        <v>2152</v>
      </c>
      <c r="C62" s="76" t="s">
        <v>382</v>
      </c>
      <c r="D62" s="76">
        <v>3</v>
      </c>
      <c r="E62" s="76" t="s">
        <v>330</v>
      </c>
      <c r="F62" s="104" t="s">
        <v>210</v>
      </c>
      <c r="G62" s="76" t="s">
        <v>35</v>
      </c>
      <c r="H62" s="83"/>
      <c r="I62" s="103"/>
      <c r="J62" s="76" t="s">
        <v>125</v>
      </c>
      <c r="K62" s="104"/>
      <c r="L62" s="104"/>
      <c r="M62" s="136">
        <f>IF(Tabelle1324[[#This Row],[Pulled after Start]]="",MIN(Tabelle1324[[#This Row],[Jira Story Points]],Tabelle1324[[#This Row],[Carry-over]]),0)</f>
        <v>0</v>
      </c>
      <c r="N62" s="136">
        <f>MIN(Tabelle1324[[#This Row],[Jira Story Points]],Tabelle1324[[#This Row],[Carry-over]])-Tabelle1324[[#This Row],[SP Initially Planned (COS)]]</f>
        <v>0</v>
      </c>
      <c r="O62" s="104" t="str">
        <f>IFERROR(IF(Tabelle1324[[#This Row],[Status]]=$I$5,0,IF(AND(Tabelle1324[[#This Row],[Status]]=$H$5,Tabelle1324[[#This Row],[Spill-over]]=0),0,IF(Tabelle1324[[#This Row],[Carry-over]]&lt;&gt;0,Tabelle1324[[#This Row],[Carry-over]]-Tabelle1324[[#This Row],[Spill-over]],Tabelle1324[[#This Row],[Jira Story Points]]-Tabelle1324[[#This Row],[Spill-over]]))),"-")</f>
        <v>-</v>
      </c>
      <c r="P62" s="136">
        <f>IFERROR(IF(Tabelle1324[[#This Row],[Status]]=$I$5,MIN(Tabelle1324[[#This Row],[Jira Story Points]],Tabelle1324[[#This Row],[Carry-over]]),0),0)</f>
        <v>0</v>
      </c>
      <c r="Q62" s="156">
        <f>IFERROR(IF(Tabelle1324[[#This Row],[Status]]=$I$5,0,MIN(Tabelle1324[[#This Row],[Jira Story Points]],Tabelle1324[[#This Row],[Carry-over]])-Tabelle1324[[#This Row],[SP Completed (COS &amp; SOS)]]),0)</f>
        <v>0</v>
      </c>
      <c r="AJ62" s="112"/>
      <c r="AK62" s="112"/>
      <c r="AL62" s="112"/>
      <c r="AM62" s="112"/>
    </row>
    <row r="63" spans="1:39" s="46" customFormat="1">
      <c r="A63" s="159" t="s">
        <v>3487</v>
      </c>
      <c r="B63" s="47" t="s">
        <v>3488</v>
      </c>
      <c r="C63" s="76" t="s">
        <v>375</v>
      </c>
      <c r="D63" s="76">
        <v>3</v>
      </c>
      <c r="E63" s="76" t="s">
        <v>324</v>
      </c>
      <c r="F63" s="104">
        <v>3</v>
      </c>
      <c r="G63" s="76" t="s">
        <v>35</v>
      </c>
      <c r="H63" s="83" t="s">
        <v>209</v>
      </c>
      <c r="I63" s="103"/>
      <c r="J63" s="76" t="s">
        <v>125</v>
      </c>
      <c r="K63" s="104"/>
      <c r="L63" s="104"/>
      <c r="M63" s="136">
        <f>IF(Tabelle1324[[#This Row],[Pulled after Start]]="",MIN(Tabelle1324[[#This Row],[Jira Story Points]],Tabelle1324[[#This Row],[Carry-over]]),0)</f>
        <v>0</v>
      </c>
      <c r="N63" s="136">
        <f>MIN(Tabelle1324[[#This Row],[Jira Story Points]],Tabelle1324[[#This Row],[Carry-over]])-Tabelle1324[[#This Row],[SP Initially Planned (COS)]]</f>
        <v>3</v>
      </c>
      <c r="O63" s="104">
        <f>IFERROR(IF(Tabelle1324[[#This Row],[Status]]=$I$5,0,IF(AND(Tabelle1324[[#This Row],[Status]]=$H$5,Tabelle1324[[#This Row],[Spill-over]]=0),0,IF(Tabelle1324[[#This Row],[Carry-over]]&lt;&gt;0,Tabelle1324[[#This Row],[Carry-over]]-Tabelle1324[[#This Row],[Spill-over]],Tabelle1324[[#This Row],[Jira Story Points]]-Tabelle1324[[#This Row],[Spill-over]]))),"-")</f>
        <v>3</v>
      </c>
      <c r="P63" s="136">
        <f>IFERROR(IF(Tabelle1324[[#This Row],[Status]]=$I$5,MIN(Tabelle1324[[#This Row],[Jira Story Points]],Tabelle1324[[#This Row],[Carry-over]]),0),0)</f>
        <v>0</v>
      </c>
      <c r="Q63" s="156">
        <f>IFERROR(IF(Tabelle1324[[#This Row],[Status]]=$I$5,0,MIN(Tabelle1324[[#This Row],[Jira Story Points]],Tabelle1324[[#This Row],[Carry-over]])-Tabelle1324[[#This Row],[SP Completed (COS &amp; SOS)]]),0)</f>
        <v>0</v>
      </c>
      <c r="AJ63" s="112"/>
      <c r="AK63" s="112"/>
      <c r="AL63" s="112"/>
      <c r="AM63" s="112"/>
    </row>
    <row r="64" spans="1:39" s="46" customFormat="1">
      <c r="A64" s="88" t="s">
        <v>3489</v>
      </c>
      <c r="B64" s="46" t="s">
        <v>3490</v>
      </c>
      <c r="C64" s="76" t="s">
        <v>372</v>
      </c>
      <c r="D64" s="76">
        <v>3</v>
      </c>
      <c r="E64" s="76" t="s">
        <v>324</v>
      </c>
      <c r="F64" s="104">
        <v>3</v>
      </c>
      <c r="G64" s="76" t="s">
        <v>35</v>
      </c>
      <c r="H64" s="83"/>
      <c r="I64" s="103"/>
      <c r="J64" s="76" t="s">
        <v>125</v>
      </c>
      <c r="K64" s="104"/>
      <c r="L64" s="104"/>
      <c r="M64" s="136">
        <f>IF(Tabelle1324[[#This Row],[Pulled after Start]]="",MIN(Tabelle1324[[#This Row],[Jira Story Points]],Tabelle1324[[#This Row],[Carry-over]]),0)</f>
        <v>3</v>
      </c>
      <c r="N64" s="136">
        <f>MIN(Tabelle1324[[#This Row],[Jira Story Points]],Tabelle1324[[#This Row],[Carry-over]])-Tabelle1324[[#This Row],[SP Initially Planned (COS)]]</f>
        <v>0</v>
      </c>
      <c r="O64" s="104">
        <f>IFERROR(IF(Tabelle1324[[#This Row],[Status]]=$I$5,0,IF(AND(Tabelle1324[[#This Row],[Status]]=$H$5,Tabelle1324[[#This Row],[Spill-over]]=0),0,IF(Tabelle1324[[#This Row],[Carry-over]]&lt;&gt;0,Tabelle1324[[#This Row],[Carry-over]]-Tabelle1324[[#This Row],[Spill-over]],Tabelle1324[[#This Row],[Jira Story Points]]-Tabelle1324[[#This Row],[Spill-over]]))),"-")</f>
        <v>3</v>
      </c>
      <c r="P64" s="136">
        <f>IFERROR(IF(Tabelle1324[[#This Row],[Status]]=$I$5,MIN(Tabelle1324[[#This Row],[Jira Story Points]],Tabelle1324[[#This Row],[Carry-over]]),0),0)</f>
        <v>0</v>
      </c>
      <c r="Q64" s="156">
        <f>IFERROR(IF(Tabelle1324[[#This Row],[Status]]=$I$5,0,MIN(Tabelle1324[[#This Row],[Jira Story Points]],Tabelle1324[[#This Row],[Carry-over]])-Tabelle1324[[#This Row],[SP Completed (COS &amp; SOS)]]),0)</f>
        <v>0</v>
      </c>
      <c r="AJ64" s="112"/>
      <c r="AK64" s="112"/>
      <c r="AL64" s="112"/>
      <c r="AM64" s="112"/>
    </row>
    <row r="65" spans="1:39" s="46" customFormat="1">
      <c r="A65" s="117">
        <v>2</v>
      </c>
      <c r="B65" s="47" t="s">
        <v>3491</v>
      </c>
      <c r="C65" s="76" t="s">
        <v>372</v>
      </c>
      <c r="D65" s="76">
        <v>3</v>
      </c>
      <c r="E65" s="76" t="s">
        <v>324</v>
      </c>
      <c r="F65" s="104">
        <v>2</v>
      </c>
      <c r="G65" s="76" t="s">
        <v>9</v>
      </c>
      <c r="H65" s="83"/>
      <c r="I65" s="103" t="s">
        <v>3492</v>
      </c>
      <c r="J65" s="76" t="s">
        <v>125</v>
      </c>
      <c r="K65" s="164">
        <v>1</v>
      </c>
      <c r="L65" s="104"/>
      <c r="M65" s="136">
        <f>IF(Tabelle1324[[#This Row],[Pulled after Start]]="",MIN(Tabelle1324[[#This Row],[Jira Story Points]],Tabelle1324[[#This Row],[Carry-over]]),0)</f>
        <v>1</v>
      </c>
      <c r="N65" s="136">
        <f>MIN(Tabelle1324[[#This Row],[Jira Story Points]],Tabelle1324[[#This Row],[Carry-over]])-Tabelle1324[[#This Row],[SP Initially Planned (COS)]]</f>
        <v>0</v>
      </c>
      <c r="O65" s="104">
        <f>IFERROR(IF(Tabelle1324[[#This Row],[Status]]=$I$5,0,IF(AND(Tabelle1324[[#This Row],[Status]]=$H$5,Tabelle1324[[#This Row],[Spill-over]]=0),0,IF(Tabelle1324[[#This Row],[Carry-over]]&lt;&gt;0,Tabelle1324[[#This Row],[Carry-over]]-Tabelle1324[[#This Row],[Spill-over]],Tabelle1324[[#This Row],[Jira Story Points]]-Tabelle1324[[#This Row],[Spill-over]]))),"-")</f>
        <v>1</v>
      </c>
      <c r="P65" s="136">
        <f>IFERROR(IF(Tabelle1324[[#This Row],[Status]]=$I$5,MIN(Tabelle1324[[#This Row],[Jira Story Points]],Tabelle1324[[#This Row],[Carry-over]]),0),0)</f>
        <v>0</v>
      </c>
      <c r="Q65" s="156">
        <f>IFERROR(IF(Tabelle1324[[#This Row],[Status]]=$I$5,0,MIN(Tabelle1324[[#This Row],[Jira Story Points]],Tabelle1324[[#This Row],[Carry-over]])-Tabelle1324[[#This Row],[SP Completed (COS &amp; SOS)]]),0)</f>
        <v>0</v>
      </c>
      <c r="AJ65" s="112"/>
      <c r="AK65" s="112"/>
      <c r="AL65" s="112"/>
      <c r="AM65" s="112"/>
    </row>
    <row r="66" spans="1:39" s="46" customFormat="1" ht="14.45" customHeight="1">
      <c r="A66" s="117" t="s">
        <v>3493</v>
      </c>
      <c r="B66" s="47" t="s">
        <v>3494</v>
      </c>
      <c r="C66" s="76" t="s">
        <v>372</v>
      </c>
      <c r="D66" s="76">
        <v>3</v>
      </c>
      <c r="E66" s="76" t="s">
        <v>1247</v>
      </c>
      <c r="F66" s="104">
        <v>3</v>
      </c>
      <c r="G66" s="76" t="s">
        <v>9</v>
      </c>
      <c r="H66" s="83"/>
      <c r="I66" s="103"/>
      <c r="J66" s="76"/>
      <c r="K66" s="104">
        <v>1</v>
      </c>
      <c r="L66" s="104"/>
      <c r="M66" s="136">
        <f>IF(Tabelle1324[[#This Row],[Pulled after Start]]="",MIN(Tabelle1324[[#This Row],[Jira Story Points]],Tabelle1324[[#This Row],[Carry-over]]),0)</f>
        <v>1</v>
      </c>
      <c r="N66" s="136">
        <f>MIN(Tabelle1324[[#This Row],[Jira Story Points]],Tabelle1324[[#This Row],[Carry-over]])-Tabelle1324[[#This Row],[SP Initially Planned (COS)]]</f>
        <v>0</v>
      </c>
      <c r="O66" s="104">
        <f>IFERROR(IF(Tabelle1324[[#This Row],[Status]]=$I$5,0,IF(AND(Tabelle1324[[#This Row],[Status]]=$H$5,Tabelle1324[[#This Row],[Spill-over]]=0),0,IF(Tabelle1324[[#This Row],[Carry-over]]&lt;&gt;0,Tabelle1324[[#This Row],[Carry-over]]-Tabelle1324[[#This Row],[Spill-over]],Tabelle1324[[#This Row],[Jira Story Points]]-Tabelle1324[[#This Row],[Spill-over]]))),"-")</f>
        <v>1</v>
      </c>
      <c r="P66" s="136">
        <f>IFERROR(IF(Tabelle1324[[#This Row],[Status]]=$I$5,MIN(Tabelle1324[[#This Row],[Jira Story Points]],Tabelle1324[[#This Row],[Carry-over]]),0),0)</f>
        <v>0</v>
      </c>
      <c r="Q66" s="156">
        <f>IFERROR(IF(Tabelle1324[[#This Row],[Status]]=$I$5,0,MIN(Tabelle1324[[#This Row],[Jira Story Points]],Tabelle1324[[#This Row],[Carry-over]])-Tabelle1324[[#This Row],[SP Completed (COS &amp; SOS)]]),0)</f>
        <v>0</v>
      </c>
    </row>
    <row r="67" spans="1:39" s="46" customFormat="1" ht="14.45" customHeight="1">
      <c r="A67" s="117" t="s">
        <v>3495</v>
      </c>
      <c r="B67" s="47" t="s">
        <v>3496</v>
      </c>
      <c r="C67" s="76" t="s">
        <v>372</v>
      </c>
      <c r="D67" s="76">
        <v>3</v>
      </c>
      <c r="E67" s="76" t="s">
        <v>324</v>
      </c>
      <c r="F67" s="104">
        <v>5</v>
      </c>
      <c r="G67" s="76" t="s">
        <v>9</v>
      </c>
      <c r="H67" s="83"/>
      <c r="I67" s="103"/>
      <c r="J67" s="76" t="s">
        <v>125</v>
      </c>
      <c r="K67" s="104">
        <v>2</v>
      </c>
      <c r="L67" s="104"/>
      <c r="M67" s="136">
        <f>IF(Tabelle1324[[#This Row],[Pulled after Start]]="",MIN(Tabelle1324[[#This Row],[Jira Story Points]],Tabelle1324[[#This Row],[Carry-over]]),0)</f>
        <v>2</v>
      </c>
      <c r="N67" s="136">
        <f>MIN(Tabelle1324[[#This Row],[Jira Story Points]],Tabelle1324[[#This Row],[Carry-over]])-Tabelle1324[[#This Row],[SP Initially Planned (COS)]]</f>
        <v>0</v>
      </c>
      <c r="O67" s="104">
        <f>IFERROR(IF(Tabelle1324[[#This Row],[Status]]=$I$5,0,IF(AND(Tabelle1324[[#This Row],[Status]]=$H$5,Tabelle1324[[#This Row],[Spill-over]]=0),0,IF(Tabelle1324[[#This Row],[Carry-over]]&lt;&gt;0,Tabelle1324[[#This Row],[Carry-over]]-Tabelle1324[[#This Row],[Spill-over]],Tabelle1324[[#This Row],[Jira Story Points]]-Tabelle1324[[#This Row],[Spill-over]]))),"-")</f>
        <v>2</v>
      </c>
      <c r="P67" s="136">
        <f>IFERROR(IF(Tabelle1324[[#This Row],[Status]]=$I$5,MIN(Tabelle1324[[#This Row],[Jira Story Points]],Tabelle1324[[#This Row],[Carry-over]]),0),0)</f>
        <v>0</v>
      </c>
      <c r="Q67" s="156">
        <f>IFERROR(IF(Tabelle1324[[#This Row],[Status]]=$I$5,0,MIN(Tabelle1324[[#This Row],[Jira Story Points]],Tabelle1324[[#This Row],[Carry-over]])-Tabelle1324[[#This Row],[SP Completed (COS &amp; SOS)]]),0)</f>
        <v>0</v>
      </c>
    </row>
    <row r="68" spans="1:39" s="46" customFormat="1" ht="14.45" customHeight="1">
      <c r="A68" s="117" t="s">
        <v>3497</v>
      </c>
      <c r="B68" s="47" t="s">
        <v>3498</v>
      </c>
      <c r="C68" s="76" t="s">
        <v>372</v>
      </c>
      <c r="D68" s="76">
        <v>3</v>
      </c>
      <c r="E68" s="76" t="s">
        <v>324</v>
      </c>
      <c r="F68" s="104">
        <v>2</v>
      </c>
      <c r="G68" s="76" t="s">
        <v>9</v>
      </c>
      <c r="H68" s="83"/>
      <c r="I68" s="103"/>
      <c r="J68" s="76" t="s">
        <v>125</v>
      </c>
      <c r="K68" s="104">
        <v>2</v>
      </c>
      <c r="L68" s="104"/>
      <c r="M68" s="136">
        <f>IF(Tabelle1324[[#This Row],[Pulled after Start]]="",MIN(Tabelle1324[[#This Row],[Jira Story Points]],Tabelle1324[[#This Row],[Carry-over]]),0)</f>
        <v>2</v>
      </c>
      <c r="N68" s="136">
        <f>MIN(Tabelle1324[[#This Row],[Jira Story Points]],Tabelle1324[[#This Row],[Carry-over]])-Tabelle1324[[#This Row],[SP Initially Planned (COS)]]</f>
        <v>0</v>
      </c>
      <c r="O68" s="104">
        <f>IFERROR(IF(Tabelle1324[[#This Row],[Status]]=$I$5,0,IF(AND(Tabelle1324[[#This Row],[Status]]=$H$5,Tabelle1324[[#This Row],[Spill-over]]=0),0,IF(Tabelle1324[[#This Row],[Carry-over]]&lt;&gt;0,Tabelle1324[[#This Row],[Carry-over]]-Tabelle1324[[#This Row],[Spill-over]],Tabelle1324[[#This Row],[Jira Story Points]]-Tabelle1324[[#This Row],[Spill-over]]))),"-")</f>
        <v>2</v>
      </c>
      <c r="P68" s="136">
        <f>IFERROR(IF(Tabelle1324[[#This Row],[Status]]=$I$5,MIN(Tabelle1324[[#This Row],[Jira Story Points]],Tabelle1324[[#This Row],[Carry-over]]),0),0)</f>
        <v>0</v>
      </c>
      <c r="Q68" s="156">
        <f>IFERROR(IF(Tabelle1324[[#This Row],[Status]]=$I$5,0,MIN(Tabelle1324[[#This Row],[Jira Story Points]],Tabelle1324[[#This Row],[Carry-over]])-Tabelle1324[[#This Row],[SP Completed (COS &amp; SOS)]]),0)</f>
        <v>0</v>
      </c>
    </row>
    <row r="69" spans="1:39" s="46" customFormat="1" ht="14.45" customHeight="1">
      <c r="A69" s="117" t="s">
        <v>3282</v>
      </c>
      <c r="B69" s="47" t="s">
        <v>3283</v>
      </c>
      <c r="C69" s="76" t="s">
        <v>372</v>
      </c>
      <c r="D69" s="76">
        <v>3</v>
      </c>
      <c r="E69" s="76" t="s">
        <v>327</v>
      </c>
      <c r="F69" s="104">
        <v>5</v>
      </c>
      <c r="G69" s="76" t="s">
        <v>9</v>
      </c>
      <c r="H69" s="83"/>
      <c r="I69" s="103" t="s">
        <v>3499</v>
      </c>
      <c r="J69" s="76" t="s">
        <v>127</v>
      </c>
      <c r="K69" s="104"/>
      <c r="L69" s="104">
        <v>1</v>
      </c>
      <c r="M69" s="136">
        <f>IF(Tabelle1324[[#This Row],[Pulled after Start]]="",MIN(Tabelle1324[[#This Row],[Jira Story Points]],Tabelle1324[[#This Row],[Carry-over]]),0)</f>
        <v>5</v>
      </c>
      <c r="N69" s="136">
        <f>MIN(Tabelle1324[[#This Row],[Jira Story Points]],Tabelle1324[[#This Row],[Carry-over]])-Tabelle1324[[#This Row],[SP Initially Planned (COS)]]</f>
        <v>0</v>
      </c>
      <c r="O69" s="104">
        <f>IFERROR(IF(Tabelle1324[[#This Row],[Status]]=$I$5,0,IF(AND(Tabelle1324[[#This Row],[Status]]=$H$5,Tabelle1324[[#This Row],[Spill-over]]=0),0,IF(Tabelle1324[[#This Row],[Carry-over]]&lt;&gt;0,Tabelle1324[[#This Row],[Carry-over]]-Tabelle1324[[#This Row],[Spill-over]],Tabelle1324[[#This Row],[Jira Story Points]]-Tabelle1324[[#This Row],[Spill-over]]))),"-")</f>
        <v>4</v>
      </c>
      <c r="P69" s="136">
        <f>IFERROR(IF(Tabelle1324[[#This Row],[Status]]=$I$5,MIN(Tabelle1324[[#This Row],[Jira Story Points]],Tabelle1324[[#This Row],[Carry-over]]),0),0)</f>
        <v>0</v>
      </c>
      <c r="Q69" s="156">
        <f>IFERROR(IF(Tabelle1324[[#This Row],[Status]]=$I$5,0,MIN(Tabelle1324[[#This Row],[Jira Story Points]],Tabelle1324[[#This Row],[Carry-over]])-Tabelle1324[[#This Row],[SP Completed (COS &amp; SOS)]]),0)</f>
        <v>1</v>
      </c>
    </row>
    <row r="70" spans="1:39" s="46" customFormat="1" ht="14.45" customHeight="1">
      <c r="A70" s="117" t="s">
        <v>3500</v>
      </c>
      <c r="B70" s="47" t="s">
        <v>3501</v>
      </c>
      <c r="C70" s="76" t="s">
        <v>372</v>
      </c>
      <c r="D70" s="76">
        <v>3</v>
      </c>
      <c r="E70" s="76" t="s">
        <v>324</v>
      </c>
      <c r="F70" s="104">
        <v>3</v>
      </c>
      <c r="G70" s="76" t="s">
        <v>9</v>
      </c>
      <c r="H70" s="83"/>
      <c r="I70" s="103"/>
      <c r="J70" s="76" t="s">
        <v>125</v>
      </c>
      <c r="K70" s="104"/>
      <c r="L70" s="104"/>
      <c r="M70" s="136">
        <f>IF(Tabelle1324[[#This Row],[Pulled after Start]]="",MIN(Tabelle1324[[#This Row],[Jira Story Points]],Tabelle1324[[#This Row],[Carry-over]]),0)</f>
        <v>3</v>
      </c>
      <c r="N70" s="136">
        <f>MIN(Tabelle1324[[#This Row],[Jira Story Points]],Tabelle1324[[#This Row],[Carry-over]])-Tabelle1324[[#This Row],[SP Initially Planned (COS)]]</f>
        <v>0</v>
      </c>
      <c r="O70" s="104">
        <f>IFERROR(IF(Tabelle1324[[#This Row],[Status]]=$I$5,0,IF(AND(Tabelle1324[[#This Row],[Status]]=$H$5,Tabelle1324[[#This Row],[Spill-over]]=0),0,IF(Tabelle1324[[#This Row],[Carry-over]]&lt;&gt;0,Tabelle1324[[#This Row],[Carry-over]]-Tabelle1324[[#This Row],[Spill-over]],Tabelle1324[[#This Row],[Jira Story Points]]-Tabelle1324[[#This Row],[Spill-over]]))),"-")</f>
        <v>3</v>
      </c>
      <c r="P70" s="136">
        <f>IFERROR(IF(Tabelle1324[[#This Row],[Status]]=$I$5,MIN(Tabelle1324[[#This Row],[Jira Story Points]],Tabelle1324[[#This Row],[Carry-over]]),0),0)</f>
        <v>0</v>
      </c>
      <c r="Q70" s="156">
        <f>IFERROR(IF(Tabelle1324[[#This Row],[Status]]=$I$5,0,MIN(Tabelle1324[[#This Row],[Jira Story Points]],Tabelle1324[[#This Row],[Carry-over]])-Tabelle1324[[#This Row],[SP Completed (COS &amp; SOS)]]),0)</f>
        <v>0</v>
      </c>
    </row>
    <row r="71" spans="1:39" s="46" customFormat="1" ht="14.45" customHeight="1">
      <c r="A71" s="117" t="s">
        <v>3284</v>
      </c>
      <c r="B71" s="47" t="s">
        <v>3285</v>
      </c>
      <c r="C71" s="76" t="s">
        <v>372</v>
      </c>
      <c r="D71" s="76">
        <v>3</v>
      </c>
      <c r="E71" s="76" t="s">
        <v>327</v>
      </c>
      <c r="F71" s="104">
        <v>3</v>
      </c>
      <c r="G71" s="76" t="s">
        <v>9</v>
      </c>
      <c r="H71" s="83"/>
      <c r="I71" s="103" t="s">
        <v>3499</v>
      </c>
      <c r="J71" s="76" t="s">
        <v>127</v>
      </c>
      <c r="K71" s="104"/>
      <c r="L71" s="104">
        <v>2</v>
      </c>
      <c r="M71" s="136">
        <f>IF(Tabelle1324[[#This Row],[Pulled after Start]]="",MIN(Tabelle1324[[#This Row],[Jira Story Points]],Tabelle1324[[#This Row],[Carry-over]]),0)</f>
        <v>3</v>
      </c>
      <c r="N71" s="136">
        <f>MIN(Tabelle1324[[#This Row],[Jira Story Points]],Tabelle1324[[#This Row],[Carry-over]])-Tabelle1324[[#This Row],[SP Initially Planned (COS)]]</f>
        <v>0</v>
      </c>
      <c r="O71" s="104">
        <f>IFERROR(IF(Tabelle1324[[#This Row],[Status]]=$I$5,0,IF(AND(Tabelle1324[[#This Row],[Status]]=$H$5,Tabelle1324[[#This Row],[Spill-over]]=0),0,IF(Tabelle1324[[#This Row],[Carry-over]]&lt;&gt;0,Tabelle1324[[#This Row],[Carry-over]]-Tabelle1324[[#This Row],[Spill-over]],Tabelle1324[[#This Row],[Jira Story Points]]-Tabelle1324[[#This Row],[Spill-over]]))),"-")</f>
        <v>1</v>
      </c>
      <c r="P71" s="136">
        <f>IFERROR(IF(Tabelle1324[[#This Row],[Status]]=$I$5,MIN(Tabelle1324[[#This Row],[Jira Story Points]],Tabelle1324[[#This Row],[Carry-over]]),0),0)</f>
        <v>0</v>
      </c>
      <c r="Q71" s="156">
        <f>IFERROR(IF(Tabelle1324[[#This Row],[Status]]=$I$5,0,MIN(Tabelle1324[[#This Row],[Jira Story Points]],Tabelle1324[[#This Row],[Carry-over]])-Tabelle1324[[#This Row],[SP Completed (COS &amp; SOS)]]),0)</f>
        <v>2</v>
      </c>
    </row>
    <row r="72" spans="1:39" s="46" customFormat="1" ht="14.45" customHeight="1">
      <c r="A72" s="117" t="s">
        <v>3502</v>
      </c>
      <c r="B72" s="47" t="s">
        <v>3503</v>
      </c>
      <c r="C72" s="76" t="s">
        <v>372</v>
      </c>
      <c r="D72" s="76">
        <v>3</v>
      </c>
      <c r="E72" s="76" t="s">
        <v>324</v>
      </c>
      <c r="F72" s="104">
        <v>3</v>
      </c>
      <c r="G72" s="76" t="s">
        <v>9</v>
      </c>
      <c r="H72" s="83"/>
      <c r="I72" s="103"/>
      <c r="J72" s="76" t="s">
        <v>125</v>
      </c>
      <c r="K72" s="104"/>
      <c r="L72" s="104"/>
      <c r="M72" s="136">
        <f>IF(Tabelle1324[[#This Row],[Pulled after Start]]="",MIN(Tabelle1324[[#This Row],[Jira Story Points]],Tabelle1324[[#This Row],[Carry-over]]),0)</f>
        <v>3</v>
      </c>
      <c r="N72" s="136">
        <f>MIN(Tabelle1324[[#This Row],[Jira Story Points]],Tabelle1324[[#This Row],[Carry-over]])-Tabelle1324[[#This Row],[SP Initially Planned (COS)]]</f>
        <v>0</v>
      </c>
      <c r="O72" s="104">
        <f>IFERROR(IF(Tabelle1324[[#This Row],[Status]]=$I$5,0,IF(AND(Tabelle1324[[#This Row],[Status]]=$H$5,Tabelle1324[[#This Row],[Spill-over]]=0),0,IF(Tabelle1324[[#This Row],[Carry-over]]&lt;&gt;0,Tabelle1324[[#This Row],[Carry-over]]-Tabelle1324[[#This Row],[Spill-over]],Tabelle1324[[#This Row],[Jira Story Points]]-Tabelle1324[[#This Row],[Spill-over]]))),"-")</f>
        <v>3</v>
      </c>
      <c r="P72" s="136">
        <f>IFERROR(IF(Tabelle1324[[#This Row],[Status]]=$I$5,MIN(Tabelle1324[[#This Row],[Jira Story Points]],Tabelle1324[[#This Row],[Carry-over]]),0),0)</f>
        <v>0</v>
      </c>
      <c r="Q72" s="156">
        <f>IFERROR(IF(Tabelle1324[[#This Row],[Status]]=$I$5,0,MIN(Tabelle1324[[#This Row],[Jira Story Points]],Tabelle1324[[#This Row],[Carry-over]])-Tabelle1324[[#This Row],[SP Completed (COS &amp; SOS)]]),0)</f>
        <v>0</v>
      </c>
    </row>
    <row r="73" spans="1:39" s="46" customFormat="1" ht="14.45" customHeight="1">
      <c r="A73" s="117" t="s">
        <v>3504</v>
      </c>
      <c r="B73" s="47" t="s">
        <v>3505</v>
      </c>
      <c r="C73" s="76" t="s">
        <v>372</v>
      </c>
      <c r="D73" s="76">
        <v>3</v>
      </c>
      <c r="E73" s="76" t="s">
        <v>327</v>
      </c>
      <c r="F73" s="121">
        <v>2</v>
      </c>
      <c r="G73" s="76" t="s">
        <v>9</v>
      </c>
      <c r="H73" s="83" t="s">
        <v>209</v>
      </c>
      <c r="I73" s="103"/>
      <c r="J73" s="76" t="s">
        <v>127</v>
      </c>
      <c r="K73" s="104"/>
      <c r="L73" s="104">
        <v>2</v>
      </c>
      <c r="M73" s="136">
        <f>IF(Tabelle1324[[#This Row],[Pulled after Start]]="",MIN(Tabelle1324[[#This Row],[Jira Story Points]],Tabelle1324[[#This Row],[Carry-over]]),0)</f>
        <v>0</v>
      </c>
      <c r="N73" s="136">
        <f>MIN(Tabelle1324[[#This Row],[Jira Story Points]],Tabelle1324[[#This Row],[Carry-over]])-Tabelle1324[[#This Row],[SP Initially Planned (COS)]]</f>
        <v>2</v>
      </c>
      <c r="O73" s="104">
        <f>IFERROR(IF(Tabelle1324[[#This Row],[Status]]=$I$5,0,IF(AND(Tabelle1324[[#This Row],[Status]]=$H$5,Tabelle1324[[#This Row],[Spill-over]]=0),0,IF(Tabelle1324[[#This Row],[Carry-over]]&lt;&gt;0,Tabelle1324[[#This Row],[Carry-over]]-Tabelle1324[[#This Row],[Spill-over]],Tabelle1324[[#This Row],[Jira Story Points]]-Tabelle1324[[#This Row],[Spill-over]]))),"-")</f>
        <v>0</v>
      </c>
      <c r="P73" s="136">
        <f>IFERROR(IF(Tabelle1324[[#This Row],[Status]]=$I$5,MIN(Tabelle1324[[#This Row],[Jira Story Points]],Tabelle1324[[#This Row],[Carry-over]]),0),0)</f>
        <v>0</v>
      </c>
      <c r="Q73" s="156">
        <f>IFERROR(IF(Tabelle1324[[#This Row],[Status]]=$I$5,0,MIN(Tabelle1324[[#This Row],[Jira Story Points]],Tabelle1324[[#This Row],[Carry-over]])-Tabelle1324[[#This Row],[SP Completed (COS &amp; SOS)]]),0)</f>
        <v>2</v>
      </c>
    </row>
    <row r="74" spans="1:39" s="46" customFormat="1" ht="14.45" customHeight="1">
      <c r="A74" s="117" t="s">
        <v>3506</v>
      </c>
      <c r="B74" s="47" t="s">
        <v>3507</v>
      </c>
      <c r="C74" s="76" t="s">
        <v>3300</v>
      </c>
      <c r="D74" s="76">
        <v>3</v>
      </c>
      <c r="E74" s="76" t="s">
        <v>324</v>
      </c>
      <c r="F74" s="104">
        <v>2</v>
      </c>
      <c r="G74" s="76" t="s">
        <v>9</v>
      </c>
      <c r="H74" s="83"/>
      <c r="I74" s="103" t="s">
        <v>3508</v>
      </c>
      <c r="J74" s="76" t="s">
        <v>125</v>
      </c>
      <c r="K74" s="104"/>
      <c r="L74" s="104"/>
      <c r="M74" s="136">
        <f>IF(Tabelle1324[[#This Row],[Pulled after Start]]="",MIN(Tabelle1324[[#This Row],[Jira Story Points]],Tabelle1324[[#This Row],[Carry-over]]),0)</f>
        <v>2</v>
      </c>
      <c r="N74" s="136">
        <f>MIN(Tabelle1324[[#This Row],[Jira Story Points]],Tabelle1324[[#This Row],[Carry-over]])-Tabelle1324[[#This Row],[SP Initially Planned (COS)]]</f>
        <v>0</v>
      </c>
      <c r="O74" s="104">
        <f>IFERROR(IF(Tabelle1324[[#This Row],[Status]]=$I$5,0,IF(AND(Tabelle1324[[#This Row],[Status]]=$H$5,Tabelle1324[[#This Row],[Spill-over]]=0),0,IF(Tabelle1324[[#This Row],[Carry-over]]&lt;&gt;0,Tabelle1324[[#This Row],[Carry-over]]-Tabelle1324[[#This Row],[Spill-over]],Tabelle1324[[#This Row],[Jira Story Points]]-Tabelle1324[[#This Row],[Spill-over]]))),"-")</f>
        <v>2</v>
      </c>
      <c r="P74" s="136">
        <f>IFERROR(IF(Tabelle1324[[#This Row],[Status]]=$I$5,MIN(Tabelle1324[[#This Row],[Jira Story Points]],Tabelle1324[[#This Row],[Carry-over]]),0),0)</f>
        <v>0</v>
      </c>
      <c r="Q74" s="156">
        <f>IFERROR(IF(Tabelle1324[[#This Row],[Status]]=$I$5,0,MIN(Tabelle1324[[#This Row],[Jira Story Points]],Tabelle1324[[#This Row],[Carry-over]])-Tabelle1324[[#This Row],[SP Completed (COS &amp; SOS)]]),0)</f>
        <v>0</v>
      </c>
    </row>
    <row r="75" spans="1:39" s="46" customFormat="1" ht="14.45" customHeight="1">
      <c r="A75" s="157" t="s">
        <v>3509</v>
      </c>
      <c r="B75" s="47" t="s">
        <v>3510</v>
      </c>
      <c r="C75" s="76" t="s">
        <v>382</v>
      </c>
      <c r="D75" s="76">
        <v>3</v>
      </c>
      <c r="E75" s="76" t="s">
        <v>324</v>
      </c>
      <c r="F75" s="121" t="s">
        <v>210</v>
      </c>
      <c r="G75" s="76" t="s">
        <v>9</v>
      </c>
      <c r="H75" s="83"/>
      <c r="I75" s="103"/>
      <c r="J75" s="76" t="s">
        <v>125</v>
      </c>
      <c r="K75" s="104"/>
      <c r="L75" s="104"/>
      <c r="M75" s="136">
        <f>IF(Tabelle1324[[#This Row],[Pulled after Start]]="",MIN(Tabelle1324[[#This Row],[Jira Story Points]],Tabelle1324[[#This Row],[Carry-over]]),0)</f>
        <v>0</v>
      </c>
      <c r="N75" s="136">
        <f>MIN(Tabelle1324[[#This Row],[Jira Story Points]],Tabelle1324[[#This Row],[Carry-over]])-Tabelle1324[[#This Row],[SP Initially Planned (COS)]]</f>
        <v>0</v>
      </c>
      <c r="O75" s="104" t="str">
        <f>IFERROR(IF(Tabelle1324[[#This Row],[Status]]=$I$5,0,IF(AND(Tabelle1324[[#This Row],[Status]]=$H$5,Tabelle1324[[#This Row],[Spill-over]]=0),0,IF(Tabelle1324[[#This Row],[Carry-over]]&lt;&gt;0,Tabelle1324[[#This Row],[Carry-over]]-Tabelle1324[[#This Row],[Spill-over]],Tabelle1324[[#This Row],[Jira Story Points]]-Tabelle1324[[#This Row],[Spill-over]]))),"-")</f>
        <v>-</v>
      </c>
      <c r="P75" s="136">
        <f>IFERROR(IF(Tabelle1324[[#This Row],[Status]]=$I$5,MIN(Tabelle1324[[#This Row],[Jira Story Points]],Tabelle1324[[#This Row],[Carry-over]]),0),0)</f>
        <v>0</v>
      </c>
      <c r="Q75" s="156">
        <f>IFERROR(IF(Tabelle1324[[#This Row],[Status]]=$I$5,0,MIN(Tabelle1324[[#This Row],[Jira Story Points]],Tabelle1324[[#This Row],[Carry-over]])-Tabelle1324[[#This Row],[SP Completed (COS &amp; SOS)]]),0)</f>
        <v>0</v>
      </c>
    </row>
    <row r="76" spans="1:39" s="46" customFormat="1">
      <c r="A76" s="88" t="s">
        <v>3511</v>
      </c>
      <c r="B76" s="46" t="s">
        <v>3512</v>
      </c>
      <c r="C76" s="112" t="s">
        <v>215</v>
      </c>
      <c r="D76" s="76">
        <v>1</v>
      </c>
      <c r="E76" s="76" t="s">
        <v>238</v>
      </c>
      <c r="F76" s="76">
        <v>5</v>
      </c>
      <c r="G76" s="76" t="s">
        <v>12</v>
      </c>
      <c r="H76" s="76" t="s">
        <v>209</v>
      </c>
      <c r="I76" s="103" t="s">
        <v>3513</v>
      </c>
      <c r="J76" s="76" t="s">
        <v>125</v>
      </c>
      <c r="K76" s="76"/>
      <c r="L76" s="76"/>
      <c r="M76" s="136">
        <f>IF(Tabelle1324[[#This Row],[Pulled after Start]]="",MIN(Tabelle1324[[#This Row],[Jira Story Points]],Tabelle1324[[#This Row],[Carry-over]]),0)</f>
        <v>0</v>
      </c>
      <c r="N76" s="136">
        <f>MIN(Tabelle1324[[#This Row],[Jira Story Points]],Tabelle1324[[#This Row],[Carry-over]])-Tabelle1324[[#This Row],[SP Initially Planned (COS)]]</f>
        <v>5</v>
      </c>
      <c r="O76" s="104">
        <f>IFERROR(IF(Tabelle1324[[#This Row],[Status]]=$I$5,0,IF(AND(Tabelle1324[[#This Row],[Status]]=$H$5,Tabelle1324[[#This Row],[Spill-over]]=0),0,IF(Tabelle1324[[#This Row],[Carry-over]]&lt;&gt;0,Tabelle1324[[#This Row],[Carry-over]]-Tabelle1324[[#This Row],[Spill-over]],Tabelle1324[[#This Row],[Jira Story Points]]-Tabelle1324[[#This Row],[Spill-over]]))),"-")</f>
        <v>5</v>
      </c>
      <c r="P76" s="136">
        <f>IFERROR(IF(Tabelle1324[[#This Row],[Status]]=$I$5,MIN(Tabelle1324[[#This Row],[Jira Story Points]],Tabelle1324[[#This Row],[Carry-over]]),0),0)</f>
        <v>0</v>
      </c>
      <c r="Q76" s="156">
        <f>IFERROR(IF(Tabelle1324[[#This Row],[Status]]=$I$5,0,MIN(Tabelle1324[[#This Row],[Jira Story Points]],Tabelle1324[[#This Row],[Carry-over]])-Tabelle1324[[#This Row],[SP Completed (COS &amp; SOS)]]),0)</f>
        <v>0</v>
      </c>
    </row>
    <row r="77" spans="1:39" s="46" customFormat="1" ht="13.5" customHeight="1">
      <c r="A77" s="88" t="s">
        <v>3213</v>
      </c>
      <c r="B77" s="46" t="s">
        <v>3214</v>
      </c>
      <c r="C77" s="76" t="s">
        <v>222</v>
      </c>
      <c r="D77" s="76">
        <v>3</v>
      </c>
      <c r="E77" s="76" t="s">
        <v>2568</v>
      </c>
      <c r="F77" s="76">
        <v>3</v>
      </c>
      <c r="G77" s="76" t="s">
        <v>12</v>
      </c>
      <c r="H77" s="76"/>
      <c r="I77" s="103"/>
      <c r="J77" s="76" t="s">
        <v>127</v>
      </c>
      <c r="K77" s="76">
        <v>1</v>
      </c>
      <c r="L77" s="76"/>
      <c r="M77" s="136">
        <f>IF(Tabelle1324[[#This Row],[Pulled after Start]]="",MIN(Tabelle1324[[#This Row],[Jira Story Points]],Tabelle1324[[#This Row],[Carry-over]]),0)</f>
        <v>1</v>
      </c>
      <c r="N77" s="136">
        <f>MIN(Tabelle1324[[#This Row],[Jira Story Points]],Tabelle1324[[#This Row],[Carry-over]])-Tabelle1324[[#This Row],[SP Initially Planned (COS)]]</f>
        <v>0</v>
      </c>
      <c r="O77" s="104">
        <f>IFERROR(IF(Tabelle1324[[#This Row],[Status]]=$I$5,0,IF(AND(Tabelle1324[[#This Row],[Status]]=$H$5,Tabelle1324[[#This Row],[Spill-over]]=0),0,IF(Tabelle1324[[#This Row],[Carry-over]]&lt;&gt;0,Tabelle1324[[#This Row],[Carry-over]]-Tabelle1324[[#This Row],[Spill-over]],Tabelle1324[[#This Row],[Jira Story Points]]-Tabelle1324[[#This Row],[Spill-over]]))),"-")</f>
        <v>0</v>
      </c>
      <c r="P77" s="136">
        <f>IFERROR(IF(Tabelle1324[[#This Row],[Status]]=$I$5,MIN(Tabelle1324[[#This Row],[Jira Story Points]],Tabelle1324[[#This Row],[Carry-over]]),0),0)</f>
        <v>0</v>
      </c>
      <c r="Q77" s="156">
        <f>IFERROR(IF(Tabelle1324[[#This Row],[Status]]=$I$5,0,MIN(Tabelle1324[[#This Row],[Jira Story Points]],Tabelle1324[[#This Row],[Carry-over]])-Tabelle1324[[#This Row],[SP Completed (COS &amp; SOS)]]),0)</f>
        <v>1</v>
      </c>
    </row>
    <row r="78" spans="1:39" s="46" customFormat="1" ht="13.5" customHeight="1">
      <c r="A78" s="88" t="s">
        <v>3224</v>
      </c>
      <c r="B78" s="46" t="s">
        <v>3225</v>
      </c>
      <c r="C78" s="76" t="s">
        <v>222</v>
      </c>
      <c r="D78" s="76">
        <v>3</v>
      </c>
      <c r="E78" s="76" t="s">
        <v>2568</v>
      </c>
      <c r="F78" s="76">
        <v>1</v>
      </c>
      <c r="G78" s="76" t="s">
        <v>12</v>
      </c>
      <c r="H78" s="76"/>
      <c r="I78" s="103" t="s">
        <v>3514</v>
      </c>
      <c r="J78" s="76" t="s">
        <v>127</v>
      </c>
      <c r="K78" s="76">
        <v>1</v>
      </c>
      <c r="L78" s="76"/>
      <c r="M78" s="136">
        <f>IF(Tabelle1324[[#This Row],[Pulled after Start]]="",MIN(Tabelle1324[[#This Row],[Jira Story Points]],Tabelle1324[[#This Row],[Carry-over]]),0)</f>
        <v>1</v>
      </c>
      <c r="N78" s="136">
        <f>MIN(Tabelle1324[[#This Row],[Jira Story Points]],Tabelle1324[[#This Row],[Carry-over]])-Tabelle1324[[#This Row],[SP Initially Planned (COS)]]</f>
        <v>0</v>
      </c>
      <c r="O78" s="104">
        <f>IFERROR(IF(Tabelle1324[[#This Row],[Status]]=$I$5,0,IF(AND(Tabelle1324[[#This Row],[Status]]=$H$5,Tabelle1324[[#This Row],[Spill-over]]=0),0,IF(Tabelle1324[[#This Row],[Carry-over]]&lt;&gt;0,Tabelle1324[[#This Row],[Carry-over]]-Tabelle1324[[#This Row],[Spill-over]],Tabelle1324[[#This Row],[Jira Story Points]]-Tabelle1324[[#This Row],[Spill-over]]))),"-")</f>
        <v>0</v>
      </c>
      <c r="P78" s="136">
        <f>IFERROR(IF(Tabelle1324[[#This Row],[Status]]=$I$5,MIN(Tabelle1324[[#This Row],[Jira Story Points]],Tabelle1324[[#This Row],[Carry-over]]),0),0)</f>
        <v>0</v>
      </c>
      <c r="Q78" s="156">
        <f>IFERROR(IF(Tabelle1324[[#This Row],[Status]]=$I$5,0,MIN(Tabelle1324[[#This Row],[Jira Story Points]],Tabelle1324[[#This Row],[Carry-over]])-Tabelle1324[[#This Row],[SP Completed (COS &amp; SOS)]]),0)</f>
        <v>1</v>
      </c>
    </row>
    <row r="79" spans="1:39" s="46" customFormat="1" ht="13.5" customHeight="1">
      <c r="A79" s="88" t="s">
        <v>3195</v>
      </c>
      <c r="B79" s="46" t="s">
        <v>3196</v>
      </c>
      <c r="C79" s="76" t="s">
        <v>222</v>
      </c>
      <c r="D79" s="76">
        <v>3</v>
      </c>
      <c r="E79" s="76" t="s">
        <v>238</v>
      </c>
      <c r="F79" s="76">
        <v>3</v>
      </c>
      <c r="G79" s="76" t="s">
        <v>12</v>
      </c>
      <c r="H79" s="76"/>
      <c r="I79" s="103"/>
      <c r="J79" s="76" t="s">
        <v>127</v>
      </c>
      <c r="K79" s="76">
        <v>2</v>
      </c>
      <c r="L79" s="76"/>
      <c r="M79" s="136">
        <f>IF(Tabelle1324[[#This Row],[Pulled after Start]]="",MIN(Tabelle1324[[#This Row],[Jira Story Points]],Tabelle1324[[#This Row],[Carry-over]]),0)</f>
        <v>2</v>
      </c>
      <c r="N79" s="136">
        <f>MIN(Tabelle1324[[#This Row],[Jira Story Points]],Tabelle1324[[#This Row],[Carry-over]])-Tabelle1324[[#This Row],[SP Initially Planned (COS)]]</f>
        <v>0</v>
      </c>
      <c r="O79" s="104">
        <f>IFERROR(IF(Tabelle1324[[#This Row],[Status]]=$I$5,0,IF(AND(Tabelle1324[[#This Row],[Status]]=$H$5,Tabelle1324[[#This Row],[Spill-over]]=0),0,IF(Tabelle1324[[#This Row],[Carry-over]]&lt;&gt;0,Tabelle1324[[#This Row],[Carry-over]]-Tabelle1324[[#This Row],[Spill-over]],Tabelle1324[[#This Row],[Jira Story Points]]-Tabelle1324[[#This Row],[Spill-over]]))),"-")</f>
        <v>0</v>
      </c>
      <c r="P79" s="136">
        <f>IFERROR(IF(Tabelle1324[[#This Row],[Status]]=$I$5,MIN(Tabelle1324[[#This Row],[Jira Story Points]],Tabelle1324[[#This Row],[Carry-over]]),0),0)</f>
        <v>0</v>
      </c>
      <c r="Q79" s="156">
        <f>IFERROR(IF(Tabelle1324[[#This Row],[Status]]=$I$5,0,MIN(Tabelle1324[[#This Row],[Jira Story Points]],Tabelle1324[[#This Row],[Carry-over]])-Tabelle1324[[#This Row],[SP Completed (COS &amp; SOS)]]),0)</f>
        <v>2</v>
      </c>
    </row>
    <row r="80" spans="1:39" s="46" customFormat="1" ht="13.5" customHeight="1">
      <c r="A80" s="88" t="s">
        <v>3220</v>
      </c>
      <c r="B80" s="46" t="s">
        <v>3221</v>
      </c>
      <c r="C80" s="76" t="s">
        <v>222</v>
      </c>
      <c r="D80" s="76">
        <v>3</v>
      </c>
      <c r="E80" s="76" t="s">
        <v>238</v>
      </c>
      <c r="F80" s="76">
        <v>3</v>
      </c>
      <c r="G80" s="76" t="s">
        <v>12</v>
      </c>
      <c r="H80" s="76"/>
      <c r="I80" s="103" t="s">
        <v>3515</v>
      </c>
      <c r="J80" s="76" t="s">
        <v>127</v>
      </c>
      <c r="K80" s="76"/>
      <c r="L80" s="76"/>
      <c r="M80" s="136">
        <f>IF(Tabelle1324[[#This Row],[Pulled after Start]]="",MIN(Tabelle1324[[#This Row],[Jira Story Points]],Tabelle1324[[#This Row],[Carry-over]]),0)</f>
        <v>3</v>
      </c>
      <c r="N80" s="136">
        <f>MIN(Tabelle1324[[#This Row],[Jira Story Points]],Tabelle1324[[#This Row],[Carry-over]])-Tabelle1324[[#This Row],[SP Initially Planned (COS)]]</f>
        <v>0</v>
      </c>
      <c r="O80" s="104">
        <f>IFERROR(IF(Tabelle1324[[#This Row],[Status]]=$I$5,0,IF(AND(Tabelle1324[[#This Row],[Status]]=$H$5,Tabelle1324[[#This Row],[Spill-over]]=0),0,IF(Tabelle1324[[#This Row],[Carry-over]]&lt;&gt;0,Tabelle1324[[#This Row],[Carry-over]]-Tabelle1324[[#This Row],[Spill-over]],Tabelle1324[[#This Row],[Jira Story Points]]-Tabelle1324[[#This Row],[Spill-over]]))),"-")</f>
        <v>0</v>
      </c>
      <c r="P80" s="136">
        <f>IFERROR(IF(Tabelle1324[[#This Row],[Status]]=$I$5,MIN(Tabelle1324[[#This Row],[Jira Story Points]],Tabelle1324[[#This Row],[Carry-over]]),0),0)</f>
        <v>0</v>
      </c>
      <c r="Q80" s="156">
        <f>IFERROR(IF(Tabelle1324[[#This Row],[Status]]=$I$5,0,MIN(Tabelle1324[[#This Row],[Jira Story Points]],Tabelle1324[[#This Row],[Carry-over]])-Tabelle1324[[#This Row],[SP Completed (COS &amp; SOS)]]),0)</f>
        <v>3</v>
      </c>
    </row>
    <row r="81" spans="1:17" s="46" customFormat="1" ht="13.5" customHeight="1">
      <c r="A81" s="88" t="s">
        <v>3516</v>
      </c>
      <c r="B81" s="46" t="s">
        <v>3517</v>
      </c>
      <c r="C81" s="76" t="s">
        <v>222</v>
      </c>
      <c r="D81" s="76">
        <v>3</v>
      </c>
      <c r="E81" s="76" t="s">
        <v>216</v>
      </c>
      <c r="F81" s="76">
        <v>3</v>
      </c>
      <c r="G81" s="76" t="s">
        <v>12</v>
      </c>
      <c r="H81" s="76"/>
      <c r="I81" s="103"/>
      <c r="J81" s="76" t="s">
        <v>125</v>
      </c>
      <c r="K81" s="76"/>
      <c r="L81" s="76"/>
      <c r="M81" s="136">
        <f>IF(Tabelle1324[[#This Row],[Pulled after Start]]="",MIN(Tabelle1324[[#This Row],[Jira Story Points]],Tabelle1324[[#This Row],[Carry-over]]),0)</f>
        <v>3</v>
      </c>
      <c r="N81" s="136">
        <f>MIN(Tabelle1324[[#This Row],[Jira Story Points]],Tabelle1324[[#This Row],[Carry-over]])-Tabelle1324[[#This Row],[SP Initially Planned (COS)]]</f>
        <v>0</v>
      </c>
      <c r="O81" s="104">
        <f>IFERROR(IF(Tabelle1324[[#This Row],[Status]]=$I$5,0,IF(AND(Tabelle1324[[#This Row],[Status]]=$H$5,Tabelle1324[[#This Row],[Spill-over]]=0),0,IF(Tabelle1324[[#This Row],[Carry-over]]&lt;&gt;0,Tabelle1324[[#This Row],[Carry-over]]-Tabelle1324[[#This Row],[Spill-over]],Tabelle1324[[#This Row],[Jira Story Points]]-Tabelle1324[[#This Row],[Spill-over]]))),"-")</f>
        <v>3</v>
      </c>
      <c r="P81" s="136">
        <f>IFERROR(IF(Tabelle1324[[#This Row],[Status]]=$I$5,MIN(Tabelle1324[[#This Row],[Jira Story Points]],Tabelle1324[[#This Row],[Carry-over]]),0),0)</f>
        <v>0</v>
      </c>
      <c r="Q81" s="156">
        <f>IFERROR(IF(Tabelle1324[[#This Row],[Status]]=$I$5,0,MIN(Tabelle1324[[#This Row],[Jira Story Points]],Tabelle1324[[#This Row],[Carry-over]])-Tabelle1324[[#This Row],[SP Completed (COS &amp; SOS)]]),0)</f>
        <v>0</v>
      </c>
    </row>
    <row r="82" spans="1:17" s="46" customFormat="1" ht="13.5" customHeight="1">
      <c r="A82" s="88" t="s">
        <v>3518</v>
      </c>
      <c r="B82" s="46" t="s">
        <v>3519</v>
      </c>
      <c r="C82" s="76" t="s">
        <v>222</v>
      </c>
      <c r="D82" s="76">
        <v>3</v>
      </c>
      <c r="E82" s="76" t="s">
        <v>216</v>
      </c>
      <c r="F82" s="76">
        <v>2</v>
      </c>
      <c r="G82" s="76" t="s">
        <v>12</v>
      </c>
      <c r="H82" s="76" t="s">
        <v>209</v>
      </c>
      <c r="I82" s="103"/>
      <c r="J82" s="76" t="s">
        <v>125</v>
      </c>
      <c r="K82" s="76">
        <v>1</v>
      </c>
      <c r="L82" s="76"/>
      <c r="M82" s="136">
        <f>IF(Tabelle1324[[#This Row],[Pulled after Start]]="",MIN(Tabelle1324[[#This Row],[Jira Story Points]],Tabelle1324[[#This Row],[Carry-over]]),0)</f>
        <v>0</v>
      </c>
      <c r="N82" s="136">
        <f>MIN(Tabelle1324[[#This Row],[Jira Story Points]],Tabelle1324[[#This Row],[Carry-over]])-Tabelle1324[[#This Row],[SP Initially Planned (COS)]]</f>
        <v>1</v>
      </c>
      <c r="O82" s="104">
        <f>IFERROR(IF(Tabelle1324[[#This Row],[Status]]=$I$5,0,IF(AND(Tabelle1324[[#This Row],[Status]]=$H$5,Tabelle1324[[#This Row],[Spill-over]]=0),0,IF(Tabelle1324[[#This Row],[Carry-over]]&lt;&gt;0,Tabelle1324[[#This Row],[Carry-over]]-Tabelle1324[[#This Row],[Spill-over]],Tabelle1324[[#This Row],[Jira Story Points]]-Tabelle1324[[#This Row],[Spill-over]]))),"-")</f>
        <v>1</v>
      </c>
      <c r="P82" s="136">
        <f>IFERROR(IF(Tabelle1324[[#This Row],[Status]]=$I$5,MIN(Tabelle1324[[#This Row],[Jira Story Points]],Tabelle1324[[#This Row],[Carry-over]]),0),0)</f>
        <v>0</v>
      </c>
      <c r="Q82" s="156">
        <f>IFERROR(IF(Tabelle1324[[#This Row],[Status]]=$I$5,0,MIN(Tabelle1324[[#This Row],[Jira Story Points]],Tabelle1324[[#This Row],[Carry-over]])-Tabelle1324[[#This Row],[SP Completed (COS &amp; SOS)]]),0)</f>
        <v>0</v>
      </c>
    </row>
    <row r="83" spans="1:17" s="46" customFormat="1" ht="13.5" customHeight="1">
      <c r="A83" s="88" t="s">
        <v>3520</v>
      </c>
      <c r="B83" s="46" t="s">
        <v>3521</v>
      </c>
      <c r="C83" s="76" t="s">
        <v>222</v>
      </c>
      <c r="D83" s="76">
        <v>3</v>
      </c>
      <c r="E83" s="76" t="s">
        <v>216</v>
      </c>
      <c r="F83" s="76">
        <v>2</v>
      </c>
      <c r="G83" s="76" t="s">
        <v>12</v>
      </c>
      <c r="H83" s="76" t="s">
        <v>209</v>
      </c>
      <c r="I83" s="103"/>
      <c r="J83" s="76" t="s">
        <v>125</v>
      </c>
      <c r="K83" s="76"/>
      <c r="L83" s="76"/>
      <c r="M83" s="136">
        <f>IF(Tabelle1324[[#This Row],[Pulled after Start]]="",MIN(Tabelle1324[[#This Row],[Jira Story Points]],Tabelle1324[[#This Row],[Carry-over]]),0)</f>
        <v>0</v>
      </c>
      <c r="N83" s="136">
        <f>MIN(Tabelle1324[[#This Row],[Jira Story Points]],Tabelle1324[[#This Row],[Carry-over]])-Tabelle1324[[#This Row],[SP Initially Planned (COS)]]</f>
        <v>2</v>
      </c>
      <c r="O83" s="104">
        <f>IFERROR(IF(Tabelle1324[[#This Row],[Status]]=$I$5,0,IF(AND(Tabelle1324[[#This Row],[Status]]=$H$5,Tabelle1324[[#This Row],[Spill-over]]=0),0,IF(Tabelle1324[[#This Row],[Carry-over]]&lt;&gt;0,Tabelle1324[[#This Row],[Carry-over]]-Tabelle1324[[#This Row],[Spill-over]],Tabelle1324[[#This Row],[Jira Story Points]]-Tabelle1324[[#This Row],[Spill-over]]))),"-")</f>
        <v>2</v>
      </c>
      <c r="P83" s="136">
        <f>IFERROR(IF(Tabelle1324[[#This Row],[Status]]=$I$5,MIN(Tabelle1324[[#This Row],[Jira Story Points]],Tabelle1324[[#This Row],[Carry-over]]),0),0)</f>
        <v>0</v>
      </c>
      <c r="Q83" s="156">
        <f>IFERROR(IF(Tabelle1324[[#This Row],[Status]]=$I$5,0,MIN(Tabelle1324[[#This Row],[Jira Story Points]],Tabelle1324[[#This Row],[Carry-over]])-Tabelle1324[[#This Row],[SP Completed (COS &amp; SOS)]]),0)</f>
        <v>0</v>
      </c>
    </row>
    <row r="84" spans="1:17" s="46" customFormat="1" ht="13.5" customHeight="1">
      <c r="A84" s="88" t="s">
        <v>3216</v>
      </c>
      <c r="B84" s="46" t="s">
        <v>3217</v>
      </c>
      <c r="C84" s="76" t="s">
        <v>222</v>
      </c>
      <c r="D84" s="76">
        <v>3</v>
      </c>
      <c r="E84" s="76" t="s">
        <v>238</v>
      </c>
      <c r="F84" s="76">
        <v>2</v>
      </c>
      <c r="G84" s="76" t="s">
        <v>12</v>
      </c>
      <c r="H84" s="76" t="s">
        <v>209</v>
      </c>
      <c r="I84" s="103" t="s">
        <v>3522</v>
      </c>
      <c r="J84" s="76" t="s">
        <v>127</v>
      </c>
      <c r="K84" s="76"/>
      <c r="L84" s="76"/>
      <c r="M84" s="136">
        <f>IF(Tabelle1324[[#This Row],[Pulled after Start]]="",MIN(Tabelle1324[[#This Row],[Jira Story Points]],Tabelle1324[[#This Row],[Carry-over]]),0)</f>
        <v>0</v>
      </c>
      <c r="N84" s="136">
        <f>MIN(Tabelle1324[[#This Row],[Jira Story Points]],Tabelle1324[[#This Row],[Carry-over]])-Tabelle1324[[#This Row],[SP Initially Planned (COS)]]</f>
        <v>2</v>
      </c>
      <c r="O84" s="104">
        <f>IFERROR(IF(Tabelle1324[[#This Row],[Status]]=$I$5,0,IF(AND(Tabelle1324[[#This Row],[Status]]=$H$5,Tabelle1324[[#This Row],[Spill-over]]=0),0,IF(Tabelle1324[[#This Row],[Carry-over]]&lt;&gt;0,Tabelle1324[[#This Row],[Carry-over]]-Tabelle1324[[#This Row],[Spill-over]],Tabelle1324[[#This Row],[Jira Story Points]]-Tabelle1324[[#This Row],[Spill-over]]))),"-")</f>
        <v>0</v>
      </c>
      <c r="P84" s="136">
        <f>IFERROR(IF(Tabelle1324[[#This Row],[Status]]=$I$5,MIN(Tabelle1324[[#This Row],[Jira Story Points]],Tabelle1324[[#This Row],[Carry-over]]),0),0)</f>
        <v>0</v>
      </c>
      <c r="Q84" s="156">
        <f>IFERROR(IF(Tabelle1324[[#This Row],[Status]]=$I$5,0,MIN(Tabelle1324[[#This Row],[Jira Story Points]],Tabelle1324[[#This Row],[Carry-over]])-Tabelle1324[[#This Row],[SP Completed (COS &amp; SOS)]]),0)</f>
        <v>2</v>
      </c>
    </row>
    <row r="85" spans="1:17" s="46" customFormat="1" ht="13.5" customHeight="1">
      <c r="A85" s="161" t="s">
        <v>3523</v>
      </c>
      <c r="B85" s="47" t="s">
        <v>3524</v>
      </c>
      <c r="C85" s="76" t="s">
        <v>375</v>
      </c>
      <c r="D85" s="76">
        <v>2</v>
      </c>
      <c r="E85" s="76" t="s">
        <v>327</v>
      </c>
      <c r="F85" s="76">
        <v>3</v>
      </c>
      <c r="G85" s="76" t="s">
        <v>27</v>
      </c>
      <c r="H85" s="76" t="s">
        <v>209</v>
      </c>
      <c r="I85" s="103" t="s">
        <v>3525</v>
      </c>
      <c r="J85" s="76" t="s">
        <v>125</v>
      </c>
      <c r="K85" s="76"/>
      <c r="L85" s="76"/>
      <c r="M85" s="136">
        <f>IF(Tabelle1324[[#This Row],[Pulled after Start]]="",MIN(Tabelle1324[[#This Row],[Jira Story Points]],Tabelle1324[[#This Row],[Carry-over]]),0)</f>
        <v>0</v>
      </c>
      <c r="N85" s="136">
        <f>MIN(Tabelle1324[[#This Row],[Jira Story Points]],Tabelle1324[[#This Row],[Carry-over]])-Tabelle1324[[#This Row],[SP Initially Planned (COS)]]</f>
        <v>3</v>
      </c>
      <c r="O85" s="104">
        <f>IFERROR(IF(Tabelle1324[[#This Row],[Status]]=$I$5,0,IF(AND(Tabelle1324[[#This Row],[Status]]=$H$5,Tabelle1324[[#This Row],[Spill-over]]=0),0,IF(Tabelle1324[[#This Row],[Carry-over]]&lt;&gt;0,Tabelle1324[[#This Row],[Carry-over]]-Tabelle1324[[#This Row],[Spill-over]],Tabelle1324[[#This Row],[Jira Story Points]]-Tabelle1324[[#This Row],[Spill-over]]))),"-")</f>
        <v>3</v>
      </c>
      <c r="P85" s="136">
        <f>IFERROR(IF(Tabelle1324[[#This Row],[Status]]=$I$5,MIN(Tabelle1324[[#This Row],[Jira Story Points]],Tabelle1324[[#This Row],[Carry-over]]),0),0)</f>
        <v>0</v>
      </c>
      <c r="Q85" s="156">
        <f>IFERROR(IF(Tabelle1324[[#This Row],[Status]]=$I$5,0,MIN(Tabelle1324[[#This Row],[Jira Story Points]],Tabelle1324[[#This Row],[Carry-over]])-Tabelle1324[[#This Row],[SP Completed (COS &amp; SOS)]]),0)</f>
        <v>0</v>
      </c>
    </row>
    <row r="86" spans="1:17" s="46" customFormat="1" ht="13.5" customHeight="1">
      <c r="A86" s="158" t="s">
        <v>3526</v>
      </c>
      <c r="B86" s="47" t="s">
        <v>3527</v>
      </c>
      <c r="C86" s="76" t="s">
        <v>375</v>
      </c>
      <c r="D86" s="76">
        <v>3</v>
      </c>
      <c r="E86" s="76" t="s">
        <v>324</v>
      </c>
      <c r="F86" s="76">
        <v>3</v>
      </c>
      <c r="G86" s="76" t="s">
        <v>27</v>
      </c>
      <c r="H86" s="76"/>
      <c r="I86" s="103" t="s">
        <v>3525</v>
      </c>
      <c r="J86" s="76" t="s">
        <v>125</v>
      </c>
      <c r="K86" s="76"/>
      <c r="L86" s="76"/>
      <c r="M86" s="136">
        <f>IF(Tabelle1324[[#This Row],[Pulled after Start]]="",MIN(Tabelle1324[[#This Row],[Jira Story Points]],Tabelle1324[[#This Row],[Carry-over]]),0)</f>
        <v>3</v>
      </c>
      <c r="N86" s="136">
        <f>MIN(Tabelle1324[[#This Row],[Jira Story Points]],Tabelle1324[[#This Row],[Carry-over]])-Tabelle1324[[#This Row],[SP Initially Planned (COS)]]</f>
        <v>0</v>
      </c>
      <c r="O86" s="104">
        <f>IFERROR(IF(Tabelle1324[[#This Row],[Status]]=$I$5,0,IF(AND(Tabelle1324[[#This Row],[Status]]=$H$5,Tabelle1324[[#This Row],[Spill-over]]=0),0,IF(Tabelle1324[[#This Row],[Carry-over]]&lt;&gt;0,Tabelle1324[[#This Row],[Carry-over]]-Tabelle1324[[#This Row],[Spill-over]],Tabelle1324[[#This Row],[Jira Story Points]]-Tabelle1324[[#This Row],[Spill-over]]))),"-")</f>
        <v>3</v>
      </c>
      <c r="P86" s="136">
        <f>IFERROR(IF(Tabelle1324[[#This Row],[Status]]=$I$5,MIN(Tabelle1324[[#This Row],[Jira Story Points]],Tabelle1324[[#This Row],[Carry-over]]),0),0)</f>
        <v>0</v>
      </c>
      <c r="Q86" s="156">
        <f>IFERROR(IF(Tabelle1324[[#This Row],[Status]]=$I$5,0,MIN(Tabelle1324[[#This Row],[Jira Story Points]],Tabelle1324[[#This Row],[Carry-over]])-Tabelle1324[[#This Row],[SP Completed (COS &amp; SOS)]]),0)</f>
        <v>0</v>
      </c>
    </row>
    <row r="87" spans="1:17" s="46" customFormat="1" ht="13.5" customHeight="1">
      <c r="A87" s="158" t="s">
        <v>3528</v>
      </c>
      <c r="B87" s="47" t="s">
        <v>3529</v>
      </c>
      <c r="C87" s="76" t="s">
        <v>375</v>
      </c>
      <c r="D87" s="76">
        <v>2</v>
      </c>
      <c r="E87" s="76" t="s">
        <v>327</v>
      </c>
      <c r="F87" s="76">
        <v>5</v>
      </c>
      <c r="G87" s="76" t="s">
        <v>27</v>
      </c>
      <c r="H87" s="76"/>
      <c r="I87" s="103"/>
      <c r="J87" s="76" t="s">
        <v>125</v>
      </c>
      <c r="K87" s="76"/>
      <c r="L87" s="76"/>
      <c r="M87" s="136">
        <f>IF(Tabelle1324[[#This Row],[Pulled after Start]]="",MIN(Tabelle1324[[#This Row],[Jira Story Points]],Tabelle1324[[#This Row],[Carry-over]]),0)</f>
        <v>5</v>
      </c>
      <c r="N87" s="136">
        <f>MIN(Tabelle1324[[#This Row],[Jira Story Points]],Tabelle1324[[#This Row],[Carry-over]])-Tabelle1324[[#This Row],[SP Initially Planned (COS)]]</f>
        <v>0</v>
      </c>
      <c r="O87" s="104">
        <f>IFERROR(IF(Tabelle1324[[#This Row],[Status]]=$I$5,0,IF(AND(Tabelle1324[[#This Row],[Status]]=$H$5,Tabelle1324[[#This Row],[Spill-over]]=0),0,IF(Tabelle1324[[#This Row],[Carry-over]]&lt;&gt;0,Tabelle1324[[#This Row],[Carry-over]]-Tabelle1324[[#This Row],[Spill-over]],Tabelle1324[[#This Row],[Jira Story Points]]-Tabelle1324[[#This Row],[Spill-over]]))),"-")</f>
        <v>5</v>
      </c>
      <c r="P87" s="136">
        <f>IFERROR(IF(Tabelle1324[[#This Row],[Status]]=$I$5,MIN(Tabelle1324[[#This Row],[Jira Story Points]],Tabelle1324[[#This Row],[Carry-over]]),0),0)</f>
        <v>0</v>
      </c>
      <c r="Q87" s="156">
        <f>IFERROR(IF(Tabelle1324[[#This Row],[Status]]=$I$5,0,MIN(Tabelle1324[[#This Row],[Jira Story Points]],Tabelle1324[[#This Row],[Carry-over]])-Tabelle1324[[#This Row],[SP Completed (COS &amp; SOS)]]),0)</f>
        <v>0</v>
      </c>
    </row>
    <row r="88" spans="1:17" s="46" customFormat="1" ht="13.5" customHeight="1">
      <c r="A88" s="158" t="s">
        <v>3530</v>
      </c>
      <c r="B88" s="47" t="s">
        <v>3531</v>
      </c>
      <c r="C88" s="76" t="s">
        <v>372</v>
      </c>
      <c r="D88" s="76">
        <v>3</v>
      </c>
      <c r="E88" s="76" t="s">
        <v>327</v>
      </c>
      <c r="F88" s="76">
        <v>20</v>
      </c>
      <c r="G88" s="76" t="s">
        <v>27</v>
      </c>
      <c r="H88" s="76"/>
      <c r="I88" s="103" t="s">
        <v>3532</v>
      </c>
      <c r="J88" s="76" t="s">
        <v>125</v>
      </c>
      <c r="K88" s="76"/>
      <c r="L88" s="76"/>
      <c r="M88" s="136">
        <f>IF(Tabelle1324[[#This Row],[Pulled after Start]]="",MIN(Tabelle1324[[#This Row],[Jira Story Points]],Tabelle1324[[#This Row],[Carry-over]]),0)</f>
        <v>20</v>
      </c>
      <c r="N88" s="136">
        <f>MIN(Tabelle1324[[#This Row],[Jira Story Points]],Tabelle1324[[#This Row],[Carry-over]])-Tabelle1324[[#This Row],[SP Initially Planned (COS)]]</f>
        <v>0</v>
      </c>
      <c r="O88" s="104">
        <f>IFERROR(IF(Tabelle1324[[#This Row],[Status]]=$I$5,0,IF(AND(Tabelle1324[[#This Row],[Status]]=$H$5,Tabelle1324[[#This Row],[Spill-over]]=0),0,IF(Tabelle1324[[#This Row],[Carry-over]]&lt;&gt;0,Tabelle1324[[#This Row],[Carry-over]]-Tabelle1324[[#This Row],[Spill-over]],Tabelle1324[[#This Row],[Jira Story Points]]-Tabelle1324[[#This Row],[Spill-over]]))),"-")</f>
        <v>20</v>
      </c>
      <c r="P88" s="136">
        <f>IFERROR(IF(Tabelle1324[[#This Row],[Status]]=$I$5,MIN(Tabelle1324[[#This Row],[Jira Story Points]],Tabelle1324[[#This Row],[Carry-over]]),0),0)</f>
        <v>0</v>
      </c>
      <c r="Q88" s="156">
        <f>IFERROR(IF(Tabelle1324[[#This Row],[Status]]=$I$5,0,MIN(Tabelle1324[[#This Row],[Jira Story Points]],Tabelle1324[[#This Row],[Carry-over]])-Tabelle1324[[#This Row],[SP Completed (COS &amp; SOS)]]),0)</f>
        <v>0</v>
      </c>
    </row>
    <row r="89" spans="1:17" s="46" customFormat="1" ht="13.5" customHeight="1">
      <c r="A89" s="158" t="s">
        <v>3533</v>
      </c>
      <c r="B89" s="47" t="s">
        <v>3534</v>
      </c>
      <c r="C89" s="76" t="s">
        <v>372</v>
      </c>
      <c r="D89" s="76">
        <v>3</v>
      </c>
      <c r="E89" s="76" t="s">
        <v>324</v>
      </c>
      <c r="F89" s="76">
        <v>5</v>
      </c>
      <c r="G89" s="76" t="s">
        <v>27</v>
      </c>
      <c r="H89" s="76"/>
      <c r="I89" s="103"/>
      <c r="J89" s="76" t="s">
        <v>125</v>
      </c>
      <c r="K89" s="76"/>
      <c r="L89" s="76"/>
      <c r="M89" s="136">
        <f>IF(Tabelle1324[[#This Row],[Pulled after Start]]="",MIN(Tabelle1324[[#This Row],[Jira Story Points]],Tabelle1324[[#This Row],[Carry-over]]),0)</f>
        <v>5</v>
      </c>
      <c r="N89" s="136">
        <f>MIN(Tabelle1324[[#This Row],[Jira Story Points]],Tabelle1324[[#This Row],[Carry-over]])-Tabelle1324[[#This Row],[SP Initially Planned (COS)]]</f>
        <v>0</v>
      </c>
      <c r="O89" s="104">
        <f>IFERROR(IF(Tabelle1324[[#This Row],[Status]]=$I$5,0,IF(AND(Tabelle1324[[#This Row],[Status]]=$H$5,Tabelle1324[[#This Row],[Spill-over]]=0),0,IF(Tabelle1324[[#This Row],[Carry-over]]&lt;&gt;0,Tabelle1324[[#This Row],[Carry-over]]-Tabelle1324[[#This Row],[Spill-over]],Tabelle1324[[#This Row],[Jira Story Points]]-Tabelle1324[[#This Row],[Spill-over]]))),"-")</f>
        <v>5</v>
      </c>
      <c r="P89" s="136">
        <f>IFERROR(IF(Tabelle1324[[#This Row],[Status]]=$I$5,MIN(Tabelle1324[[#This Row],[Jira Story Points]],Tabelle1324[[#This Row],[Carry-over]]),0),0)</f>
        <v>0</v>
      </c>
      <c r="Q89" s="156">
        <f>IFERROR(IF(Tabelle1324[[#This Row],[Status]]=$I$5,0,MIN(Tabelle1324[[#This Row],[Jira Story Points]],Tabelle1324[[#This Row],[Carry-over]])-Tabelle1324[[#This Row],[SP Completed (COS &amp; SOS)]]),0)</f>
        <v>0</v>
      </c>
    </row>
    <row r="90" spans="1:17" s="46" customFormat="1" ht="13.5" customHeight="1">
      <c r="A90" s="158" t="s">
        <v>3535</v>
      </c>
      <c r="B90" s="47" t="s">
        <v>2348</v>
      </c>
      <c r="C90" s="76" t="s">
        <v>372</v>
      </c>
      <c r="D90" s="76">
        <v>3</v>
      </c>
      <c r="E90" s="76" t="s">
        <v>327</v>
      </c>
      <c r="F90" s="76">
        <v>3</v>
      </c>
      <c r="G90" s="76" t="s">
        <v>27</v>
      </c>
      <c r="H90" s="76"/>
      <c r="I90" s="103"/>
      <c r="J90" s="76" t="s">
        <v>125</v>
      </c>
      <c r="K90" s="76"/>
      <c r="L90" s="76"/>
      <c r="M90" s="136">
        <f>IF(Tabelle1324[[#This Row],[Pulled after Start]]="",MIN(Tabelle1324[[#This Row],[Jira Story Points]],Tabelle1324[[#This Row],[Carry-over]]),0)</f>
        <v>3</v>
      </c>
      <c r="N90" s="136">
        <f>MIN(Tabelle1324[[#This Row],[Jira Story Points]],Tabelle1324[[#This Row],[Carry-over]])-Tabelle1324[[#This Row],[SP Initially Planned (COS)]]</f>
        <v>0</v>
      </c>
      <c r="O90" s="104">
        <f>IFERROR(IF(Tabelle1324[[#This Row],[Status]]=$I$5,0,IF(AND(Tabelle1324[[#This Row],[Status]]=$H$5,Tabelle1324[[#This Row],[Spill-over]]=0),0,IF(Tabelle1324[[#This Row],[Carry-over]]&lt;&gt;0,Tabelle1324[[#This Row],[Carry-over]]-Tabelle1324[[#This Row],[Spill-over]],Tabelle1324[[#This Row],[Jira Story Points]]-Tabelle1324[[#This Row],[Spill-over]]))),"-")</f>
        <v>3</v>
      </c>
      <c r="P90" s="136">
        <f>IFERROR(IF(Tabelle1324[[#This Row],[Status]]=$I$5,MIN(Tabelle1324[[#This Row],[Jira Story Points]],Tabelle1324[[#This Row],[Carry-over]]),0),0)</f>
        <v>0</v>
      </c>
      <c r="Q90" s="156">
        <f>IFERROR(IF(Tabelle1324[[#This Row],[Status]]=$I$5,0,MIN(Tabelle1324[[#This Row],[Jira Story Points]],Tabelle1324[[#This Row],[Carry-over]])-Tabelle1324[[#This Row],[SP Completed (COS &amp; SOS)]]),0)</f>
        <v>0</v>
      </c>
    </row>
    <row r="91" spans="1:17" s="46" customFormat="1" ht="13.5" customHeight="1">
      <c r="A91" s="158" t="s">
        <v>3536</v>
      </c>
      <c r="B91" s="47" t="s">
        <v>3537</v>
      </c>
      <c r="C91" s="76" t="s">
        <v>372</v>
      </c>
      <c r="D91" s="76">
        <v>3</v>
      </c>
      <c r="E91" s="76" t="s">
        <v>637</v>
      </c>
      <c r="F91" s="76">
        <v>3</v>
      </c>
      <c r="G91" s="76" t="s">
        <v>27</v>
      </c>
      <c r="H91" s="76"/>
      <c r="I91" s="103" t="s">
        <v>3538</v>
      </c>
      <c r="J91" s="76" t="s">
        <v>125</v>
      </c>
      <c r="K91" s="76"/>
      <c r="L91" s="76"/>
      <c r="M91" s="136">
        <f>IF(Tabelle1324[[#This Row],[Pulled after Start]]="",MIN(Tabelle1324[[#This Row],[Jira Story Points]],Tabelle1324[[#This Row],[Carry-over]]),0)</f>
        <v>3</v>
      </c>
      <c r="N91" s="136">
        <f>MIN(Tabelle1324[[#This Row],[Jira Story Points]],Tabelle1324[[#This Row],[Carry-over]])-Tabelle1324[[#This Row],[SP Initially Planned (COS)]]</f>
        <v>0</v>
      </c>
      <c r="O91" s="104">
        <f>IFERROR(IF(Tabelle1324[[#This Row],[Status]]=$I$5,0,IF(AND(Tabelle1324[[#This Row],[Status]]=$H$5,Tabelle1324[[#This Row],[Spill-over]]=0),0,IF(Tabelle1324[[#This Row],[Carry-over]]&lt;&gt;0,Tabelle1324[[#This Row],[Carry-over]]-Tabelle1324[[#This Row],[Spill-over]],Tabelle1324[[#This Row],[Jira Story Points]]-Tabelle1324[[#This Row],[Spill-over]]))),"-")</f>
        <v>3</v>
      </c>
      <c r="P91" s="136">
        <f>IFERROR(IF(Tabelle1324[[#This Row],[Status]]=$I$5,MIN(Tabelle1324[[#This Row],[Jira Story Points]],Tabelle1324[[#This Row],[Carry-over]]),0),0)</f>
        <v>0</v>
      </c>
      <c r="Q91" s="156">
        <f>IFERROR(IF(Tabelle1324[[#This Row],[Status]]=$I$5,0,MIN(Tabelle1324[[#This Row],[Jira Story Points]],Tabelle1324[[#This Row],[Carry-over]])-Tabelle1324[[#This Row],[SP Completed (COS &amp; SOS)]]),0)</f>
        <v>0</v>
      </c>
    </row>
    <row r="92" spans="1:17" s="46" customFormat="1" ht="13.5" customHeight="1">
      <c r="A92" s="158" t="s">
        <v>3539</v>
      </c>
      <c r="B92" s="47" t="s">
        <v>3540</v>
      </c>
      <c r="C92" s="76" t="s">
        <v>372</v>
      </c>
      <c r="D92" s="76">
        <v>3</v>
      </c>
      <c r="E92" s="76" t="s">
        <v>327</v>
      </c>
      <c r="F92" s="76">
        <v>5</v>
      </c>
      <c r="G92" s="76" t="s">
        <v>27</v>
      </c>
      <c r="H92" s="76" t="s">
        <v>209</v>
      </c>
      <c r="I92" s="103"/>
      <c r="J92" s="76" t="s">
        <v>125</v>
      </c>
      <c r="K92" s="76"/>
      <c r="L92" s="76"/>
      <c r="M92" s="136">
        <f>IF(Tabelle1324[[#This Row],[Pulled after Start]]="",MIN(Tabelle1324[[#This Row],[Jira Story Points]],Tabelle1324[[#This Row],[Carry-over]]),0)</f>
        <v>0</v>
      </c>
      <c r="N92" s="136">
        <f>MIN(Tabelle1324[[#This Row],[Jira Story Points]],Tabelle1324[[#This Row],[Carry-over]])-Tabelle1324[[#This Row],[SP Initially Planned (COS)]]</f>
        <v>5</v>
      </c>
      <c r="O92" s="104">
        <f>IFERROR(IF(Tabelle1324[[#This Row],[Status]]=$I$5,0,IF(AND(Tabelle1324[[#This Row],[Status]]=$H$5,Tabelle1324[[#This Row],[Spill-over]]=0),0,IF(Tabelle1324[[#This Row],[Carry-over]]&lt;&gt;0,Tabelle1324[[#This Row],[Carry-over]]-Tabelle1324[[#This Row],[Spill-over]],Tabelle1324[[#This Row],[Jira Story Points]]-Tabelle1324[[#This Row],[Spill-over]]))),"-")</f>
        <v>5</v>
      </c>
      <c r="P92" s="136">
        <f>IFERROR(IF(Tabelle1324[[#This Row],[Status]]=$I$5,MIN(Tabelle1324[[#This Row],[Jira Story Points]],Tabelle1324[[#This Row],[Carry-over]]),0),0)</f>
        <v>0</v>
      </c>
      <c r="Q92" s="156">
        <f>IFERROR(IF(Tabelle1324[[#This Row],[Status]]=$I$5,0,MIN(Tabelle1324[[#This Row],[Jira Story Points]],Tabelle1324[[#This Row],[Carry-over]])-Tabelle1324[[#This Row],[SP Completed (COS &amp; SOS)]]),0)</f>
        <v>0</v>
      </c>
    </row>
    <row r="93" spans="1:17" s="46" customFormat="1" ht="13.5" customHeight="1">
      <c r="A93" s="158" t="s">
        <v>2871</v>
      </c>
      <c r="B93" s="47" t="s">
        <v>2872</v>
      </c>
      <c r="C93" s="76" t="s">
        <v>372</v>
      </c>
      <c r="D93" s="76">
        <v>3</v>
      </c>
      <c r="E93" s="76" t="s">
        <v>327</v>
      </c>
      <c r="F93" s="76">
        <v>8</v>
      </c>
      <c r="G93" s="76" t="s">
        <v>27</v>
      </c>
      <c r="H93" s="76" t="s">
        <v>209</v>
      </c>
      <c r="I93" s="103"/>
      <c r="J93" s="76" t="s">
        <v>127</v>
      </c>
      <c r="K93" s="76"/>
      <c r="L93" s="76"/>
      <c r="M93" s="136">
        <f>IF(Tabelle1324[[#This Row],[Pulled after Start]]="",MIN(Tabelle1324[[#This Row],[Jira Story Points]],Tabelle1324[[#This Row],[Carry-over]]),0)</f>
        <v>0</v>
      </c>
      <c r="N93" s="136">
        <f>MIN(Tabelle1324[[#This Row],[Jira Story Points]],Tabelle1324[[#This Row],[Carry-over]])-Tabelle1324[[#This Row],[SP Initially Planned (COS)]]</f>
        <v>8</v>
      </c>
      <c r="O93" s="104">
        <f>IFERROR(IF(Tabelle1324[[#This Row],[Status]]=$I$5,0,IF(AND(Tabelle1324[[#This Row],[Status]]=$H$5,Tabelle1324[[#This Row],[Spill-over]]=0),0,IF(Tabelle1324[[#This Row],[Carry-over]]&lt;&gt;0,Tabelle1324[[#This Row],[Carry-over]]-Tabelle1324[[#This Row],[Spill-over]],Tabelle1324[[#This Row],[Jira Story Points]]-Tabelle1324[[#This Row],[Spill-over]]))),"-")</f>
        <v>0</v>
      </c>
      <c r="P93" s="136">
        <f>IFERROR(IF(Tabelle1324[[#This Row],[Status]]=$I$5,MIN(Tabelle1324[[#This Row],[Jira Story Points]],Tabelle1324[[#This Row],[Carry-over]]),0),0)</f>
        <v>0</v>
      </c>
      <c r="Q93" s="156">
        <f>IFERROR(IF(Tabelle1324[[#This Row],[Status]]=$I$5,0,MIN(Tabelle1324[[#This Row],[Jira Story Points]],Tabelle1324[[#This Row],[Carry-over]])-Tabelle1324[[#This Row],[SP Completed (COS &amp; SOS)]]),0)</f>
        <v>8</v>
      </c>
    </row>
    <row r="94" spans="1:17" s="46" customFormat="1" ht="13.5" customHeight="1">
      <c r="A94" s="158" t="s">
        <v>3541</v>
      </c>
      <c r="B94" s="47" t="s">
        <v>3542</v>
      </c>
      <c r="C94" s="76" t="s">
        <v>372</v>
      </c>
      <c r="D94" s="76">
        <v>3</v>
      </c>
      <c r="E94" s="76" t="s">
        <v>327</v>
      </c>
      <c r="F94" s="76">
        <v>1</v>
      </c>
      <c r="G94" s="76" t="s">
        <v>27</v>
      </c>
      <c r="H94" s="76" t="s">
        <v>209</v>
      </c>
      <c r="I94" s="103"/>
      <c r="J94" s="76" t="s">
        <v>125</v>
      </c>
      <c r="K94" s="76"/>
      <c r="L94" s="76"/>
      <c r="M94" s="136">
        <f>IF(Tabelle1324[[#This Row],[Pulled after Start]]="",MIN(Tabelle1324[[#This Row],[Jira Story Points]],Tabelle1324[[#This Row],[Carry-over]]),0)</f>
        <v>0</v>
      </c>
      <c r="N94" s="136">
        <f>MIN(Tabelle1324[[#This Row],[Jira Story Points]],Tabelle1324[[#This Row],[Carry-over]])-Tabelle1324[[#This Row],[SP Initially Planned (COS)]]</f>
        <v>1</v>
      </c>
      <c r="O94" s="104">
        <f>IFERROR(IF(Tabelle1324[[#This Row],[Status]]=$I$5,0,IF(AND(Tabelle1324[[#This Row],[Status]]=$H$5,Tabelle1324[[#This Row],[Spill-over]]=0),0,IF(Tabelle1324[[#This Row],[Carry-over]]&lt;&gt;0,Tabelle1324[[#This Row],[Carry-over]]-Tabelle1324[[#This Row],[Spill-over]],Tabelle1324[[#This Row],[Jira Story Points]]-Tabelle1324[[#This Row],[Spill-over]]))),"-")</f>
        <v>1</v>
      </c>
      <c r="P94" s="136">
        <f>IFERROR(IF(Tabelle1324[[#This Row],[Status]]=$I$5,MIN(Tabelle1324[[#This Row],[Jira Story Points]],Tabelle1324[[#This Row],[Carry-over]]),0),0)</f>
        <v>0</v>
      </c>
      <c r="Q94" s="156">
        <f>IFERROR(IF(Tabelle1324[[#This Row],[Status]]=$I$5,0,MIN(Tabelle1324[[#This Row],[Jira Story Points]],Tabelle1324[[#This Row],[Carry-over]])-Tabelle1324[[#This Row],[SP Completed (COS &amp; SOS)]]),0)</f>
        <v>0</v>
      </c>
    </row>
    <row r="95" spans="1:17" s="46" customFormat="1" ht="13.5" customHeight="1">
      <c r="A95" s="158" t="s">
        <v>3543</v>
      </c>
      <c r="B95" s="47" t="s">
        <v>3544</v>
      </c>
      <c r="C95" s="76" t="s">
        <v>382</v>
      </c>
      <c r="D95" s="76">
        <v>3</v>
      </c>
      <c r="E95" s="76" t="s">
        <v>324</v>
      </c>
      <c r="F95" s="76">
        <v>1</v>
      </c>
      <c r="G95" s="76" t="s">
        <v>27</v>
      </c>
      <c r="H95" s="76" t="s">
        <v>209</v>
      </c>
      <c r="I95" s="103"/>
      <c r="J95" s="76" t="s">
        <v>125</v>
      </c>
      <c r="K95" s="76"/>
      <c r="L95" s="76"/>
      <c r="M95" s="136">
        <f>IF(Tabelle1324[[#This Row],[Pulled after Start]]="",MIN(Tabelle1324[[#This Row],[Jira Story Points]],Tabelle1324[[#This Row],[Carry-over]]),0)</f>
        <v>0</v>
      </c>
      <c r="N95" s="136">
        <f>MIN(Tabelle1324[[#This Row],[Jira Story Points]],Tabelle1324[[#This Row],[Carry-over]])-Tabelle1324[[#This Row],[SP Initially Planned (COS)]]</f>
        <v>1</v>
      </c>
      <c r="O95" s="104">
        <f>IFERROR(IF(Tabelle1324[[#This Row],[Status]]=$I$5,0,IF(AND(Tabelle1324[[#This Row],[Status]]=$H$5,Tabelle1324[[#This Row],[Spill-over]]=0),0,IF(Tabelle1324[[#This Row],[Carry-over]]&lt;&gt;0,Tabelle1324[[#This Row],[Carry-over]]-Tabelle1324[[#This Row],[Spill-over]],Tabelle1324[[#This Row],[Jira Story Points]]-Tabelle1324[[#This Row],[Spill-over]]))),"-")</f>
        <v>1</v>
      </c>
      <c r="P95" s="136">
        <f>IFERROR(IF(Tabelle1324[[#This Row],[Status]]=$I$5,MIN(Tabelle1324[[#This Row],[Jira Story Points]],Tabelle1324[[#This Row],[Carry-over]]),0),0)</f>
        <v>0</v>
      </c>
      <c r="Q95" s="156">
        <f>IFERROR(IF(Tabelle1324[[#This Row],[Status]]=$I$5,0,MIN(Tabelle1324[[#This Row],[Jira Story Points]],Tabelle1324[[#This Row],[Carry-over]])-Tabelle1324[[#This Row],[SP Completed (COS &amp; SOS)]]),0)</f>
        <v>0</v>
      </c>
    </row>
    <row r="96" spans="1:17" s="46" customFormat="1" ht="13.5" customHeight="1">
      <c r="A96" s="158" t="s">
        <v>3545</v>
      </c>
      <c r="B96" s="47" t="s">
        <v>3546</v>
      </c>
      <c r="C96" s="76" t="s">
        <v>382</v>
      </c>
      <c r="D96" s="76">
        <v>3</v>
      </c>
      <c r="E96" s="76" t="s">
        <v>327</v>
      </c>
      <c r="F96" s="76">
        <v>1</v>
      </c>
      <c r="G96" s="76" t="s">
        <v>27</v>
      </c>
      <c r="H96" s="76" t="s">
        <v>209</v>
      </c>
      <c r="I96" s="103"/>
      <c r="J96" s="76" t="s">
        <v>125</v>
      </c>
      <c r="K96" s="76"/>
      <c r="L96" s="76"/>
      <c r="M96" s="136">
        <f>IF(Tabelle1324[[#This Row],[Pulled after Start]]="",MIN(Tabelle1324[[#This Row],[Jira Story Points]],Tabelle1324[[#This Row],[Carry-over]]),0)</f>
        <v>0</v>
      </c>
      <c r="N96" s="136">
        <f>MIN(Tabelle1324[[#This Row],[Jira Story Points]],Tabelle1324[[#This Row],[Carry-over]])-Tabelle1324[[#This Row],[SP Initially Planned (COS)]]</f>
        <v>1</v>
      </c>
      <c r="O96" s="104">
        <f>IFERROR(IF(Tabelle1324[[#This Row],[Status]]=$I$5,0,IF(AND(Tabelle1324[[#This Row],[Status]]=$H$5,Tabelle1324[[#This Row],[Spill-over]]=0),0,IF(Tabelle1324[[#This Row],[Carry-over]]&lt;&gt;0,Tabelle1324[[#This Row],[Carry-over]]-Tabelle1324[[#This Row],[Spill-over]],Tabelle1324[[#This Row],[Jira Story Points]]-Tabelle1324[[#This Row],[Spill-over]]))),"-")</f>
        <v>1</v>
      </c>
      <c r="P96" s="136">
        <f>IFERROR(IF(Tabelle1324[[#This Row],[Status]]=$I$5,MIN(Tabelle1324[[#This Row],[Jira Story Points]],Tabelle1324[[#This Row],[Carry-over]]),0),0)</f>
        <v>0</v>
      </c>
      <c r="Q96" s="156">
        <f>IFERROR(IF(Tabelle1324[[#This Row],[Status]]=$I$5,0,MIN(Tabelle1324[[#This Row],[Jira Story Points]],Tabelle1324[[#This Row],[Carry-over]])-Tabelle1324[[#This Row],[SP Completed (COS &amp; SOS)]]),0)</f>
        <v>0</v>
      </c>
    </row>
    <row r="97" spans="1:17" s="46" customFormat="1" ht="13.5" customHeight="1">
      <c r="A97" s="88" t="s">
        <v>3547</v>
      </c>
      <c r="B97" s="101" t="s">
        <v>3548</v>
      </c>
      <c r="C97" s="76" t="s">
        <v>3549</v>
      </c>
      <c r="D97" s="76">
        <v>3</v>
      </c>
      <c r="E97" s="76" t="s">
        <v>324</v>
      </c>
      <c r="F97" s="76">
        <v>5</v>
      </c>
      <c r="G97" s="76" t="s">
        <v>21</v>
      </c>
      <c r="H97" s="83" t="s">
        <v>209</v>
      </c>
      <c r="I97" s="103"/>
      <c r="J97" s="76" t="s">
        <v>125</v>
      </c>
      <c r="K97" s="104"/>
      <c r="L97" s="104"/>
      <c r="M97" s="136">
        <f>IF(Tabelle1324[[#This Row],[Pulled after Start]]="",MIN(Tabelle1324[[#This Row],[Jira Story Points]],Tabelle1324[[#This Row],[Carry-over]]),0)</f>
        <v>0</v>
      </c>
      <c r="N97" s="136">
        <f>MIN(Tabelle1324[[#This Row],[Jira Story Points]],Tabelle1324[[#This Row],[Carry-over]])-Tabelle1324[[#This Row],[SP Initially Planned (COS)]]</f>
        <v>5</v>
      </c>
      <c r="O97" s="104">
        <f>IFERROR(IF(Tabelle1324[[#This Row],[Status]]=$I$5,0,IF(AND(Tabelle1324[[#This Row],[Status]]=$H$5,Tabelle1324[[#This Row],[Spill-over]]=0),0,IF(Tabelle1324[[#This Row],[Carry-over]]&lt;&gt;0,Tabelle1324[[#This Row],[Carry-over]]-Tabelle1324[[#This Row],[Spill-over]],Tabelle1324[[#This Row],[Jira Story Points]]-Tabelle1324[[#This Row],[Spill-over]]))),"-")</f>
        <v>5</v>
      </c>
      <c r="P97" s="136">
        <f>IFERROR(IF(Tabelle1324[[#This Row],[Status]]=$I$5,MIN(Tabelle1324[[#This Row],[Jira Story Points]],Tabelle1324[[#This Row],[Carry-over]]),0),0)</f>
        <v>0</v>
      </c>
      <c r="Q97" s="156">
        <f>IFERROR(IF(Tabelle1324[[#This Row],[Status]]=$I$5,0,MIN(Tabelle1324[[#This Row],[Jira Story Points]],Tabelle1324[[#This Row],[Carry-over]])-Tabelle1324[[#This Row],[SP Completed (COS &amp; SOS)]]),0)</f>
        <v>0</v>
      </c>
    </row>
    <row r="98" spans="1:17" s="46" customFormat="1" ht="13.5" customHeight="1">
      <c r="A98" s="88" t="s">
        <v>3076</v>
      </c>
      <c r="B98" s="80" t="s">
        <v>3077</v>
      </c>
      <c r="C98" s="76" t="s">
        <v>375</v>
      </c>
      <c r="D98" s="76">
        <v>2</v>
      </c>
      <c r="E98" s="76" t="s">
        <v>327</v>
      </c>
      <c r="F98" s="76">
        <v>5</v>
      </c>
      <c r="G98" s="76" t="s">
        <v>21</v>
      </c>
      <c r="H98" s="83"/>
      <c r="I98" s="103"/>
      <c r="J98" s="76" t="s">
        <v>127</v>
      </c>
      <c r="K98" s="104"/>
      <c r="L98" s="104"/>
      <c r="M98" s="136">
        <f>IF(Tabelle1324[[#This Row],[Pulled after Start]]="",MIN(Tabelle1324[[#This Row],[Jira Story Points]],Tabelle1324[[#This Row],[Carry-over]]),0)</f>
        <v>5</v>
      </c>
      <c r="N98" s="136">
        <f>MIN(Tabelle1324[[#This Row],[Jira Story Points]],Tabelle1324[[#This Row],[Carry-over]])-Tabelle1324[[#This Row],[SP Initially Planned (COS)]]</f>
        <v>0</v>
      </c>
      <c r="O98" s="104">
        <f>IFERROR(IF(Tabelle1324[[#This Row],[Status]]=$I$5,0,IF(AND(Tabelle1324[[#This Row],[Status]]=$H$5,Tabelle1324[[#This Row],[Spill-over]]=0),0,IF(Tabelle1324[[#This Row],[Carry-over]]&lt;&gt;0,Tabelle1324[[#This Row],[Carry-over]]-Tabelle1324[[#This Row],[Spill-over]],Tabelle1324[[#This Row],[Jira Story Points]]-Tabelle1324[[#This Row],[Spill-over]]))),"-")</f>
        <v>0</v>
      </c>
      <c r="P98" s="136">
        <f>IFERROR(IF(Tabelle1324[[#This Row],[Status]]=$I$5,MIN(Tabelle1324[[#This Row],[Jira Story Points]],Tabelle1324[[#This Row],[Carry-over]]),0),0)</f>
        <v>0</v>
      </c>
      <c r="Q98" s="156">
        <f>IFERROR(IF(Tabelle1324[[#This Row],[Status]]=$I$5,0,MIN(Tabelle1324[[#This Row],[Jira Story Points]],Tabelle1324[[#This Row],[Carry-over]])-Tabelle1324[[#This Row],[SP Completed (COS &amp; SOS)]]),0)</f>
        <v>5</v>
      </c>
    </row>
    <row r="99" spans="1:17" s="46" customFormat="1" ht="13.5" customHeight="1">
      <c r="A99" s="88" t="s">
        <v>3550</v>
      </c>
      <c r="B99" s="80" t="s">
        <v>3551</v>
      </c>
      <c r="C99" s="76" t="s">
        <v>372</v>
      </c>
      <c r="D99" s="76">
        <v>3</v>
      </c>
      <c r="E99" s="76" t="s">
        <v>324</v>
      </c>
      <c r="F99" s="76">
        <v>2</v>
      </c>
      <c r="G99" s="76" t="s">
        <v>21</v>
      </c>
      <c r="H99" s="83"/>
      <c r="I99" s="103"/>
      <c r="J99" s="76" t="s">
        <v>125</v>
      </c>
      <c r="K99" s="104"/>
      <c r="L99" s="104"/>
      <c r="M99" s="136">
        <f>IF(Tabelle1324[[#This Row],[Pulled after Start]]="",MIN(Tabelle1324[[#This Row],[Jira Story Points]],Tabelle1324[[#This Row],[Carry-over]]),0)</f>
        <v>2</v>
      </c>
      <c r="N99" s="136">
        <f>MIN(Tabelle1324[[#This Row],[Jira Story Points]],Tabelle1324[[#This Row],[Carry-over]])-Tabelle1324[[#This Row],[SP Initially Planned (COS)]]</f>
        <v>0</v>
      </c>
      <c r="O99" s="104">
        <f>IFERROR(IF(Tabelle1324[[#This Row],[Status]]=$I$5,0,IF(AND(Tabelle1324[[#This Row],[Status]]=$H$5,Tabelle1324[[#This Row],[Spill-over]]=0),0,IF(Tabelle1324[[#This Row],[Carry-over]]&lt;&gt;0,Tabelle1324[[#This Row],[Carry-over]]-Tabelle1324[[#This Row],[Spill-over]],Tabelle1324[[#This Row],[Jira Story Points]]-Tabelle1324[[#This Row],[Spill-over]]))),"-")</f>
        <v>2</v>
      </c>
      <c r="P99" s="136">
        <f>IFERROR(IF(Tabelle1324[[#This Row],[Status]]=$I$5,MIN(Tabelle1324[[#This Row],[Jira Story Points]],Tabelle1324[[#This Row],[Carry-over]]),0),0)</f>
        <v>0</v>
      </c>
      <c r="Q99" s="156">
        <f>IFERROR(IF(Tabelle1324[[#This Row],[Status]]=$I$5,0,MIN(Tabelle1324[[#This Row],[Jira Story Points]],Tabelle1324[[#This Row],[Carry-over]])-Tabelle1324[[#This Row],[SP Completed (COS &amp; SOS)]]),0)</f>
        <v>0</v>
      </c>
    </row>
    <row r="100" spans="1:17" s="46" customFormat="1" ht="13.5" customHeight="1">
      <c r="A100" s="88" t="s">
        <v>3552</v>
      </c>
      <c r="B100" s="80" t="s">
        <v>3553</v>
      </c>
      <c r="C100" s="76" t="s">
        <v>372</v>
      </c>
      <c r="D100" s="76">
        <v>3</v>
      </c>
      <c r="E100" s="76" t="s">
        <v>324</v>
      </c>
      <c r="F100" s="76">
        <v>2</v>
      </c>
      <c r="G100" s="76" t="s">
        <v>21</v>
      </c>
      <c r="H100" s="83"/>
      <c r="I100" s="103"/>
      <c r="J100" s="76" t="s">
        <v>125</v>
      </c>
      <c r="K100" s="104"/>
      <c r="L100" s="104"/>
      <c r="M100" s="136">
        <f>IF(Tabelle1324[[#This Row],[Pulled after Start]]="",MIN(Tabelle1324[[#This Row],[Jira Story Points]],Tabelle1324[[#This Row],[Carry-over]]),0)</f>
        <v>2</v>
      </c>
      <c r="N100" s="136">
        <f>MIN(Tabelle1324[[#This Row],[Jira Story Points]],Tabelle1324[[#This Row],[Carry-over]])-Tabelle1324[[#This Row],[SP Initially Planned (COS)]]</f>
        <v>0</v>
      </c>
      <c r="O100" s="104">
        <f>IFERROR(IF(Tabelle1324[[#This Row],[Status]]=$I$5,0,IF(AND(Tabelle1324[[#This Row],[Status]]=$H$5,Tabelle1324[[#This Row],[Spill-over]]=0),0,IF(Tabelle1324[[#This Row],[Carry-over]]&lt;&gt;0,Tabelle1324[[#This Row],[Carry-over]]-Tabelle1324[[#This Row],[Spill-over]],Tabelle1324[[#This Row],[Jira Story Points]]-Tabelle1324[[#This Row],[Spill-over]]))),"-")</f>
        <v>2</v>
      </c>
      <c r="P100" s="136">
        <f>IFERROR(IF(Tabelle1324[[#This Row],[Status]]=$I$5,MIN(Tabelle1324[[#This Row],[Jira Story Points]],Tabelle1324[[#This Row],[Carry-over]]),0),0)</f>
        <v>0</v>
      </c>
      <c r="Q100" s="156">
        <f>IFERROR(IF(Tabelle1324[[#This Row],[Status]]=$I$5,0,MIN(Tabelle1324[[#This Row],[Jira Story Points]],Tabelle1324[[#This Row],[Carry-over]])-Tabelle1324[[#This Row],[SP Completed (COS &amp; SOS)]]),0)</f>
        <v>0</v>
      </c>
    </row>
    <row r="101" spans="1:17" s="46" customFormat="1" ht="13.5" customHeight="1">
      <c r="A101" s="88" t="s">
        <v>3554</v>
      </c>
      <c r="B101" s="80" t="s">
        <v>3555</v>
      </c>
      <c r="C101" s="76" t="s">
        <v>372</v>
      </c>
      <c r="D101" s="76">
        <v>3</v>
      </c>
      <c r="E101" s="76" t="s">
        <v>324</v>
      </c>
      <c r="F101" s="76">
        <v>2</v>
      </c>
      <c r="G101" s="76" t="s">
        <v>21</v>
      </c>
      <c r="H101" s="83"/>
      <c r="I101" s="103"/>
      <c r="J101" s="76" t="s">
        <v>125</v>
      </c>
      <c r="K101" s="104"/>
      <c r="L101" s="104"/>
      <c r="M101" s="136">
        <f>IF(Tabelle1324[[#This Row],[Pulled after Start]]="",MIN(Tabelle1324[[#This Row],[Jira Story Points]],Tabelle1324[[#This Row],[Carry-over]]),0)</f>
        <v>2</v>
      </c>
      <c r="N101" s="136">
        <f>MIN(Tabelle1324[[#This Row],[Jira Story Points]],Tabelle1324[[#This Row],[Carry-over]])-Tabelle1324[[#This Row],[SP Initially Planned (COS)]]</f>
        <v>0</v>
      </c>
      <c r="O101" s="104">
        <f>IFERROR(IF(Tabelle1324[[#This Row],[Status]]=$I$5,0,IF(AND(Tabelle1324[[#This Row],[Status]]=$H$5,Tabelle1324[[#This Row],[Spill-over]]=0),0,IF(Tabelle1324[[#This Row],[Carry-over]]&lt;&gt;0,Tabelle1324[[#This Row],[Carry-over]]-Tabelle1324[[#This Row],[Spill-over]],Tabelle1324[[#This Row],[Jira Story Points]]-Tabelle1324[[#This Row],[Spill-over]]))),"-")</f>
        <v>2</v>
      </c>
      <c r="P101" s="136">
        <f>IFERROR(IF(Tabelle1324[[#This Row],[Status]]=$I$5,MIN(Tabelle1324[[#This Row],[Jira Story Points]],Tabelle1324[[#This Row],[Carry-over]]),0),0)</f>
        <v>0</v>
      </c>
      <c r="Q101" s="156">
        <f>IFERROR(IF(Tabelle1324[[#This Row],[Status]]=$I$5,0,MIN(Tabelle1324[[#This Row],[Jira Story Points]],Tabelle1324[[#This Row],[Carry-over]])-Tabelle1324[[#This Row],[SP Completed (COS &amp; SOS)]]),0)</f>
        <v>0</v>
      </c>
    </row>
    <row r="102" spans="1:17" s="46" customFormat="1" ht="13.5" customHeight="1">
      <c r="A102" s="88" t="s">
        <v>3556</v>
      </c>
      <c r="B102" s="80" t="s">
        <v>3557</v>
      </c>
      <c r="C102" s="76" t="s">
        <v>372</v>
      </c>
      <c r="D102" s="76">
        <v>3</v>
      </c>
      <c r="E102" s="76" t="s">
        <v>324</v>
      </c>
      <c r="F102" s="76">
        <v>3</v>
      </c>
      <c r="G102" s="76" t="s">
        <v>21</v>
      </c>
      <c r="H102" s="83"/>
      <c r="I102" s="103"/>
      <c r="J102" s="76" t="s">
        <v>125</v>
      </c>
      <c r="K102" s="104"/>
      <c r="L102" s="104"/>
      <c r="M102" s="136">
        <f>IF(Tabelle1324[[#This Row],[Pulled after Start]]="",MIN(Tabelle1324[[#This Row],[Jira Story Points]],Tabelle1324[[#This Row],[Carry-over]]),0)</f>
        <v>3</v>
      </c>
      <c r="N102" s="136">
        <f>MIN(Tabelle1324[[#This Row],[Jira Story Points]],Tabelle1324[[#This Row],[Carry-over]])-Tabelle1324[[#This Row],[SP Initially Planned (COS)]]</f>
        <v>0</v>
      </c>
      <c r="O102" s="104">
        <f>IFERROR(IF(Tabelle1324[[#This Row],[Status]]=$I$5,0,IF(AND(Tabelle1324[[#This Row],[Status]]=$H$5,Tabelle1324[[#This Row],[Spill-over]]=0),0,IF(Tabelle1324[[#This Row],[Carry-over]]&lt;&gt;0,Tabelle1324[[#This Row],[Carry-over]]-Tabelle1324[[#This Row],[Spill-over]],Tabelle1324[[#This Row],[Jira Story Points]]-Tabelle1324[[#This Row],[Spill-over]]))),"-")</f>
        <v>3</v>
      </c>
      <c r="P102" s="136">
        <f>IFERROR(IF(Tabelle1324[[#This Row],[Status]]=$I$5,MIN(Tabelle1324[[#This Row],[Jira Story Points]],Tabelle1324[[#This Row],[Carry-over]]),0),0)</f>
        <v>0</v>
      </c>
      <c r="Q102" s="156">
        <f>IFERROR(IF(Tabelle1324[[#This Row],[Status]]=$I$5,0,MIN(Tabelle1324[[#This Row],[Jira Story Points]],Tabelle1324[[#This Row],[Carry-over]])-Tabelle1324[[#This Row],[SP Completed (COS &amp; SOS)]]),0)</f>
        <v>0</v>
      </c>
    </row>
    <row r="103" spans="1:17" s="46" customFormat="1" ht="13.5" customHeight="1">
      <c r="A103" s="88" t="s">
        <v>3558</v>
      </c>
      <c r="B103" s="80" t="s">
        <v>3559</v>
      </c>
      <c r="C103" s="76" t="s">
        <v>372</v>
      </c>
      <c r="D103" s="76">
        <v>3</v>
      </c>
      <c r="E103" s="76" t="s">
        <v>324</v>
      </c>
      <c r="F103" s="76">
        <v>1</v>
      </c>
      <c r="G103" s="76" t="s">
        <v>21</v>
      </c>
      <c r="H103" s="83" t="s">
        <v>209</v>
      </c>
      <c r="I103" s="103"/>
      <c r="J103" s="76" t="s">
        <v>125</v>
      </c>
      <c r="K103" s="104"/>
      <c r="L103" s="104"/>
      <c r="M103" s="136">
        <f>IF(Tabelle1324[[#This Row],[Pulled after Start]]="",MIN(Tabelle1324[[#This Row],[Jira Story Points]],Tabelle1324[[#This Row],[Carry-over]]),0)</f>
        <v>0</v>
      </c>
      <c r="N103" s="136">
        <f>MIN(Tabelle1324[[#This Row],[Jira Story Points]],Tabelle1324[[#This Row],[Carry-over]])-Tabelle1324[[#This Row],[SP Initially Planned (COS)]]</f>
        <v>1</v>
      </c>
      <c r="O103" s="104">
        <f>IFERROR(IF(Tabelle1324[[#This Row],[Status]]=$I$5,0,IF(AND(Tabelle1324[[#This Row],[Status]]=$H$5,Tabelle1324[[#This Row],[Spill-over]]=0),0,IF(Tabelle1324[[#This Row],[Carry-over]]&lt;&gt;0,Tabelle1324[[#This Row],[Carry-over]]-Tabelle1324[[#This Row],[Spill-over]],Tabelle1324[[#This Row],[Jira Story Points]]-Tabelle1324[[#This Row],[Spill-over]]))),"-")</f>
        <v>1</v>
      </c>
      <c r="P103" s="136">
        <f>IFERROR(IF(Tabelle1324[[#This Row],[Status]]=$I$5,MIN(Tabelle1324[[#This Row],[Jira Story Points]],Tabelle1324[[#This Row],[Carry-over]]),0),0)</f>
        <v>0</v>
      </c>
      <c r="Q103" s="156">
        <f>IFERROR(IF(Tabelle1324[[#This Row],[Status]]=$I$5,0,MIN(Tabelle1324[[#This Row],[Jira Story Points]],Tabelle1324[[#This Row],[Carry-over]])-Tabelle1324[[#This Row],[SP Completed (COS &amp; SOS)]]),0)</f>
        <v>0</v>
      </c>
    </row>
    <row r="104" spans="1:17" s="46" customFormat="1" ht="13.5" customHeight="1">
      <c r="A104" s="88" t="s">
        <v>3560</v>
      </c>
      <c r="B104" s="80" t="s">
        <v>3561</v>
      </c>
      <c r="C104" s="76" t="s">
        <v>372</v>
      </c>
      <c r="D104" s="76">
        <v>3</v>
      </c>
      <c r="E104" s="76" t="s">
        <v>327</v>
      </c>
      <c r="F104" s="76">
        <v>2</v>
      </c>
      <c r="G104" s="76" t="s">
        <v>21</v>
      </c>
      <c r="H104" s="83"/>
      <c r="I104" s="103"/>
      <c r="J104" s="76" t="s">
        <v>125</v>
      </c>
      <c r="K104" s="104"/>
      <c r="L104" s="104"/>
      <c r="M104" s="136">
        <f>IF(Tabelle1324[[#This Row],[Pulled after Start]]="",MIN(Tabelle1324[[#This Row],[Jira Story Points]],Tabelle1324[[#This Row],[Carry-over]]),0)</f>
        <v>2</v>
      </c>
      <c r="N104" s="136">
        <f>MIN(Tabelle1324[[#This Row],[Jira Story Points]],Tabelle1324[[#This Row],[Carry-over]])-Tabelle1324[[#This Row],[SP Initially Planned (COS)]]</f>
        <v>0</v>
      </c>
      <c r="O104" s="104">
        <f>IFERROR(IF(Tabelle1324[[#This Row],[Status]]=$I$5,0,IF(AND(Tabelle1324[[#This Row],[Status]]=$H$5,Tabelle1324[[#This Row],[Spill-over]]=0),0,IF(Tabelle1324[[#This Row],[Carry-over]]&lt;&gt;0,Tabelle1324[[#This Row],[Carry-over]]-Tabelle1324[[#This Row],[Spill-over]],Tabelle1324[[#This Row],[Jira Story Points]]-Tabelle1324[[#This Row],[Spill-over]]))),"-")</f>
        <v>2</v>
      </c>
      <c r="P104" s="136">
        <f>IFERROR(IF(Tabelle1324[[#This Row],[Status]]=$I$5,MIN(Tabelle1324[[#This Row],[Jira Story Points]],Tabelle1324[[#This Row],[Carry-over]]),0),0)</f>
        <v>0</v>
      </c>
      <c r="Q104" s="156">
        <f>IFERROR(IF(Tabelle1324[[#This Row],[Status]]=$I$5,0,MIN(Tabelle1324[[#This Row],[Jira Story Points]],Tabelle1324[[#This Row],[Carry-over]])-Tabelle1324[[#This Row],[SP Completed (COS &amp; SOS)]]),0)</f>
        <v>0</v>
      </c>
    </row>
    <row r="105" spans="1:17" s="46" customFormat="1" ht="13.5" customHeight="1">
      <c r="A105" s="88" t="s">
        <v>3562</v>
      </c>
      <c r="B105" s="80" t="s">
        <v>3563</v>
      </c>
      <c r="C105" s="76" t="s">
        <v>372</v>
      </c>
      <c r="D105" s="76">
        <v>3</v>
      </c>
      <c r="E105" s="76" t="s">
        <v>351</v>
      </c>
      <c r="F105" s="76">
        <v>1</v>
      </c>
      <c r="G105" s="76" t="s">
        <v>21</v>
      </c>
      <c r="H105" s="83"/>
      <c r="I105" s="103"/>
      <c r="J105" s="76" t="s">
        <v>125</v>
      </c>
      <c r="K105" s="104"/>
      <c r="L105" s="104"/>
      <c r="M105" s="136">
        <f>IF(Tabelle1324[[#This Row],[Pulled after Start]]="",MIN(Tabelle1324[[#This Row],[Jira Story Points]],Tabelle1324[[#This Row],[Carry-over]]),0)</f>
        <v>1</v>
      </c>
      <c r="N105" s="136">
        <f>MIN(Tabelle1324[[#This Row],[Jira Story Points]],Tabelle1324[[#This Row],[Carry-over]])-Tabelle1324[[#This Row],[SP Initially Planned (COS)]]</f>
        <v>0</v>
      </c>
      <c r="O105" s="104">
        <f>IFERROR(IF(Tabelle1324[[#This Row],[Status]]=$I$5,0,IF(AND(Tabelle1324[[#This Row],[Status]]=$H$5,Tabelle1324[[#This Row],[Spill-over]]=0),0,IF(Tabelle1324[[#This Row],[Carry-over]]&lt;&gt;0,Tabelle1324[[#This Row],[Carry-over]]-Tabelle1324[[#This Row],[Spill-over]],Tabelle1324[[#This Row],[Jira Story Points]]-Tabelle1324[[#This Row],[Spill-over]]))),"-")</f>
        <v>1</v>
      </c>
      <c r="P105" s="136">
        <f>IFERROR(IF(Tabelle1324[[#This Row],[Status]]=$I$5,MIN(Tabelle1324[[#This Row],[Jira Story Points]],Tabelle1324[[#This Row],[Carry-over]]),0),0)</f>
        <v>0</v>
      </c>
      <c r="Q105" s="156">
        <f>IFERROR(IF(Tabelle1324[[#This Row],[Status]]=$I$5,0,MIN(Tabelle1324[[#This Row],[Jira Story Points]],Tabelle1324[[#This Row],[Carry-over]])-Tabelle1324[[#This Row],[SP Completed (COS &amp; SOS)]]),0)</f>
        <v>0</v>
      </c>
    </row>
    <row r="106" spans="1:17" s="46" customFormat="1" ht="13.5" customHeight="1">
      <c r="A106" s="88" t="s">
        <v>3190</v>
      </c>
      <c r="B106" s="80" t="s">
        <v>3191</v>
      </c>
      <c r="C106" s="76" t="s">
        <v>372</v>
      </c>
      <c r="D106" s="76">
        <v>3</v>
      </c>
      <c r="E106" s="76" t="s">
        <v>327</v>
      </c>
      <c r="F106" s="76">
        <v>5</v>
      </c>
      <c r="G106" s="76" t="s">
        <v>21</v>
      </c>
      <c r="H106" s="83"/>
      <c r="I106" s="103"/>
      <c r="J106" s="76" t="s">
        <v>127</v>
      </c>
      <c r="K106" s="104"/>
      <c r="L106" s="104"/>
      <c r="M106" s="136">
        <f>IF(Tabelle1324[[#This Row],[Pulled after Start]]="",MIN(Tabelle1324[[#This Row],[Jira Story Points]],Tabelle1324[[#This Row],[Carry-over]]),0)</f>
        <v>5</v>
      </c>
      <c r="N106" s="136">
        <f>MIN(Tabelle1324[[#This Row],[Jira Story Points]],Tabelle1324[[#This Row],[Carry-over]])-Tabelle1324[[#This Row],[SP Initially Planned (COS)]]</f>
        <v>0</v>
      </c>
      <c r="O106" s="104">
        <f>IFERROR(IF(Tabelle1324[[#This Row],[Status]]=$I$5,0,IF(AND(Tabelle1324[[#This Row],[Status]]=$H$5,Tabelle1324[[#This Row],[Spill-over]]=0),0,IF(Tabelle1324[[#This Row],[Carry-over]]&lt;&gt;0,Tabelle1324[[#This Row],[Carry-over]]-Tabelle1324[[#This Row],[Spill-over]],Tabelle1324[[#This Row],[Jira Story Points]]-Tabelle1324[[#This Row],[Spill-over]]))),"-")</f>
        <v>0</v>
      </c>
      <c r="P106" s="136">
        <f>IFERROR(IF(Tabelle1324[[#This Row],[Status]]=$I$5,MIN(Tabelle1324[[#This Row],[Jira Story Points]],Tabelle1324[[#This Row],[Carry-over]]),0),0)</f>
        <v>0</v>
      </c>
      <c r="Q106" s="156">
        <f>IFERROR(IF(Tabelle1324[[#This Row],[Status]]=$I$5,0,MIN(Tabelle1324[[#This Row],[Jira Story Points]],Tabelle1324[[#This Row],[Carry-over]])-Tabelle1324[[#This Row],[SP Completed (COS &amp; SOS)]]),0)</f>
        <v>5</v>
      </c>
    </row>
    <row r="107" spans="1:17" s="46" customFormat="1" ht="13.5" customHeight="1">
      <c r="A107" s="88" t="s">
        <v>3564</v>
      </c>
      <c r="B107" s="80" t="s">
        <v>3565</v>
      </c>
      <c r="C107" s="76" t="s">
        <v>382</v>
      </c>
      <c r="D107" s="76">
        <v>3</v>
      </c>
      <c r="E107" s="76" t="s">
        <v>330</v>
      </c>
      <c r="F107" s="76">
        <v>5</v>
      </c>
      <c r="G107" s="76" t="s">
        <v>21</v>
      </c>
      <c r="H107" s="83"/>
      <c r="I107" s="103"/>
      <c r="J107" s="76" t="s">
        <v>125</v>
      </c>
      <c r="K107" s="104"/>
      <c r="L107" s="104"/>
      <c r="M107" s="136">
        <f>IF(Tabelle1324[[#This Row],[Pulled after Start]]="",MIN(Tabelle1324[[#This Row],[Jira Story Points]],Tabelle1324[[#This Row],[Carry-over]]),0)</f>
        <v>5</v>
      </c>
      <c r="N107" s="136">
        <f>MIN(Tabelle1324[[#This Row],[Jira Story Points]],Tabelle1324[[#This Row],[Carry-over]])-Tabelle1324[[#This Row],[SP Initially Planned (COS)]]</f>
        <v>0</v>
      </c>
      <c r="O107" s="104">
        <f>IFERROR(IF(Tabelle1324[[#This Row],[Status]]=$I$5,0,IF(AND(Tabelle1324[[#This Row],[Status]]=$H$5,Tabelle1324[[#This Row],[Spill-over]]=0),0,IF(Tabelle1324[[#This Row],[Carry-over]]&lt;&gt;0,Tabelle1324[[#This Row],[Carry-over]]-Tabelle1324[[#This Row],[Spill-over]],Tabelle1324[[#This Row],[Jira Story Points]]-Tabelle1324[[#This Row],[Spill-over]]))),"-")</f>
        <v>5</v>
      </c>
      <c r="P107" s="136">
        <f>IFERROR(IF(Tabelle1324[[#This Row],[Status]]=$I$5,MIN(Tabelle1324[[#This Row],[Jira Story Points]],Tabelle1324[[#This Row],[Carry-over]]),0),0)</f>
        <v>0</v>
      </c>
      <c r="Q107" s="156">
        <f>IFERROR(IF(Tabelle1324[[#This Row],[Status]]=$I$5,0,MIN(Tabelle1324[[#This Row],[Jira Story Points]],Tabelle1324[[#This Row],[Carry-over]])-Tabelle1324[[#This Row],[SP Completed (COS &amp; SOS)]]),0)</f>
        <v>0</v>
      </c>
    </row>
    <row r="108" spans="1:17" s="46" customFormat="1" ht="13.5" customHeight="1">
      <c r="A108" s="88" t="s">
        <v>3201</v>
      </c>
      <c r="B108" s="47" t="s">
        <v>3202</v>
      </c>
      <c r="C108" s="76" t="s">
        <v>382</v>
      </c>
      <c r="D108" s="76">
        <v>3</v>
      </c>
      <c r="E108" s="76" t="s">
        <v>330</v>
      </c>
      <c r="F108" s="104">
        <v>2</v>
      </c>
      <c r="G108" s="76" t="s">
        <v>21</v>
      </c>
      <c r="H108" s="83"/>
      <c r="I108" s="103"/>
      <c r="J108" s="76" t="s">
        <v>127</v>
      </c>
      <c r="K108" s="104"/>
      <c r="L108" s="104">
        <v>1</v>
      </c>
      <c r="M108" s="136">
        <f>IF(Tabelle1324[[#This Row],[Pulled after Start]]="",MIN(Tabelle1324[[#This Row],[Jira Story Points]],Tabelle1324[[#This Row],[Carry-over]]),0)</f>
        <v>2</v>
      </c>
      <c r="N108" s="136">
        <f>MIN(Tabelle1324[[#This Row],[Jira Story Points]],Tabelle1324[[#This Row],[Carry-over]])-Tabelle1324[[#This Row],[SP Initially Planned (COS)]]</f>
        <v>0</v>
      </c>
      <c r="O108" s="104">
        <f>IFERROR(IF(Tabelle1324[[#This Row],[Status]]=$I$5,0,IF(AND(Tabelle1324[[#This Row],[Status]]=$H$5,Tabelle1324[[#This Row],[Spill-over]]=0),0,IF(Tabelle1324[[#This Row],[Carry-over]]&lt;&gt;0,Tabelle1324[[#This Row],[Carry-over]]-Tabelle1324[[#This Row],[Spill-over]],Tabelle1324[[#This Row],[Jira Story Points]]-Tabelle1324[[#This Row],[Spill-over]]))),"-")</f>
        <v>1</v>
      </c>
      <c r="P108" s="136">
        <f>IFERROR(IF(Tabelle1324[[#This Row],[Status]]=$I$5,MIN(Tabelle1324[[#This Row],[Jira Story Points]],Tabelle1324[[#This Row],[Carry-over]]),0),0)</f>
        <v>0</v>
      </c>
      <c r="Q108" s="156">
        <f>IFERROR(IF(Tabelle1324[[#This Row],[Status]]=$I$5,0,MIN(Tabelle1324[[#This Row],[Jira Story Points]],Tabelle1324[[#This Row],[Carry-over]])-Tabelle1324[[#This Row],[SP Completed (COS &amp; SOS)]]),0)</f>
        <v>1</v>
      </c>
    </row>
    <row r="109" spans="1:17" s="46" customFormat="1" ht="13.5" customHeight="1">
      <c r="A109" s="88" t="s">
        <v>3566</v>
      </c>
      <c r="B109" s="46" t="s">
        <v>3567</v>
      </c>
      <c r="C109" s="76" t="s">
        <v>372</v>
      </c>
      <c r="D109" s="76">
        <v>2</v>
      </c>
      <c r="E109" s="76" t="s">
        <v>327</v>
      </c>
      <c r="F109" s="76">
        <v>5</v>
      </c>
      <c r="G109" s="76" t="s">
        <v>17</v>
      </c>
      <c r="H109" s="76"/>
      <c r="I109" s="103"/>
      <c r="J109" s="76" t="s">
        <v>125</v>
      </c>
      <c r="K109" s="76"/>
      <c r="L109" s="76"/>
      <c r="M109" s="136">
        <f>IF(Tabelle1324[[#This Row],[Pulled after Start]]="",MIN(Tabelle1324[[#This Row],[Jira Story Points]],Tabelle1324[[#This Row],[Carry-over]]),0)</f>
        <v>5</v>
      </c>
      <c r="N109" s="136">
        <f>MIN(Tabelle1324[[#This Row],[Jira Story Points]],Tabelle1324[[#This Row],[Carry-over]])-Tabelle1324[[#This Row],[SP Initially Planned (COS)]]</f>
        <v>0</v>
      </c>
      <c r="O109" s="104">
        <f>IFERROR(IF(Tabelle1324[[#This Row],[Status]]=$I$5,0,IF(AND(Tabelle1324[[#This Row],[Status]]=$H$5,Tabelle1324[[#This Row],[Spill-over]]=0),0,IF(Tabelle1324[[#This Row],[Carry-over]]&lt;&gt;0,Tabelle1324[[#This Row],[Carry-over]]-Tabelle1324[[#This Row],[Spill-over]],Tabelle1324[[#This Row],[Jira Story Points]]-Tabelle1324[[#This Row],[Spill-over]]))),"-")</f>
        <v>5</v>
      </c>
      <c r="P109" s="136">
        <f>IFERROR(IF(Tabelle1324[[#This Row],[Status]]=$I$5,MIN(Tabelle1324[[#This Row],[Jira Story Points]],Tabelle1324[[#This Row],[Carry-over]]),0),0)</f>
        <v>0</v>
      </c>
      <c r="Q109" s="156">
        <f>IFERROR(IF(Tabelle1324[[#This Row],[Status]]=$I$5,0,MIN(Tabelle1324[[#This Row],[Jira Story Points]],Tabelle1324[[#This Row],[Carry-over]])-Tabelle1324[[#This Row],[SP Completed (COS &amp; SOS)]]),0)</f>
        <v>0</v>
      </c>
    </row>
    <row r="110" spans="1:17" s="46" customFormat="1" ht="13.5" customHeight="1">
      <c r="A110" s="88" t="s">
        <v>3568</v>
      </c>
      <c r="B110" s="46" t="s">
        <v>3569</v>
      </c>
      <c r="C110" s="76" t="s">
        <v>382</v>
      </c>
      <c r="D110" s="76">
        <v>3</v>
      </c>
      <c r="E110" s="76" t="s">
        <v>324</v>
      </c>
      <c r="F110" s="76">
        <v>5</v>
      </c>
      <c r="G110" s="76" t="s">
        <v>17</v>
      </c>
      <c r="H110" s="76"/>
      <c r="I110" s="103"/>
      <c r="J110" s="76" t="s">
        <v>125</v>
      </c>
      <c r="K110" s="76"/>
      <c r="L110" s="76"/>
      <c r="M110" s="136">
        <f>IF(Tabelle1324[[#This Row],[Pulled after Start]]="",MIN(Tabelle1324[[#This Row],[Jira Story Points]],Tabelle1324[[#This Row],[Carry-over]]),0)</f>
        <v>5</v>
      </c>
      <c r="N110" s="136">
        <f>MIN(Tabelle1324[[#This Row],[Jira Story Points]],Tabelle1324[[#This Row],[Carry-over]])-Tabelle1324[[#This Row],[SP Initially Planned (COS)]]</f>
        <v>0</v>
      </c>
      <c r="O110" s="104">
        <f>IFERROR(IF(Tabelle1324[[#This Row],[Status]]=$I$5,0,IF(AND(Tabelle1324[[#This Row],[Status]]=$H$5,Tabelle1324[[#This Row],[Spill-over]]=0),0,IF(Tabelle1324[[#This Row],[Carry-over]]&lt;&gt;0,Tabelle1324[[#This Row],[Carry-over]]-Tabelle1324[[#This Row],[Spill-over]],Tabelle1324[[#This Row],[Jira Story Points]]-Tabelle1324[[#This Row],[Spill-over]]))),"-")</f>
        <v>5</v>
      </c>
      <c r="P110" s="136">
        <f>IFERROR(IF(Tabelle1324[[#This Row],[Status]]=$I$5,MIN(Tabelle1324[[#This Row],[Jira Story Points]],Tabelle1324[[#This Row],[Carry-over]]),0),0)</f>
        <v>0</v>
      </c>
      <c r="Q110" s="156">
        <f>IFERROR(IF(Tabelle1324[[#This Row],[Status]]=$I$5,0,MIN(Tabelle1324[[#This Row],[Jira Story Points]],Tabelle1324[[#This Row],[Carry-over]])-Tabelle1324[[#This Row],[SP Completed (COS &amp; SOS)]]),0)</f>
        <v>0</v>
      </c>
    </row>
    <row r="111" spans="1:17" s="46" customFormat="1" ht="13.5" customHeight="1">
      <c r="A111" s="88" t="s">
        <v>3570</v>
      </c>
      <c r="B111" s="46" t="s">
        <v>3571</v>
      </c>
      <c r="C111" s="76" t="s">
        <v>372</v>
      </c>
      <c r="D111" s="76">
        <v>3</v>
      </c>
      <c r="E111" s="76" t="s">
        <v>327</v>
      </c>
      <c r="F111" s="76">
        <v>2</v>
      </c>
      <c r="G111" s="76" t="s">
        <v>17</v>
      </c>
      <c r="H111" s="76"/>
      <c r="I111" s="103"/>
      <c r="J111" s="76" t="s">
        <v>125</v>
      </c>
      <c r="K111" s="76"/>
      <c r="L111" s="76"/>
      <c r="M111" s="136">
        <f>IF(Tabelle1324[[#This Row],[Pulled after Start]]="",MIN(Tabelle1324[[#This Row],[Jira Story Points]],Tabelle1324[[#This Row],[Carry-over]]),0)</f>
        <v>2</v>
      </c>
      <c r="N111" s="136">
        <f>MIN(Tabelle1324[[#This Row],[Jira Story Points]],Tabelle1324[[#This Row],[Carry-over]])-Tabelle1324[[#This Row],[SP Initially Planned (COS)]]</f>
        <v>0</v>
      </c>
      <c r="O111" s="104">
        <f>IFERROR(IF(Tabelle1324[[#This Row],[Status]]=$I$5,0,IF(AND(Tabelle1324[[#This Row],[Status]]=$H$5,Tabelle1324[[#This Row],[Spill-over]]=0),0,IF(Tabelle1324[[#This Row],[Carry-over]]&lt;&gt;0,Tabelle1324[[#This Row],[Carry-over]]-Tabelle1324[[#This Row],[Spill-over]],Tabelle1324[[#This Row],[Jira Story Points]]-Tabelle1324[[#This Row],[Spill-over]]))),"-")</f>
        <v>2</v>
      </c>
      <c r="P111" s="136">
        <f>IFERROR(IF(Tabelle1324[[#This Row],[Status]]=$I$5,MIN(Tabelle1324[[#This Row],[Jira Story Points]],Tabelle1324[[#This Row],[Carry-over]]),0),0)</f>
        <v>0</v>
      </c>
      <c r="Q111" s="156">
        <f>IFERROR(IF(Tabelle1324[[#This Row],[Status]]=$I$5,0,MIN(Tabelle1324[[#This Row],[Jira Story Points]],Tabelle1324[[#This Row],[Carry-over]])-Tabelle1324[[#This Row],[SP Completed (COS &amp; SOS)]]),0)</f>
        <v>0</v>
      </c>
    </row>
    <row r="112" spans="1:17" s="46" customFormat="1" ht="13.5" customHeight="1">
      <c r="A112" s="88" t="s">
        <v>3572</v>
      </c>
      <c r="B112" s="46" t="s">
        <v>3573</v>
      </c>
      <c r="C112" s="76" t="s">
        <v>372</v>
      </c>
      <c r="D112" s="76">
        <v>2</v>
      </c>
      <c r="E112" s="76" t="s">
        <v>637</v>
      </c>
      <c r="F112" s="76">
        <v>3</v>
      </c>
      <c r="G112" s="76" t="s">
        <v>17</v>
      </c>
      <c r="H112" s="76"/>
      <c r="I112" s="103"/>
      <c r="J112" s="76" t="s">
        <v>125</v>
      </c>
      <c r="K112" s="76"/>
      <c r="L112" s="76"/>
      <c r="M112" s="136">
        <f>IF(Tabelle1324[[#This Row],[Pulled after Start]]="",MIN(Tabelle1324[[#This Row],[Jira Story Points]],Tabelle1324[[#This Row],[Carry-over]]),0)</f>
        <v>3</v>
      </c>
      <c r="N112" s="136">
        <f>MIN(Tabelle1324[[#This Row],[Jira Story Points]],Tabelle1324[[#This Row],[Carry-over]])-Tabelle1324[[#This Row],[SP Initially Planned (COS)]]</f>
        <v>0</v>
      </c>
      <c r="O112" s="104">
        <f>IFERROR(IF(Tabelle1324[[#This Row],[Status]]=$I$5,0,IF(AND(Tabelle1324[[#This Row],[Status]]=$H$5,Tabelle1324[[#This Row],[Spill-over]]=0),0,IF(Tabelle1324[[#This Row],[Carry-over]]&lt;&gt;0,Tabelle1324[[#This Row],[Carry-over]]-Tabelle1324[[#This Row],[Spill-over]],Tabelle1324[[#This Row],[Jira Story Points]]-Tabelle1324[[#This Row],[Spill-over]]))),"-")</f>
        <v>3</v>
      </c>
      <c r="P112" s="136">
        <f>IFERROR(IF(Tabelle1324[[#This Row],[Status]]=$I$5,MIN(Tabelle1324[[#This Row],[Jira Story Points]],Tabelle1324[[#This Row],[Carry-over]]),0),0)</f>
        <v>0</v>
      </c>
      <c r="Q112" s="156">
        <f>IFERROR(IF(Tabelle1324[[#This Row],[Status]]=$I$5,0,MIN(Tabelle1324[[#This Row],[Jira Story Points]],Tabelle1324[[#This Row],[Carry-over]])-Tabelle1324[[#This Row],[SP Completed (COS &amp; SOS)]]),0)</f>
        <v>0</v>
      </c>
    </row>
    <row r="113" spans="1:17" s="46" customFormat="1" ht="13.5" customHeight="1">
      <c r="A113" s="88" t="s">
        <v>3574</v>
      </c>
      <c r="B113" s="46" t="s">
        <v>3575</v>
      </c>
      <c r="C113" s="76" t="s">
        <v>375</v>
      </c>
      <c r="D113" s="76">
        <v>1</v>
      </c>
      <c r="E113" s="76" t="s">
        <v>324</v>
      </c>
      <c r="F113" s="76">
        <v>3</v>
      </c>
      <c r="G113" s="76" t="s">
        <v>17</v>
      </c>
      <c r="H113" s="76" t="s">
        <v>209</v>
      </c>
      <c r="I113" s="103"/>
      <c r="J113" s="76" t="s">
        <v>125</v>
      </c>
      <c r="K113" s="76"/>
      <c r="L113" s="76"/>
      <c r="M113" s="136">
        <f>IF(Tabelle1324[[#This Row],[Pulled after Start]]="",MIN(Tabelle1324[[#This Row],[Jira Story Points]],Tabelle1324[[#This Row],[Carry-over]]),0)</f>
        <v>0</v>
      </c>
      <c r="N113" s="136">
        <f>MIN(Tabelle1324[[#This Row],[Jira Story Points]],Tabelle1324[[#This Row],[Carry-over]])-Tabelle1324[[#This Row],[SP Initially Planned (COS)]]</f>
        <v>3</v>
      </c>
      <c r="O113" s="104">
        <f>IFERROR(IF(Tabelle1324[[#This Row],[Status]]=$I$5,0,IF(AND(Tabelle1324[[#This Row],[Status]]=$H$5,Tabelle1324[[#This Row],[Spill-over]]=0),0,IF(Tabelle1324[[#This Row],[Carry-over]]&lt;&gt;0,Tabelle1324[[#This Row],[Carry-over]]-Tabelle1324[[#This Row],[Spill-over]],Tabelle1324[[#This Row],[Jira Story Points]]-Tabelle1324[[#This Row],[Spill-over]]))),"-")</f>
        <v>3</v>
      </c>
      <c r="P113" s="136">
        <f>IFERROR(IF(Tabelle1324[[#This Row],[Status]]=$I$5,MIN(Tabelle1324[[#This Row],[Jira Story Points]],Tabelle1324[[#This Row],[Carry-over]]),0),0)</f>
        <v>0</v>
      </c>
      <c r="Q113" s="156">
        <f>IFERROR(IF(Tabelle1324[[#This Row],[Status]]=$I$5,0,MIN(Tabelle1324[[#This Row],[Jira Story Points]],Tabelle1324[[#This Row],[Carry-over]])-Tabelle1324[[#This Row],[SP Completed (COS &amp; SOS)]]),0)</f>
        <v>0</v>
      </c>
    </row>
    <row r="114" spans="1:17" s="46" customFormat="1" ht="13.5" customHeight="1">
      <c r="A114" s="88" t="s">
        <v>3576</v>
      </c>
      <c r="B114" s="46" t="s">
        <v>3577</v>
      </c>
      <c r="C114" s="76" t="s">
        <v>382</v>
      </c>
      <c r="D114" s="76">
        <v>3</v>
      </c>
      <c r="E114" s="76" t="s">
        <v>330</v>
      </c>
      <c r="F114" s="76">
        <v>3</v>
      </c>
      <c r="G114" s="76" t="s">
        <v>17</v>
      </c>
      <c r="H114" s="76"/>
      <c r="I114" s="103"/>
      <c r="J114" s="76" t="s">
        <v>125</v>
      </c>
      <c r="K114" s="76"/>
      <c r="L114" s="76"/>
      <c r="M114" s="136">
        <f>IF(Tabelle1324[[#This Row],[Pulled after Start]]="",MIN(Tabelle1324[[#This Row],[Jira Story Points]],Tabelle1324[[#This Row],[Carry-over]]),0)</f>
        <v>3</v>
      </c>
      <c r="N114" s="136">
        <f>MIN(Tabelle1324[[#This Row],[Jira Story Points]],Tabelle1324[[#This Row],[Carry-over]])-Tabelle1324[[#This Row],[SP Initially Planned (COS)]]</f>
        <v>0</v>
      </c>
      <c r="O114" s="104">
        <f>IFERROR(IF(Tabelle1324[[#This Row],[Status]]=$I$5,0,IF(AND(Tabelle1324[[#This Row],[Status]]=$H$5,Tabelle1324[[#This Row],[Spill-over]]=0),0,IF(Tabelle1324[[#This Row],[Carry-over]]&lt;&gt;0,Tabelle1324[[#This Row],[Carry-over]]-Tabelle1324[[#This Row],[Spill-over]],Tabelle1324[[#This Row],[Jira Story Points]]-Tabelle1324[[#This Row],[Spill-over]]))),"-")</f>
        <v>3</v>
      </c>
      <c r="P114" s="136">
        <f>IFERROR(IF(Tabelle1324[[#This Row],[Status]]=$I$5,MIN(Tabelle1324[[#This Row],[Jira Story Points]],Tabelle1324[[#This Row],[Carry-over]]),0),0)</f>
        <v>0</v>
      </c>
      <c r="Q114" s="156">
        <f>IFERROR(IF(Tabelle1324[[#This Row],[Status]]=$I$5,0,MIN(Tabelle1324[[#This Row],[Jira Story Points]],Tabelle1324[[#This Row],[Carry-over]])-Tabelle1324[[#This Row],[SP Completed (COS &amp; SOS)]]),0)</f>
        <v>0</v>
      </c>
    </row>
    <row r="115" spans="1:17" s="46" customFormat="1" ht="13.5" customHeight="1">
      <c r="A115" s="88" t="s">
        <v>3578</v>
      </c>
      <c r="B115" s="46" t="s">
        <v>3579</v>
      </c>
      <c r="C115" s="76" t="s">
        <v>382</v>
      </c>
      <c r="D115" s="76">
        <v>3</v>
      </c>
      <c r="E115" s="76" t="s">
        <v>330</v>
      </c>
      <c r="F115" s="76">
        <v>3</v>
      </c>
      <c r="G115" s="76" t="s">
        <v>17</v>
      </c>
      <c r="H115" s="76"/>
      <c r="I115" s="103" t="s">
        <v>3499</v>
      </c>
      <c r="J115" s="76" t="s">
        <v>125</v>
      </c>
      <c r="K115" s="76"/>
      <c r="L115" s="76"/>
      <c r="M115" s="136">
        <f>IF(Tabelle1324[[#This Row],[Pulled after Start]]="",MIN(Tabelle1324[[#This Row],[Jira Story Points]],Tabelle1324[[#This Row],[Carry-over]]),0)</f>
        <v>3</v>
      </c>
      <c r="N115" s="136">
        <f>MIN(Tabelle1324[[#This Row],[Jira Story Points]],Tabelle1324[[#This Row],[Carry-over]])-Tabelle1324[[#This Row],[SP Initially Planned (COS)]]</f>
        <v>0</v>
      </c>
      <c r="O115" s="104">
        <f>IFERROR(IF(Tabelle1324[[#This Row],[Status]]=$I$5,0,IF(AND(Tabelle1324[[#This Row],[Status]]=$H$5,Tabelle1324[[#This Row],[Spill-over]]=0),0,IF(Tabelle1324[[#This Row],[Carry-over]]&lt;&gt;0,Tabelle1324[[#This Row],[Carry-over]]-Tabelle1324[[#This Row],[Spill-over]],Tabelle1324[[#This Row],[Jira Story Points]]-Tabelle1324[[#This Row],[Spill-over]]))),"-")</f>
        <v>3</v>
      </c>
      <c r="P115" s="136">
        <f>IFERROR(IF(Tabelle1324[[#This Row],[Status]]=$I$5,MIN(Tabelle1324[[#This Row],[Jira Story Points]],Tabelle1324[[#This Row],[Carry-over]]),0),0)</f>
        <v>0</v>
      </c>
      <c r="Q115" s="156">
        <f>IFERROR(IF(Tabelle1324[[#This Row],[Status]]=$I$5,0,MIN(Tabelle1324[[#This Row],[Jira Story Points]],Tabelle1324[[#This Row],[Carry-over]])-Tabelle1324[[#This Row],[SP Completed (COS &amp; SOS)]]),0)</f>
        <v>0</v>
      </c>
    </row>
    <row r="116" spans="1:17" s="46" customFormat="1" ht="13.5" customHeight="1">
      <c r="A116" s="88" t="s">
        <v>3580</v>
      </c>
      <c r="B116" s="46" t="s">
        <v>3581</v>
      </c>
      <c r="C116" s="76" t="s">
        <v>382</v>
      </c>
      <c r="D116" s="76">
        <v>3</v>
      </c>
      <c r="E116" s="76" t="s">
        <v>216</v>
      </c>
      <c r="F116" s="76">
        <v>3</v>
      </c>
      <c r="G116" s="76" t="s">
        <v>17</v>
      </c>
      <c r="H116" s="76"/>
      <c r="I116" s="103"/>
      <c r="J116" s="76" t="s">
        <v>125</v>
      </c>
      <c r="K116" s="76"/>
      <c r="L116" s="76"/>
      <c r="M116" s="136">
        <f>IF(Tabelle1324[[#This Row],[Pulled after Start]]="",MIN(Tabelle1324[[#This Row],[Jira Story Points]],Tabelle1324[[#This Row],[Carry-over]]),0)</f>
        <v>3</v>
      </c>
      <c r="N116" s="136">
        <f>MIN(Tabelle1324[[#This Row],[Jira Story Points]],Tabelle1324[[#This Row],[Carry-over]])-Tabelle1324[[#This Row],[SP Initially Planned (COS)]]</f>
        <v>0</v>
      </c>
      <c r="O116" s="104">
        <f>IFERROR(IF(Tabelle1324[[#This Row],[Status]]=$I$5,0,IF(AND(Tabelle1324[[#This Row],[Status]]=$H$5,Tabelle1324[[#This Row],[Spill-over]]=0),0,IF(Tabelle1324[[#This Row],[Carry-over]]&lt;&gt;0,Tabelle1324[[#This Row],[Carry-over]]-Tabelle1324[[#This Row],[Spill-over]],Tabelle1324[[#This Row],[Jira Story Points]]-Tabelle1324[[#This Row],[Spill-over]]))),"-")</f>
        <v>3</v>
      </c>
      <c r="P116" s="136">
        <f>IFERROR(IF(Tabelle1324[[#This Row],[Status]]=$I$5,MIN(Tabelle1324[[#This Row],[Jira Story Points]],Tabelle1324[[#This Row],[Carry-over]]),0),0)</f>
        <v>0</v>
      </c>
      <c r="Q116" s="156">
        <f>IFERROR(IF(Tabelle1324[[#This Row],[Status]]=$I$5,0,MIN(Tabelle1324[[#This Row],[Jira Story Points]],Tabelle1324[[#This Row],[Carry-over]])-Tabelle1324[[#This Row],[SP Completed (COS &amp; SOS)]]),0)</f>
        <v>0</v>
      </c>
    </row>
    <row r="117" spans="1:17" s="46" customFormat="1" ht="13.5" customHeight="1">
      <c r="A117" s="88" t="s">
        <v>3582</v>
      </c>
      <c r="B117" s="46" t="s">
        <v>3583</v>
      </c>
      <c r="C117" s="76" t="s">
        <v>382</v>
      </c>
      <c r="D117" s="76">
        <v>3</v>
      </c>
      <c r="E117" s="76" t="s">
        <v>448</v>
      </c>
      <c r="F117" s="76">
        <v>3</v>
      </c>
      <c r="G117" s="76" t="s">
        <v>17</v>
      </c>
      <c r="H117" s="76"/>
      <c r="I117" s="103"/>
      <c r="J117" s="76" t="s">
        <v>125</v>
      </c>
      <c r="K117" s="76"/>
      <c r="L117" s="76"/>
      <c r="M117" s="136">
        <f>IF(Tabelle1324[[#This Row],[Pulled after Start]]="",MIN(Tabelle1324[[#This Row],[Jira Story Points]],Tabelle1324[[#This Row],[Carry-over]]),0)</f>
        <v>3</v>
      </c>
      <c r="N117" s="136">
        <f>MIN(Tabelle1324[[#This Row],[Jira Story Points]],Tabelle1324[[#This Row],[Carry-over]])-Tabelle1324[[#This Row],[SP Initially Planned (COS)]]</f>
        <v>0</v>
      </c>
      <c r="O117" s="104">
        <f>IFERROR(IF(Tabelle1324[[#This Row],[Status]]=$I$5,0,IF(AND(Tabelle1324[[#This Row],[Status]]=$H$5,Tabelle1324[[#This Row],[Spill-over]]=0),0,IF(Tabelle1324[[#This Row],[Carry-over]]&lt;&gt;0,Tabelle1324[[#This Row],[Carry-over]]-Tabelle1324[[#This Row],[Spill-over]],Tabelle1324[[#This Row],[Jira Story Points]]-Tabelle1324[[#This Row],[Spill-over]]))),"-")</f>
        <v>3</v>
      </c>
      <c r="P117" s="136">
        <f>IFERROR(IF(Tabelle1324[[#This Row],[Status]]=$I$5,MIN(Tabelle1324[[#This Row],[Jira Story Points]],Tabelle1324[[#This Row],[Carry-over]]),0),0)</f>
        <v>0</v>
      </c>
      <c r="Q117" s="156">
        <f>IFERROR(IF(Tabelle1324[[#This Row],[Status]]=$I$5,0,MIN(Tabelle1324[[#This Row],[Jira Story Points]],Tabelle1324[[#This Row],[Carry-over]])-Tabelle1324[[#This Row],[SP Completed (COS &amp; SOS)]]),0)</f>
        <v>0</v>
      </c>
    </row>
    <row r="118" spans="1:17" s="46" customFormat="1" ht="13.5" customHeight="1">
      <c r="A118" s="158" t="s">
        <v>3584</v>
      </c>
      <c r="B118" s="47" t="s">
        <v>3585</v>
      </c>
      <c r="C118" s="76" t="s">
        <v>382</v>
      </c>
      <c r="D118" s="76">
        <v>3</v>
      </c>
      <c r="E118" s="76" t="s">
        <v>324</v>
      </c>
      <c r="F118" s="76">
        <v>5</v>
      </c>
      <c r="G118" s="76" t="s">
        <v>24</v>
      </c>
      <c r="H118" s="76"/>
      <c r="I118" s="103"/>
      <c r="J118" s="76" t="s">
        <v>125</v>
      </c>
      <c r="K118" s="104"/>
      <c r="L118" s="104"/>
      <c r="M118" s="136">
        <f>IF(Tabelle1324[[#This Row],[Pulled after Start]]="",MIN(Tabelle1324[[#This Row],[Jira Story Points]],Tabelle1324[[#This Row],[Carry-over]]),0)</f>
        <v>5</v>
      </c>
      <c r="N118" s="136">
        <f>MIN(Tabelle1324[[#This Row],[Jira Story Points]],Tabelle1324[[#This Row],[Carry-over]])-Tabelle1324[[#This Row],[SP Initially Planned (COS)]]</f>
        <v>0</v>
      </c>
      <c r="O118" s="104">
        <f>IFERROR(IF(Tabelle1324[[#This Row],[Status]]=$I$5,0,IF(AND(Tabelle1324[[#This Row],[Status]]=$H$5,Tabelle1324[[#This Row],[Spill-over]]=0),0,IF(Tabelle1324[[#This Row],[Carry-over]]&lt;&gt;0,Tabelle1324[[#This Row],[Carry-over]]-Tabelle1324[[#This Row],[Spill-over]],Tabelle1324[[#This Row],[Jira Story Points]]-Tabelle1324[[#This Row],[Spill-over]]))),"-")</f>
        <v>5</v>
      </c>
      <c r="P118" s="136">
        <f>IFERROR(IF(Tabelle1324[[#This Row],[Status]]=$I$5,MIN(Tabelle1324[[#This Row],[Jira Story Points]],Tabelle1324[[#This Row],[Carry-over]]),0),0)</f>
        <v>0</v>
      </c>
      <c r="Q118" s="156">
        <f>IFERROR(IF(Tabelle1324[[#This Row],[Status]]=$I$5,0,MIN(Tabelle1324[[#This Row],[Jira Story Points]],Tabelle1324[[#This Row],[Carry-over]])-Tabelle1324[[#This Row],[SP Completed (COS &amp; SOS)]]),0)</f>
        <v>0</v>
      </c>
    </row>
    <row r="119" spans="1:17" s="46" customFormat="1" ht="13.5" customHeight="1">
      <c r="A119" s="158" t="s">
        <v>3586</v>
      </c>
      <c r="B119" s="47" t="s">
        <v>3587</v>
      </c>
      <c r="C119" s="76" t="s">
        <v>382</v>
      </c>
      <c r="D119" s="76">
        <v>3</v>
      </c>
      <c r="E119" s="76" t="s">
        <v>330</v>
      </c>
      <c r="F119" s="76">
        <v>1</v>
      </c>
      <c r="G119" s="76" t="s">
        <v>24</v>
      </c>
      <c r="H119" s="76" t="s">
        <v>209</v>
      </c>
      <c r="I119" s="103"/>
      <c r="J119" s="76" t="s">
        <v>125</v>
      </c>
      <c r="K119" s="104"/>
      <c r="L119" s="104"/>
      <c r="M119" s="136">
        <f>IF(Tabelle1324[[#This Row],[Pulled after Start]]="",MIN(Tabelle1324[[#This Row],[Jira Story Points]],Tabelle1324[[#This Row],[Carry-over]]),0)</f>
        <v>0</v>
      </c>
      <c r="N119" s="136">
        <f>MIN(Tabelle1324[[#This Row],[Jira Story Points]],Tabelle1324[[#This Row],[Carry-over]])-Tabelle1324[[#This Row],[SP Initially Planned (COS)]]</f>
        <v>1</v>
      </c>
      <c r="O119" s="104">
        <f>IFERROR(IF(Tabelle1324[[#This Row],[Status]]=$I$5,0,IF(AND(Tabelle1324[[#This Row],[Status]]=$H$5,Tabelle1324[[#This Row],[Spill-over]]=0),0,IF(Tabelle1324[[#This Row],[Carry-over]]&lt;&gt;0,Tabelle1324[[#This Row],[Carry-over]]-Tabelle1324[[#This Row],[Spill-over]],Tabelle1324[[#This Row],[Jira Story Points]]-Tabelle1324[[#This Row],[Spill-over]]))),"-")</f>
        <v>1</v>
      </c>
      <c r="P119" s="136">
        <f>IFERROR(IF(Tabelle1324[[#This Row],[Status]]=$I$5,MIN(Tabelle1324[[#This Row],[Jira Story Points]],Tabelle1324[[#This Row],[Carry-over]]),0),0)</f>
        <v>0</v>
      </c>
      <c r="Q119" s="156">
        <f>IFERROR(IF(Tabelle1324[[#This Row],[Status]]=$I$5,0,MIN(Tabelle1324[[#This Row],[Jira Story Points]],Tabelle1324[[#This Row],[Carry-over]])-Tabelle1324[[#This Row],[SP Completed (COS &amp; SOS)]]),0)</f>
        <v>0</v>
      </c>
    </row>
    <row r="120" spans="1:17" s="46" customFormat="1" ht="13.5" customHeight="1">
      <c r="A120" s="158" t="s">
        <v>3588</v>
      </c>
      <c r="B120" s="47" t="s">
        <v>3589</v>
      </c>
      <c r="C120" s="76" t="s">
        <v>382</v>
      </c>
      <c r="D120" s="76">
        <v>3</v>
      </c>
      <c r="E120" s="76" t="s">
        <v>642</v>
      </c>
      <c r="F120" s="76">
        <v>3</v>
      </c>
      <c r="G120" s="76" t="s">
        <v>24</v>
      </c>
      <c r="H120" s="76"/>
      <c r="I120" s="103"/>
      <c r="J120" s="76" t="s">
        <v>125</v>
      </c>
      <c r="K120" s="104"/>
      <c r="L120" s="104"/>
      <c r="M120" s="136">
        <f>IF(Tabelle1324[[#This Row],[Pulled after Start]]="",MIN(Tabelle1324[[#This Row],[Jira Story Points]],Tabelle1324[[#This Row],[Carry-over]]),0)</f>
        <v>3</v>
      </c>
      <c r="N120" s="136">
        <f>MIN(Tabelle1324[[#This Row],[Jira Story Points]],Tabelle1324[[#This Row],[Carry-over]])-Tabelle1324[[#This Row],[SP Initially Planned (COS)]]</f>
        <v>0</v>
      </c>
      <c r="O120" s="104">
        <f>IFERROR(IF(Tabelle1324[[#This Row],[Status]]=$I$5,0,IF(AND(Tabelle1324[[#This Row],[Status]]=$H$5,Tabelle1324[[#This Row],[Spill-over]]=0),0,IF(Tabelle1324[[#This Row],[Carry-over]]&lt;&gt;0,Tabelle1324[[#This Row],[Carry-over]]-Tabelle1324[[#This Row],[Spill-over]],Tabelle1324[[#This Row],[Jira Story Points]]-Tabelle1324[[#This Row],[Spill-over]]))),"-")</f>
        <v>3</v>
      </c>
      <c r="P120" s="136">
        <f>IFERROR(IF(Tabelle1324[[#This Row],[Status]]=$I$5,MIN(Tabelle1324[[#This Row],[Jira Story Points]],Tabelle1324[[#This Row],[Carry-over]]),0),0)</f>
        <v>0</v>
      </c>
      <c r="Q120" s="156">
        <f>IFERROR(IF(Tabelle1324[[#This Row],[Status]]=$I$5,0,MIN(Tabelle1324[[#This Row],[Jira Story Points]],Tabelle1324[[#This Row],[Carry-over]])-Tabelle1324[[#This Row],[SP Completed (COS &amp; SOS)]]),0)</f>
        <v>0</v>
      </c>
    </row>
    <row r="121" spans="1:17" s="46" customFormat="1" ht="13.5" customHeight="1">
      <c r="A121" s="158" t="s">
        <v>3590</v>
      </c>
      <c r="B121" s="47" t="s">
        <v>3591</v>
      </c>
      <c r="C121" s="76" t="s">
        <v>375</v>
      </c>
      <c r="D121" s="76">
        <v>2</v>
      </c>
      <c r="E121" s="76" t="s">
        <v>327</v>
      </c>
      <c r="F121" s="76">
        <v>3</v>
      </c>
      <c r="G121" s="76" t="s">
        <v>24</v>
      </c>
      <c r="H121" s="76"/>
      <c r="I121" s="103"/>
      <c r="J121" s="76" t="s">
        <v>125</v>
      </c>
      <c r="K121" s="104">
        <v>3</v>
      </c>
      <c r="L121" s="104">
        <v>3</v>
      </c>
      <c r="M121" s="136">
        <f>IF(Tabelle1324[[#This Row],[Pulled after Start]]="",MIN(Tabelle1324[[#This Row],[Jira Story Points]],Tabelle1324[[#This Row],[Carry-over]]),0)</f>
        <v>3</v>
      </c>
      <c r="N121" s="136">
        <f>MIN(Tabelle1324[[#This Row],[Jira Story Points]],Tabelle1324[[#This Row],[Carry-over]])-Tabelle1324[[#This Row],[SP Initially Planned (COS)]]</f>
        <v>0</v>
      </c>
      <c r="O121" s="104">
        <f>IFERROR(IF(Tabelle1324[[#This Row],[Status]]=$I$5,0,IF(AND(Tabelle1324[[#This Row],[Status]]=$H$5,Tabelle1324[[#This Row],[Spill-over]]=0),0,IF(Tabelle1324[[#This Row],[Carry-over]]&lt;&gt;0,Tabelle1324[[#This Row],[Carry-over]]-Tabelle1324[[#This Row],[Spill-over]],Tabelle1324[[#This Row],[Jira Story Points]]-Tabelle1324[[#This Row],[Spill-over]]))),"-")</f>
        <v>0</v>
      </c>
      <c r="P121" s="136">
        <f>IFERROR(IF(Tabelle1324[[#This Row],[Status]]=$I$5,MIN(Tabelle1324[[#This Row],[Jira Story Points]],Tabelle1324[[#This Row],[Carry-over]]),0),0)</f>
        <v>0</v>
      </c>
      <c r="Q121" s="156">
        <f>IFERROR(IF(Tabelle1324[[#This Row],[Status]]=$I$5,0,MIN(Tabelle1324[[#This Row],[Jira Story Points]],Tabelle1324[[#This Row],[Carry-over]])-Tabelle1324[[#This Row],[SP Completed (COS &amp; SOS)]]),0)</f>
        <v>3</v>
      </c>
    </row>
    <row r="122" spans="1:17" s="46" customFormat="1" ht="13.5" customHeight="1">
      <c r="A122" s="158" t="s">
        <v>3592</v>
      </c>
      <c r="B122" s="47" t="s">
        <v>3593</v>
      </c>
      <c r="C122" s="76" t="s">
        <v>382</v>
      </c>
      <c r="D122" s="76">
        <v>3</v>
      </c>
      <c r="E122" s="76" t="s">
        <v>324</v>
      </c>
      <c r="F122" s="76"/>
      <c r="G122" s="76" t="s">
        <v>24</v>
      </c>
      <c r="H122" s="76"/>
      <c r="I122" s="103"/>
      <c r="J122" s="76" t="s">
        <v>125</v>
      </c>
      <c r="K122" s="104"/>
      <c r="L122" s="104"/>
      <c r="M122" s="136">
        <f>IF(Tabelle1324[[#This Row],[Pulled after Start]]="",MIN(Tabelle1324[[#This Row],[Jira Story Points]],Tabelle1324[[#This Row],[Carry-over]]),0)</f>
        <v>0</v>
      </c>
      <c r="N122" s="136">
        <f>MIN(Tabelle1324[[#This Row],[Jira Story Points]],Tabelle1324[[#This Row],[Carry-over]])-Tabelle1324[[#This Row],[SP Initially Planned (COS)]]</f>
        <v>0</v>
      </c>
      <c r="O122" s="104">
        <f>IFERROR(IF(Tabelle1324[[#This Row],[Status]]=$I$5,0,IF(AND(Tabelle1324[[#This Row],[Status]]=$H$5,Tabelle1324[[#This Row],[Spill-over]]=0),0,IF(Tabelle1324[[#This Row],[Carry-over]]&lt;&gt;0,Tabelle1324[[#This Row],[Carry-over]]-Tabelle1324[[#This Row],[Spill-over]],Tabelle1324[[#This Row],[Jira Story Points]]-Tabelle1324[[#This Row],[Spill-over]]))),"-")</f>
        <v>0</v>
      </c>
      <c r="P122" s="136">
        <f>IFERROR(IF(Tabelle1324[[#This Row],[Status]]=$I$5,MIN(Tabelle1324[[#This Row],[Jira Story Points]],Tabelle1324[[#This Row],[Carry-over]]),0),0)</f>
        <v>0</v>
      </c>
      <c r="Q122" s="156">
        <f>IFERROR(IF(Tabelle1324[[#This Row],[Status]]=$I$5,0,MIN(Tabelle1324[[#This Row],[Jira Story Points]],Tabelle1324[[#This Row],[Carry-over]])-Tabelle1324[[#This Row],[SP Completed (COS &amp; SOS)]]),0)</f>
        <v>0</v>
      </c>
    </row>
    <row r="123" spans="1:17" s="46" customFormat="1" ht="13.5" customHeight="1">
      <c r="A123" s="158" t="s">
        <v>3594</v>
      </c>
      <c r="B123" s="47" t="s">
        <v>3595</v>
      </c>
      <c r="C123" s="76" t="s">
        <v>382</v>
      </c>
      <c r="D123" s="76">
        <v>3</v>
      </c>
      <c r="E123" s="76" t="s">
        <v>330</v>
      </c>
      <c r="F123" s="76">
        <v>1</v>
      </c>
      <c r="G123" s="76" t="s">
        <v>24</v>
      </c>
      <c r="H123" s="76"/>
      <c r="I123" s="103"/>
      <c r="J123" s="76" t="s">
        <v>125</v>
      </c>
      <c r="K123" s="104"/>
      <c r="L123" s="104"/>
      <c r="M123" s="136">
        <f>IF(Tabelle1324[[#This Row],[Pulled after Start]]="",MIN(Tabelle1324[[#This Row],[Jira Story Points]],Tabelle1324[[#This Row],[Carry-over]]),0)</f>
        <v>1</v>
      </c>
      <c r="N123" s="136">
        <f>MIN(Tabelle1324[[#This Row],[Jira Story Points]],Tabelle1324[[#This Row],[Carry-over]])-Tabelle1324[[#This Row],[SP Initially Planned (COS)]]</f>
        <v>0</v>
      </c>
      <c r="O123" s="104">
        <f>IFERROR(IF(Tabelle1324[[#This Row],[Status]]=$I$5,0,IF(AND(Tabelle1324[[#This Row],[Status]]=$H$5,Tabelle1324[[#This Row],[Spill-over]]=0),0,IF(Tabelle1324[[#This Row],[Carry-over]]&lt;&gt;0,Tabelle1324[[#This Row],[Carry-over]]-Tabelle1324[[#This Row],[Spill-over]],Tabelle1324[[#This Row],[Jira Story Points]]-Tabelle1324[[#This Row],[Spill-over]]))),"-")</f>
        <v>1</v>
      </c>
      <c r="P123" s="136">
        <f>IFERROR(IF(Tabelle1324[[#This Row],[Status]]=$I$5,MIN(Tabelle1324[[#This Row],[Jira Story Points]],Tabelle1324[[#This Row],[Carry-over]]),0),0)</f>
        <v>0</v>
      </c>
      <c r="Q123" s="156">
        <f>IFERROR(IF(Tabelle1324[[#This Row],[Status]]=$I$5,0,MIN(Tabelle1324[[#This Row],[Jira Story Points]],Tabelle1324[[#This Row],[Carry-over]])-Tabelle1324[[#This Row],[SP Completed (COS &amp; SOS)]]),0)</f>
        <v>0</v>
      </c>
    </row>
    <row r="124" spans="1:17" s="46" customFormat="1" ht="13.5" customHeight="1">
      <c r="A124" s="158" t="s">
        <v>3596</v>
      </c>
      <c r="B124" s="47" t="s">
        <v>3597</v>
      </c>
      <c r="C124" s="76" t="s">
        <v>382</v>
      </c>
      <c r="D124" s="76">
        <v>3</v>
      </c>
      <c r="E124" s="76" t="s">
        <v>324</v>
      </c>
      <c r="F124" s="76">
        <v>5</v>
      </c>
      <c r="G124" s="76" t="s">
        <v>24</v>
      </c>
      <c r="H124" s="76"/>
      <c r="I124" s="103"/>
      <c r="J124" s="76" t="s">
        <v>125</v>
      </c>
      <c r="K124" s="104"/>
      <c r="L124" s="104"/>
      <c r="M124" s="136">
        <f>IF(Tabelle1324[[#This Row],[Pulled after Start]]="",MIN(Tabelle1324[[#This Row],[Jira Story Points]],Tabelle1324[[#This Row],[Carry-over]]),0)</f>
        <v>5</v>
      </c>
      <c r="N124" s="136">
        <f>MIN(Tabelle1324[[#This Row],[Jira Story Points]],Tabelle1324[[#This Row],[Carry-over]])-Tabelle1324[[#This Row],[SP Initially Planned (COS)]]</f>
        <v>0</v>
      </c>
      <c r="O124" s="104">
        <f>IFERROR(IF(Tabelle1324[[#This Row],[Status]]=$I$5,0,IF(AND(Tabelle1324[[#This Row],[Status]]=$H$5,Tabelle1324[[#This Row],[Spill-over]]=0),0,IF(Tabelle1324[[#This Row],[Carry-over]]&lt;&gt;0,Tabelle1324[[#This Row],[Carry-over]]-Tabelle1324[[#This Row],[Spill-over]],Tabelle1324[[#This Row],[Jira Story Points]]-Tabelle1324[[#This Row],[Spill-over]]))),"-")</f>
        <v>5</v>
      </c>
      <c r="P124" s="136">
        <f>IFERROR(IF(Tabelle1324[[#This Row],[Status]]=$I$5,MIN(Tabelle1324[[#This Row],[Jira Story Points]],Tabelle1324[[#This Row],[Carry-over]]),0),0)</f>
        <v>0</v>
      </c>
      <c r="Q124" s="156">
        <f>IFERROR(IF(Tabelle1324[[#This Row],[Status]]=$I$5,0,MIN(Tabelle1324[[#This Row],[Jira Story Points]],Tabelle1324[[#This Row],[Carry-over]])-Tabelle1324[[#This Row],[SP Completed (COS &amp; SOS)]]),0)</f>
        <v>0</v>
      </c>
    </row>
    <row r="125" spans="1:17" s="46" customFormat="1" ht="13.5" customHeight="1">
      <c r="A125" s="158" t="s">
        <v>3598</v>
      </c>
      <c r="B125" s="47" t="s">
        <v>3599</v>
      </c>
      <c r="C125" s="76" t="s">
        <v>375</v>
      </c>
      <c r="D125" s="76">
        <v>2</v>
      </c>
      <c r="E125" s="76" t="s">
        <v>327</v>
      </c>
      <c r="F125" s="76">
        <v>3</v>
      </c>
      <c r="G125" s="76" t="s">
        <v>24</v>
      </c>
      <c r="H125" s="76"/>
      <c r="I125" s="103"/>
      <c r="J125" s="76" t="s">
        <v>125</v>
      </c>
      <c r="K125" s="104"/>
      <c r="L125" s="104"/>
      <c r="M125" s="136">
        <f>IF(Tabelle1324[[#This Row],[Pulled after Start]]="",MIN(Tabelle1324[[#This Row],[Jira Story Points]],Tabelle1324[[#This Row],[Carry-over]]),0)</f>
        <v>3</v>
      </c>
      <c r="N125" s="136">
        <f>MIN(Tabelle1324[[#This Row],[Jira Story Points]],Tabelle1324[[#This Row],[Carry-over]])-Tabelle1324[[#This Row],[SP Initially Planned (COS)]]</f>
        <v>0</v>
      </c>
      <c r="O125" s="104">
        <f>IFERROR(IF(Tabelle1324[[#This Row],[Status]]=$I$5,0,IF(AND(Tabelle1324[[#This Row],[Status]]=$H$5,Tabelle1324[[#This Row],[Spill-over]]=0),0,IF(Tabelle1324[[#This Row],[Carry-over]]&lt;&gt;0,Tabelle1324[[#This Row],[Carry-over]]-Tabelle1324[[#This Row],[Spill-over]],Tabelle1324[[#This Row],[Jira Story Points]]-Tabelle1324[[#This Row],[Spill-over]]))),"-")</f>
        <v>3</v>
      </c>
      <c r="P125" s="136">
        <f>IFERROR(IF(Tabelle1324[[#This Row],[Status]]=$I$5,MIN(Tabelle1324[[#This Row],[Jira Story Points]],Tabelle1324[[#This Row],[Carry-over]]),0),0)</f>
        <v>0</v>
      </c>
      <c r="Q125" s="156">
        <f>IFERROR(IF(Tabelle1324[[#This Row],[Status]]=$I$5,0,MIN(Tabelle1324[[#This Row],[Jira Story Points]],Tabelle1324[[#This Row],[Carry-over]])-Tabelle1324[[#This Row],[SP Completed (COS &amp; SOS)]]),0)</f>
        <v>0</v>
      </c>
    </row>
    <row r="126" spans="1:17" s="46" customFormat="1" ht="13.5" customHeight="1">
      <c r="A126" s="158" t="s">
        <v>3600</v>
      </c>
      <c r="B126" s="47" t="s">
        <v>3601</v>
      </c>
      <c r="C126" s="76" t="s">
        <v>375</v>
      </c>
      <c r="D126" s="76">
        <v>3</v>
      </c>
      <c r="E126" s="76" t="s">
        <v>324</v>
      </c>
      <c r="F126" s="76">
        <v>3</v>
      </c>
      <c r="G126" s="76" t="s">
        <v>24</v>
      </c>
      <c r="H126" s="76"/>
      <c r="I126" s="103"/>
      <c r="J126" s="76" t="s">
        <v>125</v>
      </c>
      <c r="K126" s="104"/>
      <c r="L126" s="104"/>
      <c r="M126" s="136">
        <f>IF(Tabelle1324[[#This Row],[Pulled after Start]]="",MIN(Tabelle1324[[#This Row],[Jira Story Points]],Tabelle1324[[#This Row],[Carry-over]]),0)</f>
        <v>3</v>
      </c>
      <c r="N126" s="136">
        <f>MIN(Tabelle1324[[#This Row],[Jira Story Points]],Tabelle1324[[#This Row],[Carry-over]])-Tabelle1324[[#This Row],[SP Initially Planned (COS)]]</f>
        <v>0</v>
      </c>
      <c r="O126" s="104">
        <f>IFERROR(IF(Tabelle1324[[#This Row],[Status]]=$I$5,0,IF(AND(Tabelle1324[[#This Row],[Status]]=$H$5,Tabelle1324[[#This Row],[Spill-over]]=0),0,IF(Tabelle1324[[#This Row],[Carry-over]]&lt;&gt;0,Tabelle1324[[#This Row],[Carry-over]]-Tabelle1324[[#This Row],[Spill-over]],Tabelle1324[[#This Row],[Jira Story Points]]-Tabelle1324[[#This Row],[Spill-over]]))),"-")</f>
        <v>3</v>
      </c>
      <c r="P126" s="136">
        <f>IFERROR(IF(Tabelle1324[[#This Row],[Status]]=$I$5,MIN(Tabelle1324[[#This Row],[Jira Story Points]],Tabelle1324[[#This Row],[Carry-over]]),0),0)</f>
        <v>0</v>
      </c>
      <c r="Q126" s="156">
        <f>IFERROR(IF(Tabelle1324[[#This Row],[Status]]=$I$5,0,MIN(Tabelle1324[[#This Row],[Jira Story Points]],Tabelle1324[[#This Row],[Carry-over]])-Tabelle1324[[#This Row],[SP Completed (COS &amp; SOS)]]),0)</f>
        <v>0</v>
      </c>
    </row>
    <row r="127" spans="1:17" s="46" customFormat="1" ht="13.5" customHeight="1">
      <c r="A127" s="158" t="s">
        <v>3602</v>
      </c>
      <c r="B127" s="47" t="s">
        <v>3603</v>
      </c>
      <c r="C127" s="76" t="s">
        <v>382</v>
      </c>
      <c r="D127" s="76">
        <v>3</v>
      </c>
      <c r="E127" s="76" t="s">
        <v>351</v>
      </c>
      <c r="F127" s="76">
        <v>5</v>
      </c>
      <c r="G127" s="76" t="s">
        <v>24</v>
      </c>
      <c r="H127" s="76"/>
      <c r="I127" s="103"/>
      <c r="J127" s="76" t="s">
        <v>125</v>
      </c>
      <c r="K127" s="104"/>
      <c r="L127" s="104"/>
      <c r="M127" s="136">
        <f>IF(Tabelle1324[[#This Row],[Pulled after Start]]="",MIN(Tabelle1324[[#This Row],[Jira Story Points]],Tabelle1324[[#This Row],[Carry-over]]),0)</f>
        <v>5</v>
      </c>
      <c r="N127" s="136">
        <f>MIN(Tabelle1324[[#This Row],[Jira Story Points]],Tabelle1324[[#This Row],[Carry-over]])-Tabelle1324[[#This Row],[SP Initially Planned (COS)]]</f>
        <v>0</v>
      </c>
      <c r="O127" s="104">
        <f>IFERROR(IF(Tabelle1324[[#This Row],[Status]]=$I$5,0,IF(AND(Tabelle1324[[#This Row],[Status]]=$H$5,Tabelle1324[[#This Row],[Spill-over]]=0),0,IF(Tabelle1324[[#This Row],[Carry-over]]&lt;&gt;0,Tabelle1324[[#This Row],[Carry-over]]-Tabelle1324[[#This Row],[Spill-over]],Tabelle1324[[#This Row],[Jira Story Points]]-Tabelle1324[[#This Row],[Spill-over]]))),"-")</f>
        <v>5</v>
      </c>
      <c r="P127" s="136">
        <f>IFERROR(IF(Tabelle1324[[#This Row],[Status]]=$I$5,MIN(Tabelle1324[[#This Row],[Jira Story Points]],Tabelle1324[[#This Row],[Carry-over]]),0),0)</f>
        <v>0</v>
      </c>
      <c r="Q127" s="156">
        <f>IFERROR(IF(Tabelle1324[[#This Row],[Status]]=$I$5,0,MIN(Tabelle1324[[#This Row],[Jira Story Points]],Tabelle1324[[#This Row],[Carry-over]])-Tabelle1324[[#This Row],[SP Completed (COS &amp; SOS)]]),0)</f>
        <v>0</v>
      </c>
    </row>
    <row r="128" spans="1:17" s="46" customFormat="1" ht="13.5" customHeight="1">
      <c r="A128" s="158" t="s">
        <v>3604</v>
      </c>
      <c r="B128" s="47" t="s">
        <v>3605</v>
      </c>
      <c r="C128" s="76" t="s">
        <v>382</v>
      </c>
      <c r="D128" s="76">
        <v>3</v>
      </c>
      <c r="E128" s="76" t="s">
        <v>324</v>
      </c>
      <c r="F128" s="76">
        <v>1</v>
      </c>
      <c r="G128" s="76" t="s">
        <v>24</v>
      </c>
      <c r="H128" s="76"/>
      <c r="I128" s="103"/>
      <c r="J128" s="76" t="s">
        <v>125</v>
      </c>
      <c r="K128" s="104"/>
      <c r="L128" s="104"/>
      <c r="M128" s="136">
        <f>IF(Tabelle1324[[#This Row],[Pulled after Start]]="",MIN(Tabelle1324[[#This Row],[Jira Story Points]],Tabelle1324[[#This Row],[Carry-over]]),0)</f>
        <v>1</v>
      </c>
      <c r="N128" s="136">
        <f>MIN(Tabelle1324[[#This Row],[Jira Story Points]],Tabelle1324[[#This Row],[Carry-over]])-Tabelle1324[[#This Row],[SP Initially Planned (COS)]]</f>
        <v>0</v>
      </c>
      <c r="O128" s="104">
        <f>IFERROR(IF(Tabelle1324[[#This Row],[Status]]=$I$5,0,IF(AND(Tabelle1324[[#This Row],[Status]]=$H$5,Tabelle1324[[#This Row],[Spill-over]]=0),0,IF(Tabelle1324[[#This Row],[Carry-over]]&lt;&gt;0,Tabelle1324[[#This Row],[Carry-over]]-Tabelle1324[[#This Row],[Spill-over]],Tabelle1324[[#This Row],[Jira Story Points]]-Tabelle1324[[#This Row],[Spill-over]]))),"-")</f>
        <v>1</v>
      </c>
      <c r="P128" s="136">
        <f>IFERROR(IF(Tabelle1324[[#This Row],[Status]]=$I$5,MIN(Tabelle1324[[#This Row],[Jira Story Points]],Tabelle1324[[#This Row],[Carry-over]]),0),0)</f>
        <v>0</v>
      </c>
      <c r="Q128" s="156">
        <f>IFERROR(IF(Tabelle1324[[#This Row],[Status]]=$I$5,0,MIN(Tabelle1324[[#This Row],[Jira Story Points]],Tabelle1324[[#This Row],[Carry-over]])-Tabelle1324[[#This Row],[SP Completed (COS &amp; SOS)]]),0)</f>
        <v>0</v>
      </c>
    </row>
    <row r="129" spans="1:17" s="46" customFormat="1" ht="13.5" customHeight="1">
      <c r="A129" s="158" t="s">
        <v>3606</v>
      </c>
      <c r="B129" s="47" t="s">
        <v>3607</v>
      </c>
      <c r="C129" s="76" t="s">
        <v>382</v>
      </c>
      <c r="D129" s="76">
        <v>3</v>
      </c>
      <c r="E129" s="76" t="s">
        <v>324</v>
      </c>
      <c r="F129" s="76">
        <v>5</v>
      </c>
      <c r="G129" s="76" t="s">
        <v>24</v>
      </c>
      <c r="H129" s="76"/>
      <c r="I129" s="103"/>
      <c r="J129" s="76" t="s">
        <v>125</v>
      </c>
      <c r="K129" s="104"/>
      <c r="L129" s="104"/>
      <c r="M129" s="136">
        <f>IF(Tabelle1324[[#This Row],[Pulled after Start]]="",MIN(Tabelle1324[[#This Row],[Jira Story Points]],Tabelle1324[[#This Row],[Carry-over]]),0)</f>
        <v>5</v>
      </c>
      <c r="N129" s="136">
        <f>MIN(Tabelle1324[[#This Row],[Jira Story Points]],Tabelle1324[[#This Row],[Carry-over]])-Tabelle1324[[#This Row],[SP Initially Planned (COS)]]</f>
        <v>0</v>
      </c>
      <c r="O129" s="104">
        <f>IFERROR(IF(Tabelle1324[[#This Row],[Status]]=$I$5,0,IF(AND(Tabelle1324[[#This Row],[Status]]=$H$5,Tabelle1324[[#This Row],[Spill-over]]=0),0,IF(Tabelle1324[[#This Row],[Carry-over]]&lt;&gt;0,Tabelle1324[[#This Row],[Carry-over]]-Tabelle1324[[#This Row],[Spill-over]],Tabelle1324[[#This Row],[Jira Story Points]]-Tabelle1324[[#This Row],[Spill-over]]))),"-")</f>
        <v>5</v>
      </c>
      <c r="P129" s="136">
        <f>IFERROR(IF(Tabelle1324[[#This Row],[Status]]=$I$5,MIN(Tabelle1324[[#This Row],[Jira Story Points]],Tabelle1324[[#This Row],[Carry-over]]),0),0)</f>
        <v>0</v>
      </c>
      <c r="Q129" s="156">
        <f>IFERROR(IF(Tabelle1324[[#This Row],[Status]]=$I$5,0,MIN(Tabelle1324[[#This Row],[Jira Story Points]],Tabelle1324[[#This Row],[Carry-over]])-Tabelle1324[[#This Row],[SP Completed (COS &amp; SOS)]]),0)</f>
        <v>0</v>
      </c>
    </row>
    <row r="130" spans="1:17" s="46" customFormat="1" ht="13.5" customHeight="1">
      <c r="A130" s="88" t="s">
        <v>2599</v>
      </c>
      <c r="B130" s="46" t="s">
        <v>2600</v>
      </c>
      <c r="C130" s="76" t="s">
        <v>372</v>
      </c>
      <c r="D130" s="76">
        <v>3</v>
      </c>
      <c r="E130" s="76" t="s">
        <v>327</v>
      </c>
      <c r="F130" s="76">
        <v>5</v>
      </c>
      <c r="G130" s="76" t="s">
        <v>17</v>
      </c>
      <c r="H130" s="76"/>
      <c r="I130" s="103"/>
      <c r="J130" s="76" t="s">
        <v>127</v>
      </c>
      <c r="K130" s="76"/>
      <c r="L130" s="76"/>
      <c r="M130" s="136">
        <f>IF(Tabelle1324[[#This Row],[Pulled after Start]]="",MIN(Tabelle1324[[#This Row],[Jira Story Points]],Tabelle1324[[#This Row],[Carry-over]]),0)</f>
        <v>5</v>
      </c>
      <c r="N130" s="136">
        <f>MIN(Tabelle1324[[#This Row],[Jira Story Points]],Tabelle1324[[#This Row],[Carry-over]])-Tabelle1324[[#This Row],[SP Initially Planned (COS)]]</f>
        <v>0</v>
      </c>
      <c r="O130" s="104">
        <f>IFERROR(IF(Tabelle1324[[#This Row],[Status]]=$I$5,0,IF(AND(Tabelle1324[[#This Row],[Status]]=$H$5,Tabelle1324[[#This Row],[Spill-over]]=0),0,IF(Tabelle1324[[#This Row],[Carry-over]]&lt;&gt;0,Tabelle1324[[#This Row],[Carry-over]]-Tabelle1324[[#This Row],[Spill-over]],Tabelle1324[[#This Row],[Jira Story Points]]-Tabelle1324[[#This Row],[Spill-over]]))),"-")</f>
        <v>0</v>
      </c>
      <c r="P130" s="136">
        <f>IFERROR(IF(Tabelle1324[[#This Row],[Status]]=$I$5,MIN(Tabelle1324[[#This Row],[Jira Story Points]],Tabelle1324[[#This Row],[Carry-over]]),0),0)</f>
        <v>0</v>
      </c>
      <c r="Q130" s="156">
        <f>IFERROR(IF(Tabelle1324[[#This Row],[Status]]=$I$5,0,MIN(Tabelle1324[[#This Row],[Jira Story Points]],Tabelle1324[[#This Row],[Carry-over]])-Tabelle1324[[#This Row],[SP Completed (COS &amp; SOS)]]),0)</f>
        <v>5</v>
      </c>
    </row>
    <row r="131" spans="1:17" s="46" customFormat="1" ht="13.5" customHeight="1">
      <c r="A131" s="88" t="s">
        <v>3098</v>
      </c>
      <c r="B131" s="46" t="s">
        <v>3099</v>
      </c>
      <c r="C131" s="76" t="s">
        <v>215</v>
      </c>
      <c r="D131" s="76">
        <v>2</v>
      </c>
      <c r="E131" s="76" t="s">
        <v>327</v>
      </c>
      <c r="F131" s="76">
        <v>3</v>
      </c>
      <c r="G131" s="76" t="s">
        <v>17</v>
      </c>
      <c r="H131" s="76"/>
      <c r="I131" s="103" t="s">
        <v>3608</v>
      </c>
      <c r="J131" s="76" t="s">
        <v>127</v>
      </c>
      <c r="K131" s="76"/>
      <c r="L131" s="76"/>
      <c r="M131" s="136">
        <f>IF(Tabelle1324[[#This Row],[Pulled after Start]]="",MIN(Tabelle1324[[#This Row],[Jira Story Points]],Tabelle1324[[#This Row],[Carry-over]]),0)</f>
        <v>3</v>
      </c>
      <c r="N131" s="136">
        <f>MIN(Tabelle1324[[#This Row],[Jira Story Points]],Tabelle1324[[#This Row],[Carry-over]])-Tabelle1324[[#This Row],[SP Initially Planned (COS)]]</f>
        <v>0</v>
      </c>
      <c r="O131" s="104">
        <f>IFERROR(IF(Tabelle1324[[#This Row],[Status]]=$I$5,0,IF(AND(Tabelle1324[[#This Row],[Status]]=$H$5,Tabelle1324[[#This Row],[Spill-over]]=0),0,IF(Tabelle1324[[#This Row],[Carry-over]]&lt;&gt;0,Tabelle1324[[#This Row],[Carry-over]]-Tabelle1324[[#This Row],[Spill-over]],Tabelle1324[[#This Row],[Jira Story Points]]-Tabelle1324[[#This Row],[Spill-over]]))),"-")</f>
        <v>0</v>
      </c>
      <c r="P131" s="136">
        <f>IFERROR(IF(Tabelle1324[[#This Row],[Status]]=$I$5,MIN(Tabelle1324[[#This Row],[Jira Story Points]],Tabelle1324[[#This Row],[Carry-over]]),0),0)</f>
        <v>0</v>
      </c>
      <c r="Q131" s="156">
        <f>IFERROR(IF(Tabelle1324[[#This Row],[Status]]=$I$5,0,MIN(Tabelle1324[[#This Row],[Jira Story Points]],Tabelle1324[[#This Row],[Carry-over]])-Tabelle1324[[#This Row],[SP Completed (COS &amp; SOS)]]),0)</f>
        <v>3</v>
      </c>
    </row>
    <row r="132" spans="1:17" s="46" customFormat="1" ht="13.5" customHeight="1">
      <c r="A132" s="160" t="s">
        <v>3360</v>
      </c>
      <c r="B132" s="47" t="s">
        <v>3361</v>
      </c>
      <c r="C132" s="76" t="s">
        <v>372</v>
      </c>
      <c r="D132" s="76">
        <v>5</v>
      </c>
      <c r="E132" s="76" t="s">
        <v>238</v>
      </c>
      <c r="F132" s="104">
        <v>5</v>
      </c>
      <c r="G132" s="76" t="s">
        <v>17</v>
      </c>
      <c r="H132" s="83" t="s">
        <v>209</v>
      </c>
      <c r="I132" s="103" t="s">
        <v>3499</v>
      </c>
      <c r="J132" s="76" t="s">
        <v>127</v>
      </c>
      <c r="K132" s="104"/>
      <c r="L132" s="104"/>
      <c r="M132" s="136">
        <f>IF(Tabelle1324[[#This Row],[Pulled after Start]]="",MIN(Tabelle1324[[#This Row],[Jira Story Points]],Tabelle1324[[#This Row],[Carry-over]]),0)</f>
        <v>0</v>
      </c>
      <c r="N132" s="136">
        <f>MIN(Tabelle1324[[#This Row],[Jira Story Points]],Tabelle1324[[#This Row],[Carry-over]])-Tabelle1324[[#This Row],[SP Initially Planned (COS)]]</f>
        <v>5</v>
      </c>
      <c r="O132" s="104">
        <f>IFERROR(IF(Tabelle1324[[#This Row],[Status]]=$I$5,0,IF(AND(Tabelle1324[[#This Row],[Status]]=$H$5,Tabelle1324[[#This Row],[Spill-over]]=0),0,IF(Tabelle1324[[#This Row],[Carry-over]]&lt;&gt;0,Tabelle1324[[#This Row],[Carry-over]]-Tabelle1324[[#This Row],[Spill-over]],Tabelle1324[[#This Row],[Jira Story Points]]-Tabelle1324[[#This Row],[Spill-over]]))),"-")</f>
        <v>0</v>
      </c>
      <c r="P132" s="136">
        <f>IFERROR(IF(Tabelle1324[[#This Row],[Status]]=$I$5,MIN(Tabelle1324[[#This Row],[Jira Story Points]],Tabelle1324[[#This Row],[Carry-over]]),0),0)</f>
        <v>0</v>
      </c>
      <c r="Q132" s="156">
        <f>IFERROR(IF(Tabelle1324[[#This Row],[Status]]=$I$5,0,MIN(Tabelle1324[[#This Row],[Jira Story Points]],Tabelle1324[[#This Row],[Carry-over]])-Tabelle1324[[#This Row],[SP Completed (COS &amp; SOS)]]),0)</f>
        <v>5</v>
      </c>
    </row>
    <row r="133" spans="1:17" s="46" customFormat="1" ht="13.5" customHeight="1">
      <c r="A133" s="88" t="s">
        <v>3386</v>
      </c>
      <c r="B133" s="46" t="s">
        <v>3387</v>
      </c>
      <c r="C133" s="76" t="s">
        <v>382</v>
      </c>
      <c r="D133" s="76">
        <v>3</v>
      </c>
      <c r="E133" s="76" t="s">
        <v>448</v>
      </c>
      <c r="F133" s="76">
        <v>5</v>
      </c>
      <c r="G133" s="76" t="s">
        <v>17</v>
      </c>
      <c r="H133" s="76"/>
      <c r="I133" s="103" t="s">
        <v>3499</v>
      </c>
      <c r="J133" s="76" t="s">
        <v>127</v>
      </c>
      <c r="K133" s="76"/>
      <c r="L133" s="76"/>
      <c r="M133" s="136">
        <f>IF(Tabelle1324[[#This Row],[Pulled after Start]]="",MIN(Tabelle1324[[#This Row],[Jira Story Points]],Tabelle1324[[#This Row],[Carry-over]]),0)</f>
        <v>5</v>
      </c>
      <c r="N133" s="136">
        <f>MIN(Tabelle1324[[#This Row],[Jira Story Points]],Tabelle1324[[#This Row],[Carry-over]])-Tabelle1324[[#This Row],[SP Initially Planned (COS)]]</f>
        <v>0</v>
      </c>
      <c r="O133" s="104">
        <f>IFERROR(IF(Tabelle1324[[#This Row],[Status]]=$I$5,0,IF(AND(Tabelle1324[[#This Row],[Status]]=$H$5,Tabelle1324[[#This Row],[Spill-over]]=0),0,IF(Tabelle1324[[#This Row],[Carry-over]]&lt;&gt;0,Tabelle1324[[#This Row],[Carry-over]]-Tabelle1324[[#This Row],[Spill-over]],Tabelle1324[[#This Row],[Jira Story Points]]-Tabelle1324[[#This Row],[Spill-over]]))),"-")</f>
        <v>0</v>
      </c>
      <c r="P133" s="136">
        <f>IFERROR(IF(Tabelle1324[[#This Row],[Status]]=$I$5,MIN(Tabelle1324[[#This Row],[Jira Story Points]],Tabelle1324[[#This Row],[Carry-over]]),0),0)</f>
        <v>0</v>
      </c>
      <c r="Q133" s="156">
        <f>IFERROR(IF(Tabelle1324[[#This Row],[Status]]=$I$5,0,MIN(Tabelle1324[[#This Row],[Jira Story Points]],Tabelle1324[[#This Row],[Carry-over]])-Tabelle1324[[#This Row],[SP Completed (COS &amp; SOS)]]),0)</f>
        <v>5</v>
      </c>
    </row>
    <row r="134" spans="1:17" s="46" customFormat="1" ht="13.5" customHeight="1">
      <c r="A134" s="88" t="s">
        <v>3388</v>
      </c>
      <c r="B134" s="46" t="s">
        <v>3389</v>
      </c>
      <c r="C134" s="76" t="s">
        <v>382</v>
      </c>
      <c r="D134" s="76">
        <v>3</v>
      </c>
      <c r="E134" s="76" t="s">
        <v>448</v>
      </c>
      <c r="F134" s="76">
        <v>5</v>
      </c>
      <c r="G134" s="76" t="s">
        <v>17</v>
      </c>
      <c r="H134" s="76"/>
      <c r="I134" s="103"/>
      <c r="J134" s="76" t="s">
        <v>127</v>
      </c>
      <c r="K134" s="76"/>
      <c r="L134" s="76"/>
      <c r="M134" s="136">
        <f>IF(Tabelle1324[[#This Row],[Pulled after Start]]="",MIN(Tabelle1324[[#This Row],[Jira Story Points]],Tabelle1324[[#This Row],[Carry-over]]),0)</f>
        <v>5</v>
      </c>
      <c r="N134" s="136">
        <f>MIN(Tabelle1324[[#This Row],[Jira Story Points]],Tabelle1324[[#This Row],[Carry-over]])-Tabelle1324[[#This Row],[SP Initially Planned (COS)]]</f>
        <v>0</v>
      </c>
      <c r="O134" s="104">
        <f>IFERROR(IF(Tabelle1324[[#This Row],[Status]]=$I$5,0,IF(AND(Tabelle1324[[#This Row],[Status]]=$H$5,Tabelle1324[[#This Row],[Spill-over]]=0),0,IF(Tabelle1324[[#This Row],[Carry-over]]&lt;&gt;0,Tabelle1324[[#This Row],[Carry-over]]-Tabelle1324[[#This Row],[Spill-over]],Tabelle1324[[#This Row],[Jira Story Points]]-Tabelle1324[[#This Row],[Spill-over]]))),"-")</f>
        <v>0</v>
      </c>
      <c r="P134" s="136">
        <f>IFERROR(IF(Tabelle1324[[#This Row],[Status]]=$I$5,MIN(Tabelle1324[[#This Row],[Jira Story Points]],Tabelle1324[[#This Row],[Carry-over]]),0),0)</f>
        <v>0</v>
      </c>
      <c r="Q134" s="156">
        <f>IFERROR(IF(Tabelle1324[[#This Row],[Status]]=$I$5,0,MIN(Tabelle1324[[#This Row],[Jira Story Points]],Tabelle1324[[#This Row],[Carry-over]])-Tabelle1324[[#This Row],[SP Completed (COS &amp; SOS)]]),0)</f>
        <v>5</v>
      </c>
    </row>
    <row r="135" spans="1:17" s="46" customFormat="1" ht="13.5" customHeight="1">
      <c r="A135" s="88" t="s">
        <v>3390</v>
      </c>
      <c r="B135" s="46" t="s">
        <v>3391</v>
      </c>
      <c r="C135" s="76" t="s">
        <v>382</v>
      </c>
      <c r="D135" s="76">
        <v>3</v>
      </c>
      <c r="E135" s="76" t="s">
        <v>448</v>
      </c>
      <c r="F135" s="76">
        <v>1</v>
      </c>
      <c r="G135" s="76" t="s">
        <v>17</v>
      </c>
      <c r="H135" s="76"/>
      <c r="I135" s="103"/>
      <c r="J135" s="76" t="s">
        <v>127</v>
      </c>
      <c r="K135" s="76"/>
      <c r="L135" s="76"/>
      <c r="M135" s="136">
        <f>IF(Tabelle1324[[#This Row],[Pulled after Start]]="",MIN(Tabelle1324[[#This Row],[Jira Story Points]],Tabelle1324[[#This Row],[Carry-over]]),0)</f>
        <v>1</v>
      </c>
      <c r="N135" s="136">
        <f>MIN(Tabelle1324[[#This Row],[Jira Story Points]],Tabelle1324[[#This Row],[Carry-over]])-Tabelle1324[[#This Row],[SP Initially Planned (COS)]]</f>
        <v>0</v>
      </c>
      <c r="O135" s="104">
        <f>IFERROR(IF(Tabelle1324[[#This Row],[Status]]=$I$5,0,IF(AND(Tabelle1324[[#This Row],[Status]]=$H$5,Tabelle1324[[#This Row],[Spill-over]]=0),0,IF(Tabelle1324[[#This Row],[Carry-over]]&lt;&gt;0,Tabelle1324[[#This Row],[Carry-over]]-Tabelle1324[[#This Row],[Spill-over]],Tabelle1324[[#This Row],[Jira Story Points]]-Tabelle1324[[#This Row],[Spill-over]]))),"-")</f>
        <v>0</v>
      </c>
      <c r="P135" s="136">
        <f>IFERROR(IF(Tabelle1324[[#This Row],[Status]]=$I$5,MIN(Tabelle1324[[#This Row],[Jira Story Points]],Tabelle1324[[#This Row],[Carry-over]]),0),0)</f>
        <v>0</v>
      </c>
      <c r="Q135" s="156">
        <f>IFERROR(IF(Tabelle1324[[#This Row],[Status]]=$I$5,0,MIN(Tabelle1324[[#This Row],[Jira Story Points]],Tabelle1324[[#This Row],[Carry-over]])-Tabelle1324[[#This Row],[SP Completed (COS &amp; SOS)]]),0)</f>
        <v>1</v>
      </c>
    </row>
    <row r="136" spans="1:17" s="46" customFormat="1" ht="13.5" customHeight="1">
      <c r="A136" s="158" t="s">
        <v>3348</v>
      </c>
      <c r="B136" s="47" t="s">
        <v>3349</v>
      </c>
      <c r="C136" s="76" t="s">
        <v>382</v>
      </c>
      <c r="D136" s="76">
        <v>3</v>
      </c>
      <c r="E136" s="76" t="s">
        <v>330</v>
      </c>
      <c r="F136" s="76">
        <v>3</v>
      </c>
      <c r="G136" s="76" t="s">
        <v>24</v>
      </c>
      <c r="H136" s="76" t="s">
        <v>209</v>
      </c>
      <c r="I136" s="103"/>
      <c r="J136" s="76" t="s">
        <v>127</v>
      </c>
      <c r="K136" s="104"/>
      <c r="L136" s="104"/>
      <c r="M136" s="136">
        <f>IF(Tabelle1324[[#This Row],[Pulled after Start]]="",MIN(Tabelle1324[[#This Row],[Jira Story Points]],Tabelle1324[[#This Row],[Carry-over]]),0)</f>
        <v>0</v>
      </c>
      <c r="N136" s="136">
        <f>MIN(Tabelle1324[[#This Row],[Jira Story Points]],Tabelle1324[[#This Row],[Carry-over]])-Tabelle1324[[#This Row],[SP Initially Planned (COS)]]</f>
        <v>3</v>
      </c>
      <c r="O136" s="104">
        <f>IFERROR(IF(Tabelle1324[[#This Row],[Status]]=$I$5,0,IF(AND(Tabelle1324[[#This Row],[Status]]=$H$5,Tabelle1324[[#This Row],[Spill-over]]=0),0,IF(Tabelle1324[[#This Row],[Carry-over]]&lt;&gt;0,Tabelle1324[[#This Row],[Carry-over]]-Tabelle1324[[#This Row],[Spill-over]],Tabelle1324[[#This Row],[Jira Story Points]]-Tabelle1324[[#This Row],[Spill-over]]))),"-")</f>
        <v>0</v>
      </c>
      <c r="P136" s="136">
        <f>IFERROR(IF(Tabelle1324[[#This Row],[Status]]=$I$5,MIN(Tabelle1324[[#This Row],[Jira Story Points]],Tabelle1324[[#This Row],[Carry-over]]),0),0)</f>
        <v>0</v>
      </c>
      <c r="Q136" s="156">
        <f>IFERROR(IF(Tabelle1324[[#This Row],[Status]]=$I$5,0,MIN(Tabelle1324[[#This Row],[Jira Story Points]],Tabelle1324[[#This Row],[Carry-over]])-Tabelle1324[[#This Row],[SP Completed (COS &amp; SOS)]]),0)</f>
        <v>3</v>
      </c>
    </row>
    <row r="137" spans="1:17" s="46" customFormat="1" ht="13.5" customHeight="1">
      <c r="A137" s="158" t="s">
        <v>3609</v>
      </c>
      <c r="B137" s="47" t="s">
        <v>3610</v>
      </c>
      <c r="C137" s="76" t="s">
        <v>375</v>
      </c>
      <c r="D137" s="76">
        <v>2</v>
      </c>
      <c r="E137" s="76" t="s">
        <v>327</v>
      </c>
      <c r="F137" s="76">
        <v>3</v>
      </c>
      <c r="G137" s="76" t="s">
        <v>24</v>
      </c>
      <c r="H137" s="76"/>
      <c r="I137" s="103"/>
      <c r="J137" s="76" t="s">
        <v>127</v>
      </c>
      <c r="K137" s="104"/>
      <c r="L137" s="104"/>
      <c r="M137" s="136">
        <f>IF(Tabelle1324[[#This Row],[Pulled after Start]]="",MIN(Tabelle1324[[#This Row],[Jira Story Points]],Tabelle1324[[#This Row],[Carry-over]]),0)</f>
        <v>3</v>
      </c>
      <c r="N137" s="136">
        <f>MIN(Tabelle1324[[#This Row],[Jira Story Points]],Tabelle1324[[#This Row],[Carry-over]])-Tabelle1324[[#This Row],[SP Initially Planned (COS)]]</f>
        <v>0</v>
      </c>
      <c r="O137" s="104">
        <f>IFERROR(IF(Tabelle1324[[#This Row],[Status]]=$I$5,0,IF(AND(Tabelle1324[[#This Row],[Status]]=$H$5,Tabelle1324[[#This Row],[Spill-over]]=0),0,IF(Tabelle1324[[#This Row],[Carry-over]]&lt;&gt;0,Tabelle1324[[#This Row],[Carry-over]]-Tabelle1324[[#This Row],[Spill-over]],Tabelle1324[[#This Row],[Jira Story Points]]-Tabelle1324[[#This Row],[Spill-over]]))),"-")</f>
        <v>0</v>
      </c>
      <c r="P137" s="136">
        <f>IFERROR(IF(Tabelle1324[[#This Row],[Status]]=$I$5,MIN(Tabelle1324[[#This Row],[Jira Story Points]],Tabelle1324[[#This Row],[Carry-over]]),0),0)</f>
        <v>0</v>
      </c>
      <c r="Q137" s="156">
        <f>IFERROR(IF(Tabelle1324[[#This Row],[Status]]=$I$5,0,MIN(Tabelle1324[[#This Row],[Jira Story Points]],Tabelle1324[[#This Row],[Carry-over]])-Tabelle1324[[#This Row],[SP Completed (COS &amp; SOS)]]),0)</f>
        <v>3</v>
      </c>
    </row>
    <row r="138" spans="1:17" s="46" customFormat="1" ht="13.5" customHeight="1">
      <c r="A138" s="158" t="s">
        <v>3356</v>
      </c>
      <c r="B138" s="47" t="s">
        <v>3357</v>
      </c>
      <c r="C138" s="76" t="s">
        <v>372</v>
      </c>
      <c r="D138" s="76">
        <v>2</v>
      </c>
      <c r="E138" s="76" t="s">
        <v>327</v>
      </c>
      <c r="F138" s="76">
        <v>3</v>
      </c>
      <c r="G138" s="76" t="s">
        <v>24</v>
      </c>
      <c r="H138" s="76" t="s">
        <v>209</v>
      </c>
      <c r="I138" s="103" t="s">
        <v>3611</v>
      </c>
      <c r="J138" s="76" t="s">
        <v>127</v>
      </c>
      <c r="K138" s="104">
        <v>3</v>
      </c>
      <c r="L138" s="104">
        <v>1</v>
      </c>
      <c r="M138" s="136">
        <f>IF(Tabelle1324[[#This Row],[Pulled after Start]]="",MIN(Tabelle1324[[#This Row],[Jira Story Points]],Tabelle1324[[#This Row],[Carry-over]]),0)</f>
        <v>0</v>
      </c>
      <c r="N138" s="136">
        <f>MIN(Tabelle1324[[#This Row],[Jira Story Points]],Tabelle1324[[#This Row],[Carry-over]])-Tabelle1324[[#This Row],[SP Initially Planned (COS)]]</f>
        <v>3</v>
      </c>
      <c r="O138" s="104">
        <f>IFERROR(IF(Tabelle1324[[#This Row],[Status]]=$I$5,0,IF(AND(Tabelle1324[[#This Row],[Status]]=$H$5,Tabelle1324[[#This Row],[Spill-over]]=0),0,IF(Tabelle1324[[#This Row],[Carry-over]]&lt;&gt;0,Tabelle1324[[#This Row],[Carry-over]]-Tabelle1324[[#This Row],[Spill-over]],Tabelle1324[[#This Row],[Jira Story Points]]-Tabelle1324[[#This Row],[Spill-over]]))),"-")</f>
        <v>2</v>
      </c>
      <c r="P138" s="136">
        <f>IFERROR(IF(Tabelle1324[[#This Row],[Status]]=$I$5,MIN(Tabelle1324[[#This Row],[Jira Story Points]],Tabelle1324[[#This Row],[Carry-over]]),0),0)</f>
        <v>0</v>
      </c>
      <c r="Q138" s="156">
        <f>IFERROR(IF(Tabelle1324[[#This Row],[Status]]=$I$5,0,MIN(Tabelle1324[[#This Row],[Jira Story Points]],Tabelle1324[[#This Row],[Carry-over]])-Tabelle1324[[#This Row],[SP Completed (COS &amp; SOS)]]),0)</f>
        <v>1</v>
      </c>
    </row>
    <row r="139" spans="1:17" s="46" customFormat="1" ht="13.5" customHeight="1">
      <c r="A139" s="158" t="s">
        <v>3394</v>
      </c>
      <c r="B139" s="47" t="s">
        <v>3395</v>
      </c>
      <c r="C139" s="76" t="s">
        <v>382</v>
      </c>
      <c r="D139" s="76">
        <v>3</v>
      </c>
      <c r="E139" s="76" t="s">
        <v>330</v>
      </c>
      <c r="F139" s="76">
        <v>1</v>
      </c>
      <c r="G139" s="76" t="s">
        <v>24</v>
      </c>
      <c r="H139" s="76" t="s">
        <v>209</v>
      </c>
      <c r="I139" s="103"/>
      <c r="J139" s="76" t="s">
        <v>127</v>
      </c>
      <c r="K139" s="104"/>
      <c r="L139" s="104"/>
      <c r="M139" s="136">
        <f>IF(Tabelle1324[[#This Row],[Pulled after Start]]="",MIN(Tabelle1324[[#This Row],[Jira Story Points]],Tabelle1324[[#This Row],[Carry-over]]),0)</f>
        <v>0</v>
      </c>
      <c r="N139" s="136">
        <f>MIN(Tabelle1324[[#This Row],[Jira Story Points]],Tabelle1324[[#This Row],[Carry-over]])-Tabelle1324[[#This Row],[SP Initially Planned (COS)]]</f>
        <v>1</v>
      </c>
      <c r="O139" s="104">
        <f>IFERROR(IF(Tabelle1324[[#This Row],[Status]]=$I$5,0,IF(AND(Tabelle1324[[#This Row],[Status]]=$H$5,Tabelle1324[[#This Row],[Spill-over]]=0),0,IF(Tabelle1324[[#This Row],[Carry-over]]&lt;&gt;0,Tabelle1324[[#This Row],[Carry-over]]-Tabelle1324[[#This Row],[Spill-over]],Tabelle1324[[#This Row],[Jira Story Points]]-Tabelle1324[[#This Row],[Spill-over]]))),"-")</f>
        <v>0</v>
      </c>
      <c r="P139" s="136">
        <f>IFERROR(IF(Tabelle1324[[#This Row],[Status]]=$I$5,MIN(Tabelle1324[[#This Row],[Jira Story Points]],Tabelle1324[[#This Row],[Carry-over]]),0),0)</f>
        <v>0</v>
      </c>
      <c r="Q139" s="156">
        <f>IFERROR(IF(Tabelle1324[[#This Row],[Status]]=$I$5,0,MIN(Tabelle1324[[#This Row],[Jira Story Points]],Tabelle1324[[#This Row],[Carry-over]])-Tabelle1324[[#This Row],[SP Completed (COS &amp; SOS)]]),0)</f>
        <v>1</v>
      </c>
    </row>
    <row r="140" spans="1:17" s="46" customFormat="1" ht="13.5" customHeight="1">
      <c r="A140" s="88" t="s">
        <v>3398</v>
      </c>
      <c r="B140" s="47" t="s">
        <v>3399</v>
      </c>
      <c r="C140" s="76" t="s">
        <v>382</v>
      </c>
      <c r="D140" s="76">
        <v>3</v>
      </c>
      <c r="E140" s="76" t="s">
        <v>330</v>
      </c>
      <c r="F140" s="104">
        <v>3</v>
      </c>
      <c r="G140" s="76" t="s">
        <v>24</v>
      </c>
      <c r="H140" s="83" t="s">
        <v>209</v>
      </c>
      <c r="I140" s="103"/>
      <c r="J140" s="76" t="s">
        <v>127</v>
      </c>
      <c r="K140" s="104"/>
      <c r="L140" s="104"/>
      <c r="M140" s="136">
        <f>IF(Tabelle1324[[#This Row],[Pulled after Start]]="",MIN(Tabelle1324[[#This Row],[Jira Story Points]],Tabelle1324[[#This Row],[Carry-over]]),0)</f>
        <v>0</v>
      </c>
      <c r="N140" s="136">
        <f>MIN(Tabelle1324[[#This Row],[Jira Story Points]],Tabelle1324[[#This Row],[Carry-over]])-Tabelle1324[[#This Row],[SP Initially Planned (COS)]]</f>
        <v>3</v>
      </c>
      <c r="O140" s="104">
        <f>IFERROR(IF(Tabelle1324[[#This Row],[Status]]=$I$5,0,IF(AND(Tabelle1324[[#This Row],[Status]]=$H$5,Tabelle1324[[#This Row],[Spill-over]]=0),0,IF(Tabelle1324[[#This Row],[Carry-over]]&lt;&gt;0,Tabelle1324[[#This Row],[Carry-over]]-Tabelle1324[[#This Row],[Spill-over]],Tabelle1324[[#This Row],[Jira Story Points]]-Tabelle1324[[#This Row],[Spill-over]]))),"-")</f>
        <v>0</v>
      </c>
      <c r="P140" s="136">
        <f>IFERROR(IF(Tabelle1324[[#This Row],[Status]]=$I$5,MIN(Tabelle1324[[#This Row],[Jira Story Points]],Tabelle1324[[#This Row],[Carry-over]]),0),0)</f>
        <v>0</v>
      </c>
      <c r="Q140" s="156">
        <f>IFERROR(IF(Tabelle1324[[#This Row],[Status]]=$I$5,0,MIN(Tabelle1324[[#This Row],[Jira Story Points]],Tabelle1324[[#This Row],[Carry-over]])-Tabelle1324[[#This Row],[SP Completed (COS &amp; SOS)]]),0)</f>
        <v>3</v>
      </c>
    </row>
    <row r="141" spans="1:17" s="46" customFormat="1" ht="13.5" customHeight="1">
      <c r="A141" s="158" t="s">
        <v>3612</v>
      </c>
      <c r="B141" s="47" t="s">
        <v>3613</v>
      </c>
      <c r="C141" s="76" t="s">
        <v>382</v>
      </c>
      <c r="D141" s="76">
        <v>3</v>
      </c>
      <c r="E141" s="76" t="s">
        <v>330</v>
      </c>
      <c r="F141" s="76">
        <v>3</v>
      </c>
      <c r="G141" s="76" t="s">
        <v>24</v>
      </c>
      <c r="H141" s="76"/>
      <c r="I141" s="103"/>
      <c r="J141" s="76" t="s">
        <v>126</v>
      </c>
      <c r="K141" s="104"/>
      <c r="L141" s="104"/>
      <c r="M141" s="136">
        <f>IF(Tabelle1324[[#This Row],[Pulled after Start]]="",MIN(Tabelle1324[[#This Row],[Jira Story Points]],Tabelle1324[[#This Row],[Carry-over]]),0)</f>
        <v>3</v>
      </c>
      <c r="N141" s="136">
        <f>MIN(Tabelle1324[[#This Row],[Jira Story Points]],Tabelle1324[[#This Row],[Carry-over]])-Tabelle1324[[#This Row],[SP Initially Planned (COS)]]</f>
        <v>0</v>
      </c>
      <c r="O141" s="104">
        <f>IFERROR(IF(Tabelle1324[[#This Row],[Status]]=$I$5,0,IF(AND(Tabelle1324[[#This Row],[Status]]=$H$5,Tabelle1324[[#This Row],[Spill-over]]=0),0,IF(Tabelle1324[[#This Row],[Carry-over]]&lt;&gt;0,Tabelle1324[[#This Row],[Carry-over]]-Tabelle1324[[#This Row],[Spill-over]],Tabelle1324[[#This Row],[Jira Story Points]]-Tabelle1324[[#This Row],[Spill-over]]))),"-")</f>
        <v>0</v>
      </c>
      <c r="P141" s="136">
        <f>IFERROR(IF(Tabelle1324[[#This Row],[Status]]=$I$5,MIN(Tabelle1324[[#This Row],[Jira Story Points]],Tabelle1324[[#This Row],[Carry-over]]),0),0)</f>
        <v>3</v>
      </c>
      <c r="Q141" s="156">
        <f>IFERROR(IF(Tabelle1324[[#This Row],[Status]]=$I$5,0,MIN(Tabelle1324[[#This Row],[Jira Story Points]],Tabelle1324[[#This Row],[Carry-over]])-Tabelle1324[[#This Row],[SP Completed (COS &amp; SOS)]]),0)</f>
        <v>0</v>
      </c>
    </row>
    <row r="142" spans="1:17" s="46" customFormat="1" ht="13.5" customHeight="1">
      <c r="A142" s="158" t="s">
        <v>3614</v>
      </c>
      <c r="B142" s="47" t="s">
        <v>3615</v>
      </c>
      <c r="C142" s="76" t="s">
        <v>372</v>
      </c>
      <c r="D142" s="76">
        <v>3</v>
      </c>
      <c r="E142" s="76" t="s">
        <v>324</v>
      </c>
      <c r="F142" s="104">
        <v>2</v>
      </c>
      <c r="G142" s="76" t="s">
        <v>32</v>
      </c>
      <c r="H142" s="83"/>
      <c r="I142" s="103"/>
      <c r="J142" s="76" t="s">
        <v>125</v>
      </c>
      <c r="K142" s="104"/>
      <c r="L142" s="104"/>
      <c r="M142" s="136">
        <f>IF(Tabelle1324[[#This Row],[Pulled after Start]]="",MIN(Tabelle1324[[#This Row],[Jira Story Points]],Tabelle1324[[#This Row],[Carry-over]]),0)</f>
        <v>2</v>
      </c>
      <c r="N142" s="136">
        <f>MIN(Tabelle1324[[#This Row],[Jira Story Points]],Tabelle1324[[#This Row],[Carry-over]])-Tabelle1324[[#This Row],[SP Initially Planned (COS)]]</f>
        <v>0</v>
      </c>
      <c r="O142" s="104">
        <f>IFERROR(IF(Tabelle1324[[#This Row],[Status]]=$I$5,0,IF(AND(Tabelle1324[[#This Row],[Status]]=$H$5,Tabelle1324[[#This Row],[Spill-over]]=0),0,IF(Tabelle1324[[#This Row],[Carry-over]]&lt;&gt;0,Tabelle1324[[#This Row],[Carry-over]]-Tabelle1324[[#This Row],[Spill-over]],Tabelle1324[[#This Row],[Jira Story Points]]-Tabelle1324[[#This Row],[Spill-over]]))),"-")</f>
        <v>2</v>
      </c>
      <c r="P142" s="136">
        <f>IFERROR(IF(Tabelle1324[[#This Row],[Status]]=$I$5,MIN(Tabelle1324[[#This Row],[Jira Story Points]],Tabelle1324[[#This Row],[Carry-over]]),0),0)</f>
        <v>0</v>
      </c>
      <c r="Q142" s="156">
        <f>IFERROR(IF(Tabelle1324[[#This Row],[Status]]=$I$5,0,MIN(Tabelle1324[[#This Row],[Jira Story Points]],Tabelle1324[[#This Row],[Carry-over]])-Tabelle1324[[#This Row],[SP Completed (COS &amp; SOS)]]),0)</f>
        <v>0</v>
      </c>
    </row>
    <row r="143" spans="1:17" s="46" customFormat="1" ht="13.5" customHeight="1">
      <c r="A143" s="158" t="s">
        <v>3616</v>
      </c>
      <c r="B143" s="47" t="s">
        <v>3617</v>
      </c>
      <c r="C143" s="76" t="s">
        <v>375</v>
      </c>
      <c r="D143" s="76">
        <v>3</v>
      </c>
      <c r="E143" s="76" t="s">
        <v>3618</v>
      </c>
      <c r="F143" s="104">
        <v>3</v>
      </c>
      <c r="G143" s="76" t="s">
        <v>32</v>
      </c>
      <c r="H143" s="83"/>
      <c r="I143" s="103"/>
      <c r="J143" s="76" t="s">
        <v>125</v>
      </c>
      <c r="K143" s="104"/>
      <c r="L143" s="104"/>
      <c r="M143" s="136">
        <f>IF(Tabelle1324[[#This Row],[Pulled after Start]]="",MIN(Tabelle1324[[#This Row],[Jira Story Points]],Tabelle1324[[#This Row],[Carry-over]]),0)</f>
        <v>3</v>
      </c>
      <c r="N143" s="136">
        <f>MIN(Tabelle1324[[#This Row],[Jira Story Points]],Tabelle1324[[#This Row],[Carry-over]])-Tabelle1324[[#This Row],[SP Initially Planned (COS)]]</f>
        <v>0</v>
      </c>
      <c r="O143" s="104">
        <f>IFERROR(IF(Tabelle1324[[#This Row],[Status]]=$I$5,0,IF(AND(Tabelle1324[[#This Row],[Status]]=$H$5,Tabelle1324[[#This Row],[Spill-over]]=0),0,IF(Tabelle1324[[#This Row],[Carry-over]]&lt;&gt;0,Tabelle1324[[#This Row],[Carry-over]]-Tabelle1324[[#This Row],[Spill-over]],Tabelle1324[[#This Row],[Jira Story Points]]-Tabelle1324[[#This Row],[Spill-over]]))),"-")</f>
        <v>3</v>
      </c>
      <c r="P143" s="136">
        <f>IFERROR(IF(Tabelle1324[[#This Row],[Status]]=$I$5,MIN(Tabelle1324[[#This Row],[Jira Story Points]],Tabelle1324[[#This Row],[Carry-over]]),0),0)</f>
        <v>0</v>
      </c>
      <c r="Q143" s="156">
        <f>IFERROR(IF(Tabelle1324[[#This Row],[Status]]=$I$5,0,MIN(Tabelle1324[[#This Row],[Jira Story Points]],Tabelle1324[[#This Row],[Carry-over]])-Tabelle1324[[#This Row],[SP Completed (COS &amp; SOS)]]),0)</f>
        <v>0</v>
      </c>
    </row>
    <row r="144" spans="1:17" s="46" customFormat="1" ht="13.5" customHeight="1">
      <c r="A144" s="158" t="s">
        <v>3619</v>
      </c>
      <c r="B144" s="47" t="s">
        <v>3620</v>
      </c>
      <c r="C144" s="76" t="s">
        <v>375</v>
      </c>
      <c r="D144" s="76">
        <v>3</v>
      </c>
      <c r="E144" s="76" t="s">
        <v>3618</v>
      </c>
      <c r="F144" s="104">
        <v>3</v>
      </c>
      <c r="G144" s="76" t="s">
        <v>32</v>
      </c>
      <c r="H144" s="83"/>
      <c r="I144" s="103"/>
      <c r="J144" s="76" t="s">
        <v>125</v>
      </c>
      <c r="K144" s="104"/>
      <c r="L144" s="104"/>
      <c r="M144" s="136">
        <f>IF(Tabelle1324[[#This Row],[Pulled after Start]]="",MIN(Tabelle1324[[#This Row],[Jira Story Points]],Tabelle1324[[#This Row],[Carry-over]]),0)</f>
        <v>3</v>
      </c>
      <c r="N144" s="136">
        <f>MIN(Tabelle1324[[#This Row],[Jira Story Points]],Tabelle1324[[#This Row],[Carry-over]])-Tabelle1324[[#This Row],[SP Initially Planned (COS)]]</f>
        <v>0</v>
      </c>
      <c r="O144" s="104">
        <f>IFERROR(IF(Tabelle1324[[#This Row],[Status]]=$I$5,0,IF(AND(Tabelle1324[[#This Row],[Status]]=$H$5,Tabelle1324[[#This Row],[Spill-over]]=0),0,IF(Tabelle1324[[#This Row],[Carry-over]]&lt;&gt;0,Tabelle1324[[#This Row],[Carry-over]]-Tabelle1324[[#This Row],[Spill-over]],Tabelle1324[[#This Row],[Jira Story Points]]-Tabelle1324[[#This Row],[Spill-over]]))),"-")</f>
        <v>3</v>
      </c>
      <c r="P144" s="136">
        <f>IFERROR(IF(Tabelle1324[[#This Row],[Status]]=$I$5,MIN(Tabelle1324[[#This Row],[Jira Story Points]],Tabelle1324[[#This Row],[Carry-over]]),0),0)</f>
        <v>0</v>
      </c>
      <c r="Q144" s="156">
        <f>IFERROR(IF(Tabelle1324[[#This Row],[Status]]=$I$5,0,MIN(Tabelle1324[[#This Row],[Jira Story Points]],Tabelle1324[[#This Row],[Carry-over]])-Tabelle1324[[#This Row],[SP Completed (COS &amp; SOS)]]),0)</f>
        <v>0</v>
      </c>
    </row>
    <row r="145" spans="1:17" s="46" customFormat="1" ht="13.5" customHeight="1">
      <c r="A145" s="158" t="s">
        <v>3621</v>
      </c>
      <c r="B145" s="47" t="s">
        <v>3622</v>
      </c>
      <c r="C145" s="76" t="s">
        <v>375</v>
      </c>
      <c r="D145" s="76">
        <v>1</v>
      </c>
      <c r="E145" s="76" t="s">
        <v>324</v>
      </c>
      <c r="F145" s="104">
        <v>3</v>
      </c>
      <c r="G145" s="76" t="s">
        <v>32</v>
      </c>
      <c r="H145" s="83"/>
      <c r="I145" s="103"/>
      <c r="J145" s="76" t="s">
        <v>125</v>
      </c>
      <c r="K145" s="104"/>
      <c r="L145" s="104"/>
      <c r="M145" s="136">
        <f>IF(Tabelle1324[[#This Row],[Pulled after Start]]="",MIN(Tabelle1324[[#This Row],[Jira Story Points]],Tabelle1324[[#This Row],[Carry-over]]),0)</f>
        <v>3</v>
      </c>
      <c r="N145" s="136">
        <f>MIN(Tabelle1324[[#This Row],[Jira Story Points]],Tabelle1324[[#This Row],[Carry-over]])-Tabelle1324[[#This Row],[SP Initially Planned (COS)]]</f>
        <v>0</v>
      </c>
      <c r="O145" s="104">
        <f>IFERROR(IF(Tabelle1324[[#This Row],[Status]]=$I$5,0,IF(AND(Tabelle1324[[#This Row],[Status]]=$H$5,Tabelle1324[[#This Row],[Spill-over]]=0),0,IF(Tabelle1324[[#This Row],[Carry-over]]&lt;&gt;0,Tabelle1324[[#This Row],[Carry-over]]-Tabelle1324[[#This Row],[Spill-over]],Tabelle1324[[#This Row],[Jira Story Points]]-Tabelle1324[[#This Row],[Spill-over]]))),"-")</f>
        <v>3</v>
      </c>
      <c r="P145" s="136">
        <f>IFERROR(IF(Tabelle1324[[#This Row],[Status]]=$I$5,MIN(Tabelle1324[[#This Row],[Jira Story Points]],Tabelle1324[[#This Row],[Carry-over]]),0),0)</f>
        <v>0</v>
      </c>
      <c r="Q145" s="156">
        <f>IFERROR(IF(Tabelle1324[[#This Row],[Status]]=$I$5,0,MIN(Tabelle1324[[#This Row],[Jira Story Points]],Tabelle1324[[#This Row],[Carry-over]])-Tabelle1324[[#This Row],[SP Completed (COS &amp; SOS)]]),0)</f>
        <v>0</v>
      </c>
    </row>
    <row r="146" spans="1:17" s="46" customFormat="1" ht="13.5" customHeight="1">
      <c r="A146" s="158" t="s">
        <v>3623</v>
      </c>
      <c r="B146" s="47" t="s">
        <v>3624</v>
      </c>
      <c r="C146" s="76" t="s">
        <v>382</v>
      </c>
      <c r="D146" s="76">
        <v>3</v>
      </c>
      <c r="E146" s="76" t="s">
        <v>324</v>
      </c>
      <c r="F146" s="104">
        <v>5</v>
      </c>
      <c r="G146" s="76" t="s">
        <v>32</v>
      </c>
      <c r="H146" s="83"/>
      <c r="I146" s="103"/>
      <c r="J146" s="76" t="s">
        <v>125</v>
      </c>
      <c r="K146" s="104"/>
      <c r="L146" s="104"/>
      <c r="M146" s="136">
        <f>IF(Tabelle1324[[#This Row],[Pulled after Start]]="",MIN(Tabelle1324[[#This Row],[Jira Story Points]],Tabelle1324[[#This Row],[Carry-over]]),0)</f>
        <v>5</v>
      </c>
      <c r="N146" s="136">
        <f>MIN(Tabelle1324[[#This Row],[Jira Story Points]],Tabelle1324[[#This Row],[Carry-over]])-Tabelle1324[[#This Row],[SP Initially Planned (COS)]]</f>
        <v>0</v>
      </c>
      <c r="O146" s="104">
        <f>IFERROR(IF(Tabelle1324[[#This Row],[Status]]=$I$5,0,IF(AND(Tabelle1324[[#This Row],[Status]]=$H$5,Tabelle1324[[#This Row],[Spill-over]]=0),0,IF(Tabelle1324[[#This Row],[Carry-over]]&lt;&gt;0,Tabelle1324[[#This Row],[Carry-over]]-Tabelle1324[[#This Row],[Spill-over]],Tabelle1324[[#This Row],[Jira Story Points]]-Tabelle1324[[#This Row],[Spill-over]]))),"-")</f>
        <v>5</v>
      </c>
      <c r="P146" s="136">
        <f>IFERROR(IF(Tabelle1324[[#This Row],[Status]]=$I$5,MIN(Tabelle1324[[#This Row],[Jira Story Points]],Tabelle1324[[#This Row],[Carry-over]]),0),0)</f>
        <v>0</v>
      </c>
      <c r="Q146" s="156">
        <f>IFERROR(IF(Tabelle1324[[#This Row],[Status]]=$I$5,0,MIN(Tabelle1324[[#This Row],[Jira Story Points]],Tabelle1324[[#This Row],[Carry-over]])-Tabelle1324[[#This Row],[SP Completed (COS &amp; SOS)]]),0)</f>
        <v>0</v>
      </c>
    </row>
    <row r="147" spans="1:17" s="46" customFormat="1" ht="13.5" customHeight="1">
      <c r="A147" s="158" t="s">
        <v>3625</v>
      </c>
      <c r="B147" s="47" t="s">
        <v>3626</v>
      </c>
      <c r="C147" s="76" t="s">
        <v>382</v>
      </c>
      <c r="D147" s="76">
        <v>3</v>
      </c>
      <c r="E147" s="76" t="s">
        <v>324</v>
      </c>
      <c r="F147" s="104">
        <v>5</v>
      </c>
      <c r="G147" s="76" t="s">
        <v>32</v>
      </c>
      <c r="H147" s="83"/>
      <c r="I147" s="103"/>
      <c r="J147" s="76" t="s">
        <v>125</v>
      </c>
      <c r="K147" s="104"/>
      <c r="L147" s="104"/>
      <c r="M147" s="136">
        <f>IF(Tabelle1324[[#This Row],[Pulled after Start]]="",MIN(Tabelle1324[[#This Row],[Jira Story Points]],Tabelle1324[[#This Row],[Carry-over]]),0)</f>
        <v>5</v>
      </c>
      <c r="N147" s="136">
        <f>MIN(Tabelle1324[[#This Row],[Jira Story Points]],Tabelle1324[[#This Row],[Carry-over]])-Tabelle1324[[#This Row],[SP Initially Planned (COS)]]</f>
        <v>0</v>
      </c>
      <c r="O147" s="104">
        <f>IFERROR(IF(Tabelle1324[[#This Row],[Status]]=$I$5,0,IF(AND(Tabelle1324[[#This Row],[Status]]=$H$5,Tabelle1324[[#This Row],[Spill-over]]=0),0,IF(Tabelle1324[[#This Row],[Carry-over]]&lt;&gt;0,Tabelle1324[[#This Row],[Carry-over]]-Tabelle1324[[#This Row],[Spill-over]],Tabelle1324[[#This Row],[Jira Story Points]]-Tabelle1324[[#This Row],[Spill-over]]))),"-")</f>
        <v>5</v>
      </c>
      <c r="P147" s="136">
        <f>IFERROR(IF(Tabelle1324[[#This Row],[Status]]=$I$5,MIN(Tabelle1324[[#This Row],[Jira Story Points]],Tabelle1324[[#This Row],[Carry-over]]),0),0)</f>
        <v>0</v>
      </c>
      <c r="Q147" s="156">
        <f>IFERROR(IF(Tabelle1324[[#This Row],[Status]]=$I$5,0,MIN(Tabelle1324[[#This Row],[Jira Story Points]],Tabelle1324[[#This Row],[Carry-over]])-Tabelle1324[[#This Row],[SP Completed (COS &amp; SOS)]]),0)</f>
        <v>0</v>
      </c>
    </row>
    <row r="148" spans="1:17" s="46" customFormat="1" ht="13.5" customHeight="1">
      <c r="A148" s="158" t="s">
        <v>3627</v>
      </c>
      <c r="B148" s="47" t="s">
        <v>3628</v>
      </c>
      <c r="C148" s="76" t="s">
        <v>382</v>
      </c>
      <c r="D148" s="76">
        <v>3</v>
      </c>
      <c r="E148" s="76" t="s">
        <v>324</v>
      </c>
      <c r="F148" s="104">
        <v>3</v>
      </c>
      <c r="G148" s="76" t="s">
        <v>32</v>
      </c>
      <c r="H148" s="83"/>
      <c r="I148" s="103"/>
      <c r="J148" s="76" t="s">
        <v>125</v>
      </c>
      <c r="K148" s="104"/>
      <c r="L148" s="104"/>
      <c r="M148" s="136">
        <f>IF(Tabelle1324[[#This Row],[Pulled after Start]]="",MIN(Tabelle1324[[#This Row],[Jira Story Points]],Tabelle1324[[#This Row],[Carry-over]]),0)</f>
        <v>3</v>
      </c>
      <c r="N148" s="136">
        <f>MIN(Tabelle1324[[#This Row],[Jira Story Points]],Tabelle1324[[#This Row],[Carry-over]])-Tabelle1324[[#This Row],[SP Initially Planned (COS)]]</f>
        <v>0</v>
      </c>
      <c r="O148" s="104">
        <f>IFERROR(IF(Tabelle1324[[#This Row],[Status]]=$I$5,0,IF(AND(Tabelle1324[[#This Row],[Status]]=$H$5,Tabelle1324[[#This Row],[Spill-over]]=0),0,IF(Tabelle1324[[#This Row],[Carry-over]]&lt;&gt;0,Tabelle1324[[#This Row],[Carry-over]]-Tabelle1324[[#This Row],[Spill-over]],Tabelle1324[[#This Row],[Jira Story Points]]-Tabelle1324[[#This Row],[Spill-over]]))),"-")</f>
        <v>3</v>
      </c>
      <c r="P148" s="136">
        <f>IFERROR(IF(Tabelle1324[[#This Row],[Status]]=$I$5,MIN(Tabelle1324[[#This Row],[Jira Story Points]],Tabelle1324[[#This Row],[Carry-over]]),0),0)</f>
        <v>0</v>
      </c>
      <c r="Q148" s="156">
        <f>IFERROR(IF(Tabelle1324[[#This Row],[Status]]=$I$5,0,MIN(Tabelle1324[[#This Row],[Jira Story Points]],Tabelle1324[[#This Row],[Carry-over]])-Tabelle1324[[#This Row],[SP Completed (COS &amp; SOS)]]),0)</f>
        <v>0</v>
      </c>
    </row>
    <row r="149" spans="1:17" s="46" customFormat="1" ht="13.5" customHeight="1">
      <c r="A149" s="158" t="s">
        <v>3629</v>
      </c>
      <c r="B149" s="47" t="s">
        <v>3630</v>
      </c>
      <c r="C149" s="76" t="s">
        <v>382</v>
      </c>
      <c r="D149" s="76">
        <v>3</v>
      </c>
      <c r="E149" s="76" t="s">
        <v>330</v>
      </c>
      <c r="F149" s="104">
        <v>3</v>
      </c>
      <c r="G149" s="76" t="s">
        <v>32</v>
      </c>
      <c r="H149" s="83"/>
      <c r="I149" s="103"/>
      <c r="J149" s="76" t="s">
        <v>125</v>
      </c>
      <c r="K149" s="104"/>
      <c r="L149" s="104"/>
      <c r="M149" s="136">
        <f>IF(Tabelle1324[[#This Row],[Pulled after Start]]="",MIN(Tabelle1324[[#This Row],[Jira Story Points]],Tabelle1324[[#This Row],[Carry-over]]),0)</f>
        <v>3</v>
      </c>
      <c r="N149" s="136">
        <f>MIN(Tabelle1324[[#This Row],[Jira Story Points]],Tabelle1324[[#This Row],[Carry-over]])-Tabelle1324[[#This Row],[SP Initially Planned (COS)]]</f>
        <v>0</v>
      </c>
      <c r="O149" s="104">
        <f>IFERROR(IF(Tabelle1324[[#This Row],[Status]]=$I$5,0,IF(AND(Tabelle1324[[#This Row],[Status]]=$H$5,Tabelle1324[[#This Row],[Spill-over]]=0),0,IF(Tabelle1324[[#This Row],[Carry-over]]&lt;&gt;0,Tabelle1324[[#This Row],[Carry-over]]-Tabelle1324[[#This Row],[Spill-over]],Tabelle1324[[#This Row],[Jira Story Points]]-Tabelle1324[[#This Row],[Spill-over]]))),"-")</f>
        <v>3</v>
      </c>
      <c r="P149" s="136">
        <f>IFERROR(IF(Tabelle1324[[#This Row],[Status]]=$I$5,MIN(Tabelle1324[[#This Row],[Jira Story Points]],Tabelle1324[[#This Row],[Carry-over]]),0),0)</f>
        <v>0</v>
      </c>
      <c r="Q149" s="156">
        <f>IFERROR(IF(Tabelle1324[[#This Row],[Status]]=$I$5,0,MIN(Tabelle1324[[#This Row],[Jira Story Points]],Tabelle1324[[#This Row],[Carry-over]])-Tabelle1324[[#This Row],[SP Completed (COS &amp; SOS)]]),0)</f>
        <v>0</v>
      </c>
    </row>
    <row r="150" spans="1:17" s="46" customFormat="1" ht="13.5" customHeight="1">
      <c r="A150" s="158" t="s">
        <v>3631</v>
      </c>
      <c r="B150" s="47" t="s">
        <v>3632</v>
      </c>
      <c r="C150" s="76" t="s">
        <v>382</v>
      </c>
      <c r="D150" s="76">
        <v>3</v>
      </c>
      <c r="E150" s="76" t="s">
        <v>330</v>
      </c>
      <c r="F150" s="104">
        <v>3</v>
      </c>
      <c r="G150" s="76" t="s">
        <v>32</v>
      </c>
      <c r="H150" s="83"/>
      <c r="I150" s="103"/>
      <c r="J150" s="76" t="s">
        <v>125</v>
      </c>
      <c r="K150" s="104"/>
      <c r="L150" s="104"/>
      <c r="M150" s="136">
        <f>IF(Tabelle1324[[#This Row],[Pulled after Start]]="",MIN(Tabelle1324[[#This Row],[Jira Story Points]],Tabelle1324[[#This Row],[Carry-over]]),0)</f>
        <v>3</v>
      </c>
      <c r="N150" s="136">
        <f>MIN(Tabelle1324[[#This Row],[Jira Story Points]],Tabelle1324[[#This Row],[Carry-over]])-Tabelle1324[[#This Row],[SP Initially Planned (COS)]]</f>
        <v>0</v>
      </c>
      <c r="O150" s="104">
        <f>IFERROR(IF(Tabelle1324[[#This Row],[Status]]=$I$5,0,IF(AND(Tabelle1324[[#This Row],[Status]]=$H$5,Tabelle1324[[#This Row],[Spill-over]]=0),0,IF(Tabelle1324[[#This Row],[Carry-over]]&lt;&gt;0,Tabelle1324[[#This Row],[Carry-over]]-Tabelle1324[[#This Row],[Spill-over]],Tabelle1324[[#This Row],[Jira Story Points]]-Tabelle1324[[#This Row],[Spill-over]]))),"-")</f>
        <v>3</v>
      </c>
      <c r="P150" s="136">
        <f>IFERROR(IF(Tabelle1324[[#This Row],[Status]]=$I$5,MIN(Tabelle1324[[#This Row],[Jira Story Points]],Tabelle1324[[#This Row],[Carry-over]]),0),0)</f>
        <v>0</v>
      </c>
      <c r="Q150" s="156">
        <f>IFERROR(IF(Tabelle1324[[#This Row],[Status]]=$I$5,0,MIN(Tabelle1324[[#This Row],[Jira Story Points]],Tabelle1324[[#This Row],[Carry-over]])-Tabelle1324[[#This Row],[SP Completed (COS &amp; SOS)]]),0)</f>
        <v>0</v>
      </c>
    </row>
    <row r="151" spans="1:17" s="46" customFormat="1" ht="13.5" customHeight="1">
      <c r="A151" s="158" t="s">
        <v>3633</v>
      </c>
      <c r="B151" s="47" t="s">
        <v>3634</v>
      </c>
      <c r="C151" s="76" t="s">
        <v>382</v>
      </c>
      <c r="D151" s="76">
        <v>3</v>
      </c>
      <c r="E151" s="76" t="s">
        <v>324</v>
      </c>
      <c r="F151" s="104">
        <v>3</v>
      </c>
      <c r="G151" s="76" t="s">
        <v>32</v>
      </c>
      <c r="H151" s="83"/>
      <c r="I151" s="103"/>
      <c r="J151" s="76" t="s">
        <v>125</v>
      </c>
      <c r="K151" s="104"/>
      <c r="L151" s="104"/>
      <c r="M151" s="136">
        <f>IF(Tabelle1324[[#This Row],[Pulled after Start]]="",MIN(Tabelle1324[[#This Row],[Jira Story Points]],Tabelle1324[[#This Row],[Carry-over]]),0)</f>
        <v>3</v>
      </c>
      <c r="N151" s="136">
        <f>MIN(Tabelle1324[[#This Row],[Jira Story Points]],Tabelle1324[[#This Row],[Carry-over]])-Tabelle1324[[#This Row],[SP Initially Planned (COS)]]</f>
        <v>0</v>
      </c>
      <c r="O151" s="104">
        <f>IFERROR(IF(Tabelle1324[[#This Row],[Status]]=$I$5,0,IF(AND(Tabelle1324[[#This Row],[Status]]=$H$5,Tabelle1324[[#This Row],[Spill-over]]=0),0,IF(Tabelle1324[[#This Row],[Carry-over]]&lt;&gt;0,Tabelle1324[[#This Row],[Carry-over]]-Tabelle1324[[#This Row],[Spill-over]],Tabelle1324[[#This Row],[Jira Story Points]]-Tabelle1324[[#This Row],[Spill-over]]))),"-")</f>
        <v>3</v>
      </c>
      <c r="P151" s="136">
        <f>IFERROR(IF(Tabelle1324[[#This Row],[Status]]=$I$5,MIN(Tabelle1324[[#This Row],[Jira Story Points]],Tabelle1324[[#This Row],[Carry-over]]),0),0)</f>
        <v>0</v>
      </c>
      <c r="Q151" s="156">
        <f>IFERROR(IF(Tabelle1324[[#This Row],[Status]]=$I$5,0,MIN(Tabelle1324[[#This Row],[Jira Story Points]],Tabelle1324[[#This Row],[Carry-over]])-Tabelle1324[[#This Row],[SP Completed (COS &amp; SOS)]]),0)</f>
        <v>0</v>
      </c>
    </row>
    <row r="152" spans="1:17" s="46" customFormat="1" ht="13.5" customHeight="1">
      <c r="A152" s="158" t="s">
        <v>3635</v>
      </c>
      <c r="B152" s="47" t="s">
        <v>3636</v>
      </c>
      <c r="C152" s="76" t="s">
        <v>382</v>
      </c>
      <c r="D152" s="76">
        <v>3</v>
      </c>
      <c r="E152" s="76" t="s">
        <v>324</v>
      </c>
      <c r="F152" s="104">
        <v>3</v>
      </c>
      <c r="G152" s="76" t="s">
        <v>32</v>
      </c>
      <c r="H152" s="83"/>
      <c r="I152" s="103"/>
      <c r="J152" s="76" t="s">
        <v>125</v>
      </c>
      <c r="K152" s="104"/>
      <c r="L152" s="104"/>
      <c r="M152" s="136">
        <f>IF(Tabelle1324[[#This Row],[Pulled after Start]]="",MIN(Tabelle1324[[#This Row],[Jira Story Points]],Tabelle1324[[#This Row],[Carry-over]]),0)</f>
        <v>3</v>
      </c>
      <c r="N152" s="136">
        <f>MIN(Tabelle1324[[#This Row],[Jira Story Points]],Tabelle1324[[#This Row],[Carry-over]])-Tabelle1324[[#This Row],[SP Initially Planned (COS)]]</f>
        <v>0</v>
      </c>
      <c r="O152" s="104">
        <f>IFERROR(IF(Tabelle1324[[#This Row],[Status]]=$I$5,0,IF(AND(Tabelle1324[[#This Row],[Status]]=$H$5,Tabelle1324[[#This Row],[Spill-over]]=0),0,IF(Tabelle1324[[#This Row],[Carry-over]]&lt;&gt;0,Tabelle1324[[#This Row],[Carry-over]]-Tabelle1324[[#This Row],[Spill-over]],Tabelle1324[[#This Row],[Jira Story Points]]-Tabelle1324[[#This Row],[Spill-over]]))),"-")</f>
        <v>3</v>
      </c>
      <c r="P152" s="136">
        <f>IFERROR(IF(Tabelle1324[[#This Row],[Status]]=$I$5,MIN(Tabelle1324[[#This Row],[Jira Story Points]],Tabelle1324[[#This Row],[Carry-over]]),0),0)</f>
        <v>0</v>
      </c>
      <c r="Q152" s="156">
        <f>IFERROR(IF(Tabelle1324[[#This Row],[Status]]=$I$5,0,MIN(Tabelle1324[[#This Row],[Jira Story Points]],Tabelle1324[[#This Row],[Carry-over]])-Tabelle1324[[#This Row],[SP Completed (COS &amp; SOS)]]),0)</f>
        <v>0</v>
      </c>
    </row>
    <row r="153" spans="1:17" s="46" customFormat="1" ht="13.5" customHeight="1">
      <c r="A153" s="158" t="s">
        <v>2391</v>
      </c>
      <c r="B153" s="47" t="s">
        <v>2939</v>
      </c>
      <c r="C153" s="76" t="s">
        <v>372</v>
      </c>
      <c r="D153" s="76">
        <v>3</v>
      </c>
      <c r="E153" s="76" t="s">
        <v>637</v>
      </c>
      <c r="F153" s="104">
        <v>3</v>
      </c>
      <c r="G153" s="76" t="s">
        <v>32</v>
      </c>
      <c r="H153" s="83"/>
      <c r="I153" s="103"/>
      <c r="J153" s="76" t="s">
        <v>127</v>
      </c>
      <c r="K153" s="104"/>
      <c r="L153" s="104"/>
      <c r="M153" s="136">
        <f>IF(Tabelle1324[[#This Row],[Pulled after Start]]="",MIN(Tabelle1324[[#This Row],[Jira Story Points]],Tabelle1324[[#This Row],[Carry-over]]),0)</f>
        <v>3</v>
      </c>
      <c r="N153" s="136">
        <f>MIN(Tabelle1324[[#This Row],[Jira Story Points]],Tabelle1324[[#This Row],[Carry-over]])-Tabelle1324[[#This Row],[SP Initially Planned (COS)]]</f>
        <v>0</v>
      </c>
      <c r="O153" s="104">
        <f>IFERROR(IF(Tabelle1324[[#This Row],[Status]]=$I$5,0,IF(AND(Tabelle1324[[#This Row],[Status]]=$H$5,Tabelle1324[[#This Row],[Spill-over]]=0),0,IF(Tabelle1324[[#This Row],[Carry-over]]&lt;&gt;0,Tabelle1324[[#This Row],[Carry-over]]-Tabelle1324[[#This Row],[Spill-over]],Tabelle1324[[#This Row],[Jira Story Points]]-Tabelle1324[[#This Row],[Spill-over]]))),"-")</f>
        <v>0</v>
      </c>
      <c r="P153" s="136">
        <f>IFERROR(IF(Tabelle1324[[#This Row],[Status]]=$I$5,MIN(Tabelle1324[[#This Row],[Jira Story Points]],Tabelle1324[[#This Row],[Carry-over]]),0),0)</f>
        <v>0</v>
      </c>
      <c r="Q153" s="156">
        <f>IFERROR(IF(Tabelle1324[[#This Row],[Status]]=$I$5,0,MIN(Tabelle1324[[#This Row],[Jira Story Points]],Tabelle1324[[#This Row],[Carry-over]])-Tabelle1324[[#This Row],[SP Completed (COS &amp; SOS)]]),0)</f>
        <v>3</v>
      </c>
    </row>
    <row r="154" spans="1:17" s="46" customFormat="1" ht="13.5" customHeight="1">
      <c r="A154" s="158" t="s">
        <v>2393</v>
      </c>
      <c r="B154" s="47" t="s">
        <v>2394</v>
      </c>
      <c r="C154" s="76" t="s">
        <v>375</v>
      </c>
      <c r="D154" s="76">
        <v>3</v>
      </c>
      <c r="E154" s="76" t="s">
        <v>637</v>
      </c>
      <c r="F154" s="104">
        <v>3</v>
      </c>
      <c r="G154" s="76" t="s">
        <v>32</v>
      </c>
      <c r="H154" s="83"/>
      <c r="I154" s="103" t="s">
        <v>3637</v>
      </c>
      <c r="J154" s="76" t="s">
        <v>127</v>
      </c>
      <c r="K154" s="104"/>
      <c r="L154" s="104"/>
      <c r="M154" s="136">
        <f>IF(Tabelle1324[[#This Row],[Pulled after Start]]="",MIN(Tabelle1324[[#This Row],[Jira Story Points]],Tabelle1324[[#This Row],[Carry-over]]),0)</f>
        <v>3</v>
      </c>
      <c r="N154" s="136">
        <f>MIN(Tabelle1324[[#This Row],[Jira Story Points]],Tabelle1324[[#This Row],[Carry-over]])-Tabelle1324[[#This Row],[SP Initially Planned (COS)]]</f>
        <v>0</v>
      </c>
      <c r="O154" s="104">
        <f>IFERROR(IF(Tabelle1324[[#This Row],[Status]]=$I$5,0,IF(AND(Tabelle1324[[#This Row],[Status]]=$H$5,Tabelle1324[[#This Row],[Spill-over]]=0),0,IF(Tabelle1324[[#This Row],[Carry-over]]&lt;&gt;0,Tabelle1324[[#This Row],[Carry-over]]-Tabelle1324[[#This Row],[Spill-over]],Tabelle1324[[#This Row],[Jira Story Points]]-Tabelle1324[[#This Row],[Spill-over]]))),"-")</f>
        <v>0</v>
      </c>
      <c r="P154" s="136">
        <f>IFERROR(IF(Tabelle1324[[#This Row],[Status]]=$I$5,MIN(Tabelle1324[[#This Row],[Jira Story Points]],Tabelle1324[[#This Row],[Carry-over]]),0),0)</f>
        <v>0</v>
      </c>
      <c r="Q154" s="156">
        <f>IFERROR(IF(Tabelle1324[[#This Row],[Status]]=$I$5,0,MIN(Tabelle1324[[#This Row],[Jira Story Points]],Tabelle1324[[#This Row],[Carry-over]])-Tabelle1324[[#This Row],[SP Completed (COS &amp; SOS)]]),0)</f>
        <v>3</v>
      </c>
    </row>
    <row r="155" spans="1:17" s="46" customFormat="1" ht="13.5" customHeight="1">
      <c r="A155" s="158" t="s">
        <v>3344</v>
      </c>
      <c r="B155" s="47" t="s">
        <v>3345</v>
      </c>
      <c r="C155" s="76" t="s">
        <v>375</v>
      </c>
      <c r="D155" s="76">
        <v>2</v>
      </c>
      <c r="E155" s="76" t="s">
        <v>448</v>
      </c>
      <c r="F155" s="104">
        <v>5</v>
      </c>
      <c r="G155" s="76" t="s">
        <v>32</v>
      </c>
      <c r="H155" s="83"/>
      <c r="I155" s="103"/>
      <c r="J155" s="76" t="s">
        <v>127</v>
      </c>
      <c r="K155" s="104"/>
      <c r="L155" s="104"/>
      <c r="M155" s="136">
        <f>IF(Tabelle1324[[#This Row],[Pulled after Start]]="",MIN(Tabelle1324[[#This Row],[Jira Story Points]],Tabelle1324[[#This Row],[Carry-over]]),0)</f>
        <v>5</v>
      </c>
      <c r="N155" s="136">
        <f>MIN(Tabelle1324[[#This Row],[Jira Story Points]],Tabelle1324[[#This Row],[Carry-over]])-Tabelle1324[[#This Row],[SP Initially Planned (COS)]]</f>
        <v>0</v>
      </c>
      <c r="O155" s="104">
        <f>IFERROR(IF(Tabelle1324[[#This Row],[Status]]=$I$5,0,IF(AND(Tabelle1324[[#This Row],[Status]]=$H$5,Tabelle1324[[#This Row],[Spill-over]]=0),0,IF(Tabelle1324[[#This Row],[Carry-over]]&lt;&gt;0,Tabelle1324[[#This Row],[Carry-over]]-Tabelle1324[[#This Row],[Spill-over]],Tabelle1324[[#This Row],[Jira Story Points]]-Tabelle1324[[#This Row],[Spill-over]]))),"-")</f>
        <v>0</v>
      </c>
      <c r="P155" s="136">
        <f>IFERROR(IF(Tabelle1324[[#This Row],[Status]]=$I$5,MIN(Tabelle1324[[#This Row],[Jira Story Points]],Tabelle1324[[#This Row],[Carry-over]]),0),0)</f>
        <v>0</v>
      </c>
      <c r="Q155" s="156">
        <f>IFERROR(IF(Tabelle1324[[#This Row],[Status]]=$I$5,0,MIN(Tabelle1324[[#This Row],[Jira Story Points]],Tabelle1324[[#This Row],[Carry-over]])-Tabelle1324[[#This Row],[SP Completed (COS &amp; SOS)]]),0)</f>
        <v>5</v>
      </c>
    </row>
    <row r="156" spans="1:17" s="46" customFormat="1" ht="13.5" customHeight="1">
      <c r="A156" s="158" t="s">
        <v>3352</v>
      </c>
      <c r="B156" s="47" t="s">
        <v>3353</v>
      </c>
      <c r="C156" s="76" t="s">
        <v>382</v>
      </c>
      <c r="D156" s="76">
        <v>3</v>
      </c>
      <c r="E156" s="76" t="s">
        <v>330</v>
      </c>
      <c r="F156" s="104">
        <v>2</v>
      </c>
      <c r="G156" s="76" t="s">
        <v>32</v>
      </c>
      <c r="H156" s="83"/>
      <c r="I156" s="103"/>
      <c r="J156" s="76" t="s">
        <v>127</v>
      </c>
      <c r="K156" s="104"/>
      <c r="L156" s="104"/>
      <c r="M156" s="136">
        <f>IF(Tabelle1324[[#This Row],[Pulled after Start]]="",MIN(Tabelle1324[[#This Row],[Jira Story Points]],Tabelle1324[[#This Row],[Carry-over]]),0)</f>
        <v>2</v>
      </c>
      <c r="N156" s="136">
        <f>MIN(Tabelle1324[[#This Row],[Jira Story Points]],Tabelle1324[[#This Row],[Carry-over]])-Tabelle1324[[#This Row],[SP Initially Planned (COS)]]</f>
        <v>0</v>
      </c>
      <c r="O156" s="104">
        <f>IFERROR(IF(Tabelle1324[[#This Row],[Status]]=$I$5,0,IF(AND(Tabelle1324[[#This Row],[Status]]=$H$5,Tabelle1324[[#This Row],[Spill-over]]=0),0,IF(Tabelle1324[[#This Row],[Carry-over]]&lt;&gt;0,Tabelle1324[[#This Row],[Carry-over]]-Tabelle1324[[#This Row],[Spill-over]],Tabelle1324[[#This Row],[Jira Story Points]]-Tabelle1324[[#This Row],[Spill-over]]))),"-")</f>
        <v>0</v>
      </c>
      <c r="P156" s="136">
        <f>IFERROR(IF(Tabelle1324[[#This Row],[Status]]=$I$5,MIN(Tabelle1324[[#This Row],[Jira Story Points]],Tabelle1324[[#This Row],[Carry-over]]),0),0)</f>
        <v>0</v>
      </c>
      <c r="Q156" s="156">
        <f>IFERROR(IF(Tabelle1324[[#This Row],[Status]]=$I$5,0,MIN(Tabelle1324[[#This Row],[Jira Story Points]],Tabelle1324[[#This Row],[Carry-over]])-Tabelle1324[[#This Row],[SP Completed (COS &amp; SOS)]]),0)</f>
        <v>2</v>
      </c>
    </row>
    <row r="157" spans="1:17" s="46" customFormat="1" ht="13.5" customHeight="1">
      <c r="A157" s="158" t="s">
        <v>3376</v>
      </c>
      <c r="B157" s="47" t="s">
        <v>3638</v>
      </c>
      <c r="C157" s="76" t="s">
        <v>382</v>
      </c>
      <c r="D157" s="76">
        <v>3</v>
      </c>
      <c r="E157" s="76" t="s">
        <v>330</v>
      </c>
      <c r="F157" s="104">
        <v>3</v>
      </c>
      <c r="G157" s="76" t="s">
        <v>32</v>
      </c>
      <c r="H157" s="83"/>
      <c r="I157" s="103"/>
      <c r="J157" s="76" t="s">
        <v>127</v>
      </c>
      <c r="K157" s="104"/>
      <c r="L157" s="104"/>
      <c r="M157" s="136">
        <f>IF(Tabelle1324[[#This Row],[Pulled after Start]]="",MIN(Tabelle1324[[#This Row],[Jira Story Points]],Tabelle1324[[#This Row],[Carry-over]]),0)</f>
        <v>3</v>
      </c>
      <c r="N157" s="136">
        <f>MIN(Tabelle1324[[#This Row],[Jira Story Points]],Tabelle1324[[#This Row],[Carry-over]])-Tabelle1324[[#This Row],[SP Initially Planned (COS)]]</f>
        <v>0</v>
      </c>
      <c r="O157" s="104">
        <f>IFERROR(IF(Tabelle1324[[#This Row],[Status]]=$I$5,0,IF(AND(Tabelle1324[[#This Row],[Status]]=$H$5,Tabelle1324[[#This Row],[Spill-over]]=0),0,IF(Tabelle1324[[#This Row],[Carry-over]]&lt;&gt;0,Tabelle1324[[#This Row],[Carry-over]]-Tabelle1324[[#This Row],[Spill-over]],Tabelle1324[[#This Row],[Jira Story Points]]-Tabelle1324[[#This Row],[Spill-over]]))),"-")</f>
        <v>0</v>
      </c>
      <c r="P157" s="136">
        <f>IFERROR(IF(Tabelle1324[[#This Row],[Status]]=$I$5,MIN(Tabelle1324[[#This Row],[Jira Story Points]],Tabelle1324[[#This Row],[Carry-over]]),0),0)</f>
        <v>0</v>
      </c>
      <c r="Q157" s="156">
        <f>IFERROR(IF(Tabelle1324[[#This Row],[Status]]=$I$5,0,MIN(Tabelle1324[[#This Row],[Jira Story Points]],Tabelle1324[[#This Row],[Carry-over]])-Tabelle1324[[#This Row],[SP Completed (COS &amp; SOS)]]),0)</f>
        <v>3</v>
      </c>
    </row>
    <row r="158" spans="1:17" s="46" customFormat="1" ht="13.5" customHeight="1">
      <c r="A158" s="158" t="s">
        <v>3354</v>
      </c>
      <c r="B158" s="47" t="s">
        <v>3355</v>
      </c>
      <c r="C158" s="76" t="s">
        <v>382</v>
      </c>
      <c r="D158" s="76">
        <v>3</v>
      </c>
      <c r="E158" s="76" t="s">
        <v>351</v>
      </c>
      <c r="F158" s="104">
        <v>3</v>
      </c>
      <c r="G158" s="76" t="s">
        <v>32</v>
      </c>
      <c r="H158" s="83"/>
      <c r="I158" s="103" t="s">
        <v>3639</v>
      </c>
      <c r="J158" s="76" t="s">
        <v>127</v>
      </c>
      <c r="K158" s="104"/>
      <c r="L158" s="104"/>
      <c r="M158" s="136">
        <f>IF(Tabelle1324[[#This Row],[Pulled after Start]]="",MIN(Tabelle1324[[#This Row],[Jira Story Points]],Tabelle1324[[#This Row],[Carry-over]]),0)</f>
        <v>3</v>
      </c>
      <c r="N158" s="136">
        <f>MIN(Tabelle1324[[#This Row],[Jira Story Points]],Tabelle1324[[#This Row],[Carry-over]])-Tabelle1324[[#This Row],[SP Initially Planned (COS)]]</f>
        <v>0</v>
      </c>
      <c r="O158" s="104">
        <f>IFERROR(IF(Tabelle1324[[#This Row],[Status]]=$I$5,0,IF(AND(Tabelle1324[[#This Row],[Status]]=$H$5,Tabelle1324[[#This Row],[Spill-over]]=0),0,IF(Tabelle1324[[#This Row],[Carry-over]]&lt;&gt;0,Tabelle1324[[#This Row],[Carry-over]]-Tabelle1324[[#This Row],[Spill-over]],Tabelle1324[[#This Row],[Jira Story Points]]-Tabelle1324[[#This Row],[Spill-over]]))),"-")</f>
        <v>0</v>
      </c>
      <c r="P158" s="136">
        <f>IFERROR(IF(Tabelle1324[[#This Row],[Status]]=$I$5,MIN(Tabelle1324[[#This Row],[Jira Story Points]],Tabelle1324[[#This Row],[Carry-over]]),0),0)</f>
        <v>0</v>
      </c>
      <c r="Q158" s="156">
        <f>IFERROR(IF(Tabelle1324[[#This Row],[Status]]=$I$5,0,MIN(Tabelle1324[[#This Row],[Jira Story Points]],Tabelle1324[[#This Row],[Carry-over]])-Tabelle1324[[#This Row],[SP Completed (COS &amp; SOS)]]),0)</f>
        <v>3</v>
      </c>
    </row>
    <row r="159" spans="1:17" s="46" customFormat="1" ht="13.5" customHeight="1">
      <c r="A159" s="158" t="s">
        <v>3358</v>
      </c>
      <c r="B159" s="47" t="s">
        <v>3359</v>
      </c>
      <c r="C159" s="76" t="s">
        <v>382</v>
      </c>
      <c r="D159" s="76">
        <v>3</v>
      </c>
      <c r="E159" s="76" t="s">
        <v>330</v>
      </c>
      <c r="F159" s="104">
        <v>3</v>
      </c>
      <c r="G159" s="76" t="s">
        <v>32</v>
      </c>
      <c r="H159" s="83"/>
      <c r="I159" s="103"/>
      <c r="J159" s="76" t="s">
        <v>127</v>
      </c>
      <c r="K159" s="104"/>
      <c r="L159" s="104"/>
      <c r="M159" s="136">
        <f>IF(Tabelle1324[[#This Row],[Pulled after Start]]="",MIN(Tabelle1324[[#This Row],[Jira Story Points]],Tabelle1324[[#This Row],[Carry-over]]),0)</f>
        <v>3</v>
      </c>
      <c r="N159" s="136">
        <f>MIN(Tabelle1324[[#This Row],[Jira Story Points]],Tabelle1324[[#This Row],[Carry-over]])-Tabelle1324[[#This Row],[SP Initially Planned (COS)]]</f>
        <v>0</v>
      </c>
      <c r="O159" s="104">
        <f>IFERROR(IF(Tabelle1324[[#This Row],[Status]]=$I$5,0,IF(AND(Tabelle1324[[#This Row],[Status]]=$H$5,Tabelle1324[[#This Row],[Spill-over]]=0),0,IF(Tabelle1324[[#This Row],[Carry-over]]&lt;&gt;0,Tabelle1324[[#This Row],[Carry-over]]-Tabelle1324[[#This Row],[Spill-over]],Tabelle1324[[#This Row],[Jira Story Points]]-Tabelle1324[[#This Row],[Spill-over]]))),"-")</f>
        <v>0</v>
      </c>
      <c r="P159" s="136">
        <f>IFERROR(IF(Tabelle1324[[#This Row],[Status]]=$I$5,MIN(Tabelle1324[[#This Row],[Jira Story Points]],Tabelle1324[[#This Row],[Carry-over]]),0),0)</f>
        <v>0</v>
      </c>
      <c r="Q159" s="156">
        <f>IFERROR(IF(Tabelle1324[[#This Row],[Status]]=$I$5,0,MIN(Tabelle1324[[#This Row],[Jira Story Points]],Tabelle1324[[#This Row],[Carry-over]])-Tabelle1324[[#This Row],[SP Completed (COS &amp; SOS)]]),0)</f>
        <v>3</v>
      </c>
    </row>
    <row r="160" spans="1:17" s="46" customFormat="1" ht="13.5" customHeight="1">
      <c r="A160" s="158" t="s">
        <v>3362</v>
      </c>
      <c r="B160" s="47" t="s">
        <v>3363</v>
      </c>
      <c r="C160" s="76" t="s">
        <v>382</v>
      </c>
      <c r="D160" s="76">
        <v>3</v>
      </c>
      <c r="E160" s="76" t="s">
        <v>351</v>
      </c>
      <c r="F160" s="104">
        <v>3</v>
      </c>
      <c r="G160" s="76" t="s">
        <v>32</v>
      </c>
      <c r="H160" s="83"/>
      <c r="I160" s="103" t="s">
        <v>3640</v>
      </c>
      <c r="J160" s="76" t="s">
        <v>127</v>
      </c>
      <c r="K160" s="104"/>
      <c r="L160" s="104"/>
      <c r="M160" s="136">
        <f>IF(Tabelle1324[[#This Row],[Pulled after Start]]="",MIN(Tabelle1324[[#This Row],[Jira Story Points]],Tabelle1324[[#This Row],[Carry-over]]),0)</f>
        <v>3</v>
      </c>
      <c r="N160" s="136">
        <f>MIN(Tabelle1324[[#This Row],[Jira Story Points]],Tabelle1324[[#This Row],[Carry-over]])-Tabelle1324[[#This Row],[SP Initially Planned (COS)]]</f>
        <v>0</v>
      </c>
      <c r="O160" s="104">
        <f>IFERROR(IF(Tabelle1324[[#This Row],[Status]]=$I$5,0,IF(AND(Tabelle1324[[#This Row],[Status]]=$H$5,Tabelle1324[[#This Row],[Spill-over]]=0),0,IF(Tabelle1324[[#This Row],[Carry-over]]&lt;&gt;0,Tabelle1324[[#This Row],[Carry-over]]-Tabelle1324[[#This Row],[Spill-over]],Tabelle1324[[#This Row],[Jira Story Points]]-Tabelle1324[[#This Row],[Spill-over]]))),"-")</f>
        <v>0</v>
      </c>
      <c r="P160" s="136">
        <f>IFERROR(IF(Tabelle1324[[#This Row],[Status]]=$I$5,MIN(Tabelle1324[[#This Row],[Jira Story Points]],Tabelle1324[[#This Row],[Carry-over]]),0),0)</f>
        <v>0</v>
      </c>
      <c r="Q160" s="156">
        <f>IFERROR(IF(Tabelle1324[[#This Row],[Status]]=$I$5,0,MIN(Tabelle1324[[#This Row],[Jira Story Points]],Tabelle1324[[#This Row],[Carry-over]])-Tabelle1324[[#This Row],[SP Completed (COS &amp; SOS)]]),0)</f>
        <v>3</v>
      </c>
    </row>
    <row r="161" spans="1:17" s="46" customFormat="1" ht="13.5" customHeight="1">
      <c r="A161" s="158" t="s">
        <v>3364</v>
      </c>
      <c r="B161" s="47" t="s">
        <v>3365</v>
      </c>
      <c r="C161" s="76" t="s">
        <v>382</v>
      </c>
      <c r="D161" s="76">
        <v>3</v>
      </c>
      <c r="E161" s="76" t="s">
        <v>351</v>
      </c>
      <c r="F161" s="104">
        <v>3</v>
      </c>
      <c r="G161" s="76" t="s">
        <v>32</v>
      </c>
      <c r="H161" s="83"/>
      <c r="I161" s="103" t="s">
        <v>3641</v>
      </c>
      <c r="J161" s="76" t="s">
        <v>127</v>
      </c>
      <c r="K161" s="104"/>
      <c r="L161" s="104"/>
      <c r="M161" s="136">
        <f>IF(Tabelle1324[[#This Row],[Pulled after Start]]="",MIN(Tabelle1324[[#This Row],[Jira Story Points]],Tabelle1324[[#This Row],[Carry-over]]),0)</f>
        <v>3</v>
      </c>
      <c r="N161" s="136">
        <f>MIN(Tabelle1324[[#This Row],[Jira Story Points]],Tabelle1324[[#This Row],[Carry-over]])-Tabelle1324[[#This Row],[SP Initially Planned (COS)]]</f>
        <v>0</v>
      </c>
      <c r="O161" s="104">
        <f>IFERROR(IF(Tabelle1324[[#This Row],[Status]]=$I$5,0,IF(AND(Tabelle1324[[#This Row],[Status]]=$H$5,Tabelle1324[[#This Row],[Spill-over]]=0),0,IF(Tabelle1324[[#This Row],[Carry-over]]&lt;&gt;0,Tabelle1324[[#This Row],[Carry-over]]-Tabelle1324[[#This Row],[Spill-over]],Tabelle1324[[#This Row],[Jira Story Points]]-Tabelle1324[[#This Row],[Spill-over]]))),"-")</f>
        <v>0</v>
      </c>
      <c r="P161" s="136">
        <f>IFERROR(IF(Tabelle1324[[#This Row],[Status]]=$I$5,MIN(Tabelle1324[[#This Row],[Jira Story Points]],Tabelle1324[[#This Row],[Carry-over]]),0),0)</f>
        <v>0</v>
      </c>
      <c r="Q161" s="156">
        <f>IFERROR(IF(Tabelle1324[[#This Row],[Status]]=$I$5,0,MIN(Tabelle1324[[#This Row],[Jira Story Points]],Tabelle1324[[#This Row],[Carry-over]])-Tabelle1324[[#This Row],[SP Completed (COS &amp; SOS)]]),0)</f>
        <v>3</v>
      </c>
    </row>
    <row r="162" spans="1:17" s="46" customFormat="1" ht="13.5" customHeight="1">
      <c r="A162" s="158" t="s">
        <v>3366</v>
      </c>
      <c r="B162" s="47" t="s">
        <v>3367</v>
      </c>
      <c r="C162" s="76" t="s">
        <v>382</v>
      </c>
      <c r="D162" s="76">
        <v>3</v>
      </c>
      <c r="E162" s="76" t="s">
        <v>330</v>
      </c>
      <c r="F162" s="104">
        <v>3</v>
      </c>
      <c r="G162" s="76" t="s">
        <v>32</v>
      </c>
      <c r="H162" s="83"/>
      <c r="I162" s="103"/>
      <c r="J162" s="76" t="s">
        <v>127</v>
      </c>
      <c r="K162" s="104"/>
      <c r="L162" s="104"/>
      <c r="M162" s="136">
        <f>IF(Tabelle1324[[#This Row],[Pulled after Start]]="",MIN(Tabelle1324[[#This Row],[Jira Story Points]],Tabelle1324[[#This Row],[Carry-over]]),0)</f>
        <v>3</v>
      </c>
      <c r="N162" s="136">
        <f>MIN(Tabelle1324[[#This Row],[Jira Story Points]],Tabelle1324[[#This Row],[Carry-over]])-Tabelle1324[[#This Row],[SP Initially Planned (COS)]]</f>
        <v>0</v>
      </c>
      <c r="O162" s="104">
        <f>IFERROR(IF(Tabelle1324[[#This Row],[Status]]=$I$5,0,IF(AND(Tabelle1324[[#This Row],[Status]]=$H$5,Tabelle1324[[#This Row],[Spill-over]]=0),0,IF(Tabelle1324[[#This Row],[Carry-over]]&lt;&gt;0,Tabelle1324[[#This Row],[Carry-over]]-Tabelle1324[[#This Row],[Spill-over]],Tabelle1324[[#This Row],[Jira Story Points]]-Tabelle1324[[#This Row],[Spill-over]]))),"-")</f>
        <v>0</v>
      </c>
      <c r="P162" s="136">
        <f>IFERROR(IF(Tabelle1324[[#This Row],[Status]]=$I$5,MIN(Tabelle1324[[#This Row],[Jira Story Points]],Tabelle1324[[#This Row],[Carry-over]]),0),0)</f>
        <v>0</v>
      </c>
      <c r="Q162" s="156">
        <f>IFERROR(IF(Tabelle1324[[#This Row],[Status]]=$I$5,0,MIN(Tabelle1324[[#This Row],[Jira Story Points]],Tabelle1324[[#This Row],[Carry-over]])-Tabelle1324[[#This Row],[SP Completed (COS &amp; SOS)]]),0)</f>
        <v>3</v>
      </c>
    </row>
    <row r="163" spans="1:17" s="46" customFormat="1" ht="13.5" customHeight="1">
      <c r="A163" s="158" t="s">
        <v>3368</v>
      </c>
      <c r="B163" s="47" t="s">
        <v>3369</v>
      </c>
      <c r="C163" s="76" t="s">
        <v>382</v>
      </c>
      <c r="D163" s="76">
        <v>3</v>
      </c>
      <c r="E163" s="76" t="s">
        <v>330</v>
      </c>
      <c r="F163" s="104">
        <v>3</v>
      </c>
      <c r="G163" s="76" t="s">
        <v>32</v>
      </c>
      <c r="H163" s="83"/>
      <c r="I163" s="103"/>
      <c r="J163" s="76" t="s">
        <v>127</v>
      </c>
      <c r="K163" s="104"/>
      <c r="L163" s="104"/>
      <c r="M163" s="136">
        <f>IF(Tabelle1324[[#This Row],[Pulled after Start]]="",MIN(Tabelle1324[[#This Row],[Jira Story Points]],Tabelle1324[[#This Row],[Carry-over]]),0)</f>
        <v>3</v>
      </c>
      <c r="N163" s="136">
        <f>MIN(Tabelle1324[[#This Row],[Jira Story Points]],Tabelle1324[[#This Row],[Carry-over]])-Tabelle1324[[#This Row],[SP Initially Planned (COS)]]</f>
        <v>0</v>
      </c>
      <c r="O163" s="104">
        <f>IFERROR(IF(Tabelle1324[[#This Row],[Status]]=$I$5,0,IF(AND(Tabelle1324[[#This Row],[Status]]=$H$5,Tabelle1324[[#This Row],[Spill-over]]=0),0,IF(Tabelle1324[[#This Row],[Carry-over]]&lt;&gt;0,Tabelle1324[[#This Row],[Carry-over]]-Tabelle1324[[#This Row],[Spill-over]],Tabelle1324[[#This Row],[Jira Story Points]]-Tabelle1324[[#This Row],[Spill-over]]))),"-")</f>
        <v>0</v>
      </c>
      <c r="P163" s="136">
        <f>IFERROR(IF(Tabelle1324[[#This Row],[Status]]=$I$5,MIN(Tabelle1324[[#This Row],[Jira Story Points]],Tabelle1324[[#This Row],[Carry-over]]),0),0)</f>
        <v>0</v>
      </c>
      <c r="Q163" s="156">
        <f>IFERROR(IF(Tabelle1324[[#This Row],[Status]]=$I$5,0,MIN(Tabelle1324[[#This Row],[Jira Story Points]],Tabelle1324[[#This Row],[Carry-over]])-Tabelle1324[[#This Row],[SP Completed (COS &amp; SOS)]]),0)</f>
        <v>3</v>
      </c>
    </row>
    <row r="164" spans="1:17" s="46" customFormat="1" ht="13.5" customHeight="1">
      <c r="A164" s="158" t="s">
        <v>3370</v>
      </c>
      <c r="B164" s="47" t="s">
        <v>3371</v>
      </c>
      <c r="C164" s="76" t="s">
        <v>382</v>
      </c>
      <c r="D164" s="76">
        <v>3</v>
      </c>
      <c r="E164" s="76" t="s">
        <v>351</v>
      </c>
      <c r="F164" s="104">
        <v>3</v>
      </c>
      <c r="G164" s="76" t="s">
        <v>32</v>
      </c>
      <c r="H164" s="83"/>
      <c r="I164" s="103"/>
      <c r="J164" s="76" t="s">
        <v>127</v>
      </c>
      <c r="K164" s="104"/>
      <c r="L164" s="104"/>
      <c r="M164" s="136">
        <f>IF(Tabelle1324[[#This Row],[Pulled after Start]]="",MIN(Tabelle1324[[#This Row],[Jira Story Points]],Tabelle1324[[#This Row],[Carry-over]]),0)</f>
        <v>3</v>
      </c>
      <c r="N164" s="136">
        <f>MIN(Tabelle1324[[#This Row],[Jira Story Points]],Tabelle1324[[#This Row],[Carry-over]])-Tabelle1324[[#This Row],[SP Initially Planned (COS)]]</f>
        <v>0</v>
      </c>
      <c r="O164" s="104">
        <f>IFERROR(IF(Tabelle1324[[#This Row],[Status]]=$I$5,0,IF(AND(Tabelle1324[[#This Row],[Status]]=$H$5,Tabelle1324[[#This Row],[Spill-over]]=0),0,IF(Tabelle1324[[#This Row],[Carry-over]]&lt;&gt;0,Tabelle1324[[#This Row],[Carry-over]]-Tabelle1324[[#This Row],[Spill-over]],Tabelle1324[[#This Row],[Jira Story Points]]-Tabelle1324[[#This Row],[Spill-over]]))),"-")</f>
        <v>0</v>
      </c>
      <c r="P164" s="136">
        <f>IFERROR(IF(Tabelle1324[[#This Row],[Status]]=$I$5,MIN(Tabelle1324[[#This Row],[Jira Story Points]],Tabelle1324[[#This Row],[Carry-over]]),0),0)</f>
        <v>0</v>
      </c>
      <c r="Q164" s="156">
        <f>IFERROR(IF(Tabelle1324[[#This Row],[Status]]=$I$5,0,MIN(Tabelle1324[[#This Row],[Jira Story Points]],Tabelle1324[[#This Row],[Carry-over]])-Tabelle1324[[#This Row],[SP Completed (COS &amp; SOS)]]),0)</f>
        <v>3</v>
      </c>
    </row>
    <row r="165" spans="1:17" s="46" customFormat="1" ht="13.5" customHeight="1">
      <c r="A165" s="158" t="s">
        <v>2956</v>
      </c>
      <c r="B165" s="47" t="s">
        <v>2957</v>
      </c>
      <c r="C165" s="76" t="s">
        <v>382</v>
      </c>
      <c r="D165" s="76">
        <v>3</v>
      </c>
      <c r="E165" s="76" t="s">
        <v>330</v>
      </c>
      <c r="F165" s="104"/>
      <c r="G165" s="76" t="s">
        <v>32</v>
      </c>
      <c r="H165" s="83" t="s">
        <v>209</v>
      </c>
      <c r="I165" s="103"/>
      <c r="J165" s="76" t="s">
        <v>127</v>
      </c>
      <c r="K165" s="104"/>
      <c r="L165" s="104"/>
      <c r="M165" s="136">
        <f>IF(Tabelle1324[[#This Row],[Pulled after Start]]="",MIN(Tabelle1324[[#This Row],[Jira Story Points]],Tabelle1324[[#This Row],[Carry-over]]),0)</f>
        <v>0</v>
      </c>
      <c r="N165" s="136">
        <f>MIN(Tabelle1324[[#This Row],[Jira Story Points]],Tabelle1324[[#This Row],[Carry-over]])-Tabelle1324[[#This Row],[SP Initially Planned (COS)]]</f>
        <v>0</v>
      </c>
      <c r="O165" s="104">
        <f>IFERROR(IF(Tabelle1324[[#This Row],[Status]]=$I$5,0,IF(AND(Tabelle1324[[#This Row],[Status]]=$H$5,Tabelle1324[[#This Row],[Spill-over]]=0),0,IF(Tabelle1324[[#This Row],[Carry-over]]&lt;&gt;0,Tabelle1324[[#This Row],[Carry-over]]-Tabelle1324[[#This Row],[Spill-over]],Tabelle1324[[#This Row],[Jira Story Points]]-Tabelle1324[[#This Row],[Spill-over]]))),"-")</f>
        <v>0</v>
      </c>
      <c r="P165" s="136">
        <f>IFERROR(IF(Tabelle1324[[#This Row],[Status]]=$I$5,MIN(Tabelle1324[[#This Row],[Jira Story Points]],Tabelle1324[[#This Row],[Carry-over]]),0),0)</f>
        <v>0</v>
      </c>
      <c r="Q165" s="156">
        <f>IFERROR(IF(Tabelle1324[[#This Row],[Status]]=$I$5,0,MIN(Tabelle1324[[#This Row],[Jira Story Points]],Tabelle1324[[#This Row],[Carry-over]])-Tabelle1324[[#This Row],[SP Completed (COS &amp; SOS)]]),0)</f>
        <v>0</v>
      </c>
    </row>
    <row r="166" spans="1:17" s="46" customFormat="1" ht="13.5" customHeight="1">
      <c r="A166" s="158" t="s">
        <v>3642</v>
      </c>
      <c r="B166" s="47" t="s">
        <v>3643</v>
      </c>
      <c r="C166" s="76" t="s">
        <v>382</v>
      </c>
      <c r="D166" s="76">
        <v>3</v>
      </c>
      <c r="E166" s="76" t="s">
        <v>351</v>
      </c>
      <c r="F166" s="104">
        <v>3</v>
      </c>
      <c r="G166" s="76" t="s">
        <v>32</v>
      </c>
      <c r="H166" s="83" t="s">
        <v>209</v>
      </c>
      <c r="I166" s="103"/>
      <c r="J166" s="76" t="s">
        <v>127</v>
      </c>
      <c r="K166" s="104"/>
      <c r="L166" s="104"/>
      <c r="M166" s="136">
        <f>IF(Tabelle1324[[#This Row],[Pulled after Start]]="",MIN(Tabelle1324[[#This Row],[Jira Story Points]],Tabelle1324[[#This Row],[Carry-over]]),0)</f>
        <v>0</v>
      </c>
      <c r="N166" s="136">
        <f>MIN(Tabelle1324[[#This Row],[Jira Story Points]],Tabelle1324[[#This Row],[Carry-over]])-Tabelle1324[[#This Row],[SP Initially Planned (COS)]]</f>
        <v>3</v>
      </c>
      <c r="O166" s="104">
        <f>IFERROR(IF(Tabelle1324[[#This Row],[Status]]=$I$5,0,IF(AND(Tabelle1324[[#This Row],[Status]]=$H$5,Tabelle1324[[#This Row],[Spill-over]]=0),0,IF(Tabelle1324[[#This Row],[Carry-over]]&lt;&gt;0,Tabelle1324[[#This Row],[Carry-over]]-Tabelle1324[[#This Row],[Spill-over]],Tabelle1324[[#This Row],[Jira Story Points]]-Tabelle1324[[#This Row],[Spill-over]]))),"-")</f>
        <v>0</v>
      </c>
      <c r="P166" s="136">
        <f>IFERROR(IF(Tabelle1324[[#This Row],[Status]]=$I$5,MIN(Tabelle1324[[#This Row],[Jira Story Points]],Tabelle1324[[#This Row],[Carry-over]]),0),0)</f>
        <v>0</v>
      </c>
      <c r="Q166" s="156">
        <f>IFERROR(IF(Tabelle1324[[#This Row],[Status]]=$I$5,0,MIN(Tabelle1324[[#This Row],[Jira Story Points]],Tabelle1324[[#This Row],[Carry-over]])-Tabelle1324[[#This Row],[SP Completed (COS &amp; SOS)]]),0)</f>
        <v>3</v>
      </c>
    </row>
    <row r="167" spans="1:17" s="46" customFormat="1" ht="13.5" customHeight="1">
      <c r="A167" s="158" t="s">
        <v>3372</v>
      </c>
      <c r="B167" s="47" t="s">
        <v>3373</v>
      </c>
      <c r="C167" s="76" t="s">
        <v>382</v>
      </c>
      <c r="D167" s="76">
        <v>3</v>
      </c>
      <c r="E167" s="76" t="s">
        <v>330</v>
      </c>
      <c r="F167" s="104"/>
      <c r="G167" s="76" t="s">
        <v>32</v>
      </c>
      <c r="H167" s="83" t="s">
        <v>209</v>
      </c>
      <c r="I167" s="103"/>
      <c r="J167" s="76" t="s">
        <v>127</v>
      </c>
      <c r="K167" s="104"/>
      <c r="L167" s="104"/>
      <c r="M167" s="136">
        <f>IF(Tabelle1324[[#This Row],[Pulled after Start]]="",MIN(Tabelle1324[[#This Row],[Jira Story Points]],Tabelle1324[[#This Row],[Carry-over]]),0)</f>
        <v>0</v>
      </c>
      <c r="N167" s="136">
        <f>MIN(Tabelle1324[[#This Row],[Jira Story Points]],Tabelle1324[[#This Row],[Carry-over]])-Tabelle1324[[#This Row],[SP Initially Planned (COS)]]</f>
        <v>0</v>
      </c>
      <c r="O167" s="104">
        <f>IFERROR(IF(Tabelle1324[[#This Row],[Status]]=$I$5,0,IF(AND(Tabelle1324[[#This Row],[Status]]=$H$5,Tabelle1324[[#This Row],[Spill-over]]=0),0,IF(Tabelle1324[[#This Row],[Carry-over]]&lt;&gt;0,Tabelle1324[[#This Row],[Carry-over]]-Tabelle1324[[#This Row],[Spill-over]],Tabelle1324[[#This Row],[Jira Story Points]]-Tabelle1324[[#This Row],[Spill-over]]))),"-")</f>
        <v>0</v>
      </c>
      <c r="P167" s="136">
        <f>IFERROR(IF(Tabelle1324[[#This Row],[Status]]=$I$5,MIN(Tabelle1324[[#This Row],[Jira Story Points]],Tabelle1324[[#This Row],[Carry-over]]),0),0)</f>
        <v>0</v>
      </c>
      <c r="Q167" s="156">
        <f>IFERROR(IF(Tabelle1324[[#This Row],[Status]]=$I$5,0,MIN(Tabelle1324[[#This Row],[Jira Story Points]],Tabelle1324[[#This Row],[Carry-over]])-Tabelle1324[[#This Row],[SP Completed (COS &amp; SOS)]]),0)</f>
        <v>0</v>
      </c>
    </row>
    <row r="168" spans="1:17" s="46" customFormat="1" ht="13.5" customHeight="1">
      <c r="A168" s="158" t="s">
        <v>3374</v>
      </c>
      <c r="B168" s="47" t="s">
        <v>3375</v>
      </c>
      <c r="C168" s="76" t="s">
        <v>382</v>
      </c>
      <c r="D168" s="76">
        <v>3</v>
      </c>
      <c r="E168" s="76" t="s">
        <v>330</v>
      </c>
      <c r="F168" s="104"/>
      <c r="G168" s="76" t="s">
        <v>32</v>
      </c>
      <c r="H168" s="83" t="s">
        <v>209</v>
      </c>
      <c r="I168" s="103"/>
      <c r="J168" s="76" t="s">
        <v>127</v>
      </c>
      <c r="K168" s="104"/>
      <c r="L168" s="104"/>
      <c r="M168" s="136">
        <f>IF(Tabelle1324[[#This Row],[Pulled after Start]]="",MIN(Tabelle1324[[#This Row],[Jira Story Points]],Tabelle1324[[#This Row],[Carry-over]]),0)</f>
        <v>0</v>
      </c>
      <c r="N168" s="136">
        <f>MIN(Tabelle1324[[#This Row],[Jira Story Points]],Tabelle1324[[#This Row],[Carry-over]])-Tabelle1324[[#This Row],[SP Initially Planned (COS)]]</f>
        <v>0</v>
      </c>
      <c r="O168" s="104">
        <f>IFERROR(IF(Tabelle1324[[#This Row],[Status]]=$I$5,0,IF(AND(Tabelle1324[[#This Row],[Status]]=$H$5,Tabelle1324[[#This Row],[Spill-over]]=0),0,IF(Tabelle1324[[#This Row],[Carry-over]]&lt;&gt;0,Tabelle1324[[#This Row],[Carry-over]]-Tabelle1324[[#This Row],[Spill-over]],Tabelle1324[[#This Row],[Jira Story Points]]-Tabelle1324[[#This Row],[Spill-over]]))),"-")</f>
        <v>0</v>
      </c>
      <c r="P168" s="136">
        <f>IFERROR(IF(Tabelle1324[[#This Row],[Status]]=$I$5,MIN(Tabelle1324[[#This Row],[Jira Story Points]],Tabelle1324[[#This Row],[Carry-over]]),0),0)</f>
        <v>0</v>
      </c>
      <c r="Q168" s="156">
        <f>IFERROR(IF(Tabelle1324[[#This Row],[Status]]=$I$5,0,MIN(Tabelle1324[[#This Row],[Jira Story Points]],Tabelle1324[[#This Row],[Carry-over]])-Tabelle1324[[#This Row],[SP Completed (COS &amp; SOS)]]),0)</f>
        <v>0</v>
      </c>
    </row>
    <row r="169" spans="1:17" s="46" customFormat="1" ht="13.5" customHeight="1">
      <c r="A169" s="160" t="s">
        <v>2940</v>
      </c>
      <c r="B169" s="47" t="s">
        <v>3160</v>
      </c>
      <c r="C169" s="76" t="s">
        <v>215</v>
      </c>
      <c r="D169" s="76">
        <v>3</v>
      </c>
      <c r="E169" s="76" t="s">
        <v>351</v>
      </c>
      <c r="F169" s="104">
        <v>3</v>
      </c>
      <c r="G169" s="76" t="s">
        <v>32</v>
      </c>
      <c r="H169" s="83"/>
      <c r="I169" s="103"/>
      <c r="J169" s="76" t="s">
        <v>126</v>
      </c>
      <c r="K169" s="104"/>
      <c r="L169" s="104"/>
      <c r="M169" s="136">
        <f>IF(Tabelle1324[[#This Row],[Pulled after Start]]="",MIN(Tabelle1324[[#This Row],[Jira Story Points]],Tabelle1324[[#This Row],[Carry-over]]),0)</f>
        <v>3</v>
      </c>
      <c r="N169" s="136">
        <f>MIN(Tabelle1324[[#This Row],[Jira Story Points]],Tabelle1324[[#This Row],[Carry-over]])-Tabelle1324[[#This Row],[SP Initially Planned (COS)]]</f>
        <v>0</v>
      </c>
      <c r="O169" s="104">
        <f>IFERROR(IF(Tabelle1324[[#This Row],[Status]]=$I$5,0,IF(AND(Tabelle1324[[#This Row],[Status]]=$H$5,Tabelle1324[[#This Row],[Spill-over]]=0),0,IF(Tabelle1324[[#This Row],[Carry-over]]&lt;&gt;0,Tabelle1324[[#This Row],[Carry-over]]-Tabelle1324[[#This Row],[Spill-over]],Tabelle1324[[#This Row],[Jira Story Points]]-Tabelle1324[[#This Row],[Spill-over]]))),"-")</f>
        <v>0</v>
      </c>
      <c r="P169" s="136">
        <f>IFERROR(IF(Tabelle1324[[#This Row],[Status]]=$I$5,MIN(Tabelle1324[[#This Row],[Jira Story Points]],Tabelle1324[[#This Row],[Carry-over]]),0),0)</f>
        <v>3</v>
      </c>
      <c r="Q169" s="156">
        <f>IFERROR(IF(Tabelle1324[[#This Row],[Status]]=$I$5,0,MIN(Tabelle1324[[#This Row],[Jira Story Points]],Tabelle1324[[#This Row],[Carry-over]])-Tabelle1324[[#This Row],[SP Completed (COS &amp; SOS)]]),0)</f>
        <v>0</v>
      </c>
    </row>
    <row r="170" spans="1:17" s="46" customFormat="1" ht="13.5" customHeight="1">
      <c r="A170" s="117" t="s">
        <v>3644</v>
      </c>
      <c r="B170" s="47" t="s">
        <v>3645</v>
      </c>
      <c r="C170" s="76" t="s">
        <v>372</v>
      </c>
      <c r="D170" s="76">
        <v>3</v>
      </c>
      <c r="E170" s="76" t="s">
        <v>324</v>
      </c>
      <c r="F170" s="104">
        <v>8</v>
      </c>
      <c r="G170" s="76" t="s">
        <v>5</v>
      </c>
      <c r="H170" s="83"/>
      <c r="I170" s="103"/>
      <c r="J170" s="76" t="s">
        <v>125</v>
      </c>
      <c r="K170" s="104">
        <v>2</v>
      </c>
      <c r="L170" s="104"/>
      <c r="M170" s="136">
        <f>IF(Tabelle1324[[#This Row],[Pulled after Start]]="",MIN(Tabelle1324[[#This Row],[Jira Story Points]],Tabelle1324[[#This Row],[Carry-over]]),0)</f>
        <v>2</v>
      </c>
      <c r="N170" s="136">
        <f>MIN(Tabelle1324[[#This Row],[Jira Story Points]],Tabelle1324[[#This Row],[Carry-over]])-Tabelle1324[[#This Row],[SP Initially Planned (COS)]]</f>
        <v>0</v>
      </c>
      <c r="O170" s="104">
        <f>IFERROR(IF(Tabelle1324[[#This Row],[Status]]=$I$5,0,IF(AND(Tabelle1324[[#This Row],[Status]]=$H$5,Tabelle1324[[#This Row],[Spill-over]]=0),0,IF(Tabelle1324[[#This Row],[Carry-over]]&lt;&gt;0,Tabelle1324[[#This Row],[Carry-over]]-Tabelle1324[[#This Row],[Spill-over]],Tabelle1324[[#This Row],[Jira Story Points]]-Tabelle1324[[#This Row],[Spill-over]]))),"-")</f>
        <v>2</v>
      </c>
      <c r="P170" s="136">
        <f>IFERROR(IF(Tabelle1324[[#This Row],[Status]]=$I$5,MIN(Tabelle1324[[#This Row],[Jira Story Points]],Tabelle1324[[#This Row],[Carry-over]]),0),0)</f>
        <v>0</v>
      </c>
      <c r="Q170" s="156">
        <f>IFERROR(IF(Tabelle1324[[#This Row],[Status]]=$I$5,0,MIN(Tabelle1324[[#This Row],[Jira Story Points]],Tabelle1324[[#This Row],[Carry-over]])-Tabelle1324[[#This Row],[SP Completed (COS &amp; SOS)]]),0)</f>
        <v>0</v>
      </c>
    </row>
    <row r="171" spans="1:17" s="46" customFormat="1" ht="13.5" customHeight="1">
      <c r="A171" s="117" t="s">
        <v>3646</v>
      </c>
      <c r="B171" s="47" t="s">
        <v>3647</v>
      </c>
      <c r="C171" s="76" t="s">
        <v>372</v>
      </c>
      <c r="D171" s="76">
        <v>3</v>
      </c>
      <c r="E171" s="76" t="s">
        <v>327</v>
      </c>
      <c r="F171" s="104">
        <v>3</v>
      </c>
      <c r="G171" s="76" t="s">
        <v>5</v>
      </c>
      <c r="H171" s="83"/>
      <c r="I171" s="103"/>
      <c r="J171" s="76" t="s">
        <v>125</v>
      </c>
      <c r="K171" s="139"/>
      <c r="L171" s="104"/>
      <c r="M171" s="136">
        <f>IF(Tabelle1324[[#This Row],[Pulled after Start]]="",MIN(Tabelle1324[[#This Row],[Jira Story Points]],Tabelle1324[[#This Row],[Carry-over]]),0)</f>
        <v>3</v>
      </c>
      <c r="N171" s="136">
        <f>MIN(Tabelle1324[[#This Row],[Jira Story Points]],Tabelle1324[[#This Row],[Carry-over]])-Tabelle1324[[#This Row],[SP Initially Planned (COS)]]</f>
        <v>0</v>
      </c>
      <c r="O171" s="104">
        <f>IFERROR(IF(Tabelle1324[[#This Row],[Status]]=$I$5,0,IF(AND(Tabelle1324[[#This Row],[Status]]=$H$5,Tabelle1324[[#This Row],[Spill-over]]=0),0,IF(Tabelle1324[[#This Row],[Carry-over]]&lt;&gt;0,Tabelle1324[[#This Row],[Carry-over]]-Tabelle1324[[#This Row],[Spill-over]],Tabelle1324[[#This Row],[Jira Story Points]]-Tabelle1324[[#This Row],[Spill-over]]))),"-")</f>
        <v>3</v>
      </c>
      <c r="P171" s="136">
        <f>IFERROR(IF(Tabelle1324[[#This Row],[Status]]=$I$5,MIN(Tabelle1324[[#This Row],[Jira Story Points]],Tabelle1324[[#This Row],[Carry-over]]),0),0)</f>
        <v>0</v>
      </c>
      <c r="Q171" s="156">
        <f>IFERROR(IF(Tabelle1324[[#This Row],[Status]]=$I$5,0,MIN(Tabelle1324[[#This Row],[Jira Story Points]],Tabelle1324[[#This Row],[Carry-over]])-Tabelle1324[[#This Row],[SP Completed (COS &amp; SOS)]]),0)</f>
        <v>0</v>
      </c>
    </row>
    <row r="172" spans="1:17" s="46" customFormat="1" ht="13.5" customHeight="1">
      <c r="A172" s="117" t="s">
        <v>3169</v>
      </c>
      <c r="B172" s="48" t="s">
        <v>3170</v>
      </c>
      <c r="C172" s="76" t="s">
        <v>372</v>
      </c>
      <c r="D172" s="76">
        <v>3</v>
      </c>
      <c r="E172" s="76" t="s">
        <v>327</v>
      </c>
      <c r="F172" s="104">
        <v>8</v>
      </c>
      <c r="G172" s="76" t="s">
        <v>5</v>
      </c>
      <c r="H172" s="83"/>
      <c r="I172" s="103"/>
      <c r="J172" s="76" t="s">
        <v>125</v>
      </c>
      <c r="K172" s="104">
        <v>8</v>
      </c>
      <c r="L172" s="104"/>
      <c r="M172" s="136">
        <f>IF(Tabelle1324[[#This Row],[Pulled after Start]]="",MIN(Tabelle1324[[#This Row],[Jira Story Points]],Tabelle1324[[#This Row],[Carry-over]]),0)</f>
        <v>8</v>
      </c>
      <c r="N172" s="136">
        <f>MIN(Tabelle1324[[#This Row],[Jira Story Points]],Tabelle1324[[#This Row],[Carry-over]])-Tabelle1324[[#This Row],[SP Initially Planned (COS)]]</f>
        <v>0</v>
      </c>
      <c r="O172" s="104">
        <f>IFERROR(IF(Tabelle1324[[#This Row],[Status]]=$I$5,0,IF(AND(Tabelle1324[[#This Row],[Status]]=$H$5,Tabelle1324[[#This Row],[Spill-over]]=0),0,IF(Tabelle1324[[#This Row],[Carry-over]]&lt;&gt;0,Tabelle1324[[#This Row],[Carry-over]]-Tabelle1324[[#This Row],[Spill-over]],Tabelle1324[[#This Row],[Jira Story Points]]-Tabelle1324[[#This Row],[Spill-over]]))),"-")</f>
        <v>8</v>
      </c>
      <c r="P172" s="136">
        <f>IFERROR(IF(Tabelle1324[[#This Row],[Status]]=$I$5,MIN(Tabelle1324[[#This Row],[Jira Story Points]],Tabelle1324[[#This Row],[Carry-over]]),0),0)</f>
        <v>0</v>
      </c>
      <c r="Q172" s="156">
        <f>IFERROR(IF(Tabelle1324[[#This Row],[Status]]=$I$5,0,MIN(Tabelle1324[[#This Row],[Jira Story Points]],Tabelle1324[[#This Row],[Carry-over]])-Tabelle1324[[#This Row],[SP Completed (COS &amp; SOS)]]),0)</f>
        <v>0</v>
      </c>
    </row>
    <row r="173" spans="1:17" s="46" customFormat="1" ht="13.5" customHeight="1">
      <c r="A173" s="117" t="s">
        <v>3648</v>
      </c>
      <c r="B173" s="47" t="s">
        <v>3649</v>
      </c>
      <c r="C173" s="76" t="s">
        <v>372</v>
      </c>
      <c r="D173" s="76">
        <v>3</v>
      </c>
      <c r="E173" s="76" t="s">
        <v>327</v>
      </c>
      <c r="F173" s="104">
        <v>8</v>
      </c>
      <c r="G173" s="76" t="s">
        <v>5</v>
      </c>
      <c r="H173" s="83"/>
      <c r="I173" s="103"/>
      <c r="J173" s="138" t="s">
        <v>125</v>
      </c>
      <c r="K173" s="104">
        <v>3</v>
      </c>
      <c r="L173" s="104"/>
      <c r="M173" s="136">
        <f>IF(Tabelle1324[[#This Row],[Pulled after Start]]="",MIN(Tabelle1324[[#This Row],[Jira Story Points]],Tabelle1324[[#This Row],[Carry-over]]),0)</f>
        <v>3</v>
      </c>
      <c r="N173" s="136">
        <f>MIN(Tabelle1324[[#This Row],[Jira Story Points]],Tabelle1324[[#This Row],[Carry-over]])-Tabelle1324[[#This Row],[SP Initially Planned (COS)]]</f>
        <v>0</v>
      </c>
      <c r="O173" s="104">
        <f>IFERROR(IF(Tabelle1324[[#This Row],[Status]]=$I$5,0,IF(AND(Tabelle1324[[#This Row],[Status]]=$H$5,Tabelle1324[[#This Row],[Spill-over]]=0),0,IF(Tabelle1324[[#This Row],[Carry-over]]&lt;&gt;0,Tabelle1324[[#This Row],[Carry-over]]-Tabelle1324[[#This Row],[Spill-over]],Tabelle1324[[#This Row],[Jira Story Points]]-Tabelle1324[[#This Row],[Spill-over]]))),"-")</f>
        <v>3</v>
      </c>
      <c r="P173" s="136">
        <f>IFERROR(IF(Tabelle1324[[#This Row],[Status]]=$I$5,MIN(Tabelle1324[[#This Row],[Jira Story Points]],Tabelle1324[[#This Row],[Carry-over]]),0),0)</f>
        <v>0</v>
      </c>
      <c r="Q173" s="156">
        <f>IFERROR(IF(Tabelle1324[[#This Row],[Status]]=$I$5,0,MIN(Tabelle1324[[#This Row],[Jira Story Points]],Tabelle1324[[#This Row],[Carry-over]])-Tabelle1324[[#This Row],[SP Completed (COS &amp; SOS)]]),0)</f>
        <v>0</v>
      </c>
    </row>
    <row r="174" spans="1:17" s="46" customFormat="1" ht="13.5" customHeight="1">
      <c r="A174" s="117" t="s">
        <v>3650</v>
      </c>
      <c r="B174" s="47" t="s">
        <v>3651</v>
      </c>
      <c r="C174" s="76" t="s">
        <v>372</v>
      </c>
      <c r="D174" s="76">
        <v>3</v>
      </c>
      <c r="E174" s="76" t="s">
        <v>324</v>
      </c>
      <c r="F174" s="104">
        <v>5</v>
      </c>
      <c r="G174" s="76" t="s">
        <v>5</v>
      </c>
      <c r="H174" s="83"/>
      <c r="I174" s="103"/>
      <c r="J174" s="138" t="s">
        <v>125</v>
      </c>
      <c r="K174" s="104"/>
      <c r="L174" s="104"/>
      <c r="M174" s="136">
        <f>IF(Tabelle1324[[#This Row],[Pulled after Start]]="",MIN(Tabelle1324[[#This Row],[Jira Story Points]],Tabelle1324[[#This Row],[Carry-over]]),0)</f>
        <v>5</v>
      </c>
      <c r="N174" s="136">
        <f>MIN(Tabelle1324[[#This Row],[Jira Story Points]],Tabelle1324[[#This Row],[Carry-over]])-Tabelle1324[[#This Row],[SP Initially Planned (COS)]]</f>
        <v>0</v>
      </c>
      <c r="O174" s="104">
        <f>IFERROR(IF(Tabelle1324[[#This Row],[Status]]=$I$5,0,IF(AND(Tabelle1324[[#This Row],[Status]]=$H$5,Tabelle1324[[#This Row],[Spill-over]]=0),0,IF(Tabelle1324[[#This Row],[Carry-over]]&lt;&gt;0,Tabelle1324[[#This Row],[Carry-over]]-Tabelle1324[[#This Row],[Spill-over]],Tabelle1324[[#This Row],[Jira Story Points]]-Tabelle1324[[#This Row],[Spill-over]]))),"-")</f>
        <v>5</v>
      </c>
      <c r="P174" s="136">
        <f>IFERROR(IF(Tabelle1324[[#This Row],[Status]]=$I$5,MIN(Tabelle1324[[#This Row],[Jira Story Points]],Tabelle1324[[#This Row],[Carry-over]]),0),0)</f>
        <v>0</v>
      </c>
      <c r="Q174" s="156">
        <f>IFERROR(IF(Tabelle1324[[#This Row],[Status]]=$I$5,0,MIN(Tabelle1324[[#This Row],[Jira Story Points]],Tabelle1324[[#This Row],[Carry-over]])-Tabelle1324[[#This Row],[SP Completed (COS &amp; SOS)]]),0)</f>
        <v>0</v>
      </c>
    </row>
    <row r="175" spans="1:17" s="46" customFormat="1" ht="13.5" customHeight="1">
      <c r="A175" s="117" t="s">
        <v>3652</v>
      </c>
      <c r="B175" s="47" t="s">
        <v>3653</v>
      </c>
      <c r="C175" s="76" t="s">
        <v>372</v>
      </c>
      <c r="D175" s="76">
        <v>3</v>
      </c>
      <c r="E175" s="76" t="s">
        <v>327</v>
      </c>
      <c r="F175" s="104">
        <v>5</v>
      </c>
      <c r="G175" s="76" t="s">
        <v>5</v>
      </c>
      <c r="H175" s="83"/>
      <c r="I175" s="103"/>
      <c r="J175" s="76" t="s">
        <v>125</v>
      </c>
      <c r="K175" s="104"/>
      <c r="L175" s="104"/>
      <c r="M175" s="136">
        <f>IF(Tabelle1324[[#This Row],[Pulled after Start]]="",MIN(Tabelle1324[[#This Row],[Jira Story Points]],Tabelle1324[[#This Row],[Carry-over]]),0)</f>
        <v>5</v>
      </c>
      <c r="N175" s="136">
        <f>MIN(Tabelle1324[[#This Row],[Jira Story Points]],Tabelle1324[[#This Row],[Carry-over]])-Tabelle1324[[#This Row],[SP Initially Planned (COS)]]</f>
        <v>0</v>
      </c>
      <c r="O175" s="104">
        <f>IFERROR(IF(Tabelle1324[[#This Row],[Status]]=$I$5,0,IF(AND(Tabelle1324[[#This Row],[Status]]=$H$5,Tabelle1324[[#This Row],[Spill-over]]=0),0,IF(Tabelle1324[[#This Row],[Carry-over]]&lt;&gt;0,Tabelle1324[[#This Row],[Carry-over]]-Tabelle1324[[#This Row],[Spill-over]],Tabelle1324[[#This Row],[Jira Story Points]]-Tabelle1324[[#This Row],[Spill-over]]))),"-")</f>
        <v>5</v>
      </c>
      <c r="P175" s="136">
        <f>IFERROR(IF(Tabelle1324[[#This Row],[Status]]=$I$5,MIN(Tabelle1324[[#This Row],[Jira Story Points]],Tabelle1324[[#This Row],[Carry-over]]),0),0)</f>
        <v>0</v>
      </c>
      <c r="Q175" s="156">
        <f>IFERROR(IF(Tabelle1324[[#This Row],[Status]]=$I$5,0,MIN(Tabelle1324[[#This Row],[Jira Story Points]],Tabelle1324[[#This Row],[Carry-over]])-Tabelle1324[[#This Row],[SP Completed (COS &amp; SOS)]]),0)</f>
        <v>0</v>
      </c>
    </row>
    <row r="176" spans="1:17" s="46" customFormat="1" ht="13.5" customHeight="1">
      <c r="A176" s="117" t="s">
        <v>3654</v>
      </c>
      <c r="B176" s="47" t="s">
        <v>3655</v>
      </c>
      <c r="C176" s="76" t="s">
        <v>372</v>
      </c>
      <c r="D176" s="76">
        <v>3</v>
      </c>
      <c r="E176" s="76" t="s">
        <v>324</v>
      </c>
      <c r="F176" s="104">
        <v>3</v>
      </c>
      <c r="G176" s="76" t="s">
        <v>5</v>
      </c>
      <c r="H176" s="83"/>
      <c r="I176" s="103"/>
      <c r="J176" s="138" t="s">
        <v>125</v>
      </c>
      <c r="K176" s="104"/>
      <c r="L176" s="104"/>
      <c r="M176" s="136">
        <f>IF(Tabelle1324[[#This Row],[Pulled after Start]]="",MIN(Tabelle1324[[#This Row],[Jira Story Points]],Tabelle1324[[#This Row],[Carry-over]]),0)</f>
        <v>3</v>
      </c>
      <c r="N176" s="136">
        <f>MIN(Tabelle1324[[#This Row],[Jira Story Points]],Tabelle1324[[#This Row],[Carry-over]])-Tabelle1324[[#This Row],[SP Initially Planned (COS)]]</f>
        <v>0</v>
      </c>
      <c r="O176" s="104">
        <f>IFERROR(IF(Tabelle1324[[#This Row],[Status]]=$I$5,0,IF(AND(Tabelle1324[[#This Row],[Status]]=$H$5,Tabelle1324[[#This Row],[Spill-over]]=0),0,IF(Tabelle1324[[#This Row],[Carry-over]]&lt;&gt;0,Tabelle1324[[#This Row],[Carry-over]]-Tabelle1324[[#This Row],[Spill-over]],Tabelle1324[[#This Row],[Jira Story Points]]-Tabelle1324[[#This Row],[Spill-over]]))),"-")</f>
        <v>3</v>
      </c>
      <c r="P176" s="136">
        <f>IFERROR(IF(Tabelle1324[[#This Row],[Status]]=$I$5,MIN(Tabelle1324[[#This Row],[Jira Story Points]],Tabelle1324[[#This Row],[Carry-over]]),0),0)</f>
        <v>0</v>
      </c>
      <c r="Q176" s="156">
        <f>IFERROR(IF(Tabelle1324[[#This Row],[Status]]=$I$5,0,MIN(Tabelle1324[[#This Row],[Jira Story Points]],Tabelle1324[[#This Row],[Carry-over]])-Tabelle1324[[#This Row],[SP Completed (COS &amp; SOS)]]),0)</f>
        <v>0</v>
      </c>
    </row>
    <row r="177" spans="1:17" s="46" customFormat="1" ht="13.5" customHeight="1">
      <c r="A177" s="117" t="s">
        <v>3656</v>
      </c>
      <c r="B177" s="47" t="s">
        <v>3657</v>
      </c>
      <c r="C177" s="76" t="s">
        <v>382</v>
      </c>
      <c r="D177" s="76">
        <v>3</v>
      </c>
      <c r="E177" s="76" t="s">
        <v>324</v>
      </c>
      <c r="F177" s="121" t="s">
        <v>210</v>
      </c>
      <c r="G177" s="76" t="s">
        <v>5</v>
      </c>
      <c r="H177" s="83"/>
      <c r="I177" s="103"/>
      <c r="J177" s="76" t="s">
        <v>125</v>
      </c>
      <c r="K177" s="104"/>
      <c r="L177" s="104"/>
      <c r="M177" s="136">
        <f>IF(Tabelle1324[[#This Row],[Pulled after Start]]="",MIN(Tabelle1324[[#This Row],[Jira Story Points]],Tabelle1324[[#This Row],[Carry-over]]),0)</f>
        <v>0</v>
      </c>
      <c r="N177" s="136">
        <f>MIN(Tabelle1324[[#This Row],[Jira Story Points]],Tabelle1324[[#This Row],[Carry-over]])-Tabelle1324[[#This Row],[SP Initially Planned (COS)]]</f>
        <v>0</v>
      </c>
      <c r="O177" s="104" t="str">
        <f>IFERROR(IF(Tabelle1324[[#This Row],[Status]]=$I$5,0,IF(AND(Tabelle1324[[#This Row],[Status]]=$H$5,Tabelle1324[[#This Row],[Spill-over]]=0),0,IF(Tabelle1324[[#This Row],[Carry-over]]&lt;&gt;0,Tabelle1324[[#This Row],[Carry-over]]-Tabelle1324[[#This Row],[Spill-over]],Tabelle1324[[#This Row],[Jira Story Points]]-Tabelle1324[[#This Row],[Spill-over]]))),"-")</f>
        <v>-</v>
      </c>
      <c r="P177" s="136">
        <f>IFERROR(IF(Tabelle1324[[#This Row],[Status]]=$I$5,MIN(Tabelle1324[[#This Row],[Jira Story Points]],Tabelle1324[[#This Row],[Carry-over]]),0),0)</f>
        <v>0</v>
      </c>
      <c r="Q177" s="156">
        <f>IFERROR(IF(Tabelle1324[[#This Row],[Status]]=$I$5,0,MIN(Tabelle1324[[#This Row],[Jira Story Points]],Tabelle1324[[#This Row],[Carry-over]])-Tabelle1324[[#This Row],[SP Completed (COS &amp; SOS)]]),0)</f>
        <v>0</v>
      </c>
    </row>
    <row r="178" spans="1:17" s="46" customFormat="1" ht="13.5" customHeight="1">
      <c r="A178" s="117" t="s">
        <v>3658</v>
      </c>
      <c r="B178" s="47" t="s">
        <v>3659</v>
      </c>
      <c r="C178" s="76" t="s">
        <v>382</v>
      </c>
      <c r="D178" s="76">
        <v>3</v>
      </c>
      <c r="E178" s="76" t="s">
        <v>324</v>
      </c>
      <c r="F178" s="121" t="s">
        <v>210</v>
      </c>
      <c r="G178" s="76" t="s">
        <v>5</v>
      </c>
      <c r="H178" s="83"/>
      <c r="I178" s="103"/>
      <c r="J178" s="138" t="s">
        <v>125</v>
      </c>
      <c r="K178" s="104"/>
      <c r="L178" s="104"/>
      <c r="M178" s="136">
        <f>IF(Tabelle1324[[#This Row],[Pulled after Start]]="",MIN(Tabelle1324[[#This Row],[Jira Story Points]],Tabelle1324[[#This Row],[Carry-over]]),0)</f>
        <v>0</v>
      </c>
      <c r="N178" s="136">
        <f>MIN(Tabelle1324[[#This Row],[Jira Story Points]],Tabelle1324[[#This Row],[Carry-over]])-Tabelle1324[[#This Row],[SP Initially Planned (COS)]]</f>
        <v>0</v>
      </c>
      <c r="O178" s="104" t="str">
        <f>IFERROR(IF(Tabelle1324[[#This Row],[Status]]=$I$5,0,IF(AND(Tabelle1324[[#This Row],[Status]]=$H$5,Tabelle1324[[#This Row],[Spill-over]]=0),0,IF(Tabelle1324[[#This Row],[Carry-over]]&lt;&gt;0,Tabelle1324[[#This Row],[Carry-over]]-Tabelle1324[[#This Row],[Spill-over]],Tabelle1324[[#This Row],[Jira Story Points]]-Tabelle1324[[#This Row],[Spill-over]]))),"-")</f>
        <v>-</v>
      </c>
      <c r="P178" s="136">
        <f>IFERROR(IF(Tabelle1324[[#This Row],[Status]]=$I$5,MIN(Tabelle1324[[#This Row],[Jira Story Points]],Tabelle1324[[#This Row],[Carry-over]]),0),0)</f>
        <v>0</v>
      </c>
      <c r="Q178" s="156">
        <f>IFERROR(IF(Tabelle1324[[#This Row],[Status]]=$I$5,0,MIN(Tabelle1324[[#This Row],[Jira Story Points]],Tabelle1324[[#This Row],[Carry-over]])-Tabelle1324[[#This Row],[SP Completed (COS &amp; SOS)]]),0)</f>
        <v>0</v>
      </c>
    </row>
    <row r="179" spans="1:17" s="46" customFormat="1" ht="13.5" customHeight="1">
      <c r="A179" s="117" t="s">
        <v>3660</v>
      </c>
      <c r="B179" s="47" t="s">
        <v>3661</v>
      </c>
      <c r="C179" s="76" t="s">
        <v>372</v>
      </c>
      <c r="D179" s="76">
        <v>3</v>
      </c>
      <c r="E179" s="76" t="s">
        <v>327</v>
      </c>
      <c r="F179" s="104">
        <v>8</v>
      </c>
      <c r="G179" s="76" t="s">
        <v>5</v>
      </c>
      <c r="H179" s="83"/>
      <c r="I179" s="103"/>
      <c r="J179" s="76" t="s">
        <v>127</v>
      </c>
      <c r="K179" s="104">
        <v>8</v>
      </c>
      <c r="L179" s="104">
        <v>8</v>
      </c>
      <c r="M179" s="136">
        <f>IF(Tabelle1324[[#This Row],[Pulled after Start]]="",MIN(Tabelle1324[[#This Row],[Jira Story Points]],Tabelle1324[[#This Row],[Carry-over]]),0)</f>
        <v>8</v>
      </c>
      <c r="N179" s="136">
        <f>MIN(Tabelle1324[[#This Row],[Jira Story Points]],Tabelle1324[[#This Row],[Carry-over]])-Tabelle1324[[#This Row],[SP Initially Planned (COS)]]</f>
        <v>0</v>
      </c>
      <c r="O179" s="104">
        <f>IFERROR(IF(Tabelle1324[[#This Row],[Status]]=$I$5,0,IF(AND(Tabelle1324[[#This Row],[Status]]=$H$5,Tabelle1324[[#This Row],[Spill-over]]=0),0,IF(Tabelle1324[[#This Row],[Carry-over]]&lt;&gt;0,Tabelle1324[[#This Row],[Carry-over]]-Tabelle1324[[#This Row],[Spill-over]],Tabelle1324[[#This Row],[Jira Story Points]]-Tabelle1324[[#This Row],[Spill-over]]))),"-")</f>
        <v>0</v>
      </c>
      <c r="P179" s="136">
        <f>IFERROR(IF(Tabelle1324[[#This Row],[Status]]=$I$5,MIN(Tabelle1324[[#This Row],[Jira Story Points]],Tabelle1324[[#This Row],[Carry-over]]),0),0)</f>
        <v>0</v>
      </c>
      <c r="Q179" s="156">
        <f>IFERROR(IF(Tabelle1324[[#This Row],[Status]]=$I$5,0,MIN(Tabelle1324[[#This Row],[Jira Story Points]],Tabelle1324[[#This Row],[Carry-over]])-Tabelle1324[[#This Row],[SP Completed (COS &amp; SOS)]]),0)</f>
        <v>8</v>
      </c>
    </row>
    <row r="180" spans="1:17" s="46" customFormat="1" ht="13.5" customHeight="1">
      <c r="A180" s="117" t="s">
        <v>3205</v>
      </c>
      <c r="B180" s="47" t="s">
        <v>3206</v>
      </c>
      <c r="C180" s="76" t="s">
        <v>375</v>
      </c>
      <c r="D180" s="76">
        <v>2</v>
      </c>
      <c r="E180" s="76" t="s">
        <v>327</v>
      </c>
      <c r="F180" s="104">
        <v>3</v>
      </c>
      <c r="G180" s="76" t="s">
        <v>5</v>
      </c>
      <c r="H180" s="83"/>
      <c r="I180" s="103"/>
      <c r="J180" s="138" t="s">
        <v>127</v>
      </c>
      <c r="K180" s="104">
        <v>3</v>
      </c>
      <c r="L180" s="104"/>
      <c r="M180" s="136">
        <f>IF(Tabelle1324[[#This Row],[Pulled after Start]]="",MIN(Tabelle1324[[#This Row],[Jira Story Points]],Tabelle1324[[#This Row],[Carry-over]]),0)</f>
        <v>3</v>
      </c>
      <c r="N180" s="136">
        <f>MIN(Tabelle1324[[#This Row],[Jira Story Points]],Tabelle1324[[#This Row],[Carry-over]])-Tabelle1324[[#This Row],[SP Initially Planned (COS)]]</f>
        <v>0</v>
      </c>
      <c r="O180" s="104">
        <f>IFERROR(IF(Tabelle1324[[#This Row],[Status]]=$I$5,0,IF(AND(Tabelle1324[[#This Row],[Status]]=$H$5,Tabelle1324[[#This Row],[Spill-over]]=0),0,IF(Tabelle1324[[#This Row],[Carry-over]]&lt;&gt;0,Tabelle1324[[#This Row],[Carry-over]]-Tabelle1324[[#This Row],[Spill-over]],Tabelle1324[[#This Row],[Jira Story Points]]-Tabelle1324[[#This Row],[Spill-over]]))),"-")</f>
        <v>0</v>
      </c>
      <c r="P180" s="136">
        <f>IFERROR(IF(Tabelle1324[[#This Row],[Status]]=$I$5,MIN(Tabelle1324[[#This Row],[Jira Story Points]],Tabelle1324[[#This Row],[Carry-over]]),0),0)</f>
        <v>0</v>
      </c>
      <c r="Q180" s="156">
        <f>IFERROR(IF(Tabelle1324[[#This Row],[Status]]=$I$5,0,MIN(Tabelle1324[[#This Row],[Jira Story Points]],Tabelle1324[[#This Row],[Carry-over]])-Tabelle1324[[#This Row],[SP Completed (COS &amp; SOS)]]),0)</f>
        <v>3</v>
      </c>
    </row>
    <row r="181" spans="1:17" s="46" customFormat="1" ht="13.5" customHeight="1">
      <c r="A181" s="117" t="s">
        <v>3662</v>
      </c>
      <c r="B181" s="47" t="s">
        <v>3246</v>
      </c>
      <c r="C181" s="76" t="s">
        <v>382</v>
      </c>
      <c r="D181" s="76">
        <v>3</v>
      </c>
      <c r="E181" s="76" t="s">
        <v>330</v>
      </c>
      <c r="F181" s="121" t="s">
        <v>210</v>
      </c>
      <c r="G181" s="76" t="s">
        <v>5</v>
      </c>
      <c r="H181" s="83"/>
      <c r="I181" s="103"/>
      <c r="J181" s="145" t="s">
        <v>127</v>
      </c>
      <c r="K181" s="104"/>
      <c r="L181" s="104"/>
      <c r="M181" s="136">
        <f>IF(Tabelle1324[[#This Row],[Pulled after Start]]="",MIN(Tabelle1324[[#This Row],[Jira Story Points]],Tabelle1324[[#This Row],[Carry-over]]),0)</f>
        <v>0</v>
      </c>
      <c r="N181" s="136">
        <f>MIN(Tabelle1324[[#This Row],[Jira Story Points]],Tabelle1324[[#This Row],[Carry-over]])-Tabelle1324[[#This Row],[SP Initially Planned (COS)]]</f>
        <v>0</v>
      </c>
      <c r="O181" s="104">
        <f>IFERROR(IF(Tabelle1324[[#This Row],[Status]]=$I$5,0,IF(AND(Tabelle1324[[#This Row],[Status]]=$H$5,Tabelle1324[[#This Row],[Spill-over]]=0),0,IF(Tabelle1324[[#This Row],[Carry-over]]&lt;&gt;0,Tabelle1324[[#This Row],[Carry-over]]-Tabelle1324[[#This Row],[Spill-over]],Tabelle1324[[#This Row],[Jira Story Points]]-Tabelle1324[[#This Row],[Spill-over]]))),"-")</f>
        <v>0</v>
      </c>
      <c r="P181" s="136">
        <f>IFERROR(IF(Tabelle1324[[#This Row],[Status]]=$I$5,MIN(Tabelle1324[[#This Row],[Jira Story Points]],Tabelle1324[[#This Row],[Carry-over]]),0),0)</f>
        <v>0</v>
      </c>
      <c r="Q181" s="156">
        <f>IFERROR(IF(Tabelle1324[[#This Row],[Status]]=$I$5,0,MIN(Tabelle1324[[#This Row],[Jira Story Points]],Tabelle1324[[#This Row],[Carry-over]])-Tabelle1324[[#This Row],[SP Completed (COS &amp; SOS)]]),0)</f>
        <v>0</v>
      </c>
    </row>
    <row r="182" spans="1:17" s="46" customFormat="1" ht="13.5" customHeight="1">
      <c r="A182" s="117" t="s">
        <v>3663</v>
      </c>
      <c r="B182" s="47" t="s">
        <v>3664</v>
      </c>
      <c r="C182" s="76" t="s">
        <v>382</v>
      </c>
      <c r="D182" s="76">
        <v>3</v>
      </c>
      <c r="E182" s="76" t="s">
        <v>330</v>
      </c>
      <c r="F182" s="121" t="s">
        <v>210</v>
      </c>
      <c r="G182" s="76" t="s">
        <v>5</v>
      </c>
      <c r="H182" s="83"/>
      <c r="I182" s="103"/>
      <c r="J182" s="76" t="s">
        <v>127</v>
      </c>
      <c r="K182" s="104"/>
      <c r="L182" s="104"/>
      <c r="M182" s="136">
        <f>IF(Tabelle1324[[#This Row],[Pulled after Start]]="",MIN(Tabelle1324[[#This Row],[Jira Story Points]],Tabelle1324[[#This Row],[Carry-over]]),0)</f>
        <v>0</v>
      </c>
      <c r="N182" s="136">
        <f>MIN(Tabelle1324[[#This Row],[Jira Story Points]],Tabelle1324[[#This Row],[Carry-over]])-Tabelle1324[[#This Row],[SP Initially Planned (COS)]]</f>
        <v>0</v>
      </c>
      <c r="O182" s="104">
        <f>IFERROR(IF(Tabelle1324[[#This Row],[Status]]=$I$5,0,IF(AND(Tabelle1324[[#This Row],[Status]]=$H$5,Tabelle1324[[#This Row],[Spill-over]]=0),0,IF(Tabelle1324[[#This Row],[Carry-over]]&lt;&gt;0,Tabelle1324[[#This Row],[Carry-over]]-Tabelle1324[[#This Row],[Spill-over]],Tabelle1324[[#This Row],[Jira Story Points]]-Tabelle1324[[#This Row],[Spill-over]]))),"-")</f>
        <v>0</v>
      </c>
      <c r="P182" s="136">
        <f>IFERROR(IF(Tabelle1324[[#This Row],[Status]]=$I$5,MIN(Tabelle1324[[#This Row],[Jira Story Points]],Tabelle1324[[#This Row],[Carry-over]]),0),0)</f>
        <v>0</v>
      </c>
      <c r="Q182" s="156">
        <f>IFERROR(IF(Tabelle1324[[#This Row],[Status]]=$I$5,0,MIN(Tabelle1324[[#This Row],[Jira Story Points]],Tabelle1324[[#This Row],[Carry-over]])-Tabelle1324[[#This Row],[SP Completed (COS &amp; SOS)]]),0)</f>
        <v>0</v>
      </c>
    </row>
    <row r="183" spans="1:17" ht="13.5" customHeight="1">
      <c r="O183" s="28"/>
      <c r="P183" s="28"/>
      <c r="Q183" s="28"/>
    </row>
    <row r="184" spans="1:17" ht="13.5" customHeight="1">
      <c r="P184" s="28"/>
      <c r="Q184" s="28"/>
    </row>
    <row r="185" spans="1:17" ht="13.5" customHeight="1">
      <c r="P185" s="28"/>
      <c r="Q185" s="28"/>
    </row>
  </sheetData>
  <mergeCells count="11">
    <mergeCell ref="B6:B15"/>
    <mergeCell ref="C1:J1"/>
    <mergeCell ref="E4:J4"/>
    <mergeCell ref="L4:Q4"/>
    <mergeCell ref="D22:E22"/>
    <mergeCell ref="F22:G22"/>
    <mergeCell ref="H22:I22"/>
    <mergeCell ref="J22:K22"/>
    <mergeCell ref="L22:M22"/>
    <mergeCell ref="N22:O22"/>
    <mergeCell ref="G3:I3"/>
  </mergeCells>
  <phoneticPr fontId="12" type="noConversion"/>
  <dataValidations count="4">
    <dataValidation type="list" allowBlank="1" showErrorMessage="1" sqref="G32:G40 G56:G71" xr:uid="{E25A87CB-154C-4AC2-AD22-080521B20A4F}">
      <formula1>$C$6:$C$15</formula1>
    </dataValidation>
    <dataValidation type="list" allowBlank="1" showErrorMessage="1" sqref="H56:H71 H32:H40" xr:uid="{9A854430-170E-4A1D-B366-D16D46A21D25}">
      <formula1>"yes"</formula1>
    </dataValidation>
    <dataValidation type="list" allowBlank="1" showErrorMessage="1" sqref="J32:J147" xr:uid="{5721F81E-43FF-4BFB-9352-2BE50225CCEB}">
      <formula1>$G$5:$I$5</formula1>
    </dataValidation>
    <dataValidation allowBlank="1" showInputMessage="1" showErrorMessage="1" sqref="K32:L147 M32:N182" xr:uid="{6A54BA2C-7E2A-48EF-B7BB-B55948C48B82}"/>
  </dataValidations>
  <hyperlinks>
    <hyperlink ref="A77" r:id="rId1" display="https://aldi-sued.atlassian.net/browse/ANP-23181" xr:uid="{5163CEDE-AF60-4819-89A2-5847A0F05DCA}"/>
    <hyperlink ref="A78" r:id="rId2" display="https://aldi-sued.atlassian.net/browse/ANP-23670" xr:uid="{CD75820D-90EA-4ADC-82DC-925603DD1A00}"/>
    <hyperlink ref="A79" r:id="rId3" display="https://aldi-sued.atlassian.net/browse/ANP-19512" xr:uid="{F7AA6285-394B-4212-8BFD-05E67C8817F7}"/>
    <hyperlink ref="A80" r:id="rId4" display="https://aldi-sued.atlassian.net/browse/ANP-23344" xr:uid="{925A73EB-8E94-4134-912A-A8D0109E29D5}"/>
    <hyperlink ref="A81" r:id="rId5" display="https://aldi-sued.atlassian.net/browse/ANP-18159" xr:uid="{54EC206C-04ED-407E-9BE5-65C8571AA78F}"/>
    <hyperlink ref="A82" r:id="rId6" display="https://aldi-sued.atlassian.net/browse/ANP-23350" xr:uid="{C6FF5AAE-4387-4BF5-B8A8-9DC744D6FCC6}"/>
    <hyperlink ref="A76" r:id="rId7" display="https://aldi-sued.atlassian.net/browse/ANP-23889" xr:uid="{DF3921B8-6534-46DB-8258-4799D0215D6E}"/>
    <hyperlink ref="A84" r:id="rId8" display="https://aldi-sued.atlassian.net/browse/ANP-23197" xr:uid="{3C2203ED-37A9-47CF-ADFA-BD6AEB9ED1F7}"/>
    <hyperlink ref="A83" r:id="rId9" display="https://aldi-sued.atlassian.net/browse/ANP-18173" xr:uid="{7FD428F3-2136-4B8B-8781-156EA755C401}"/>
    <hyperlink ref="A113" r:id="rId10" display="PSCO-17717" xr:uid="{EB432D1B-4047-4548-8BA1-18135C2E2B4C}"/>
    <hyperlink ref="B113" r:id="rId11" xr:uid="{7E48D653-EC9A-4CAF-8B07-5E936ED17535}"/>
    <hyperlink ref="G113" r:id="rId12" display="SCO_Two_Fingered_Sloth" xr:uid="{4C9CCD66-067C-4802-9FF2-3D96C0222F97}"/>
    <hyperlink ref="A130" r:id="rId13" xr:uid="{40E3E4A1-026C-4ABF-BA9D-C0447542E4EE}"/>
    <hyperlink ref="B130" r:id="rId14" xr:uid="{10DFEE2F-AD1D-4A11-A39C-5244216A281A}"/>
    <hyperlink ref="A110" r:id="rId15" xr:uid="{BF8CB2C7-E7F3-443D-BD12-A4D89DB06B21}"/>
    <hyperlink ref="B110" r:id="rId16" xr:uid="{C0D67E17-6FAF-41F9-90D0-9F681E5F7AC1}"/>
    <hyperlink ref="G110" r:id="rId17" display="Product_Value+1" xr:uid="{68FE3A12-B688-411C-9B59-A1006AADC374}"/>
    <hyperlink ref="A109" r:id="rId18" xr:uid="{C9B80364-7307-4773-98A8-A65FFBAC42BF}"/>
    <hyperlink ref="B109" r:id="rId19" xr:uid="{3692E6E0-17B2-4CB5-B233-CACB3FF1DA6B}"/>
    <hyperlink ref="A112" r:id="rId20" xr:uid="{BF309023-E742-42BC-BF87-19C23571BF0C}"/>
    <hyperlink ref="B112" r:id="rId21" xr:uid="{A928902A-21E2-4CAF-B11F-43E813F42B59}"/>
    <hyperlink ref="A111" r:id="rId22" xr:uid="{E74D38D6-FB02-44C1-AB2A-76D93739C621}"/>
    <hyperlink ref="B111" r:id="rId23" xr:uid="{7D5E853A-798B-480E-9D28-02D8851F8044}"/>
    <hyperlink ref="A131" r:id="rId24" xr:uid="{D131B42F-09EE-44C5-ADFD-C7413B0E2B0A}"/>
    <hyperlink ref="B131" r:id="rId25" xr:uid="{94162B23-0995-42E3-A463-BEAEF1945E16}"/>
    <hyperlink ref="A133" r:id="rId26" xr:uid="{55F8515D-9527-43BC-9579-86E15B286A17}"/>
    <hyperlink ref="B133" r:id="rId27" xr:uid="{B05153B1-5DC1-4AF1-B320-91D9FE3481DD}"/>
    <hyperlink ref="A134" r:id="rId28" xr:uid="{5246EE66-EECF-463B-ADA0-1D4618822A32}"/>
    <hyperlink ref="B134" r:id="rId29" xr:uid="{8CC5D36F-F913-4D54-B062-56CBF469C476}"/>
    <hyperlink ref="A135" r:id="rId30" xr:uid="{60CBD578-DDB3-4075-BC44-C646EF40AA6A}"/>
    <hyperlink ref="B135" r:id="rId31" xr:uid="{EFFE53B7-7F60-4D0D-9AC5-8CBF3C59C4DF}"/>
    <hyperlink ref="A115" r:id="rId32" xr:uid="{27D24579-684D-41C2-B36E-E729C0B755F0}"/>
    <hyperlink ref="B115" r:id="rId33" xr:uid="{0A276A83-40D0-4F6A-A6B1-6EA139EACE42}"/>
    <hyperlink ref="A116" r:id="rId34" xr:uid="{4D7BF100-C5D6-4FB0-ADE9-4B3F78554780}"/>
    <hyperlink ref="B116" r:id="rId35" xr:uid="{FBD6530C-1EFD-4365-9FD1-A3F48CAF44A6}"/>
    <hyperlink ref="A117" r:id="rId36" xr:uid="{9F7C7170-0460-4768-AF3E-FEB1E781A970}"/>
    <hyperlink ref="B117" r:id="rId37" xr:uid="{E165298E-FAE7-466C-8F5C-848877A6B3CC}"/>
    <hyperlink ref="A114" r:id="rId38" xr:uid="{0C87E58E-C1C9-4FE4-A047-A3AA59ACB4FA}"/>
    <hyperlink ref="B114" r:id="rId39" xr:uid="{37FEA976-9D66-4F3B-BC3E-2FB40CF3D8D5}"/>
    <hyperlink ref="G130" r:id="rId40" display="https://aldi-sued.atlassian.net/issues/?jql=%22cf%5B12600%5D%22%20%3D%20SCO_Two_Fingered_Sloth" xr:uid="{ADC28C32-0853-4E7F-9382-5785B3CFC373}"/>
    <hyperlink ref="G44:G54" r:id="rId41" display="https://aldi-sued.atlassian.net/issues/?jql=%22cf%5B12600%5D%22%20%3D%20Product_Value" xr:uid="{BFD8C567-4090-414B-876E-1511231E1EE7}"/>
    <hyperlink ref="A88" r:id="rId42" display="https://aldi-sued.atlassian.net/browse/ANP-20250" xr:uid="{F0A31E6B-3913-4C4C-A8D5-0CC5026DFD0C}"/>
    <hyperlink ref="A89" r:id="rId43" display="https://aldi-sued.atlassian.net/browse/ANP-23187" xr:uid="{8FE70E30-D9B5-4BB4-9356-19830B1C1893}"/>
    <hyperlink ref="A90" r:id="rId44" display="https://aldi-sued.atlassian.net/browse/ANP-23497" xr:uid="{B79BBBC8-5D46-4EEA-9E6A-1FC5C4913C8D}"/>
    <hyperlink ref="A85" r:id="rId45" display="https://aldi-sued.atlassian.net/browse/ANP-23769" xr:uid="{3329615F-1128-4E39-9EF2-44BFD2F538A8}"/>
    <hyperlink ref="A86" r:id="rId46" display="https://aldi-sued.atlassian.net/browse/ANP-22995" xr:uid="{9F7393F4-9540-4275-B28C-8F5505404097}"/>
    <hyperlink ref="A87" r:id="rId47" display="https://aldi-sued.atlassian.net/browse/ANP-23677" xr:uid="{61BC4E4C-58E3-4EAD-A0F0-AF42A7F67B03}"/>
    <hyperlink ref="A91" r:id="rId48" display="https://aldi-sued.atlassian.net/browse/ANP-23671" xr:uid="{2DDE1D4A-61E8-4E64-9F0F-6EFAA7B54A21}"/>
    <hyperlink ref="A92" r:id="rId49" display="https://aldi-sued.atlassian.net/browse/ANP-23436" xr:uid="{07B9A038-EC02-4350-854D-70977F02B5B5}"/>
    <hyperlink ref="A93" r:id="rId50" display="https://aldi-sued.atlassian.net/browse/ANP-23454" xr:uid="{8C45A2CA-D6B3-4A4C-A211-5EF44A0CF35C}"/>
    <hyperlink ref="A95" r:id="rId51" display="https://aldi-sued.atlassian.net/browse/ANP-23904" xr:uid="{CAE8694A-6D9A-41BC-8E45-964D11EC0BCA}"/>
    <hyperlink ref="A96" r:id="rId52" display="https://aldi-sued.atlassian.net/browse/ANP-23894" xr:uid="{A831EC71-3038-402C-95EC-821DDFDE238F}"/>
    <hyperlink ref="A128" r:id="rId53" display="https://aldi-sued.atlassian.net/browse/NPSCO-17725" xr:uid="{8AE0EE93-71C7-41FA-BF4E-FF3318A50B1F}"/>
    <hyperlink ref="A137" r:id="rId54" display="https://aldi-sued.atlassian.net/browse/NPSCO-16949" xr:uid="{FFE813B3-5C06-4551-B9A4-6A8B064BE13B}"/>
    <hyperlink ref="A138" r:id="rId55" display="https://aldi-sued.atlassian.net/browse/NPSCO-17235" xr:uid="{9F98B06D-2EA1-41E2-AC4A-261AEFC42458}"/>
    <hyperlink ref="A121" r:id="rId56" display="https://aldi-sued.atlassian.net/browse/NPSCO-17241" xr:uid="{64BAB4DB-F767-4D4B-8E9F-EF630F9290C4}"/>
    <hyperlink ref="A126" r:id="rId57" display="https://aldi-sued.atlassian.net/browse/NPSCO-17711" xr:uid="{918DAE65-E987-41AB-93CF-44B5AB86D234}"/>
    <hyperlink ref="A125" r:id="rId58" display="https://aldi-sued.atlassian.net/browse/NPSCO-17540" xr:uid="{16B3640A-CC39-49E4-AB51-E3C9F3C88E19}"/>
    <hyperlink ref="A124" r:id="rId59" display="https://aldi-sued.atlassian.net/browse/NPSCO-17455" xr:uid="{DA8A2C71-A7B2-4A0A-95BA-A2D14AD39528}"/>
    <hyperlink ref="A129" r:id="rId60" display="https://aldi-sued.atlassian.net/browse/NPSCO-17726" xr:uid="{0F761F57-4D16-457A-AF32-599D8670ECB2}"/>
    <hyperlink ref="A141" r:id="rId61" display="https://aldi-sued.atlassian.net/browse/NPSCO-17376" xr:uid="{31702E87-C166-4F46-9173-2A67906D4B8E}"/>
    <hyperlink ref="A123" r:id="rId62" display="https://aldi-sued.atlassian.net/browse/NPSCO-17380" xr:uid="{93AFEAA1-DA86-47B0-AE62-64A96846538C}"/>
    <hyperlink ref="A127" r:id="rId63" display="https://aldi-sued.atlassian.net/browse/NPSCO-17722" xr:uid="{53626F31-6596-491F-A7F3-39E0DCCD3A84}"/>
    <hyperlink ref="A118" r:id="rId64" display="https://aldi-sued.atlassian.net/browse/NPSCO-11856" xr:uid="{9BDD706C-AEC5-4F16-A443-0299AB2AE0D2}"/>
    <hyperlink ref="A120" r:id="rId65" display="https://aldi-sued.atlassian.net/browse/NPSCO-16620" xr:uid="{6D6872A3-2891-4A7A-98C7-C49C0CF89430}"/>
    <hyperlink ref="A122" r:id="rId66" display="https://aldi-sued.atlassian.net/browse/NPSCO-17297" xr:uid="{9A7AE8A2-70AF-45B8-99E4-064E01C979E6}"/>
    <hyperlink ref="A136" r:id="rId67" display="https://aldi-sued.atlassian.net/browse/NPSCO-16616" xr:uid="{54D6754E-DA8C-4532-9AC1-7B26034DF6EA}"/>
    <hyperlink ref="A119" r:id="rId68" display="https://aldi-sued.atlassian.net/browse/NPSCO-16619" xr:uid="{327DAEDD-F165-4F8B-87CC-24800166F684}"/>
    <hyperlink ref="A139" r:id="rId69" display="https://aldi-sued.atlassian.net/browse/NPSCO-18026" xr:uid="{3265B3C3-F4BF-4C6D-AEEE-71F66BA0AE6F}"/>
    <hyperlink ref="A148" r:id="rId70" display="https://aldi-sued.atlassian.net/browse/NPSCO-17515" xr:uid="{531CB0BD-7F57-4A57-9E98-2623E0C6D40E}"/>
    <hyperlink ref="A151" r:id="rId71" display="https://aldi-sued.atlassian.net/browse/NPSCO-17736" xr:uid="{8DED3761-7A6D-4BD0-9D53-A9045B2099AF}"/>
    <hyperlink ref="A152" r:id="rId72" display="https://aldi-sued.atlassian.net/browse/NPSCO-17737" xr:uid="{F24EC5B1-3B90-4D7F-BE24-788727A7767B}"/>
    <hyperlink ref="A146" r:id="rId73" display="https://aldi-sued.atlassian.net/browse/NPSCO-17318" xr:uid="{90D2135A-C9EF-424A-9FB5-C2737B60995D}"/>
    <hyperlink ref="A157" r:id="rId74" display="https://aldi-sued.atlassian.net/browse/NPSCO-17700" xr:uid="{B8DFB59A-9C70-41FA-BD74-2686EB931F1E}"/>
    <hyperlink ref="A149" r:id="rId75" display="https://aldi-sued.atlassian.net/browse/NPSCO-17714" xr:uid="{B872C4BF-0C90-48C7-BE59-A1EDEBB84D5D}"/>
    <hyperlink ref="A159" r:id="rId76" display="https://aldi-sued.atlassian.net/browse/NPSCO-17739" xr:uid="{240FC0EC-BE4E-4C44-96B6-DB4E1E640577}"/>
    <hyperlink ref="A162" r:id="rId77" display="https://aldi-sued.atlassian.net/browse/NPSCO-17742" xr:uid="{A4DA6094-E1A4-4472-98F0-80D1DB8A8F59}"/>
    <hyperlink ref="A163" r:id="rId78" display="https://aldi-sued.atlassian.net/browse/NPSCO-17743" xr:uid="{4843B24B-2121-462A-93A2-A5D89F98090A}"/>
    <hyperlink ref="A150" r:id="rId79" display="https://aldi-sued.atlassian.net/browse/NPSCO-17735" xr:uid="{B2C7E6BD-5E97-4EFC-9245-51E729CCAA60}"/>
    <hyperlink ref="A147" r:id="rId80" display="https://aldi-sued.atlassian.net/browse/NPSCO-17330" xr:uid="{9472545E-F374-4836-9E58-B3418AE2D2B6}"/>
    <hyperlink ref="A153" r:id="rId81" display="https://aldi-sued.atlassian.net/browse/NPSCO-16261" xr:uid="{0A4ADCD8-6060-4671-A5FB-1C5198D0BAEC}"/>
    <hyperlink ref="A154" r:id="rId82" display="https://aldi-sued.atlassian.net/browse/NPSCO-16390" xr:uid="{67102C64-3B45-4E03-A8DD-D38ECCE1C4E3}"/>
    <hyperlink ref="A142" r:id="rId83" display="https://aldi-sued.atlassian.net/browse/NPSCO-16369" xr:uid="{AD5FB54F-440A-49CC-8D3E-02BD1C6120CB}"/>
    <hyperlink ref="A158" r:id="rId84" display="https://aldi-sued.atlassian.net/browse/NPSCO-17738" xr:uid="{9EC7329F-D116-4FDC-ADC3-06E158401CFC}"/>
    <hyperlink ref="A160" r:id="rId85" display="https://aldi-sued.atlassian.net/browse/NPSCO-17740" xr:uid="{AE2F2450-0F81-44F9-8FF0-EAAFEA314E3A}"/>
    <hyperlink ref="A161" r:id="rId86" display="https://aldi-sued.atlassian.net/browse/NPSCO-17741" xr:uid="{89C6813E-4A0E-46B0-AA9B-716E0ED3AE58}"/>
    <hyperlink ref="A144" r:id="rId87" display="https://aldi-sued.atlassian.net/browse/NPSCO-16516" xr:uid="{4D113649-E715-4BCC-A374-F132A7EBE24B}"/>
    <hyperlink ref="A143" r:id="rId88" display="https://aldi-sued.atlassian.net/browse/NPSCO-16483" xr:uid="{48C6D59B-2F2F-4EDD-8E34-4DE158455A4A}"/>
    <hyperlink ref="A156" r:id="rId89" display="https://aldi-sued.atlassian.net/browse/NPSCO-17699" xr:uid="{0BB2A8A9-B61F-4F27-910F-CFF96B79192F}"/>
    <hyperlink ref="A164" r:id="rId90" display="https://aldi-sued.atlassian.net/browse/NPSCO-17746" xr:uid="{8EF24DA6-3187-4EA4-B402-67F9490930FB}"/>
    <hyperlink ref="A166" r:id="rId91" display="https://aldi-sued.atlassian.net/browse/NPSCO-18013" xr:uid="{83065C98-031C-40C8-AB4B-5ACC754705DF}"/>
    <hyperlink ref="A155" r:id="rId92" display="https://aldi-sued.atlassian.net/browse/NPSCO-17240" xr:uid="{CF3921EC-C7B4-432B-A846-368CD2C36AC9}"/>
    <hyperlink ref="A145" r:id="rId93" display="https://aldi-sued.atlassian.net/browse/NPSCO-17294" xr:uid="{3B145D8B-16C7-4651-A837-7E7C8E9D5938}"/>
    <hyperlink ref="A165" r:id="rId94" display="https://aldi-sued.atlassian.net/browse/NPSCO-17881" xr:uid="{36E77691-1EA4-4D73-80DB-A5EE4B767D80}"/>
    <hyperlink ref="A167" r:id="rId95" display="https://aldi-sued.atlassian.net/browse/NPSCO-18015" xr:uid="{728F6D25-A806-4C92-B3EE-F7AD6E0ED61C}"/>
    <hyperlink ref="A168" r:id="rId96" display="https://aldi-sued.atlassian.net/browse/NPSCO-18016" xr:uid="{E3587362-1846-4D92-BAB0-7DE109881920}"/>
    <hyperlink ref="A169" r:id="rId97" xr:uid="{318C1600-EDF9-4F9F-B5AA-D556C5DB8DAC}"/>
    <hyperlink ref="A94" r:id="rId98" xr:uid="{1B5626CF-9A9F-4371-8255-DE4634EEF767}"/>
    <hyperlink ref="A42" r:id="rId99" xr:uid="{8C7EE44F-9F7B-4EDC-AC58-8CACFFB57377}"/>
    <hyperlink ref="A44" r:id="rId100" xr:uid="{110FD3B9-E3F2-4AD7-8B3D-6813E7D4F580}"/>
    <hyperlink ref="A64" r:id="rId101" xr:uid="{0A2EB8DC-18B6-46FB-9C95-A034BB25592A}"/>
    <hyperlink ref="A45" r:id="rId102" xr:uid="{FB8D3296-09E3-40B4-8DC4-F660051EC37A}"/>
    <hyperlink ref="A48" r:id="rId103" xr:uid="{50E90597-009C-4A81-BD7A-0E3A72CF0A53}"/>
    <hyperlink ref="A52" r:id="rId104" xr:uid="{A7464F57-192C-48CE-9BAF-7A10D526FC13}"/>
    <hyperlink ref="A53" r:id="rId105" xr:uid="{0B318D1A-365E-437D-9C23-5C1F2E0A061C}"/>
    <hyperlink ref="A54" r:id="rId106" xr:uid="{FFF4135B-150C-4F44-B740-39096000CCA4}"/>
    <hyperlink ref="A56" r:id="rId107" xr:uid="{BCCC7A12-CDDF-4BD4-9C10-79C37B1C2604}"/>
    <hyperlink ref="A57" r:id="rId108" xr:uid="{17655486-B8FC-4C48-8A2A-A0B933894342}"/>
    <hyperlink ref="A58" r:id="rId109" xr:uid="{8C4A2D85-A095-4691-ACE3-2CCAB50AD305}"/>
    <hyperlink ref="A59" r:id="rId110" xr:uid="{B71ED0BD-9D99-412B-8D0A-EF6AA486D25A}"/>
    <hyperlink ref="A61" r:id="rId111" xr:uid="{7715EA7F-2A0B-4BC0-A45C-EA90F164E7E6}"/>
    <hyperlink ref="A63" r:id="rId112" xr:uid="{AB29BCE2-B780-4AAF-A7C9-82DD395A0BFC}"/>
    <hyperlink ref="A43" r:id="rId113" xr:uid="{03A4B962-79A4-41DE-B656-E01CA96C08DF}"/>
    <hyperlink ref="A46" r:id="rId114" xr:uid="{1F980679-4A7D-404D-A4A2-EF66AD4536C5}"/>
    <hyperlink ref="A47" r:id="rId115" xr:uid="{E65307CC-37F5-463E-8BC3-EA07B6EA4448}"/>
    <hyperlink ref="A49" r:id="rId116" xr:uid="{946900E9-0681-4196-AF63-789857C9E59B}"/>
    <hyperlink ref="A50" r:id="rId117" xr:uid="{360A08F4-74D7-4AA4-8460-99FEA933BA68}"/>
    <hyperlink ref="A51" r:id="rId118" xr:uid="{D4C6AD8B-3DC0-4B47-8D88-54BD070DD96D}"/>
    <hyperlink ref="A55" r:id="rId119" xr:uid="{8CE74EB2-4CCA-4925-944A-5E0D504FC3B1}"/>
    <hyperlink ref="A60" r:id="rId120" xr:uid="{DEEEDF33-3E12-4D6B-B047-6000D26A9800}"/>
    <hyperlink ref="A62" r:id="rId121" xr:uid="{FCB36E61-B602-4D25-8040-76509096AFE0}"/>
    <hyperlink ref="A132" r:id="rId122" xr:uid="{503673DD-25E6-4A24-A183-3563CD8F63F0}"/>
    <hyperlink ref="A170" r:id="rId123" xr:uid="{1825506B-34C2-4B86-B5DF-5CBEE3EFAFD9}"/>
    <hyperlink ref="A174" r:id="rId124" xr:uid="{7B81B9F5-1A2B-4C51-AD07-3C22FA862DCA}"/>
    <hyperlink ref="A176" r:id="rId125" xr:uid="{E906E1BC-E134-4A70-93EB-D7EEE5F2D737}"/>
    <hyperlink ref="A177" r:id="rId126" xr:uid="{B1E065CC-C64B-4097-A0B1-37FEEC15A986}"/>
    <hyperlink ref="A178" r:id="rId127" xr:uid="{150CF0C8-D9CF-4609-BF8F-0E944884BA7D}"/>
    <hyperlink ref="A179" r:id="rId128" xr:uid="{B9B43FF0-3E05-4775-BA67-AEB44F094802}"/>
    <hyperlink ref="A180" r:id="rId129" xr:uid="{D8EF52C8-AF04-4243-B4D7-DAA5E785F6A0}"/>
    <hyperlink ref="A171" r:id="rId130" xr:uid="{54A5AD53-8E47-460D-9157-85540CDE019B}"/>
    <hyperlink ref="A172" r:id="rId131" xr:uid="{7BE7C116-05FB-44A1-A555-81DFF54A0D9B}"/>
    <hyperlink ref="A173" r:id="rId132" xr:uid="{FF130DBD-21D7-4379-BEB4-59DB3D8F92A0}"/>
    <hyperlink ref="A175" r:id="rId133" xr:uid="{750F64DB-F79B-4CC7-869F-30C788E30A9F}"/>
    <hyperlink ref="A181" r:id="rId134" xr:uid="{00C93F48-0853-47DB-86F2-1B48D8E743BC}"/>
    <hyperlink ref="A182" r:id="rId135" xr:uid="{145D1564-E781-44D2-A4B7-E13190060DC0}"/>
    <hyperlink ref="A97" r:id="rId136" xr:uid="{F0701E1F-DD73-411D-A7C6-2F21B81C8215}"/>
    <hyperlink ref="A99" r:id="rId137" xr:uid="{168AB0F4-7269-4915-8C8C-E28ED801141D}"/>
    <hyperlink ref="A100" r:id="rId138" xr:uid="{61EB5D7D-CA89-4237-8775-214427E3DF03}"/>
    <hyperlink ref="A101" r:id="rId139" xr:uid="{B1EA9BCA-A4EB-4004-8403-C7BADB634EF8}"/>
    <hyperlink ref="A102" r:id="rId140" xr:uid="{A2D05400-6105-43B7-AF92-60CE56E88396}"/>
    <hyperlink ref="A103" r:id="rId141" xr:uid="{62B583B9-DD67-4327-8BA8-AA1288A26F82}"/>
    <hyperlink ref="A104" r:id="rId142" xr:uid="{DC3A9B5E-E8CA-4157-A5BB-8B9A88505ADE}"/>
    <hyperlink ref="A105" r:id="rId143" xr:uid="{E205EAD5-B299-4B6B-ADF3-AA5F2DC08F67}"/>
    <hyperlink ref="A106" r:id="rId144" xr:uid="{2FE0D80E-0EE3-4EA8-B1EF-122ADA910E87}"/>
    <hyperlink ref="A107" r:id="rId145" xr:uid="{7F9E7B3A-EFF2-4C0A-8D38-E034CFEF99CD}"/>
    <hyperlink ref="A98" r:id="rId146" xr:uid="{FF19B519-6BC9-43C2-A66E-B7560FA65F77}"/>
    <hyperlink ref="A66" r:id="rId147" xr:uid="{5C57311A-A2E1-4EAA-A242-E52A50825C86}"/>
    <hyperlink ref="A65" r:id="rId148" display="https://aldi-sued.atlassian.net/browse/BF-311" xr:uid="{B59EDABD-494B-4E46-BF42-380D94A47FA2}"/>
    <hyperlink ref="A67" r:id="rId149" xr:uid="{8656E58D-93F8-4A03-AF7A-79DD0FC59E20}"/>
    <hyperlink ref="A68" r:id="rId150" xr:uid="{CBDB7793-2BC7-4F8F-8EAA-81BF9E277CB2}"/>
    <hyperlink ref="A69" r:id="rId151" xr:uid="{2A6A1267-1E74-4A5E-B319-E91C1F342A7F}"/>
    <hyperlink ref="A70" r:id="rId152" xr:uid="{AA56FCAF-DF7D-4E3D-8853-E5AF9273BB7A}"/>
    <hyperlink ref="A71" r:id="rId153" xr:uid="{2F5A03E2-C139-4192-AA4F-27F8E6A5D2DD}"/>
    <hyperlink ref="A72" r:id="rId154" xr:uid="{678B8EA4-4E74-4F25-9323-FBE97807BE26}"/>
    <hyperlink ref="A73" r:id="rId155" xr:uid="{D93209D8-5E03-4DBC-A91E-AF84CF35D41D}"/>
    <hyperlink ref="A74" r:id="rId156" xr:uid="{6471900B-59C2-4989-8650-B34CF87C43B4}"/>
    <hyperlink ref="A75" r:id="rId157" xr:uid="{CA727CA0-F8BC-41C4-8911-418339072A1B}"/>
    <hyperlink ref="A108" r:id="rId158" display="https://aldi-sued.atlassian.net/browse/ANP-23721" xr:uid="{07BA5E5D-24DF-429E-816F-A80F99EB82A3}"/>
    <hyperlink ref="A140" r:id="rId159" display="https://aldi-sued.atlassian.net/browse/NPSCO-18050" xr:uid="{30290DB3-5D06-4719-B104-4EB85B42E87D}"/>
  </hyperlinks>
  <pageMargins left="0.23622047244094491" right="0.23622047244094491" top="0.35433070866141736" bottom="0.35433070866141736" header="0" footer="0"/>
  <pageSetup paperSize="9" scale="88" fitToHeight="0" orientation="landscape" r:id="rId160"/>
  <headerFooter>
    <oddFooter>&amp;CS. &amp;P / &amp;N</oddFooter>
  </headerFooter>
  <tableParts count="1">
    <tablePart r:id="rId16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9256B-6B94-4093-A33F-7FF67447213F}">
  <dimension ref="A1:BC70"/>
  <sheetViews>
    <sheetView tabSelected="1" topLeftCell="A28" zoomScale="70" zoomScaleNormal="70" workbookViewId="0">
      <selection activeCell="L27" sqref="L27"/>
    </sheetView>
  </sheetViews>
  <sheetFormatPr baseColWidth="10" defaultColWidth="11.42578125" defaultRowHeight="15"/>
  <cols>
    <col min="1" max="1" width="23.7109375" bestFit="1" customWidth="1"/>
  </cols>
  <sheetData>
    <row r="1" spans="1:32">
      <c r="A1" t="s">
        <v>0</v>
      </c>
    </row>
    <row r="2" spans="1:32">
      <c r="A2" s="232">
        <v>-1</v>
      </c>
      <c r="B2" t="str">
        <f t="shared" ref="B2:G2" ca="1" si="0">INDIRECT($A$26&amp;($A$28+B$3+$A15-2+$A$2-1))</f>
        <v>Sprint 1_3+4</v>
      </c>
      <c r="C2" t="str">
        <f t="shared" ca="1" si="0"/>
        <v>Sprint 1_5+6</v>
      </c>
      <c r="D2" t="str">
        <f t="shared" ca="1" si="0"/>
        <v>Sprint 2_1+2</v>
      </c>
      <c r="E2" t="str">
        <f t="shared" ca="1" si="0"/>
        <v>Sprint 2_3/4</v>
      </c>
      <c r="F2" t="str">
        <f t="shared" ca="1" si="0"/>
        <v>Sprint 2_5/6</v>
      </c>
      <c r="G2" t="str">
        <f t="shared" ca="1" si="0"/>
        <v>Sprint 3_1/2</v>
      </c>
      <c r="H2" s="254" t="s">
        <v>1</v>
      </c>
      <c r="I2" t="s">
        <v>2</v>
      </c>
    </row>
    <row r="3" spans="1:32">
      <c r="B3" s="234">
        <v>1</v>
      </c>
      <c r="C3" s="234">
        <v>2</v>
      </c>
      <c r="D3" s="234">
        <v>3</v>
      </c>
      <c r="E3" s="234">
        <v>4</v>
      </c>
      <c r="F3" s="234">
        <v>5</v>
      </c>
      <c r="G3" s="234">
        <v>6</v>
      </c>
      <c r="AA3" t="str">
        <f t="shared" ref="AA3:AF3" ca="1" si="1">B2</f>
        <v>Sprint 1_3+4</v>
      </c>
      <c r="AB3" t="str">
        <f t="shared" ca="1" si="1"/>
        <v>Sprint 1_5+6</v>
      </c>
      <c r="AC3" t="str">
        <f t="shared" ca="1" si="1"/>
        <v>Sprint 2_1+2</v>
      </c>
      <c r="AD3" t="str">
        <f t="shared" ca="1" si="1"/>
        <v>Sprint 2_3/4</v>
      </c>
      <c r="AE3" t="str">
        <f t="shared" ca="1" si="1"/>
        <v>Sprint 2_5/6</v>
      </c>
      <c r="AF3" t="str">
        <f t="shared" ca="1" si="1"/>
        <v>Sprint 3_1/2</v>
      </c>
    </row>
    <row r="4" spans="1:32">
      <c r="B4" s="235" t="str">
        <f t="shared" ref="B4:G4" ca="1" si="2">INDIRECT($A$27&amp;($A$28+B$3+$A5-2+$A$2-1))</f>
        <v xml:space="preserve">  IDL Sprint Velocity</v>
      </c>
      <c r="C4" s="235" t="str">
        <f t="shared" ca="1" si="2"/>
        <v>Payment</v>
      </c>
      <c r="D4" s="235">
        <f t="shared" ca="1" si="2"/>
        <v>18</v>
      </c>
      <c r="E4" s="235">
        <f t="shared" ca="1" si="2"/>
        <v>23</v>
      </c>
      <c r="F4" s="235">
        <f t="shared" ca="1" si="2"/>
        <v>30</v>
      </c>
      <c r="G4" s="235">
        <f t="shared" ca="1" si="2"/>
        <v>27</v>
      </c>
      <c r="AA4" t="str">
        <f t="shared" ref="AA4:AC4" ca="1" si="3">B4</f>
        <v xml:space="preserve">  IDL Sprint Velocity</v>
      </c>
      <c r="AB4" t="str">
        <f t="shared" ca="1" si="3"/>
        <v>Payment</v>
      </c>
      <c r="AC4">
        <f t="shared" ca="1" si="3"/>
        <v>18</v>
      </c>
      <c r="AD4">
        <f t="shared" ref="AD4" ca="1" si="4">E4</f>
        <v>23</v>
      </c>
      <c r="AE4">
        <f t="shared" ref="AE4:AF4" ca="1" si="5">F4</f>
        <v>30</v>
      </c>
      <c r="AF4">
        <f t="shared" ca="1" si="5"/>
        <v>27</v>
      </c>
    </row>
    <row r="5" spans="1:32">
      <c r="A5">
        <v>1</v>
      </c>
      <c r="B5" s="236">
        <f>$A5+$H5</f>
        <v>1</v>
      </c>
      <c r="C5" s="236">
        <f t="shared" ref="C5:G15" si="6">$A5+$H5</f>
        <v>1</v>
      </c>
      <c r="D5" s="236">
        <f t="shared" si="6"/>
        <v>1</v>
      </c>
      <c r="E5" s="236">
        <f t="shared" si="6"/>
        <v>1</v>
      </c>
      <c r="F5" s="236">
        <f t="shared" si="6"/>
        <v>1</v>
      </c>
      <c r="G5" s="236">
        <f t="shared" si="6"/>
        <v>1</v>
      </c>
      <c r="H5">
        <v>0</v>
      </c>
      <c r="AA5" t="str">
        <f t="shared" ref="AA5:AB5" ca="1" si="7">B6</f>
        <v>Payment</v>
      </c>
      <c r="AB5">
        <f t="shared" ca="1" si="7"/>
        <v>18</v>
      </c>
      <c r="AC5">
        <f t="shared" ref="AC5" ca="1" si="8">D6</f>
        <v>23</v>
      </c>
      <c r="AD5">
        <f t="shared" ref="AD5:AF5" ca="1" si="9">E6</f>
        <v>30</v>
      </c>
      <c r="AE5">
        <f t="shared" ca="1" si="9"/>
        <v>27</v>
      </c>
      <c r="AF5">
        <f t="shared" ca="1" si="9"/>
        <v>31</v>
      </c>
    </row>
    <row r="6" spans="1:32">
      <c r="B6" s="235" t="str">
        <f t="shared" ref="B6:G6" ca="1" si="10">INDIRECT($A$27&amp;($A$28+B$3+$A7-2+$A$2-1))</f>
        <v>Payment</v>
      </c>
      <c r="C6" s="235">
        <f t="shared" ca="1" si="10"/>
        <v>18</v>
      </c>
      <c r="D6" s="235">
        <f t="shared" ca="1" si="10"/>
        <v>23</v>
      </c>
      <c r="E6" s="235">
        <f t="shared" ca="1" si="10"/>
        <v>30</v>
      </c>
      <c r="F6" s="235">
        <f t="shared" ca="1" si="10"/>
        <v>27</v>
      </c>
      <c r="G6" s="235">
        <f t="shared" ca="1" si="10"/>
        <v>31</v>
      </c>
      <c r="AA6">
        <f t="shared" ref="AA6" ca="1" si="11">B8</f>
        <v>18</v>
      </c>
      <c r="AB6">
        <f t="shared" ref="AB6" ca="1" si="12">C8</f>
        <v>23</v>
      </c>
      <c r="AC6">
        <f t="shared" ref="AC6:AF6" ca="1" si="13">D8</f>
        <v>30</v>
      </c>
      <c r="AD6">
        <f t="shared" ca="1" si="13"/>
        <v>27</v>
      </c>
      <c r="AE6">
        <f t="shared" ca="1" si="13"/>
        <v>31</v>
      </c>
      <c r="AF6">
        <f t="shared" ca="1" si="13"/>
        <v>34</v>
      </c>
    </row>
    <row r="7" spans="1:32">
      <c r="A7">
        <f>A5+1</f>
        <v>2</v>
      </c>
      <c r="B7" s="236">
        <f>$A7+$H7</f>
        <v>2</v>
      </c>
      <c r="C7" s="236">
        <f t="shared" si="6"/>
        <v>2</v>
      </c>
      <c r="D7" s="236">
        <f t="shared" si="6"/>
        <v>2</v>
      </c>
      <c r="E7" s="236">
        <f t="shared" si="6"/>
        <v>2</v>
      </c>
      <c r="F7" s="236">
        <f t="shared" si="6"/>
        <v>2</v>
      </c>
      <c r="G7" s="236">
        <f t="shared" si="6"/>
        <v>2</v>
      </c>
      <c r="H7">
        <v>0</v>
      </c>
      <c r="AA7">
        <f t="shared" ref="AA7:AF7" ca="1" si="14">B10</f>
        <v>23</v>
      </c>
      <c r="AB7">
        <f t="shared" ca="1" si="14"/>
        <v>30</v>
      </c>
      <c r="AC7">
        <f t="shared" ca="1" si="14"/>
        <v>27</v>
      </c>
      <c r="AD7">
        <f t="shared" ca="1" si="14"/>
        <v>31</v>
      </c>
      <c r="AE7">
        <f t="shared" ca="1" si="14"/>
        <v>34</v>
      </c>
      <c r="AF7">
        <f t="shared" ca="1" si="14"/>
        <v>20</v>
      </c>
    </row>
    <row r="8" spans="1:32">
      <c r="B8" s="235">
        <f t="shared" ref="B8:G8" ca="1" si="15">INDIRECT($A$27&amp;($A$28+B$3+$A9-2+$A$2-1))</f>
        <v>18</v>
      </c>
      <c r="C8" s="235">
        <f t="shared" ca="1" si="15"/>
        <v>23</v>
      </c>
      <c r="D8" s="235">
        <f t="shared" ca="1" si="15"/>
        <v>30</v>
      </c>
      <c r="E8" s="235">
        <f t="shared" ca="1" si="15"/>
        <v>27</v>
      </c>
      <c r="F8" s="235">
        <f t="shared" ca="1" si="15"/>
        <v>31</v>
      </c>
      <c r="G8" s="235">
        <f t="shared" ca="1" si="15"/>
        <v>34</v>
      </c>
      <c r="AA8">
        <f t="shared" ref="AA8:AF8" ca="1" si="16">B12</f>
        <v>30</v>
      </c>
      <c r="AB8">
        <f t="shared" ca="1" si="16"/>
        <v>27</v>
      </c>
      <c r="AC8">
        <f t="shared" ca="1" si="16"/>
        <v>31</v>
      </c>
      <c r="AD8">
        <f t="shared" ca="1" si="16"/>
        <v>34</v>
      </c>
      <c r="AE8">
        <f t="shared" ca="1" si="16"/>
        <v>20</v>
      </c>
      <c r="AF8">
        <f t="shared" ca="1" si="16"/>
        <v>26</v>
      </c>
    </row>
    <row r="9" spans="1:32">
      <c r="A9">
        <f>A7+1</f>
        <v>3</v>
      </c>
      <c r="B9" s="236">
        <f>$A9+$H9</f>
        <v>3</v>
      </c>
      <c r="C9" s="236">
        <f t="shared" si="6"/>
        <v>3</v>
      </c>
      <c r="D9" s="236">
        <f t="shared" si="6"/>
        <v>3</v>
      </c>
      <c r="E9" s="236">
        <f t="shared" si="6"/>
        <v>3</v>
      </c>
      <c r="F9" s="236">
        <f t="shared" si="6"/>
        <v>3</v>
      </c>
      <c r="G9" s="236">
        <f t="shared" si="6"/>
        <v>3</v>
      </c>
      <c r="H9">
        <v>0</v>
      </c>
      <c r="AA9">
        <f t="shared" ref="AA9:AF9" ca="1" si="17">B14</f>
        <v>27</v>
      </c>
      <c r="AB9">
        <f t="shared" ca="1" si="17"/>
        <v>31</v>
      </c>
      <c r="AC9">
        <f t="shared" ca="1" si="17"/>
        <v>34</v>
      </c>
      <c r="AD9">
        <f t="shared" ca="1" si="17"/>
        <v>20</v>
      </c>
      <c r="AE9">
        <f t="shared" ca="1" si="17"/>
        <v>26</v>
      </c>
      <c r="AF9">
        <f t="shared" ca="1" si="17"/>
        <v>26</v>
      </c>
    </row>
    <row r="10" spans="1:32">
      <c r="B10" s="235">
        <f t="shared" ref="B10:G10" ca="1" si="18">INDIRECT($A$27&amp;($A$28+B$3+$A11-2+$A$2-1))</f>
        <v>23</v>
      </c>
      <c r="C10" s="235">
        <f t="shared" ca="1" si="18"/>
        <v>30</v>
      </c>
      <c r="D10" s="235">
        <f t="shared" ca="1" si="18"/>
        <v>27</v>
      </c>
      <c r="E10" s="235">
        <f t="shared" ca="1" si="18"/>
        <v>31</v>
      </c>
      <c r="F10" s="235">
        <f t="shared" ca="1" si="18"/>
        <v>34</v>
      </c>
      <c r="G10" s="235">
        <f t="shared" ca="1" si="18"/>
        <v>20</v>
      </c>
      <c r="AA10">
        <f ca="1">_xlfn.RANK.EQ(AA9,AA4:AA9,0)</f>
        <v>2</v>
      </c>
      <c r="AB10">
        <f t="shared" ref="AB10:AF10" ca="1" si="19">_xlfn.RANK.EQ(AB9,AB4:AB9,0)</f>
        <v>1</v>
      </c>
      <c r="AC10">
        <f t="shared" ca="1" si="19"/>
        <v>1</v>
      </c>
      <c r="AD10">
        <f t="shared" ca="1" si="19"/>
        <v>6</v>
      </c>
      <c r="AE10">
        <f t="shared" ca="1" si="19"/>
        <v>5</v>
      </c>
      <c r="AF10">
        <f t="shared" ca="1" si="19"/>
        <v>4</v>
      </c>
    </row>
    <row r="11" spans="1:32">
      <c r="A11">
        <f>A9+1</f>
        <v>4</v>
      </c>
      <c r="B11" s="236">
        <f>$A11+$H11</f>
        <v>4</v>
      </c>
      <c r="C11" s="236">
        <f t="shared" si="6"/>
        <v>4</v>
      </c>
      <c r="D11" s="236">
        <f t="shared" si="6"/>
        <v>4</v>
      </c>
      <c r="E11" s="236">
        <f t="shared" si="6"/>
        <v>4</v>
      </c>
      <c r="F11" s="236">
        <f t="shared" si="6"/>
        <v>4</v>
      </c>
      <c r="G11" s="236">
        <f t="shared" si="6"/>
        <v>4</v>
      </c>
      <c r="H11">
        <v>0</v>
      </c>
    </row>
    <row r="12" spans="1:32">
      <c r="B12" s="235">
        <f t="shared" ref="B12:G12" ca="1" si="20">INDIRECT($A$27&amp;($A$28+B$3+$A13-2+$A$2-1))</f>
        <v>30</v>
      </c>
      <c r="C12" s="235">
        <f t="shared" ca="1" si="20"/>
        <v>27</v>
      </c>
      <c r="D12" s="235">
        <f t="shared" ca="1" si="20"/>
        <v>31</v>
      </c>
      <c r="E12" s="235">
        <f t="shared" ca="1" si="20"/>
        <v>34</v>
      </c>
      <c r="F12" s="235">
        <f t="shared" ca="1" si="20"/>
        <v>20</v>
      </c>
      <c r="G12" s="235">
        <f t="shared" ca="1" si="20"/>
        <v>26</v>
      </c>
    </row>
    <row r="13" spans="1:32">
      <c r="A13">
        <f>A11+1</f>
        <v>5</v>
      </c>
      <c r="B13" s="236">
        <f>$A13+$H13</f>
        <v>5</v>
      </c>
      <c r="C13" s="236">
        <f t="shared" si="6"/>
        <v>5</v>
      </c>
      <c r="D13" s="236">
        <f t="shared" si="6"/>
        <v>5</v>
      </c>
      <c r="E13" s="236">
        <f t="shared" si="6"/>
        <v>5</v>
      </c>
      <c r="F13" s="236">
        <f t="shared" si="6"/>
        <v>5</v>
      </c>
      <c r="G13" s="236">
        <f t="shared" si="6"/>
        <v>5</v>
      </c>
      <c r="H13">
        <v>0</v>
      </c>
    </row>
    <row r="14" spans="1:32">
      <c r="B14" s="235">
        <f t="shared" ref="B14:G14" ca="1" si="21">INDIRECT($A$27&amp;($A$28+B$3+$A15-2+$A$2-1))</f>
        <v>27</v>
      </c>
      <c r="C14" s="235">
        <f t="shared" ca="1" si="21"/>
        <v>31</v>
      </c>
      <c r="D14" s="235">
        <f t="shared" ca="1" si="21"/>
        <v>34</v>
      </c>
      <c r="E14" s="235">
        <f t="shared" ca="1" si="21"/>
        <v>20</v>
      </c>
      <c r="F14" s="235">
        <f t="shared" ca="1" si="21"/>
        <v>26</v>
      </c>
      <c r="G14" s="235">
        <f t="shared" ca="1" si="21"/>
        <v>26</v>
      </c>
    </row>
    <row r="15" spans="1:32">
      <c r="A15">
        <v>6</v>
      </c>
      <c r="B15" s="237">
        <f>$A15+$H15</f>
        <v>7</v>
      </c>
      <c r="C15" s="237">
        <f t="shared" si="6"/>
        <v>7</v>
      </c>
      <c r="D15" s="237">
        <f t="shared" si="6"/>
        <v>7</v>
      </c>
      <c r="E15" s="237">
        <f t="shared" si="6"/>
        <v>7</v>
      </c>
      <c r="F15" s="237">
        <f t="shared" si="6"/>
        <v>7</v>
      </c>
      <c r="G15" s="237">
        <f t="shared" si="6"/>
        <v>7</v>
      </c>
      <c r="H15">
        <v>1</v>
      </c>
    </row>
    <row r="17" spans="1:55">
      <c r="B17" t="s">
        <v>3</v>
      </c>
      <c r="C17" t="s">
        <v>4</v>
      </c>
      <c r="D17" t="s">
        <v>5</v>
      </c>
      <c r="E17" t="s">
        <v>5</v>
      </c>
      <c r="F17" t="s">
        <v>6</v>
      </c>
      <c r="H17" t="s">
        <v>7</v>
      </c>
    </row>
    <row r="18" spans="1:55">
      <c r="B18" t="s">
        <v>3</v>
      </c>
      <c r="C18" t="s">
        <v>8</v>
      </c>
      <c r="D18" t="s">
        <v>9</v>
      </c>
      <c r="E18" t="s">
        <v>9</v>
      </c>
      <c r="F18" t="s">
        <v>10</v>
      </c>
      <c r="H18" t="s">
        <v>11</v>
      </c>
    </row>
    <row r="19" spans="1:55">
      <c r="B19" t="s">
        <v>12</v>
      </c>
      <c r="C19" t="s">
        <v>4</v>
      </c>
      <c r="D19" t="s">
        <v>13</v>
      </c>
      <c r="E19" t="s">
        <v>12</v>
      </c>
      <c r="F19" t="s">
        <v>14</v>
      </c>
      <c r="H19" t="s">
        <v>15</v>
      </c>
    </row>
    <row r="20" spans="1:55">
      <c r="B20" t="s">
        <v>12</v>
      </c>
      <c r="C20" t="s">
        <v>8</v>
      </c>
      <c r="D20" t="s">
        <v>16</v>
      </c>
      <c r="E20" t="s">
        <v>17</v>
      </c>
      <c r="F20" t="s">
        <v>18</v>
      </c>
      <c r="H20" t="s">
        <v>19</v>
      </c>
    </row>
    <row r="21" spans="1:55">
      <c r="B21" t="s">
        <v>20</v>
      </c>
      <c r="C21" t="s">
        <v>4</v>
      </c>
      <c r="D21" t="s">
        <v>21</v>
      </c>
      <c r="E21" t="s">
        <v>21</v>
      </c>
      <c r="F21" t="s">
        <v>22</v>
      </c>
      <c r="H21" t="s">
        <v>23</v>
      </c>
    </row>
    <row r="22" spans="1:55">
      <c r="B22" t="s">
        <v>20</v>
      </c>
      <c r="C22" t="s">
        <v>8</v>
      </c>
      <c r="D22" t="s">
        <v>24</v>
      </c>
      <c r="E22" t="s">
        <v>24</v>
      </c>
      <c r="F22" t="s">
        <v>25</v>
      </c>
      <c r="H22" t="s">
        <v>26</v>
      </c>
    </row>
    <row r="23" spans="1:55">
      <c r="B23" t="s">
        <v>27</v>
      </c>
      <c r="C23" t="s">
        <v>4</v>
      </c>
      <c r="D23" t="s">
        <v>28</v>
      </c>
      <c r="E23" t="s">
        <v>27</v>
      </c>
      <c r="F23" t="s">
        <v>29</v>
      </c>
      <c r="H23" t="s">
        <v>30</v>
      </c>
    </row>
    <row r="24" spans="1:55">
      <c r="B24" t="s">
        <v>27</v>
      </c>
      <c r="C24" t="s">
        <v>8</v>
      </c>
      <c r="D24" t="s">
        <v>31</v>
      </c>
      <c r="E24" t="s">
        <v>32</v>
      </c>
      <c r="F24" t="s">
        <v>33</v>
      </c>
      <c r="H24" t="s">
        <v>34</v>
      </c>
    </row>
    <row r="25" spans="1:55">
      <c r="B25" t="s">
        <v>35</v>
      </c>
      <c r="C25" t="s">
        <v>36</v>
      </c>
      <c r="D25" t="s">
        <v>35</v>
      </c>
      <c r="E25" t="s">
        <v>35</v>
      </c>
      <c r="F25" t="s">
        <v>37</v>
      </c>
      <c r="H25" t="s">
        <v>38</v>
      </c>
    </row>
    <row r="26" spans="1:55">
      <c r="A26" s="36" t="str">
        <f ca="1">_xlfn.UNICHAR(CELL("spalte",A30)+64)</f>
        <v>A</v>
      </c>
      <c r="B26" s="254" t="s">
        <v>39</v>
      </c>
      <c r="C26" t="s">
        <v>40</v>
      </c>
    </row>
    <row r="27" spans="1:55">
      <c r="A27" s="36" t="str">
        <f ca="1">_xlfn.UNICHAR(CELL("spalte",D30)+64)</f>
        <v>D</v>
      </c>
      <c r="B27" s="254" t="s">
        <v>41</v>
      </c>
      <c r="C27" t="s">
        <v>42</v>
      </c>
    </row>
    <row r="28" spans="1:55">
      <c r="A28" s="36">
        <f ca="1">CELL("zeile",D30)</f>
        <v>30</v>
      </c>
      <c r="B28" s="194" t="s">
        <v>43</v>
      </c>
      <c r="C28" s="194" t="s">
        <v>76</v>
      </c>
      <c r="D28" s="194" t="s">
        <v>45</v>
      </c>
      <c r="E28" s="194" t="s">
        <v>77</v>
      </c>
      <c r="F28" s="194" t="s">
        <v>78</v>
      </c>
      <c r="G28" s="194" t="s">
        <v>79</v>
      </c>
      <c r="H28" s="194" t="s">
        <v>80</v>
      </c>
      <c r="I28" s="194" t="s">
        <v>81</v>
      </c>
      <c r="J28" s="194" t="s">
        <v>82</v>
      </c>
      <c r="K28" s="194" t="s">
        <v>83</v>
      </c>
      <c r="L28" s="194" t="s">
        <v>84</v>
      </c>
      <c r="M28" s="194" t="s">
        <v>84</v>
      </c>
      <c r="O28" s="36" t="s">
        <v>85</v>
      </c>
      <c r="P28" s="311" t="s">
        <v>86</v>
      </c>
      <c r="Q28" s="311" t="s">
        <v>87</v>
      </c>
      <c r="R28" s="311" t="s">
        <v>88</v>
      </c>
      <c r="T28">
        <v>0.3</v>
      </c>
    </row>
    <row r="29" spans="1:55">
      <c r="B29" s="36">
        <v>1</v>
      </c>
      <c r="C29" s="36">
        <v>2</v>
      </c>
      <c r="D29" s="233" t="str">
        <f>'KPIs IDL'!AA61</f>
        <v>Payment</v>
      </c>
      <c r="E29" s="36">
        <v>1</v>
      </c>
      <c r="F29" s="36"/>
      <c r="G29" s="36"/>
      <c r="H29" s="36"/>
      <c r="I29" s="36"/>
      <c r="J29" s="36">
        <v>200</v>
      </c>
      <c r="O29" s="36">
        <v>1</v>
      </c>
      <c r="P29" s="312">
        <v>4</v>
      </c>
      <c r="Q29" s="311"/>
      <c r="R29" s="311"/>
    </row>
    <row r="30" spans="1:55">
      <c r="A30" s="238" t="s">
        <v>53</v>
      </c>
      <c r="B30" s="240">
        <f t="shared" ref="B30:B40" ca="1" si="22">IFERROR(_xlfn.STDEV.P(INDIRECT($A$27&amp;P30-P$29+1&amp;":"&amp;$A$27&amp;P30)),0)</f>
        <v>0</v>
      </c>
      <c r="C30" s="241">
        <f t="shared" ref="C30:C40" ca="1" si="23">IFERROR(AVERAGE(INDIRECT($A$27&amp;P30-P$29+1&amp;":"&amp;$A$27&amp;P30)),D30)</f>
        <v>18</v>
      </c>
      <c r="D30" s="239">
        <f ca="1">'KPIs IDL'!AA62</f>
        <v>18</v>
      </c>
      <c r="E30" s="241">
        <f t="shared" ref="E30:E33" ca="1" si="24">IF(C30-2*B30&lt;=$E$29,$E$29,C30-2*B30)</f>
        <v>18</v>
      </c>
      <c r="F30" s="241">
        <f t="shared" ref="F30:F33" ca="1" si="25">IF(C30-2*B30&lt;=$E$29,$B30-($E$29-(C30-2*B30)),$B30)</f>
        <v>0</v>
      </c>
      <c r="G30" s="241">
        <f t="shared" ref="G30:I40" ca="1" si="26">$B30</f>
        <v>0</v>
      </c>
      <c r="H30" s="241">
        <f t="shared" ca="1" si="26"/>
        <v>0</v>
      </c>
      <c r="I30" s="241">
        <f t="shared" ca="1" si="26"/>
        <v>0</v>
      </c>
      <c r="J30" s="241">
        <f ca="1">J$29-SUM(E30:I30)</f>
        <v>182</v>
      </c>
      <c r="K30" s="388">
        <f ca="1">$D30</f>
        <v>18</v>
      </c>
      <c r="L30" s="388"/>
      <c r="M30" s="388"/>
      <c r="O30" s="36">
        <f t="shared" ref="O30:O40" ca="1" si="27">MROUND(E30+F30*(R30-1.5),$O$29)</f>
        <v>18</v>
      </c>
      <c r="P30" s="311">
        <f ca="1">CELL("zeile",P30)-1</f>
        <v>29</v>
      </c>
      <c r="Q30" s="311"/>
      <c r="R30" s="311">
        <f t="shared" ref="R30:R40" si="28">IF(Q29=0,4,IF(Q29&gt;4,Q29-1,IF(Q29&lt;4,Q29+1,4)))</f>
        <v>4</v>
      </c>
      <c r="T30">
        <f t="shared" ref="T30:T40" ca="1" si="29">$T$28*D30/C55+(1-$T$28)*T29</f>
        <v>0.31764705882352939</v>
      </c>
      <c r="AJ30" s="263"/>
      <c r="AO30" s="254" t="s">
        <v>89</v>
      </c>
      <c r="AP30" s="287" t="s">
        <v>90</v>
      </c>
      <c r="AQ30" s="263"/>
      <c r="AR30" s="263"/>
      <c r="AS30" s="263"/>
      <c r="AT30" s="263"/>
      <c r="AU30" s="263"/>
      <c r="AV30" s="263"/>
      <c r="BC30">
        <v>10</v>
      </c>
    </row>
    <row r="31" spans="1:55">
      <c r="A31" s="238" t="s">
        <v>54</v>
      </c>
      <c r="B31" s="240">
        <f t="shared" ca="1" si="22"/>
        <v>0</v>
      </c>
      <c r="C31" s="241">
        <f t="shared" ca="1" si="23"/>
        <v>18</v>
      </c>
      <c r="D31" s="239">
        <f ca="1">'KPIs IDL'!AA63</f>
        <v>23</v>
      </c>
      <c r="E31" s="241">
        <f t="shared" ca="1" si="24"/>
        <v>18</v>
      </c>
      <c r="F31" s="241">
        <f t="shared" ca="1" si="25"/>
        <v>0</v>
      </c>
      <c r="G31" s="241">
        <f t="shared" ca="1" si="26"/>
        <v>0</v>
      </c>
      <c r="H31" s="241">
        <f t="shared" ca="1" si="26"/>
        <v>0</v>
      </c>
      <c r="I31" s="241">
        <f t="shared" ca="1" si="26"/>
        <v>0</v>
      </c>
      <c r="J31" s="241">
        <f t="shared" ref="J31:J36" ca="1" si="30">J$29-SUM(E31:I31)</f>
        <v>182</v>
      </c>
      <c r="K31" s="388">
        <f ca="1">$O31</f>
        <v>18</v>
      </c>
      <c r="L31" s="388">
        <f ca="1">$D31</f>
        <v>23</v>
      </c>
      <c r="M31" s="388"/>
      <c r="O31" s="36">
        <f t="shared" ca="1" si="27"/>
        <v>18</v>
      </c>
      <c r="P31" s="311">
        <f t="shared" ref="P31:P40" ca="1" si="31">CELL("zeile",P31)-1</f>
        <v>30</v>
      </c>
      <c r="Q31" s="311"/>
      <c r="R31" s="311">
        <f t="shared" si="28"/>
        <v>4</v>
      </c>
      <c r="T31">
        <f t="shared" ca="1" si="29"/>
        <v>0.46028397565922918</v>
      </c>
      <c r="AJ31" s="263"/>
      <c r="AN31">
        <v>-4</v>
      </c>
      <c r="AO31" s="232">
        <v>1</v>
      </c>
      <c r="AP31" t="s">
        <v>91</v>
      </c>
      <c r="AQ31" s="263"/>
      <c r="AR31" s="263"/>
      <c r="AS31" s="263"/>
      <c r="AT31" s="263"/>
      <c r="AU31" s="263"/>
      <c r="AV31" s="263"/>
      <c r="AW31">
        <f ca="1">CELL("zeile",AO32)</f>
        <v>32</v>
      </c>
      <c r="AX31">
        <f t="shared" ref="AX31" ca="1" si="32">INDIRECT("B"&amp;$AW$31+$AN31+$AO$31)</f>
        <v>1</v>
      </c>
      <c r="AY31">
        <f t="shared" ref="AY31" ca="1" si="33">INDIRECT("C"&amp;$AW$31+$AN31+$AO$31)</f>
        <v>2</v>
      </c>
      <c r="AZ31" t="str">
        <f t="shared" ref="AZ31" ca="1" si="34">INDIRECT("D"&amp;$AW$31+$AN31+$AO$31)</f>
        <v>Payment</v>
      </c>
      <c r="BB31" s="194" t="s">
        <v>92</v>
      </c>
      <c r="BC31">
        <v>10</v>
      </c>
    </row>
    <row r="32" spans="1:55">
      <c r="A32" s="238" t="s">
        <v>55</v>
      </c>
      <c r="B32" s="240">
        <f t="shared" ca="1" si="22"/>
        <v>2.5</v>
      </c>
      <c r="C32" s="241">
        <f t="shared" ca="1" si="23"/>
        <v>20.5</v>
      </c>
      <c r="D32" s="239">
        <f ca="1">'KPIs IDL'!AA64</f>
        <v>30</v>
      </c>
      <c r="E32" s="241">
        <f t="shared" ca="1" si="24"/>
        <v>15.5</v>
      </c>
      <c r="F32" s="241">
        <f t="shared" ca="1" si="25"/>
        <v>2.5</v>
      </c>
      <c r="G32" s="241">
        <f t="shared" ca="1" si="26"/>
        <v>2.5</v>
      </c>
      <c r="H32" s="241">
        <f t="shared" ca="1" si="26"/>
        <v>2.5</v>
      </c>
      <c r="I32" s="241">
        <f t="shared" ca="1" si="26"/>
        <v>2.5</v>
      </c>
      <c r="J32" s="241">
        <f t="shared" ca="1" si="30"/>
        <v>174.5</v>
      </c>
      <c r="K32" s="388"/>
      <c r="L32" s="388">
        <f ca="1">$O32</f>
        <v>22</v>
      </c>
      <c r="M32" s="388">
        <f ca="1">$D32</f>
        <v>30</v>
      </c>
      <c r="O32" s="36">
        <f t="shared" ca="1" si="27"/>
        <v>22</v>
      </c>
      <c r="P32" s="311">
        <f t="shared" ca="1" si="31"/>
        <v>31</v>
      </c>
      <c r="Q32" s="311">
        <f t="shared" ref="Q32:Q40" ca="1" si="35">IF(ROUNDDOWN((D32-E32)/B32,)&lt;-1,1,IF(ROUNDDOWN((D32-E32)/B32,)&gt;4,6,ROUNDDOWN((D32-E32)/B32,)+2))</f>
        <v>6</v>
      </c>
      <c r="R32" s="311">
        <f t="shared" si="28"/>
        <v>4</v>
      </c>
      <c r="S32">
        <f t="shared" ref="S32:S40" ca="1" si="36">10-(Q32-4)^2</f>
        <v>6</v>
      </c>
      <c r="T32">
        <f t="shared" ca="1" si="29"/>
        <v>0.54719878296146041</v>
      </c>
      <c r="AJ32" s="263"/>
      <c r="AN32">
        <v>0</v>
      </c>
      <c r="AO32" s="287" t="str">
        <f ca="1">AW32</f>
        <v>Sprint 1_3+4</v>
      </c>
      <c r="AP32" s="263">
        <f t="shared" ref="AP32:AP37" ca="1" si="37">IFERROR((AZ32-AY32)/AX32*$BC$30+$BC$33,0)</f>
        <v>36.772854614785963</v>
      </c>
      <c r="AQ32" s="263">
        <v>1</v>
      </c>
      <c r="AR32" s="263"/>
      <c r="AS32" s="263"/>
      <c r="AT32" s="263"/>
      <c r="AU32" s="263"/>
      <c r="AV32" s="263"/>
      <c r="AW32" t="str">
        <f ca="1">INDIRECT("A"&amp;$AW$31+$AN32+$AO$31)</f>
        <v>Sprint 1_3+4</v>
      </c>
      <c r="AX32">
        <f ca="1">INDIRECT("B"&amp;$AW$31+$AN32+$AO$31)</f>
        <v>4.9216076867444665</v>
      </c>
      <c r="AY32">
        <f ca="1">INDIRECT("C"&amp;$AW$31+$AN32+$AO$31)</f>
        <v>23.666666666666668</v>
      </c>
      <c r="AZ32">
        <f ca="1">INDIRECT("D"&amp;$AW$31+$AN32+$AO$31)</f>
        <v>27</v>
      </c>
      <c r="BB32" s="194" t="s">
        <v>93</v>
      </c>
      <c r="BC32">
        <f>BC31+$BC$30</f>
        <v>20</v>
      </c>
    </row>
    <row r="33" spans="1:55">
      <c r="A33" s="238" t="s">
        <v>56</v>
      </c>
      <c r="B33" s="240">
        <f t="shared" ca="1" si="22"/>
        <v>4.9216076867444665</v>
      </c>
      <c r="C33" s="241">
        <f t="shared" ca="1" si="23"/>
        <v>23.666666666666668</v>
      </c>
      <c r="D33" s="239">
        <f ca="1">'KPIs IDL'!AA65</f>
        <v>27</v>
      </c>
      <c r="E33" s="241">
        <f t="shared" ca="1" si="24"/>
        <v>13.823451293177735</v>
      </c>
      <c r="F33" s="241">
        <f t="shared" ca="1" si="25"/>
        <v>4.9216076867444665</v>
      </c>
      <c r="G33" s="241">
        <f t="shared" ca="1" si="26"/>
        <v>4.9216076867444665</v>
      </c>
      <c r="H33" s="241">
        <f t="shared" ca="1" si="26"/>
        <v>4.9216076867444665</v>
      </c>
      <c r="I33" s="241">
        <f t="shared" ca="1" si="26"/>
        <v>4.9216076867444665</v>
      </c>
      <c r="J33" s="241">
        <f t="shared" ca="1" si="30"/>
        <v>166.49011795984438</v>
      </c>
      <c r="K33" s="388">
        <f ca="1">$D33</f>
        <v>27</v>
      </c>
      <c r="L33" s="388"/>
      <c r="M33" s="388">
        <f ca="1">$O33</f>
        <v>31</v>
      </c>
      <c r="O33" s="36">
        <f t="shared" ca="1" si="27"/>
        <v>31</v>
      </c>
      <c r="P33" s="311">
        <f t="shared" ca="1" si="31"/>
        <v>32</v>
      </c>
      <c r="Q33" s="311">
        <f t="shared" ca="1" si="35"/>
        <v>4</v>
      </c>
      <c r="R33" s="311">
        <f t="shared" ca="1" si="28"/>
        <v>5</v>
      </c>
      <c r="S33">
        <f t="shared" ca="1" si="36"/>
        <v>10</v>
      </c>
      <c r="T33">
        <f t="shared" ca="1" si="29"/>
        <v>0.66234949290060841</v>
      </c>
      <c r="AJ33" s="263"/>
      <c r="AN33">
        <v>1</v>
      </c>
      <c r="AO33" s="287" t="str">
        <f t="shared" ref="AO33:AO37" ca="1" si="38">AW33</f>
        <v>Sprint 1_5+6</v>
      </c>
      <c r="AP33" s="263">
        <f t="shared" ca="1" si="37"/>
        <v>44.444444444444443</v>
      </c>
      <c r="AQ33" s="263"/>
      <c r="AR33" s="263">
        <v>1</v>
      </c>
      <c r="AS33" s="263"/>
      <c r="AT33" s="263"/>
      <c r="AU33" s="263"/>
      <c r="AV33" s="263"/>
      <c r="AW33" t="str">
        <f t="shared" ref="AW33:AW37" ca="1" si="39">INDIRECT("A"&amp;$AW$31+AN33+$AO$31)</f>
        <v>Sprint 1_5+6</v>
      </c>
      <c r="AX33">
        <f t="shared" ref="AX33:AX37" ca="1" si="40">INDIRECT("B"&amp;$AW$31+$AN33+$AO$31)</f>
        <v>4.5</v>
      </c>
      <c r="AY33">
        <f t="shared" ref="AY33:AY37" ca="1" si="41">INDIRECT("C"&amp;$AW$31+$AN33+$AO$31)</f>
        <v>24.5</v>
      </c>
      <c r="AZ33">
        <f t="shared" ref="AZ33:AZ37" ca="1" si="42">INDIRECT("D"&amp;$AW$31+$AN33+$AO$31)</f>
        <v>31</v>
      </c>
      <c r="BB33" s="194" t="s">
        <v>94</v>
      </c>
      <c r="BC33">
        <f>BC32+$BC$30</f>
        <v>30</v>
      </c>
    </row>
    <row r="34" spans="1:55">
      <c r="A34" s="238" t="s">
        <v>57</v>
      </c>
      <c r="B34" s="240">
        <f t="shared" ca="1" si="22"/>
        <v>4.5</v>
      </c>
      <c r="C34" s="241">
        <f t="shared" ca="1" si="23"/>
        <v>24.5</v>
      </c>
      <c r="D34" s="239">
        <f ca="1">'KPIs IDL'!AA66</f>
        <v>31</v>
      </c>
      <c r="E34" s="241">
        <f t="shared" ref="E34:E40" ca="1" si="43">IF(C34-2*B34&lt;=$E$29,$E$29,C34-2*B34)</f>
        <v>15.5</v>
      </c>
      <c r="F34" s="241">
        <f t="shared" ref="F34:F40" ca="1" si="44">IF(C34-2*B34&lt;=$E$29,$B34-($E$29-(C34-2*B34)),$B34)</f>
        <v>4.5</v>
      </c>
      <c r="G34" s="241">
        <f t="shared" ca="1" si="26"/>
        <v>4.5</v>
      </c>
      <c r="H34" s="241">
        <f t="shared" ca="1" si="26"/>
        <v>4.5</v>
      </c>
      <c r="I34" s="241">
        <f t="shared" ca="1" si="26"/>
        <v>4.5</v>
      </c>
      <c r="J34" s="241">
        <f t="shared" ca="1" si="30"/>
        <v>166.5</v>
      </c>
      <c r="K34" s="388">
        <f ca="1">$O34</f>
        <v>27</v>
      </c>
      <c r="L34" s="388">
        <f ca="1">$D34</f>
        <v>31</v>
      </c>
      <c r="M34" s="388"/>
      <c r="O34" s="36">
        <f t="shared" ca="1" si="27"/>
        <v>27</v>
      </c>
      <c r="P34" s="311">
        <f t="shared" ca="1" si="31"/>
        <v>33</v>
      </c>
      <c r="Q34" s="311">
        <f t="shared" ca="1" si="35"/>
        <v>5</v>
      </c>
      <c r="R34" s="311">
        <f t="shared" ca="1" si="28"/>
        <v>4</v>
      </c>
      <c r="S34">
        <f t="shared" ca="1" si="36"/>
        <v>9</v>
      </c>
      <c r="T34">
        <f t="shared" ca="1" si="29"/>
        <v>0.64249079887657967</v>
      </c>
      <c r="AJ34" s="263"/>
      <c r="AN34">
        <v>2</v>
      </c>
      <c r="AO34" s="287" t="str">
        <f t="shared" ca="1" si="38"/>
        <v>Sprint 2_1+2</v>
      </c>
      <c r="AP34" s="263">
        <f t="shared" ca="1" si="37"/>
        <v>50.080483222562471</v>
      </c>
      <c r="AQ34" s="263"/>
      <c r="AR34" s="263"/>
      <c r="AS34" s="263">
        <v>1</v>
      </c>
      <c r="AT34" s="263"/>
      <c r="AU34" s="263"/>
      <c r="AV34" s="263"/>
      <c r="AW34" t="str">
        <f t="shared" ca="1" si="39"/>
        <v>Sprint 2_1+2</v>
      </c>
      <c r="AX34">
        <f t="shared" ca="1" si="40"/>
        <v>3.1124748994971831</v>
      </c>
      <c r="AY34">
        <f t="shared" ca="1" si="41"/>
        <v>27.75</v>
      </c>
      <c r="AZ34">
        <f t="shared" ca="1" si="42"/>
        <v>34</v>
      </c>
      <c r="BB34" s="194" t="s">
        <v>95</v>
      </c>
      <c r="BC34">
        <f>BC33+$BC$30</f>
        <v>40</v>
      </c>
    </row>
    <row r="35" spans="1:55">
      <c r="A35" s="238" t="s">
        <v>58</v>
      </c>
      <c r="B35" s="240">
        <f t="shared" ca="1" si="22"/>
        <v>3.1124748994971831</v>
      </c>
      <c r="C35" s="241">
        <f t="shared" ca="1" si="23"/>
        <v>27.75</v>
      </c>
      <c r="D35" s="239">
        <f ca="1">'KPIs IDL'!AA67</f>
        <v>34</v>
      </c>
      <c r="E35" s="241">
        <f t="shared" ca="1" si="43"/>
        <v>21.525050201005634</v>
      </c>
      <c r="F35" s="241">
        <f t="shared" ca="1" si="44"/>
        <v>3.1124748994971831</v>
      </c>
      <c r="G35" s="241">
        <f t="shared" ca="1" si="26"/>
        <v>3.1124748994971831</v>
      </c>
      <c r="H35" s="241">
        <f t="shared" ca="1" si="26"/>
        <v>3.1124748994971831</v>
      </c>
      <c r="I35" s="241">
        <f t="shared" ca="1" si="26"/>
        <v>3.1124748994971831</v>
      </c>
      <c r="J35" s="241">
        <f t="shared" ca="1" si="30"/>
        <v>166.02505020100563</v>
      </c>
      <c r="K35" s="388"/>
      <c r="L35" s="388">
        <f ca="1">$O35</f>
        <v>29</v>
      </c>
      <c r="M35" s="388">
        <f ca="1">$D35</f>
        <v>34</v>
      </c>
      <c r="O35" s="36">
        <f t="shared" ca="1" si="27"/>
        <v>29</v>
      </c>
      <c r="P35" s="311">
        <f t="shared" ca="1" si="31"/>
        <v>34</v>
      </c>
      <c r="Q35" s="311">
        <f t="shared" ca="1" si="35"/>
        <v>6</v>
      </c>
      <c r="R35" s="311">
        <f t="shared" ca="1" si="28"/>
        <v>4</v>
      </c>
      <c r="S35">
        <f t="shared" ca="1" si="36"/>
        <v>6</v>
      </c>
      <c r="T35">
        <f t="shared" ca="1" si="29"/>
        <v>0.77877581727812184</v>
      </c>
      <c r="AJ35" s="263"/>
      <c r="AN35">
        <v>3</v>
      </c>
      <c r="AO35" s="287" t="str">
        <f t="shared" ca="1" si="38"/>
        <v>Sprint 2_3/4</v>
      </c>
      <c r="AP35" s="263">
        <f t="shared" ca="1" si="37"/>
        <v>-12</v>
      </c>
      <c r="AQ35" s="263"/>
      <c r="AR35" s="263"/>
      <c r="AS35" s="263"/>
      <c r="AT35" s="263">
        <v>1</v>
      </c>
      <c r="AU35" s="263"/>
      <c r="AV35" s="263"/>
      <c r="AW35" t="str">
        <f t="shared" ca="1" si="39"/>
        <v>Sprint 2_3/4</v>
      </c>
      <c r="AX35">
        <f t="shared" ca="1" si="40"/>
        <v>2.5</v>
      </c>
      <c r="AY35">
        <f t="shared" ca="1" si="41"/>
        <v>30.5</v>
      </c>
      <c r="AZ35">
        <f t="shared" ca="1" si="42"/>
        <v>20</v>
      </c>
      <c r="BB35" s="194" t="s">
        <v>96</v>
      </c>
      <c r="BC35">
        <f>BC34+$BC$30</f>
        <v>50</v>
      </c>
    </row>
    <row r="36" spans="1:55">
      <c r="A36" s="238" t="s">
        <v>59</v>
      </c>
      <c r="B36" s="240">
        <f t="shared" ca="1" si="22"/>
        <v>2.5</v>
      </c>
      <c r="C36" s="241">
        <f t="shared" ca="1" si="23"/>
        <v>30.5</v>
      </c>
      <c r="D36" s="239">
        <f ca="1">'KPIs IDL'!AA68</f>
        <v>20</v>
      </c>
      <c r="E36" s="241">
        <f t="shared" ca="1" si="43"/>
        <v>25.5</v>
      </c>
      <c r="F36" s="241">
        <f t="shared" ca="1" si="44"/>
        <v>2.5</v>
      </c>
      <c r="G36" s="241">
        <f t="shared" ca="1" si="26"/>
        <v>2.5</v>
      </c>
      <c r="H36" s="241">
        <f t="shared" ca="1" si="26"/>
        <v>2.5</v>
      </c>
      <c r="I36" s="241">
        <f t="shared" ca="1" si="26"/>
        <v>2.5</v>
      </c>
      <c r="J36" s="241">
        <f t="shared" ca="1" si="30"/>
        <v>164.5</v>
      </c>
      <c r="K36" s="388">
        <f ca="1">$D36</f>
        <v>20</v>
      </c>
      <c r="L36" s="388"/>
      <c r="M36" s="388">
        <f ca="1">$O36</f>
        <v>34</v>
      </c>
      <c r="O36" s="36">
        <f t="shared" ca="1" si="27"/>
        <v>34</v>
      </c>
      <c r="P36" s="311">
        <f t="shared" ca="1" si="31"/>
        <v>35</v>
      </c>
      <c r="Q36" s="311">
        <f t="shared" ca="1" si="35"/>
        <v>1</v>
      </c>
      <c r="R36" s="311">
        <f t="shared" ca="1" si="28"/>
        <v>5</v>
      </c>
      <c r="S36">
        <f t="shared" ca="1" si="36"/>
        <v>1</v>
      </c>
      <c r="T36">
        <f t="shared" ca="1" si="29"/>
        <v>0.83085735780897096</v>
      </c>
      <c r="AJ36" s="263"/>
      <c r="AN36">
        <v>4</v>
      </c>
      <c r="AO36" s="287" t="str">
        <f t="shared" ca="1" si="38"/>
        <v>Sprint 2_5/6</v>
      </c>
      <c r="AP36" s="263">
        <f t="shared" ca="1" si="37"/>
        <v>26.186149643017629</v>
      </c>
      <c r="AQ36" s="263"/>
      <c r="AR36" s="263"/>
      <c r="AS36" s="263"/>
      <c r="AT36" s="263"/>
      <c r="AU36" s="263">
        <v>1</v>
      </c>
      <c r="AV36" s="263"/>
      <c r="AW36" t="str">
        <f t="shared" ca="1" si="39"/>
        <v>Sprint 2_5/6</v>
      </c>
      <c r="AX36">
        <f t="shared" ca="1" si="40"/>
        <v>5.2440442408507577</v>
      </c>
      <c r="AY36">
        <f t="shared" ca="1" si="41"/>
        <v>28</v>
      </c>
      <c r="AZ36">
        <f t="shared" ca="1" si="42"/>
        <v>26</v>
      </c>
      <c r="BB36" s="194" t="s">
        <v>97</v>
      </c>
      <c r="BC36">
        <f>BC35+$BC$30</f>
        <v>60</v>
      </c>
    </row>
    <row r="37" spans="1:55">
      <c r="A37" s="238" t="s">
        <v>60</v>
      </c>
      <c r="B37" s="240">
        <f t="shared" ca="1" si="22"/>
        <v>5.2440442408507577</v>
      </c>
      <c r="C37" s="241">
        <f t="shared" ca="1" si="23"/>
        <v>28</v>
      </c>
      <c r="D37" s="239">
        <f ca="1">'KPIs IDL'!AA69</f>
        <v>26</v>
      </c>
      <c r="E37" s="241">
        <f t="shared" ca="1" si="43"/>
        <v>17.511911518298483</v>
      </c>
      <c r="F37" s="241">
        <f t="shared" ca="1" si="44"/>
        <v>5.2440442408507577</v>
      </c>
      <c r="G37" s="241">
        <f t="shared" ca="1" si="26"/>
        <v>5.2440442408507577</v>
      </c>
      <c r="H37" s="241">
        <f t="shared" ca="1" si="26"/>
        <v>5.2440442408507577</v>
      </c>
      <c r="I37" s="241">
        <f t="shared" ca="1" si="26"/>
        <v>5.2440442408507577</v>
      </c>
      <c r="J37" s="241">
        <f t="shared" ref="J37:J40" ca="1" si="45">J$29-SUM(E37:I37)</f>
        <v>161.51191151829849</v>
      </c>
      <c r="K37" s="388">
        <f ca="1">$O37</f>
        <v>20</v>
      </c>
      <c r="L37" s="388">
        <f ca="1">$D37</f>
        <v>26</v>
      </c>
      <c r="M37" s="388"/>
      <c r="O37" s="36">
        <f t="shared" ca="1" si="27"/>
        <v>20</v>
      </c>
      <c r="P37" s="311">
        <f t="shared" ca="1" si="31"/>
        <v>36</v>
      </c>
      <c r="Q37" s="311">
        <f t="shared" ca="1" si="35"/>
        <v>3</v>
      </c>
      <c r="R37" s="311">
        <f t="shared" ca="1" si="28"/>
        <v>2</v>
      </c>
      <c r="S37">
        <f t="shared" ca="1" si="36"/>
        <v>9</v>
      </c>
      <c r="T37">
        <f t="shared" ca="1" si="29"/>
        <v>0.89360015046627961</v>
      </c>
      <c r="AJ37" s="263"/>
      <c r="AN37">
        <v>5</v>
      </c>
      <c r="AO37" s="287" t="str">
        <f t="shared" ca="1" si="38"/>
        <v>Sprint 3_1/2</v>
      </c>
      <c r="AP37" s="263">
        <f t="shared" ca="1" si="37"/>
        <v>26.70382873456392</v>
      </c>
      <c r="AQ37" s="263"/>
      <c r="AR37" s="263"/>
      <c r="AS37" s="263"/>
      <c r="AT37" s="263"/>
      <c r="AU37" s="263"/>
      <c r="AV37" s="263">
        <v>1</v>
      </c>
      <c r="AW37" t="str">
        <f t="shared" ca="1" si="39"/>
        <v>Sprint 3_1/2</v>
      </c>
      <c r="AX37">
        <f t="shared" ca="1" si="40"/>
        <v>5.3091901453988255</v>
      </c>
      <c r="AY37">
        <f t="shared" ca="1" si="41"/>
        <v>27.75</v>
      </c>
      <c r="AZ37">
        <f t="shared" ca="1" si="42"/>
        <v>26</v>
      </c>
    </row>
    <row r="38" spans="1:55">
      <c r="A38" s="238" t="s">
        <v>61</v>
      </c>
      <c r="B38" s="240">
        <f t="shared" ca="1" si="22"/>
        <v>5.3091901453988255</v>
      </c>
      <c r="C38" s="241">
        <f t="shared" ca="1" si="23"/>
        <v>27.75</v>
      </c>
      <c r="D38" s="239">
        <f ca="1">'KPIs IDL'!AA70</f>
        <v>26</v>
      </c>
      <c r="E38" s="241">
        <f t="shared" ca="1" si="43"/>
        <v>17.131619709202347</v>
      </c>
      <c r="F38" s="241">
        <f t="shared" ca="1" si="44"/>
        <v>5.3091901453988255</v>
      </c>
      <c r="G38" s="241">
        <f t="shared" ca="1" si="26"/>
        <v>5.3091901453988255</v>
      </c>
      <c r="H38" s="241">
        <f t="shared" ca="1" si="26"/>
        <v>5.3091901453988255</v>
      </c>
      <c r="I38" s="241">
        <f t="shared" ca="1" si="26"/>
        <v>5.3091901453988255</v>
      </c>
      <c r="J38" s="241">
        <f t="shared" ca="1" si="45"/>
        <v>161.63161970920237</v>
      </c>
      <c r="K38" s="388"/>
      <c r="L38" s="388">
        <f ca="1">$O38</f>
        <v>30</v>
      </c>
      <c r="M38" s="388">
        <f ca="1">$D38</f>
        <v>26</v>
      </c>
      <c r="O38" s="36">
        <f t="shared" ca="1" si="27"/>
        <v>30</v>
      </c>
      <c r="P38" s="311">
        <f t="shared" ca="1" si="31"/>
        <v>37</v>
      </c>
      <c r="Q38" s="311">
        <f t="shared" ca="1" si="35"/>
        <v>3</v>
      </c>
      <c r="R38" s="311">
        <f t="shared" ca="1" si="28"/>
        <v>4</v>
      </c>
      <c r="S38">
        <f t="shared" ca="1" si="36"/>
        <v>9</v>
      </c>
      <c r="T38">
        <f t="shared" ca="1" si="29"/>
        <v>0.90409153389782426</v>
      </c>
      <c r="AJ38" s="263"/>
      <c r="AO38" s="287"/>
      <c r="AP38" s="263"/>
      <c r="AQ38" s="263"/>
      <c r="AR38" s="263"/>
      <c r="AS38" s="263"/>
      <c r="AT38" s="263"/>
      <c r="AU38" s="263"/>
      <c r="AV38" s="263"/>
    </row>
    <row r="39" spans="1:55">
      <c r="A39" s="238" t="s">
        <v>62</v>
      </c>
      <c r="B39" s="240">
        <f t="shared" ca="1" si="22"/>
        <v>4.9749371855330997</v>
      </c>
      <c r="C39" s="241">
        <f t="shared" ca="1" si="23"/>
        <v>26.5</v>
      </c>
      <c r="D39" s="277">
        <f ca="1">ROUND(T38*C64,)</f>
        <v>31</v>
      </c>
      <c r="E39" s="241">
        <f t="shared" ca="1" si="43"/>
        <v>16.550125628933799</v>
      </c>
      <c r="F39" s="241">
        <f t="shared" ca="1" si="44"/>
        <v>4.9749371855330997</v>
      </c>
      <c r="G39" s="241">
        <f t="shared" ca="1" si="26"/>
        <v>4.9749371855330997</v>
      </c>
      <c r="H39" s="241">
        <f t="shared" ca="1" si="26"/>
        <v>4.9749371855330997</v>
      </c>
      <c r="I39" s="241">
        <f t="shared" ca="1" si="26"/>
        <v>4.9749371855330997</v>
      </c>
      <c r="J39" s="241">
        <f t="shared" ca="1" si="45"/>
        <v>163.55012562893381</v>
      </c>
      <c r="K39" s="388">
        <f ca="1">$D39</f>
        <v>31</v>
      </c>
      <c r="L39" s="388"/>
      <c r="M39" s="388">
        <f ca="1">$O39</f>
        <v>29</v>
      </c>
      <c r="O39" s="36">
        <f t="shared" ca="1" si="27"/>
        <v>29</v>
      </c>
      <c r="P39" s="311">
        <f t="shared" ca="1" si="31"/>
        <v>38</v>
      </c>
      <c r="Q39" s="311">
        <f t="shared" ca="1" si="35"/>
        <v>4</v>
      </c>
      <c r="R39" s="311">
        <f t="shared" ca="1" si="28"/>
        <v>4</v>
      </c>
      <c r="S39">
        <f t="shared" ca="1" si="36"/>
        <v>10</v>
      </c>
      <c r="T39">
        <f t="shared" ca="1" si="29"/>
        <v>0.90639348549318277</v>
      </c>
      <c r="AJ39" s="263"/>
      <c r="AO39" s="287"/>
      <c r="AP39" s="263"/>
      <c r="AQ39" s="263"/>
      <c r="AR39" s="263"/>
      <c r="AS39" s="263"/>
      <c r="AT39" s="263"/>
      <c r="AU39" s="263"/>
      <c r="AV39" s="263"/>
    </row>
    <row r="40" spans="1:55">
      <c r="A40" s="238" t="s">
        <v>63</v>
      </c>
      <c r="B40" s="240">
        <f t="shared" ca="1" si="22"/>
        <v>3.897114317029974</v>
      </c>
      <c r="C40" s="241">
        <f t="shared" ca="1" si="23"/>
        <v>25.75</v>
      </c>
      <c r="D40" s="277">
        <f ca="1">ROUND(T39*C65,)</f>
        <v>42</v>
      </c>
      <c r="E40" s="241">
        <f t="shared" ca="1" si="43"/>
        <v>17.955771365940052</v>
      </c>
      <c r="F40" s="241">
        <f t="shared" ca="1" si="44"/>
        <v>3.897114317029974</v>
      </c>
      <c r="G40" s="241">
        <f t="shared" ca="1" si="26"/>
        <v>3.897114317029974</v>
      </c>
      <c r="H40" s="241">
        <f t="shared" ca="1" si="26"/>
        <v>3.897114317029974</v>
      </c>
      <c r="I40" s="241">
        <f t="shared" ca="1" si="26"/>
        <v>3.897114317029974</v>
      </c>
      <c r="J40" s="241">
        <f t="shared" ca="1" si="45"/>
        <v>166.45577136594005</v>
      </c>
      <c r="K40" s="388">
        <f ca="1">$O40</f>
        <v>28</v>
      </c>
      <c r="L40" s="388">
        <f ca="1">$D40</f>
        <v>42</v>
      </c>
      <c r="M40" s="388"/>
      <c r="O40" s="36">
        <f t="shared" ca="1" si="27"/>
        <v>28</v>
      </c>
      <c r="P40" s="311">
        <f t="shared" ca="1" si="31"/>
        <v>39</v>
      </c>
      <c r="Q40" s="311">
        <f t="shared" ca="1" si="35"/>
        <v>6</v>
      </c>
      <c r="R40" s="311">
        <f t="shared" ca="1" si="28"/>
        <v>4</v>
      </c>
      <c r="S40">
        <f t="shared" ca="1" si="36"/>
        <v>6</v>
      </c>
      <c r="T40">
        <f t="shared" ca="1" si="29"/>
        <v>0.90838848332348876</v>
      </c>
      <c r="AJ40" s="263"/>
      <c r="AO40" s="287"/>
      <c r="AP40" s="263"/>
      <c r="AQ40" s="263"/>
      <c r="AR40" s="263"/>
      <c r="AS40" s="263"/>
      <c r="AT40" s="263"/>
      <c r="AU40" s="263"/>
      <c r="AV40" s="263"/>
    </row>
    <row r="41" spans="1:55">
      <c r="A41" s="238"/>
      <c r="B41" s="240"/>
      <c r="C41" s="241"/>
      <c r="D41" s="277"/>
      <c r="E41" s="241"/>
      <c r="F41" s="241"/>
      <c r="G41" s="241"/>
      <c r="H41" s="241"/>
      <c r="I41" s="241"/>
      <c r="J41" s="241"/>
      <c r="K41" s="388"/>
      <c r="L41" s="388">
        <f>$N41</f>
        <v>0</v>
      </c>
      <c r="M41" s="388">
        <f>$D41</f>
        <v>0</v>
      </c>
      <c r="N41" s="36"/>
      <c r="O41" s="382"/>
      <c r="P41" s="311"/>
      <c r="Q41" s="311"/>
      <c r="AJ41" s="263"/>
      <c r="AO41" s="287"/>
      <c r="AP41" s="263"/>
      <c r="AQ41" s="263"/>
      <c r="AR41" s="263"/>
      <c r="AS41" s="263"/>
      <c r="AT41" s="263"/>
      <c r="AU41" s="263"/>
      <c r="AV41" s="263"/>
    </row>
    <row r="42" spans="1:55">
      <c r="A42" s="238"/>
      <c r="B42" s="240"/>
      <c r="C42" s="241"/>
      <c r="D42" s="277"/>
      <c r="E42" s="241"/>
      <c r="F42" s="241"/>
      <c r="G42" s="241"/>
      <c r="H42" s="241"/>
      <c r="I42" s="241"/>
      <c r="J42" s="241"/>
      <c r="K42" s="388">
        <f>$D42</f>
        <v>0</v>
      </c>
      <c r="L42" s="388"/>
      <c r="M42" s="388">
        <f>$N42</f>
        <v>0</v>
      </c>
      <c r="N42" s="36"/>
      <c r="O42" s="382"/>
      <c r="P42" s="311"/>
      <c r="Q42" s="311"/>
      <c r="AJ42" s="263"/>
      <c r="AO42" s="254" t="s">
        <v>98</v>
      </c>
      <c r="AP42" s="287" t="s">
        <v>99</v>
      </c>
      <c r="AQ42" s="263"/>
      <c r="AR42" s="263"/>
      <c r="AS42" s="263"/>
      <c r="AT42" s="263"/>
      <c r="AU42" s="263"/>
      <c r="AV42" s="263"/>
    </row>
    <row r="43" spans="1:55">
      <c r="A43" s="238"/>
      <c r="B43" s="240"/>
      <c r="C43" s="241"/>
      <c r="D43" s="277"/>
      <c r="E43" s="241"/>
      <c r="F43" s="241"/>
      <c r="G43" s="241"/>
      <c r="H43" s="241"/>
      <c r="I43" s="241"/>
      <c r="J43" s="241"/>
      <c r="K43" s="388">
        <f>$N43</f>
        <v>0</v>
      </c>
      <c r="L43" s="388">
        <f>$D43</f>
        <v>0</v>
      </c>
      <c r="M43" s="388"/>
      <c r="N43" s="36"/>
      <c r="O43" s="382"/>
      <c r="P43" s="311"/>
      <c r="Q43" s="311"/>
      <c r="AJ43" s="263"/>
      <c r="AP43" s="389" t="s">
        <v>100</v>
      </c>
      <c r="AQ43" s="389" t="s">
        <v>101</v>
      </c>
      <c r="AR43" s="389" t="s">
        <v>102</v>
      </c>
      <c r="AS43" s="263"/>
      <c r="AT43" s="263"/>
      <c r="AU43" s="263"/>
      <c r="AV43" s="263"/>
    </row>
    <row r="44" spans="1:55">
      <c r="A44" s="238"/>
      <c r="B44" s="240"/>
      <c r="C44" s="241"/>
      <c r="D44" s="277"/>
      <c r="E44" s="241"/>
      <c r="F44" s="241"/>
      <c r="G44" s="241"/>
      <c r="H44" s="241"/>
      <c r="I44" s="241"/>
      <c r="J44" s="241"/>
      <c r="K44" s="388"/>
      <c r="L44" s="388">
        <f>$N44</f>
        <v>0</v>
      </c>
      <c r="M44" s="388">
        <f>$D44</f>
        <v>0</v>
      </c>
      <c r="N44" s="36"/>
      <c r="O44" s="382"/>
      <c r="P44" s="311"/>
      <c r="Q44" s="311"/>
      <c r="AJ44" s="263"/>
      <c r="AO44" t="str">
        <f t="shared" ref="AO44:AO52" si="46">A32</f>
        <v>Sprint 1_1+2</v>
      </c>
      <c r="AP44">
        <f t="shared" ref="AP44:AP52" ca="1" si="47">-ABS(4-Q32)</f>
        <v>-2</v>
      </c>
      <c r="AQ44">
        <f ca="1">(Q32-R32)</f>
        <v>2</v>
      </c>
      <c r="AR44" s="384">
        <f ca="1">(AP44+AQ44)/7+1</f>
        <v>1</v>
      </c>
      <c r="AS44" s="263"/>
      <c r="AT44" s="263"/>
      <c r="AU44" s="263"/>
      <c r="AV44" s="263"/>
    </row>
    <row r="45" spans="1:55">
      <c r="A45" s="238"/>
      <c r="B45" s="240"/>
      <c r="C45" s="241"/>
      <c r="D45" s="277"/>
      <c r="E45" s="241"/>
      <c r="F45" s="241"/>
      <c r="G45" s="241"/>
      <c r="H45" s="241"/>
      <c r="I45" s="241"/>
      <c r="J45" s="241"/>
      <c r="K45" s="388">
        <f>$D45</f>
        <v>0</v>
      </c>
      <c r="L45" s="388"/>
      <c r="M45" s="388">
        <f>$N45</f>
        <v>0</v>
      </c>
      <c r="N45" s="36"/>
      <c r="O45" s="382"/>
      <c r="P45" s="311"/>
      <c r="Q45" s="311"/>
      <c r="AJ45" s="263"/>
      <c r="AO45" t="str">
        <f t="shared" si="46"/>
        <v>Sprint 1_3+4</v>
      </c>
      <c r="AP45">
        <f t="shared" ca="1" si="47"/>
        <v>0</v>
      </c>
      <c r="AQ45">
        <f t="shared" ref="AQ45:AQ52" ca="1" si="48">(Q33-R33)</f>
        <v>-1</v>
      </c>
      <c r="AR45" s="384">
        <f t="shared" ref="AR45:AR52" ca="1" si="49">(AP45+AQ45)/7+1</f>
        <v>0.85714285714285721</v>
      </c>
      <c r="AS45" s="263"/>
      <c r="AT45" s="263"/>
      <c r="AU45" s="263"/>
      <c r="AV45" s="263"/>
    </row>
    <row r="46" spans="1:55">
      <c r="AO46" t="str">
        <f t="shared" si="46"/>
        <v>Sprint 1_5+6</v>
      </c>
      <c r="AP46">
        <f t="shared" ca="1" si="47"/>
        <v>-1</v>
      </c>
      <c r="AQ46">
        <f t="shared" ca="1" si="48"/>
        <v>1</v>
      </c>
      <c r="AR46" s="384">
        <f t="shared" ca="1" si="49"/>
        <v>1</v>
      </c>
    </row>
    <row r="47" spans="1:55">
      <c r="AO47" t="str">
        <f t="shared" si="46"/>
        <v>Sprint 2_1+2</v>
      </c>
      <c r="AP47">
        <f t="shared" ca="1" si="47"/>
        <v>-2</v>
      </c>
      <c r="AQ47">
        <f t="shared" ca="1" si="48"/>
        <v>2</v>
      </c>
      <c r="AR47" s="384">
        <f t="shared" ca="1" si="49"/>
        <v>1</v>
      </c>
    </row>
    <row r="48" spans="1:55">
      <c r="AO48" t="str">
        <f t="shared" si="46"/>
        <v>Sprint 2_3/4</v>
      </c>
      <c r="AP48">
        <f t="shared" ca="1" si="47"/>
        <v>-3</v>
      </c>
      <c r="AQ48">
        <f t="shared" ca="1" si="48"/>
        <v>-4</v>
      </c>
      <c r="AR48" s="384">
        <f t="shared" ca="1" si="49"/>
        <v>0</v>
      </c>
    </row>
    <row r="49" spans="1:44">
      <c r="AO49" t="str">
        <f t="shared" si="46"/>
        <v>Sprint 2_5/6</v>
      </c>
      <c r="AP49">
        <f t="shared" ca="1" si="47"/>
        <v>-1</v>
      </c>
      <c r="AQ49">
        <f t="shared" ca="1" si="48"/>
        <v>1</v>
      </c>
      <c r="AR49" s="384">
        <f t="shared" ca="1" si="49"/>
        <v>1</v>
      </c>
    </row>
    <row r="50" spans="1:44">
      <c r="AO50" t="str">
        <f t="shared" si="46"/>
        <v>Sprint 3_1/2</v>
      </c>
      <c r="AP50">
        <f t="shared" ca="1" si="47"/>
        <v>-1</v>
      </c>
      <c r="AQ50">
        <f t="shared" ca="1" si="48"/>
        <v>-1</v>
      </c>
      <c r="AR50" s="384">
        <f t="shared" ca="1" si="49"/>
        <v>0.7142857142857143</v>
      </c>
    </row>
    <row r="51" spans="1:44">
      <c r="AO51" t="str">
        <f t="shared" si="46"/>
        <v>Sprint 3_3/4</v>
      </c>
      <c r="AP51">
        <f t="shared" ca="1" si="47"/>
        <v>0</v>
      </c>
      <c r="AQ51">
        <f t="shared" ca="1" si="48"/>
        <v>0</v>
      </c>
      <c r="AR51" s="384">
        <f t="shared" ca="1" si="49"/>
        <v>1</v>
      </c>
    </row>
    <row r="52" spans="1:44">
      <c r="B52" s="254" t="s">
        <v>64</v>
      </c>
      <c r="C52" t="s">
        <v>65</v>
      </c>
      <c r="AO52" t="str">
        <f t="shared" si="46"/>
        <v>Sprint 3_5/6</v>
      </c>
      <c r="AP52">
        <f t="shared" ca="1" si="47"/>
        <v>-2</v>
      </c>
      <c r="AQ52">
        <f t="shared" ca="1" si="48"/>
        <v>2</v>
      </c>
      <c r="AR52" s="384">
        <f t="shared" ca="1" si="49"/>
        <v>1</v>
      </c>
    </row>
    <row r="53" spans="1:44">
      <c r="A53" t="s">
        <v>66</v>
      </c>
      <c r="B53" s="194" t="s">
        <v>67</v>
      </c>
      <c r="C53" s="194" t="s">
        <v>71</v>
      </c>
      <c r="D53" s="194" t="s">
        <v>70</v>
      </c>
      <c r="E53" s="194" t="s">
        <v>103</v>
      </c>
      <c r="F53" s="194" t="s">
        <v>104</v>
      </c>
      <c r="G53" s="194" t="s">
        <v>73</v>
      </c>
    </row>
    <row r="54" spans="1:44">
      <c r="B54" s="259"/>
      <c r="C54" s="233" t="str">
        <f>'KPIs HIL'!C81</f>
        <v>Payment</v>
      </c>
      <c r="D54" s="91"/>
      <c r="E54" s="36">
        <v>2</v>
      </c>
      <c r="F54" s="36">
        <v>1.5</v>
      </c>
    </row>
    <row r="55" spans="1:44">
      <c r="A55" s="238" t="str">
        <f>A30</f>
        <v>Sprint 4_4+5</v>
      </c>
      <c r="B55" s="240">
        <f t="shared" ref="B55:B65" ca="1" si="50">_xlfn.STDEV.P(C50:C55)</f>
        <v>0</v>
      </c>
      <c r="C55" s="239">
        <f ca="1">'KPIs HIL'!C82</f>
        <v>17</v>
      </c>
      <c r="D55" s="241">
        <f t="shared" ref="D55:D65" ca="1" si="51">AVERAGE(C50:C55)</f>
        <v>17</v>
      </c>
      <c r="E55" s="300">
        <f t="shared" ref="E55:F65" ca="1" si="52">(($D55-$B55)/$D55)^(1/E$54)*$D55</f>
        <v>17</v>
      </c>
      <c r="F55" s="301">
        <f t="shared" ca="1" si="52"/>
        <v>17</v>
      </c>
      <c r="G55" s="241">
        <f t="shared" ref="G55:G59" ca="1" si="53">MEDIAN(C50:C55)</f>
        <v>17</v>
      </c>
      <c r="J55" s="384"/>
      <c r="K55" s="384"/>
    </row>
    <row r="56" spans="1:44">
      <c r="A56" s="238" t="str">
        <f t="shared" ref="A56:A65" si="54">A31</f>
        <v>Sprint 4_6/7+8</v>
      </c>
      <c r="B56" s="240">
        <f t="shared" ca="1" si="50"/>
        <v>6</v>
      </c>
      <c r="C56" s="239">
        <f ca="1">'KPIs HIL'!C83</f>
        <v>29</v>
      </c>
      <c r="D56" s="241">
        <f t="shared" ca="1" si="51"/>
        <v>23</v>
      </c>
      <c r="E56" s="300">
        <f t="shared" ca="1" si="52"/>
        <v>19.773719933285186</v>
      </c>
      <c r="F56" s="301">
        <f t="shared" ca="1" si="52"/>
        <v>18.802195307243785</v>
      </c>
      <c r="G56" s="241">
        <f t="shared" ca="1" si="53"/>
        <v>23</v>
      </c>
      <c r="J56" s="384"/>
      <c r="K56" s="384"/>
    </row>
    <row r="57" spans="1:44">
      <c r="A57" s="238" t="str">
        <f t="shared" si="54"/>
        <v>Sprint 1_1+2</v>
      </c>
      <c r="B57" s="240">
        <f t="shared" ca="1" si="50"/>
        <v>9.3926685357369148</v>
      </c>
      <c r="C57" s="239">
        <f ca="1">'KPIs HIL'!C84</f>
        <v>40</v>
      </c>
      <c r="D57" s="241">
        <f t="shared" ca="1" si="51"/>
        <v>28.666666666666668</v>
      </c>
      <c r="E57" s="300">
        <f t="shared" ca="1" si="52"/>
        <v>23.505771200990612</v>
      </c>
      <c r="F57" s="301">
        <f t="shared" ca="1" si="52"/>
        <v>22.000891226474451</v>
      </c>
      <c r="G57" s="241">
        <f t="shared" ca="1" si="53"/>
        <v>29</v>
      </c>
      <c r="J57" s="384"/>
      <c r="K57" s="384"/>
    </row>
    <row r="58" spans="1:44">
      <c r="A58" s="238" t="str">
        <f t="shared" si="54"/>
        <v>Sprint 1_3+4</v>
      </c>
      <c r="B58" s="240">
        <f t="shared" ca="1" si="50"/>
        <v>8.1355700476364898</v>
      </c>
      <c r="C58" s="239">
        <f ca="1">'KPIs HIL'!C85</f>
        <v>29</v>
      </c>
      <c r="D58" s="241">
        <f t="shared" ca="1" si="51"/>
        <v>28.75</v>
      </c>
      <c r="E58" s="300">
        <f t="shared" ca="1" si="52"/>
        <v>24.344709099318703</v>
      </c>
      <c r="F58" s="301">
        <f t="shared" ca="1" si="52"/>
        <v>23.031744612666248</v>
      </c>
      <c r="G58" s="241">
        <f t="shared" ca="1" si="53"/>
        <v>29</v>
      </c>
      <c r="J58" s="384"/>
      <c r="K58" s="384"/>
    </row>
    <row r="59" spans="1:44">
      <c r="A59" s="238" t="str">
        <f t="shared" si="54"/>
        <v>Sprint 1_5+6</v>
      </c>
      <c r="B59" s="240">
        <f t="shared" ca="1" si="50"/>
        <v>11.808471535300409</v>
      </c>
      <c r="C59" s="239">
        <f ca="1">'KPIs HIL'!C86</f>
        <v>52</v>
      </c>
      <c r="D59" s="241">
        <f t="shared" ca="1" si="51"/>
        <v>33.4</v>
      </c>
      <c r="E59" s="300">
        <f t="shared" ca="1" si="52"/>
        <v>26.854367442205117</v>
      </c>
      <c r="F59" s="301">
        <f t="shared" ca="1" si="52"/>
        <v>24.971104207881286</v>
      </c>
      <c r="G59" s="241">
        <f t="shared" ca="1" si="53"/>
        <v>29</v>
      </c>
      <c r="J59" s="384"/>
      <c r="K59" s="384"/>
    </row>
    <row r="60" spans="1:44">
      <c r="A60" s="238" t="str">
        <f t="shared" si="54"/>
        <v>Sprint 2_1+2</v>
      </c>
      <c r="B60" s="240">
        <f t="shared" ca="1" si="50"/>
        <v>10.816653826391969</v>
      </c>
      <c r="C60" s="239">
        <f ca="1">'KPIs HIL'!C87</f>
        <v>31</v>
      </c>
      <c r="D60" s="241">
        <f t="shared" ca="1" si="51"/>
        <v>33</v>
      </c>
      <c r="E60" s="300">
        <f t="shared" ca="1" si="52"/>
        <v>27.056430358217344</v>
      </c>
      <c r="F60" s="301">
        <f t="shared" ca="1" si="52"/>
        <v>25.323439024045314</v>
      </c>
      <c r="G60" s="241">
        <f ca="1">MEDIAN(C55:C60)</f>
        <v>30</v>
      </c>
      <c r="J60" s="384"/>
      <c r="K60" s="384"/>
    </row>
    <row r="61" spans="1:44">
      <c r="A61" s="238" t="str">
        <f t="shared" si="54"/>
        <v>Sprint 2_3/4</v>
      </c>
      <c r="B61" s="240">
        <f t="shared" ca="1" si="50"/>
        <v>9.8938813864372204</v>
      </c>
      <c r="C61" s="239">
        <f ca="1">'KPIs HIL'!C88</f>
        <v>21</v>
      </c>
      <c r="D61" s="241">
        <f t="shared" ca="1" si="51"/>
        <v>33.666666666666664</v>
      </c>
      <c r="E61" s="300">
        <f t="shared" ca="1" si="52"/>
        <v>28.290465492241808</v>
      </c>
      <c r="F61" s="301">
        <f t="shared" ca="1" si="52"/>
        <v>26.696444095261818</v>
      </c>
      <c r="G61" s="241">
        <f t="shared" ref="G61:G65" ca="1" si="55">MEDIAN(C56:C61)</f>
        <v>30</v>
      </c>
      <c r="J61" s="384"/>
      <c r="K61" s="384"/>
    </row>
    <row r="62" spans="1:44">
      <c r="A62" s="238" t="str">
        <f t="shared" si="54"/>
        <v>Sprint 2_5/6</v>
      </c>
      <c r="B62" s="240">
        <f t="shared" ca="1" si="50"/>
        <v>10.311805532172013</v>
      </c>
      <c r="C62" s="239">
        <f ca="1">'KPIs HIL'!C89</f>
        <v>25</v>
      </c>
      <c r="D62" s="241">
        <f t="shared" ca="1" si="51"/>
        <v>33</v>
      </c>
      <c r="E62" s="300">
        <f t="shared" ca="1" si="52"/>
        <v>27.362573297084534</v>
      </c>
      <c r="F62" s="301">
        <f t="shared" ca="1" si="52"/>
        <v>25.706203265173933</v>
      </c>
      <c r="G62" s="241">
        <f t="shared" ca="1" si="55"/>
        <v>30</v>
      </c>
      <c r="J62" s="384"/>
      <c r="K62" s="384"/>
    </row>
    <row r="63" spans="1:44">
      <c r="A63" s="238" t="str">
        <f t="shared" si="54"/>
        <v>Sprint 3_1/2</v>
      </c>
      <c r="B63" s="240">
        <f t="shared" ca="1" si="50"/>
        <v>9.9163165204290102</v>
      </c>
      <c r="C63" s="239">
        <f ca="1">'KPIs HIL'!C90</f>
        <v>28</v>
      </c>
      <c r="D63" s="241">
        <f t="shared" ca="1" si="51"/>
        <v>31</v>
      </c>
      <c r="E63" s="300">
        <f t="shared" ca="1" si="52"/>
        <v>25.565488218821493</v>
      </c>
      <c r="F63" s="301">
        <f t="shared" ca="1" si="52"/>
        <v>23.974610291406336</v>
      </c>
      <c r="G63" s="241">
        <f t="shared" ca="1" si="55"/>
        <v>28.5</v>
      </c>
      <c r="J63" s="384"/>
      <c r="K63" s="384"/>
    </row>
    <row r="64" spans="1:44">
      <c r="A64" s="238" t="str">
        <f t="shared" si="54"/>
        <v>Sprint 3_3/4</v>
      </c>
      <c r="B64" s="240">
        <f t="shared" ca="1" si="50"/>
        <v>9.9233170977361311</v>
      </c>
      <c r="C64" s="277">
        <f ca="1">'Diagramme PAY@MCO (FTE)'!F64</f>
        <v>34</v>
      </c>
      <c r="D64" s="241">
        <f t="shared" ca="1" si="51"/>
        <v>31.833333333333332</v>
      </c>
      <c r="E64" s="300">
        <f t="shared" ca="1" si="52"/>
        <v>26.409635555351969</v>
      </c>
      <c r="F64" s="301">
        <f t="shared" ca="1" si="52"/>
        <v>24.815470008332859</v>
      </c>
      <c r="G64" s="241">
        <f t="shared" ca="1" si="55"/>
        <v>29.5</v>
      </c>
      <c r="J64" s="384"/>
      <c r="K64" s="384"/>
    </row>
    <row r="65" spans="1:11">
      <c r="A65" s="238" t="str">
        <f t="shared" si="54"/>
        <v>Sprint 3_5/6</v>
      </c>
      <c r="B65" s="240">
        <f t="shared" ca="1" si="50"/>
        <v>7.9459982940401446</v>
      </c>
      <c r="C65" s="277">
        <f ca="1">'Diagramme PAY@MCO (FTE)'!F65</f>
        <v>46</v>
      </c>
      <c r="D65" s="241">
        <f t="shared" ca="1" si="51"/>
        <v>30.833333333333332</v>
      </c>
      <c r="E65" s="300">
        <f t="shared" ca="1" si="52"/>
        <v>26.564879641703754</v>
      </c>
      <c r="F65" s="301">
        <f t="shared" ca="1" si="52"/>
        <v>25.277666368056181</v>
      </c>
      <c r="G65" s="241">
        <f t="shared" ca="1" si="55"/>
        <v>29.5</v>
      </c>
      <c r="J65" s="384"/>
      <c r="K65" s="384"/>
    </row>
    <row r="66" spans="1:11">
      <c r="A66" s="238"/>
      <c r="B66" s="240"/>
      <c r="C66" s="277"/>
      <c r="D66" s="241"/>
      <c r="E66" s="260"/>
      <c r="F66" s="262"/>
      <c r="G66" s="241"/>
    </row>
    <row r="67" spans="1:11">
      <c r="A67" s="238"/>
      <c r="B67" s="240"/>
      <c r="C67" s="277"/>
      <c r="D67" s="241"/>
      <c r="E67" s="260"/>
      <c r="F67" s="262"/>
      <c r="G67" s="241"/>
    </row>
    <row r="68" spans="1:11">
      <c r="A68" s="238"/>
      <c r="B68" s="240"/>
      <c r="C68" s="277"/>
      <c r="D68" s="241"/>
      <c r="E68" s="260"/>
      <c r="F68" s="262"/>
      <c r="G68" s="241"/>
    </row>
    <row r="69" spans="1:11">
      <c r="A69" s="238"/>
      <c r="B69" s="240"/>
      <c r="C69" s="277"/>
      <c r="D69" s="241"/>
      <c r="E69" s="260"/>
      <c r="F69" s="262"/>
      <c r="G69" s="241"/>
    </row>
    <row r="70" spans="1:11">
      <c r="A70" s="238"/>
      <c r="B70" s="240"/>
      <c r="C70" s="277"/>
      <c r="D70" s="241"/>
      <c r="E70" s="260"/>
      <c r="F70" s="262"/>
      <c r="G70" s="241"/>
    </row>
  </sheetData>
  <phoneticPr fontId="12" type="noConversion"/>
  <conditionalFormatting sqref="AR44:AR52">
    <cfRule type="colorScale" priority="1">
      <colorScale>
        <cfvo type="num" val="0"/>
        <cfvo type="num" val="3.5"/>
        <cfvo type="num" val="7"/>
        <color rgb="FFFF0000"/>
        <color rgb="FFFFFF00"/>
        <color rgb="FF00B050"/>
      </colorScale>
    </cfRule>
  </conditionalFormatting>
  <pageMargins left="0.7" right="0.7" top="0.78740157499999996" bottom="0.78740157499999996" header="0.3" footer="0.3"/>
  <pageSetup paperSize="9" orientation="portrait" r:id="rId1"/>
  <ignoredErrors>
    <ignoredError sqref="B5:G15" formula="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156F5-BFA6-4D43-958B-1840B0ECF667}">
  <sheetPr codeName="Tabelle2">
    <outlinePr summaryBelow="0" summaryRight="0"/>
    <pageSetUpPr fitToPage="1"/>
  </sheetPr>
  <dimension ref="A1:AM155"/>
  <sheetViews>
    <sheetView topLeftCell="E1" zoomScale="90" zoomScaleNormal="90" workbookViewId="0">
      <selection activeCell="Y24" sqref="Y24"/>
    </sheetView>
  </sheetViews>
  <sheetFormatPr baseColWidth="10" defaultColWidth="8.85546875" defaultRowHeight="13.5" customHeight="1"/>
  <cols>
    <col min="1" max="1" width="13.42578125" style="27" bestFit="1" customWidth="1"/>
    <col min="2" max="2" width="47" style="27" customWidth="1"/>
    <col min="3" max="8" width="15.42578125" style="28" customWidth="1"/>
    <col min="9" max="11" width="15.42578125" style="29" customWidth="1"/>
    <col min="12" max="12" width="15.42578125" style="30" customWidth="1"/>
    <col min="13" max="13" width="15.42578125" style="28" customWidth="1"/>
    <col min="14" max="17" width="15.42578125" style="1" customWidth="1"/>
    <col min="18" max="28" width="10.42578125" style="1" customWidth="1"/>
    <col min="29" max="34" width="8.42578125" style="1" customWidth="1"/>
    <col min="35" max="35" width="3.42578125" style="1" customWidth="1"/>
    <col min="36" max="36" width="8.42578125" style="1" customWidth="1"/>
    <col min="37" max="16384" width="8.85546875" style="1"/>
  </cols>
  <sheetData>
    <row r="1" spans="2:26" ht="13.5" customHeight="1">
      <c r="C1" s="417" t="s">
        <v>3665</v>
      </c>
      <c r="D1" s="417"/>
      <c r="E1" s="417"/>
      <c r="F1" s="417"/>
      <c r="G1" s="417"/>
      <c r="H1" s="417"/>
      <c r="I1" s="417"/>
      <c r="J1" s="417"/>
      <c r="K1" s="2"/>
      <c r="L1" s="2"/>
      <c r="M1" s="2"/>
    </row>
    <row r="2" spans="2:26" ht="13.5" customHeight="1">
      <c r="C2" s="1"/>
      <c r="D2" s="1"/>
      <c r="E2" s="2"/>
      <c r="F2" s="2"/>
      <c r="G2" s="2"/>
      <c r="H2" s="2"/>
      <c r="I2" s="2"/>
      <c r="J2" s="1"/>
      <c r="K2" s="2"/>
      <c r="L2" s="2"/>
      <c r="M2" s="1"/>
    </row>
    <row r="3" spans="2:26" ht="13.5" customHeight="1" thickBot="1">
      <c r="C3" s="3" t="s">
        <v>162</v>
      </c>
      <c r="D3" s="18"/>
      <c r="E3" s="19"/>
      <c r="F3" s="19"/>
      <c r="G3" s="19"/>
      <c r="H3" s="19"/>
      <c r="I3" s="19"/>
      <c r="J3" s="19"/>
      <c r="K3" s="4"/>
      <c r="L3" s="4"/>
      <c r="M3" s="2"/>
    </row>
    <row r="4" spans="2:26" ht="13.5" customHeight="1">
      <c r="C4" s="10"/>
      <c r="D4" s="10"/>
      <c r="E4" s="442" t="s">
        <v>165</v>
      </c>
      <c r="F4" s="442"/>
      <c r="G4" s="442"/>
      <c r="H4" s="442"/>
      <c r="I4" s="442"/>
      <c r="J4" s="442"/>
      <c r="K4" s="2"/>
      <c r="L4" s="424" t="s">
        <v>3666</v>
      </c>
      <c r="M4" s="424"/>
      <c r="N4" s="424"/>
      <c r="O4" s="424"/>
      <c r="P4" s="424"/>
      <c r="Q4" s="424"/>
      <c r="Z4" s="292" t="s">
        <v>164</v>
      </c>
    </row>
    <row r="5" spans="2:26" ht="27">
      <c r="B5" s="44" t="s">
        <v>3667</v>
      </c>
      <c r="C5" s="20" t="s">
        <v>167</v>
      </c>
      <c r="D5" s="20" t="s">
        <v>164</v>
      </c>
      <c r="E5" s="21" t="s">
        <v>105</v>
      </c>
      <c r="F5" s="21" t="s">
        <v>106</v>
      </c>
      <c r="G5" s="20" t="s">
        <v>125</v>
      </c>
      <c r="H5" s="20" t="s">
        <v>127</v>
      </c>
      <c r="I5" s="20" t="s">
        <v>126</v>
      </c>
      <c r="J5" s="21" t="s">
        <v>172</v>
      </c>
      <c r="K5" s="2"/>
      <c r="L5" s="21" t="s">
        <v>105</v>
      </c>
      <c r="M5" s="21" t="s">
        <v>106</v>
      </c>
      <c r="N5" s="31" t="s">
        <v>125</v>
      </c>
      <c r="O5" s="31" t="str">
        <f t="shared" ref="O5" si="0">I5</f>
        <v>Removed</v>
      </c>
      <c r="P5" s="31" t="s">
        <v>127</v>
      </c>
      <c r="Q5" s="39" t="s">
        <v>173</v>
      </c>
      <c r="Z5" s="293" t="str">
        <f>G5</f>
        <v>Completed</v>
      </c>
    </row>
    <row r="6" spans="2:26" ht="13.5" customHeight="1">
      <c r="C6" s="6" t="s">
        <v>35</v>
      </c>
      <c r="D6" s="6">
        <f>COUNTIFS(Tabelle132[Team],$C6)</f>
        <v>24</v>
      </c>
      <c r="E6" s="6">
        <f>SUMIFS(Tabelle132[Jira Story Points],Tabelle132[Pulled after Start],"",Tabelle132[Team],$C6)</f>
        <v>79</v>
      </c>
      <c r="F6" s="6">
        <f>SUMIFS(Tabelle132[Jira Story Points],Tabelle132[Pulled after Start],"yes",Tabelle132[Team],$C6)</f>
        <v>6</v>
      </c>
      <c r="G6" s="7">
        <f>SUMIFS(Tabelle132[Jira Story Points],Tabelle132[Status],$G$5,Tabelle132[Team],$C6)</f>
        <v>70</v>
      </c>
      <c r="H6" s="6">
        <f>SUMIFS(Tabelle132[Jira Story Points],Tabelle132[Status],$H$5,Tabelle132[Team],$C6)</f>
        <v>13</v>
      </c>
      <c r="I6" s="6">
        <f>SUMIFS(Tabelle132[Jira Story Points],Tabelle132[Status],$I$5,Tabelle132[Team],$C6)</f>
        <v>2</v>
      </c>
      <c r="J6" s="6">
        <f>SUMIFS(Tabelle132[Jira Story Points],Tabelle132[Team],$C6)</f>
        <v>85</v>
      </c>
      <c r="K6" s="85">
        <f>G6/E6</f>
        <v>0.88607594936708856</v>
      </c>
      <c r="L6" s="6">
        <f>SUMIFS(Tabelle132[SP Initially Planned (COS)],Tabelle132[Pulled after Start],"",Tabelle132[Team],$C6)</f>
        <v>79</v>
      </c>
      <c r="M6" s="6">
        <f>SUMIFS(Tabelle132[SP Pulled after Start (COS)],Tabelle132[Team],$C6)</f>
        <v>6</v>
      </c>
      <c r="N6" s="25">
        <f>SUMIFS(Tabelle132[SP Completed (COS &amp; SOS)],Tabelle132[Team],$C6)</f>
        <v>70</v>
      </c>
      <c r="O6" s="25">
        <f>SUMIFS(Tabelle132[SP Removed (COS &amp; SOS)],Tabelle132[Team],$C6)</f>
        <v>2</v>
      </c>
      <c r="P6" s="41">
        <f>SUMIFS(Tabelle132[SP Not Completed (COS &amp; SOS)],Tabelle132[Team],$C6)</f>
        <v>13</v>
      </c>
      <c r="Q6" s="40">
        <f t="shared" ref="Q6:Q15" si="1">IFERROR(N6/$L6," ")</f>
        <v>0.88607594936708856</v>
      </c>
      <c r="T6" s="43"/>
      <c r="Z6" s="294">
        <f>COUNTIFS(Tabelle132[Team],$C6,Tabelle132[Status],$Z$5)</f>
        <v>18</v>
      </c>
    </row>
    <row r="7" spans="2:26" ht="13.5" customHeight="1">
      <c r="C7" s="6" t="s">
        <v>12</v>
      </c>
      <c r="D7" s="6">
        <f>COUNTIFS(Tabelle132[Team],$C7)</f>
        <v>9</v>
      </c>
      <c r="E7" s="6">
        <f>SUMIFS(Tabelle132[Jira Story Points],Tabelle132[Pulled after Start],"",Tabelle132[Team],$C7)</f>
        <v>21</v>
      </c>
      <c r="F7" s="6">
        <f>SUMIFS(Tabelle132[Jira Story Points],Tabelle132[Pulled after Start],"yes",Tabelle132[Team],$C7)</f>
        <v>1</v>
      </c>
      <c r="G7" s="7">
        <f>SUMIFS(Tabelle132[Jira Story Points],Tabelle132[Status],$G$5,Tabelle132[Team],$C7)</f>
        <v>5</v>
      </c>
      <c r="H7" s="6">
        <f>SUMIFS(Tabelle132[Jira Story Points],Tabelle132[Status],$H$5,Tabelle132[Team],$C7)</f>
        <v>14</v>
      </c>
      <c r="I7" s="6">
        <f>SUMIFS(Tabelle132[Jira Story Points],Tabelle132[Status],$I$5,Tabelle132[Team],$C7)</f>
        <v>3</v>
      </c>
      <c r="J7" s="6">
        <f>SUMIFS(Tabelle132[Jira Story Points],Tabelle132[Team],$C7)</f>
        <v>22</v>
      </c>
      <c r="K7" s="85">
        <f t="shared" ref="K7:K16" si="2">G7/E7</f>
        <v>0.23809523809523808</v>
      </c>
      <c r="L7" s="6">
        <f>SUMIFS(Tabelle132[SP Initially Planned (COS)],Tabelle132[Pulled after Start],"",Tabelle132[Team],$C7)</f>
        <v>13</v>
      </c>
      <c r="M7" s="6">
        <f>SUMIFS(Tabelle132[SP Pulled after Start (COS)],Tabelle132[Team],$C7)</f>
        <v>1</v>
      </c>
      <c r="N7" s="25">
        <f>SUMIFS(Tabelle132[SP Completed (COS &amp; SOS)],Tabelle132[Team],$C7)</f>
        <v>7</v>
      </c>
      <c r="O7" s="25">
        <f>SUMIFS(Tabelle132[SP Removed (COS &amp; SOS)],Tabelle132[Team],$C7)</f>
        <v>3</v>
      </c>
      <c r="P7" s="41">
        <f>SUMIFS(Tabelle132[SP Not Completed (COS &amp; SOS)],Tabelle132[Team],$C7)</f>
        <v>4</v>
      </c>
      <c r="Q7" s="40">
        <f t="shared" si="1"/>
        <v>0.53846153846153844</v>
      </c>
      <c r="T7" s="43"/>
      <c r="Z7" s="294">
        <f>COUNTIFS(Tabelle132[Team],$C7,Tabelle132[Status],$Z$5)</f>
        <v>4</v>
      </c>
    </row>
    <row r="8" spans="2:26" ht="13.5" customHeight="1">
      <c r="C8" s="6" t="s">
        <v>27</v>
      </c>
      <c r="D8" s="6">
        <f>COUNTIFS(Tabelle132[Team],$C8)</f>
        <v>9</v>
      </c>
      <c r="E8" s="6">
        <f>SUMIFS(Tabelle132[Jira Story Points],Tabelle132[Pulled after Start],"",Tabelle132[Team],$C8)</f>
        <v>56</v>
      </c>
      <c r="F8" s="6">
        <f>SUMIFS(Tabelle132[Jira Story Points],Tabelle132[Pulled after Start],"yes",Tabelle132[Team],$C8)</f>
        <v>5</v>
      </c>
      <c r="G8" s="7">
        <f>SUMIFS(Tabelle132[Jira Story Points],Tabelle132[Status],$G$5,Tabelle132[Team],$C8)</f>
        <v>23</v>
      </c>
      <c r="H8" s="6">
        <f>SUMIFS(Tabelle132[Jira Story Points],Tabelle132[Status],$H$5,Tabelle132[Team],$C8)</f>
        <v>38</v>
      </c>
      <c r="I8" s="6">
        <f>SUMIFS(Tabelle132[Jira Story Points],Tabelle132[Status],$I$5,Tabelle132[Team],$C8)</f>
        <v>0</v>
      </c>
      <c r="J8" s="6">
        <f>SUMIFS(Tabelle132[Jira Story Points],Tabelle132[Team],$C8)</f>
        <v>61</v>
      </c>
      <c r="K8" s="85">
        <f t="shared" si="2"/>
        <v>0.4107142857142857</v>
      </c>
      <c r="L8" s="6">
        <f>SUMIFS(Tabelle132[SP Initially Planned (COS)],Tabelle132[Pulled after Start],"",Tabelle132[Team],$C8)</f>
        <v>56</v>
      </c>
      <c r="M8" s="6">
        <f>SUMIFS(Tabelle132[SP Pulled after Start (COS)],Tabelle132[Team],$C8)</f>
        <v>5</v>
      </c>
      <c r="N8" s="25">
        <f>SUMIFS(Tabelle132[SP Completed (COS &amp; SOS)],Tabelle132[Team],$C8)</f>
        <v>23</v>
      </c>
      <c r="O8" s="25">
        <f>SUMIFS(Tabelle132[SP Removed (COS &amp; SOS)],Tabelle132[Team],$C8)</f>
        <v>0</v>
      </c>
      <c r="P8" s="41">
        <f>SUMIFS(Tabelle132[SP Not Completed (COS &amp; SOS)],Tabelle132[Team],$C8)</f>
        <v>38</v>
      </c>
      <c r="Q8" s="40">
        <f t="shared" si="1"/>
        <v>0.4107142857142857</v>
      </c>
      <c r="T8" s="43"/>
      <c r="Z8" s="294">
        <f>COUNTIFS(Tabelle132[Team],$C8,Tabelle132[Status],$Z$5)</f>
        <v>5</v>
      </c>
    </row>
    <row r="9" spans="2:26" ht="13.5" customHeight="1">
      <c r="C9" s="6" t="s">
        <v>5</v>
      </c>
      <c r="D9" s="6">
        <f>COUNTIFS(Tabelle132[Team],$C9)</f>
        <v>12</v>
      </c>
      <c r="E9" s="6">
        <f>SUMIFS(Tabelle132[Jira Story Points],Tabelle132[Pulled after Start],"",Tabelle132[Team],$C9)</f>
        <v>59</v>
      </c>
      <c r="F9" s="6">
        <f>SUMIFS(Tabelle132[Jira Story Points],Tabelle132[Pulled after Start],"yes",Tabelle132[Team],$C9)</f>
        <v>1</v>
      </c>
      <c r="G9" s="7">
        <f>SUMIFS(Tabelle132[Jira Story Points],Tabelle132[Status],$G$5,Tabelle132[Team],$C9)</f>
        <v>33</v>
      </c>
      <c r="H9" s="6">
        <f>SUMIFS(Tabelle132[Jira Story Points],Tabelle132[Status],$H$5,Tabelle132[Team],$C9)</f>
        <v>27</v>
      </c>
      <c r="I9" s="6">
        <f>SUMIFS(Tabelle132[Jira Story Points],Tabelle132[Status],$I$5,Tabelle132[Team],$C9)</f>
        <v>0</v>
      </c>
      <c r="J9" s="6">
        <f>SUMIFS(Tabelle132[Jira Story Points],Tabelle132[Team],$C9)</f>
        <v>60</v>
      </c>
      <c r="K9" s="85">
        <f t="shared" si="2"/>
        <v>0.55932203389830504</v>
      </c>
      <c r="L9" s="6">
        <f>SUMIFS(Tabelle132[SP Initially Planned (COS)],Tabelle132[Pulled after Start],"",Tabelle132[Team],$C9)</f>
        <v>59</v>
      </c>
      <c r="M9" s="6">
        <f>SUMIFS(Tabelle132[SP Pulled after Start (COS)],Tabelle132[Team],$C9)</f>
        <v>1</v>
      </c>
      <c r="N9" s="25">
        <f>SUMIFS(Tabelle132[SP Completed (COS &amp; SOS)],Tabelle132[Team],$C9)</f>
        <v>50</v>
      </c>
      <c r="O9" s="25">
        <f>SUMIFS(Tabelle132[SP Removed (COS &amp; SOS)],Tabelle132[Team],$C9)</f>
        <v>0</v>
      </c>
      <c r="P9" s="41">
        <f>SUMIFS(Tabelle132[SP Not Completed (COS &amp; SOS)],Tabelle132[Team],$C9)</f>
        <v>10</v>
      </c>
      <c r="Q9" s="40">
        <f t="shared" si="1"/>
        <v>0.84745762711864403</v>
      </c>
      <c r="T9" s="43"/>
      <c r="Z9" s="294">
        <f>COUNTIFS(Tabelle132[Team],$C9,Tabelle132[Status],$Z$5)</f>
        <v>7</v>
      </c>
    </row>
    <row r="10" spans="2:26" ht="13.5" customHeight="1">
      <c r="C10" s="6" t="s">
        <v>32</v>
      </c>
      <c r="D10" s="6">
        <f>COUNTIFS(Tabelle132[Team],$C10)</f>
        <v>19</v>
      </c>
      <c r="E10" s="6">
        <f>SUMIFS(Tabelle132[Jira Story Points],Tabelle132[Pulled after Start],"",Tabelle132[Team],$C10)</f>
        <v>56</v>
      </c>
      <c r="F10" s="6">
        <f>SUMIFS(Tabelle132[Jira Story Points],Tabelle132[Pulled after Start],"yes",Tabelle132[Team],$C10)</f>
        <v>6</v>
      </c>
      <c r="G10" s="7">
        <f>SUMIFS(Tabelle132[Jira Story Points],Tabelle132[Status],$G$5,Tabelle132[Team],$C10)</f>
        <v>29</v>
      </c>
      <c r="H10" s="6">
        <f>SUMIFS(Tabelle132[Jira Story Points],Tabelle132[Status],$H$5,Tabelle132[Team],$C10)</f>
        <v>33</v>
      </c>
      <c r="I10" s="6">
        <f>SUMIFS(Tabelle132[Jira Story Points],Tabelle132[Status],$I$5,Tabelle132[Team],$C10)</f>
        <v>0</v>
      </c>
      <c r="J10" s="6">
        <f>SUMIFS(Tabelle132[Jira Story Points],Tabelle132[Team],$C10)</f>
        <v>62</v>
      </c>
      <c r="K10" s="85">
        <f t="shared" si="2"/>
        <v>0.5178571428571429</v>
      </c>
      <c r="L10" s="6">
        <f>SUMIFS(Tabelle132[SP Initially Planned (COS)],Tabelle132[Pulled after Start],"",Tabelle132[Team],$C10)</f>
        <v>56</v>
      </c>
      <c r="M10" s="6">
        <f>SUMIFS(Tabelle132[SP Pulled after Start (COS)],Tabelle132[Team],$C10)</f>
        <v>6</v>
      </c>
      <c r="N10" s="25">
        <f>SUMIFS(Tabelle132[SP Completed (COS &amp; SOS)],Tabelle132[Team],$C10)</f>
        <v>29</v>
      </c>
      <c r="O10" s="25">
        <f>SUMIFS(Tabelle132[SP Removed (COS &amp; SOS)],Tabelle132[Team],$C10)</f>
        <v>0</v>
      </c>
      <c r="P10" s="41">
        <f>SUMIFS(Tabelle132[SP Not Completed (COS &amp; SOS)],Tabelle132[Team],$C10)</f>
        <v>33</v>
      </c>
      <c r="Q10" s="40">
        <f t="shared" si="1"/>
        <v>0.5178571428571429</v>
      </c>
      <c r="T10" s="43"/>
      <c r="Z10" s="294">
        <f>COUNTIFS(Tabelle132[Team],$C10,Tabelle132[Status],$Z$5)</f>
        <v>9</v>
      </c>
    </row>
    <row r="11" spans="2:26" ht="13.5" customHeight="1">
      <c r="C11" s="6" t="s">
        <v>24</v>
      </c>
      <c r="D11" s="6">
        <f>COUNTIFS(Tabelle132[Team],$C11)</f>
        <v>21</v>
      </c>
      <c r="E11" s="6">
        <f>SUMIFS(Tabelle132[Jira Story Points],Tabelle132[Pulled after Start],"",Tabelle132[Team],$C11)</f>
        <v>50</v>
      </c>
      <c r="F11" s="6">
        <f>SUMIFS(Tabelle132[Jira Story Points],Tabelle132[Pulled after Start],"yes",Tabelle132[Team],$C11)</f>
        <v>10</v>
      </c>
      <c r="G11" s="7">
        <f>SUMIFS(Tabelle132[Jira Story Points],Tabelle132[Status],$G$5,Tabelle132[Team],$C11)</f>
        <v>41</v>
      </c>
      <c r="H11" s="6">
        <f>SUMIFS(Tabelle132[Jira Story Points],Tabelle132[Status],$H$5,Tabelle132[Team],$C11)</f>
        <v>19</v>
      </c>
      <c r="I11" s="6">
        <f>SUMIFS(Tabelle132[Jira Story Points],Tabelle132[Status],$I$5,Tabelle132[Team],$C11)</f>
        <v>0</v>
      </c>
      <c r="J11" s="6">
        <f>SUMIFS(Tabelle132[Jira Story Points],Tabelle132[Team],$C11)</f>
        <v>60</v>
      </c>
      <c r="K11" s="85">
        <f t="shared" si="2"/>
        <v>0.82</v>
      </c>
      <c r="L11" s="6">
        <f>SUMIFS(Tabelle132[SP Initially Planned (COS)],Tabelle132[Pulled after Start],"",Tabelle132[Team],$C11)</f>
        <v>50</v>
      </c>
      <c r="M11" s="6">
        <f>SUMIFS(Tabelle132[SP Pulled after Start (COS)],Tabelle132[Team],$C11)</f>
        <v>10</v>
      </c>
      <c r="N11" s="25">
        <f>SUMIFS(Tabelle132[SP Completed (COS &amp; SOS)],Tabelle132[Team],$C11)</f>
        <v>41</v>
      </c>
      <c r="O11" s="25">
        <f>SUMIFS(Tabelle132[SP Removed (COS &amp; SOS)],Tabelle132[Team],$C11)</f>
        <v>0</v>
      </c>
      <c r="P11" s="41">
        <f>SUMIFS(Tabelle132[SP Not Completed (COS &amp; SOS)],Tabelle132[Team],$C11)</f>
        <v>19</v>
      </c>
      <c r="Q11" s="40">
        <f t="shared" si="1"/>
        <v>0.82</v>
      </c>
      <c r="T11" s="43"/>
      <c r="Z11" s="294">
        <f>COUNTIFS(Tabelle132[Team],$C11,Tabelle132[Status],$Z$5)</f>
        <v>16</v>
      </c>
    </row>
    <row r="12" spans="2:26" ht="13.5" customHeight="1">
      <c r="C12" s="6" t="s">
        <v>17</v>
      </c>
      <c r="D12" s="6">
        <f>COUNTIFS(Tabelle132[Team],$C12)</f>
        <v>12</v>
      </c>
      <c r="E12" s="6">
        <f>SUMIFS(Tabelle132[Jira Story Points],Tabelle132[Pulled after Start],"",Tabelle132[Team],$C12)</f>
        <v>40</v>
      </c>
      <c r="F12" s="6">
        <f>SUMIFS(Tabelle132[Jira Story Points],Tabelle132[Pulled after Start],"yes",Tabelle132[Team],$C12)</f>
        <v>7</v>
      </c>
      <c r="G12" s="7">
        <f>SUMIFS(Tabelle132[Jira Story Points],Tabelle132[Status],$G$5,Tabelle132[Team],$C12)</f>
        <v>16</v>
      </c>
      <c r="H12" s="6">
        <f>SUMIFS(Tabelle132[Jira Story Points],Tabelle132[Status],$H$5,Tabelle132[Team],$C12)</f>
        <v>31</v>
      </c>
      <c r="I12" s="6">
        <f>SUMIFS(Tabelle132[Jira Story Points],Tabelle132[Status],$I$5,Tabelle132[Team],$C12)</f>
        <v>0</v>
      </c>
      <c r="J12" s="6">
        <f>SUMIFS(Tabelle132[Jira Story Points],Tabelle132[Team],$C12)</f>
        <v>47</v>
      </c>
      <c r="K12" s="85">
        <f t="shared" si="2"/>
        <v>0.4</v>
      </c>
      <c r="L12" s="6">
        <f>SUMIFS(Tabelle132[SP Initially Planned (COS)],Tabelle132[Pulled after Start],"",Tabelle132[Team],$C12)</f>
        <v>40</v>
      </c>
      <c r="M12" s="6">
        <f>SUMIFS(Tabelle132[SP Pulled after Start (COS)],Tabelle132[Team],$C12)</f>
        <v>7</v>
      </c>
      <c r="N12" s="25">
        <f>SUMIFS(Tabelle132[SP Completed (COS &amp; SOS)],Tabelle132[Team],$C12)</f>
        <v>16</v>
      </c>
      <c r="O12" s="25">
        <f>SUMIFS(Tabelle132[SP Removed (COS &amp; SOS)],Tabelle132[Team],$C12)</f>
        <v>0</v>
      </c>
      <c r="P12" s="41">
        <f>SUMIFS(Tabelle132[SP Not Completed (COS &amp; SOS)],Tabelle132[Team],$C12)</f>
        <v>31</v>
      </c>
      <c r="Q12" s="40">
        <f t="shared" si="1"/>
        <v>0.4</v>
      </c>
      <c r="T12" s="43"/>
      <c r="Z12" s="294">
        <f>COUNTIFS(Tabelle132[Team],$C12,Tabelle132[Status],$Z$5)</f>
        <v>5</v>
      </c>
    </row>
    <row r="13" spans="2:26" ht="13.5" customHeight="1">
      <c r="C13" s="32" t="s">
        <v>107</v>
      </c>
      <c r="D13" s="6">
        <f>COUNTIFS(Tabelle132[Team],$C13)</f>
        <v>10</v>
      </c>
      <c r="E13" s="6">
        <f>SUMIFS(Tabelle132[Jira Story Points],Tabelle132[Pulled after Start],"",Tabelle132[Team],$C13)</f>
        <v>38</v>
      </c>
      <c r="F13" s="6">
        <f>SUMIFS(Tabelle132[Jira Story Points],Tabelle132[Pulled after Start],"yes",Tabelle132[Team],$C13)</f>
        <v>5</v>
      </c>
      <c r="G13" s="7">
        <f>SUMIFS(Tabelle132[Jira Story Points],Tabelle132[Status],$G$5,Tabelle132[Team],$C13)</f>
        <v>17</v>
      </c>
      <c r="H13" s="6">
        <f>SUMIFS(Tabelle132[Jira Story Points],Tabelle132[Status],$H$5,Tabelle132[Team],$C13)</f>
        <v>26</v>
      </c>
      <c r="I13" s="6">
        <f>SUMIFS(Tabelle132[Jira Story Points],Tabelle132[Status],$I$5,Tabelle132[Team],$C13)</f>
        <v>0</v>
      </c>
      <c r="J13" s="6">
        <f>SUMIFS(Tabelle132[Jira Story Points],Tabelle132[Team],$C13)</f>
        <v>43</v>
      </c>
      <c r="K13" s="85">
        <f t="shared" si="2"/>
        <v>0.44736842105263158</v>
      </c>
      <c r="L13" s="6">
        <f>SUMIFS(Tabelle132[SP Initially Planned (COS)],Tabelle132[Pulled after Start],"",Tabelle132[Team],$C13)</f>
        <v>38</v>
      </c>
      <c r="M13" s="6">
        <f>SUMIFS(Tabelle132[SP Pulled after Start (COS)],Tabelle132[Team],$C13)</f>
        <v>5</v>
      </c>
      <c r="N13" s="25">
        <f>SUMIFS(Tabelle132[SP Completed (COS &amp; SOS)],Tabelle132[Team],$C13)</f>
        <v>17</v>
      </c>
      <c r="O13" s="25">
        <f>SUMIFS(Tabelle132[SP Removed (COS &amp; SOS)],Tabelle132[Team],$C13)</f>
        <v>0</v>
      </c>
      <c r="P13" s="41">
        <f>SUMIFS(Tabelle132[SP Not Completed (COS &amp; SOS)],Tabelle132[Team],$C13)</f>
        <v>26</v>
      </c>
      <c r="Q13" s="40">
        <f t="shared" si="1"/>
        <v>0.44736842105263158</v>
      </c>
      <c r="T13" s="43"/>
      <c r="Z13" s="294">
        <f>COUNTIFS(Tabelle132[Team],$C13,Tabelle132[Status],$Z$5)</f>
        <v>5</v>
      </c>
    </row>
    <row r="14" spans="2:26" ht="13.5" customHeight="1">
      <c r="B14" s="37"/>
      <c r="C14" s="8" t="s">
        <v>21</v>
      </c>
      <c r="D14" s="6">
        <f>COUNTIFS(Tabelle132[Team],$C14)</f>
        <v>0</v>
      </c>
      <c r="E14" s="6">
        <f>SUMIFS(Tabelle132[Jira Story Points],Tabelle132[Pulled after Start],"",Tabelle132[Team],$C14)</f>
        <v>0</v>
      </c>
      <c r="F14" s="6">
        <f>SUMIFS(Tabelle132[Jira Story Points],Tabelle132[Pulled after Start],"yes",Tabelle132[Team],$C14)</f>
        <v>0</v>
      </c>
      <c r="G14" s="7">
        <f>SUMIFS(Tabelle132[Jira Story Points],Tabelle132[Status],$G$5,Tabelle132[Team],$C14)</f>
        <v>0</v>
      </c>
      <c r="H14" s="6">
        <f>SUMIFS(Tabelle132[Jira Story Points],Tabelle132[Status],$H$5,Tabelle132[Team],$C14)</f>
        <v>0</v>
      </c>
      <c r="I14" s="6">
        <f>SUMIFS(Tabelle132[Jira Story Points],Tabelle132[Status],$I$5,Tabelle132[Team],$C14)</f>
        <v>0</v>
      </c>
      <c r="J14" s="6">
        <f>SUMIFS(Tabelle132[Jira Story Points],Tabelle132[Team],$C14)</f>
        <v>0</v>
      </c>
      <c r="K14" s="85"/>
      <c r="L14" s="6">
        <f>SUMIFS(Tabelle132[SP Initially Planned (COS)],Tabelle132[Pulled after Start],"",Tabelle132[Team],$C14)</f>
        <v>0</v>
      </c>
      <c r="M14" s="6">
        <f>SUMIFS(Tabelle132[SP Pulled after Start (COS)],Tabelle132[Team],$C14)</f>
        <v>0</v>
      </c>
      <c r="N14" s="25">
        <f>SUMIFS(Tabelle132[SP Completed (COS &amp; SOS)],Tabelle132[Team],$C14)</f>
        <v>0</v>
      </c>
      <c r="O14" s="25">
        <f>SUMIFS(Tabelle132[SP Removed (COS &amp; SOS)],Tabelle132[Team],$C14)</f>
        <v>0</v>
      </c>
      <c r="P14" s="41">
        <f>SUMIFS(Tabelle132[SP Not Completed (COS &amp; SOS)],Tabelle132[Team],$C14)</f>
        <v>0</v>
      </c>
      <c r="Q14" s="40" t="str">
        <f t="shared" si="1"/>
        <v xml:space="preserve"> </v>
      </c>
      <c r="T14" s="43"/>
      <c r="Z14" s="294">
        <f>COUNTIFS(Tabelle132[Team],$C14,Tabelle132[Status],$Z$5)</f>
        <v>0</v>
      </c>
    </row>
    <row r="15" spans="2:26" ht="13.5" customHeight="1" thickBot="1">
      <c r="C15" s="8" t="s">
        <v>9</v>
      </c>
      <c r="D15" s="6">
        <f>COUNTIFS(Tabelle132[Team],$C15)</f>
        <v>8</v>
      </c>
      <c r="E15" s="6">
        <f>SUMIFS(Tabelle132[Jira Story Points],Tabelle132[Pulled after Start],"",Tabelle132[Team],$C15)</f>
        <v>21</v>
      </c>
      <c r="F15" s="6">
        <f>SUMIFS(Tabelle132[Jira Story Points],Tabelle132[Pulled after Start],"yes",Tabelle132[Team],$C15)</f>
        <v>2</v>
      </c>
      <c r="G15" s="7">
        <f>SUMIFS(Tabelle132[Jira Story Points],Tabelle132[Status],$G$5,Tabelle132[Team],$C15)</f>
        <v>13</v>
      </c>
      <c r="H15" s="6">
        <f>SUMIFS(Tabelle132[Jira Story Points],Tabelle132[Status],$H$5,Tabelle132[Team],$C15)</f>
        <v>10</v>
      </c>
      <c r="I15" s="6">
        <f>SUMIFS(Tabelle132[Jira Story Points],Tabelle132[Status],$I$5,Tabelle132[Team],$C15)</f>
        <v>0</v>
      </c>
      <c r="J15" s="6">
        <f>SUMIFS(Tabelle132[Jira Story Points],Tabelle132[Team],$C15)</f>
        <v>23</v>
      </c>
      <c r="K15" s="85">
        <f t="shared" si="2"/>
        <v>0.61904761904761907</v>
      </c>
      <c r="L15" s="6">
        <f>SUMIFS(Tabelle132[SP Initially Planned (COS)],Tabelle132[Pulled after Start],"",Tabelle132[Team],$C15)</f>
        <v>21</v>
      </c>
      <c r="M15" s="6">
        <f>SUMIFS(Tabelle132[SP Pulled after Start (COS)],Tabelle132[Team],$C15)</f>
        <v>2</v>
      </c>
      <c r="N15" s="25">
        <f>SUMIFS(Tabelle132[SP Completed (COS &amp; SOS)],Tabelle132[Team],$C15)</f>
        <v>16</v>
      </c>
      <c r="O15" s="25">
        <f>SUMIFS(Tabelle132[SP Removed (COS &amp; SOS)],Tabelle132[Team],$C15)</f>
        <v>0</v>
      </c>
      <c r="P15" s="41">
        <f>SUMIFS(Tabelle132[SP Not Completed (COS &amp; SOS)],Tabelle132[Team],$C15)</f>
        <v>7</v>
      </c>
      <c r="Q15" s="40">
        <f t="shared" si="1"/>
        <v>0.76190476190476186</v>
      </c>
      <c r="T15" s="43"/>
      <c r="Z15" s="295">
        <f>COUNTIFS(Tabelle132[Team],$C15,Tabelle132[Status],$Z$5)</f>
        <v>5</v>
      </c>
    </row>
    <row r="16" spans="2:26" ht="13.5" customHeight="1">
      <c r="C16" s="22" t="s">
        <v>172</v>
      </c>
      <c r="D16" s="22">
        <f t="shared" ref="D16:J16" si="3">SUM(D6:D13)</f>
        <v>116</v>
      </c>
      <c r="E16" s="23">
        <f t="shared" si="3"/>
        <v>399</v>
      </c>
      <c r="F16" s="23">
        <f t="shared" si="3"/>
        <v>41</v>
      </c>
      <c r="G16" s="22">
        <f t="shared" si="3"/>
        <v>234</v>
      </c>
      <c r="H16" s="22">
        <f t="shared" si="3"/>
        <v>201</v>
      </c>
      <c r="I16" s="22">
        <f t="shared" si="3"/>
        <v>5</v>
      </c>
      <c r="J16" s="23">
        <f t="shared" si="3"/>
        <v>440</v>
      </c>
      <c r="K16" s="85">
        <f t="shared" si="2"/>
        <v>0.5864661654135338</v>
      </c>
      <c r="L16" s="23">
        <f t="shared" ref="L16:M16" si="4">SUM(L6:L13)</f>
        <v>391</v>
      </c>
      <c r="M16" s="21">
        <f t="shared" si="4"/>
        <v>41</v>
      </c>
      <c r="N16" s="22">
        <f>SUM(N6:N13)</f>
        <v>253</v>
      </c>
      <c r="O16" s="31">
        <f>SUM(O6:O13)</f>
        <v>5</v>
      </c>
      <c r="P16" s="22">
        <f>SUM(P6:P13)</f>
        <v>174</v>
      </c>
      <c r="Q16" s="38" t="s">
        <v>185</v>
      </c>
      <c r="T16" s="42"/>
      <c r="U16" s="42"/>
      <c r="V16" s="42"/>
    </row>
    <row r="17" spans="1:39" ht="13.5" customHeight="1">
      <c r="T17" s="5"/>
      <c r="U17" s="5"/>
      <c r="V17" s="5"/>
    </row>
    <row r="18" spans="1:39" ht="13.5" customHeight="1">
      <c r="T18" s="5"/>
      <c r="U18" s="5"/>
      <c r="V18" s="5"/>
    </row>
    <row r="19" spans="1:39" ht="13.5" customHeight="1">
      <c r="T19" s="5"/>
      <c r="U19" s="5"/>
      <c r="V19" s="5"/>
    </row>
    <row r="20" spans="1:39" ht="13.5" customHeight="1">
      <c r="T20" s="5"/>
      <c r="U20" s="5"/>
      <c r="V20" s="5"/>
    </row>
    <row r="21" spans="1:39" ht="13.5" customHeight="1">
      <c r="C21" s="33" t="s">
        <v>186</v>
      </c>
      <c r="D21" s="9"/>
      <c r="E21" s="9"/>
      <c r="F21" s="9"/>
      <c r="G21" s="9"/>
      <c r="H21" s="9"/>
      <c r="I21" s="9"/>
      <c r="J21" s="9"/>
      <c r="K21" s="9"/>
      <c r="L21" s="9"/>
      <c r="M21" s="9"/>
      <c r="N21" s="9"/>
      <c r="O21" s="9"/>
      <c r="T21" s="5"/>
      <c r="U21" s="5"/>
      <c r="V21" s="5"/>
    </row>
    <row r="22" spans="1:39" ht="13.5" customHeight="1">
      <c r="C22" s="10"/>
      <c r="D22" s="425" t="s">
        <v>187</v>
      </c>
      <c r="E22" s="443"/>
      <c r="F22" s="425" t="s">
        <v>106</v>
      </c>
      <c r="G22" s="443"/>
      <c r="H22" s="425" t="s">
        <v>172</v>
      </c>
      <c r="I22" s="444"/>
      <c r="J22" s="426" t="s">
        <v>2134</v>
      </c>
      <c r="K22" s="445"/>
      <c r="L22" s="426" t="s">
        <v>189</v>
      </c>
      <c r="M22" s="445"/>
      <c r="N22" s="416" t="s">
        <v>172</v>
      </c>
      <c r="O22" s="446"/>
    </row>
    <row r="23" spans="1:39" ht="13.5" customHeight="1">
      <c r="C23" s="10"/>
      <c r="D23" s="11" t="s">
        <v>190</v>
      </c>
      <c r="E23" s="12" t="s">
        <v>191</v>
      </c>
      <c r="F23" s="11" t="s">
        <v>190</v>
      </c>
      <c r="G23" s="12" t="s">
        <v>191</v>
      </c>
      <c r="H23" s="12" t="s">
        <v>190</v>
      </c>
      <c r="I23" s="12" t="s">
        <v>191</v>
      </c>
      <c r="J23" s="34" t="s">
        <v>190</v>
      </c>
      <c r="K23" s="13" t="s">
        <v>191</v>
      </c>
      <c r="L23" s="14" t="s">
        <v>190</v>
      </c>
      <c r="M23" s="14" t="s">
        <v>191</v>
      </c>
      <c r="N23" s="13" t="s">
        <v>190</v>
      </c>
      <c r="O23" s="14" t="s">
        <v>191</v>
      </c>
    </row>
    <row r="24" spans="1:39" ht="13.5" customHeight="1">
      <c r="C24" s="15" t="s">
        <v>192</v>
      </c>
      <c r="D24" s="7">
        <f>COUNTIFS(Tabelle132[Team],"*",Tabelle132[Pulled after Start],"&lt;&gt;yes")</f>
        <v>105</v>
      </c>
      <c r="E24" s="7">
        <f>SUMIFS(Tabelle132[Jira Story Points],Tabelle132[Team],"*",Tabelle132[Pulled after Start],"&lt;&gt;yes")+COUNTIFS(Tabelle132[Team],"*",Tabelle132[Jira Story Points],"-",Tabelle132[Pulled after Start],"&lt;&gt;yes")*$M$28</f>
        <v>430</v>
      </c>
      <c r="F24" s="7">
        <f>COUNTIF(Tabelle132[Pulled after Start],"yes")</f>
        <v>19</v>
      </c>
      <c r="G24" s="7">
        <f>SUMIFS(Tabelle132[Jira Story Points],Tabelle132[Team],"*",Tabelle132[Pulled after Start],"yes")+COUNTIFS(Tabelle132[Team],"*",Tabelle132[Jira Story Points],"-",Tabelle132[Pulled after Start],"yes")*$M$28</f>
        <v>47</v>
      </c>
      <c r="H24" s="7">
        <f t="shared" ref="H24:I27" si="5">D24+F24</f>
        <v>124</v>
      </c>
      <c r="I24" s="7">
        <f t="shared" si="5"/>
        <v>477</v>
      </c>
      <c r="J24" s="7">
        <f>COUNTIFS(Tabelle132[Team],"*",Tabelle132[Jira Story Points],"&lt;&gt;-")</f>
        <v>117</v>
      </c>
      <c r="K24" s="16">
        <f>SUMIFS(Tabelle132[Jira Story Points],Tabelle132[Team],"*",Tabelle132[Jira Story Points],"&lt;&gt;-")</f>
        <v>463</v>
      </c>
      <c r="L24" s="8">
        <f>COUNTIFS(Tabelle132[Team],"*",Tabelle132[Jira Story Points],"-")</f>
        <v>7</v>
      </c>
      <c r="M24" s="8">
        <f>L24*$M$28</f>
        <v>14</v>
      </c>
      <c r="N24" s="35">
        <f t="shared" ref="N24:O27" si="6">J24+L24</f>
        <v>124</v>
      </c>
      <c r="O24" s="7">
        <f t="shared" si="6"/>
        <v>477</v>
      </c>
    </row>
    <row r="25" spans="1:39" ht="13.5" customHeight="1">
      <c r="C25" s="15" t="s">
        <v>125</v>
      </c>
      <c r="D25" s="7">
        <f>COUNTIFS(Tabelle132[Team],"*",Tabelle132[Pulled after Start],"&lt;&gt;yes",Tabelle132[Status],G5)</f>
        <v>63</v>
      </c>
      <c r="E25" s="7">
        <f>SUMIFS(Tabelle132[Jira Story Points],Tabelle132[Team],"*",Tabelle132[Pulled after Start],"&lt;&gt;yes",Tabelle132[Status],G5)+COUNTIFS(Tabelle132[Team],"*",Tabelle132[Jira Story Points],"-",Tabelle132[Pulled after Start],"&lt;&gt;yes",Tabelle132[Status],G5)*$M$28</f>
        <v>232</v>
      </c>
      <c r="F25" s="7">
        <f>COUNTIFS(Tabelle132[Pulled after Start],"yes",Tabelle132[Status],G5)</f>
        <v>11</v>
      </c>
      <c r="G25" s="7">
        <f>SUMIFS(Tabelle132[Jira Story Points],Tabelle132[Team],"*",Tabelle132[Pulled after Start],"yes",Tabelle132[Status],G5)+COUNTIFS(Tabelle132[Team],"*",Tabelle132[Jira Story Points],"-",Tabelle132[Pulled after Start],"yes",Tabelle132[Status],G5)*$M$28</f>
        <v>27</v>
      </c>
      <c r="H25" s="7">
        <f t="shared" si="5"/>
        <v>74</v>
      </c>
      <c r="I25" s="7">
        <f t="shared" si="5"/>
        <v>259</v>
      </c>
      <c r="J25" s="7">
        <f>COUNTIFS(Tabelle132[Team],"*",Tabelle132[Jira Story Points],"&lt;&gt;-",Tabelle132[Status],G5)</f>
        <v>68</v>
      </c>
      <c r="K25" s="7">
        <f>SUMIFS(Tabelle132[Jira Story Points],Tabelle132[Team],"*",Tabelle132[Jira Story Points],"&lt;&gt;-",Tabelle132[Status],G5)</f>
        <v>247</v>
      </c>
      <c r="L25" s="17">
        <f>COUNTIFS(Tabelle132[Team],"*",Tabelle132[Jira Story Points],"-",Tabelle132[Status],G5)</f>
        <v>6</v>
      </c>
      <c r="M25" s="8">
        <f>L25*$M$28</f>
        <v>12</v>
      </c>
      <c r="N25" s="7">
        <f t="shared" si="6"/>
        <v>74</v>
      </c>
      <c r="O25" s="7">
        <f t="shared" si="6"/>
        <v>259</v>
      </c>
    </row>
    <row r="26" spans="1:39" ht="13.5" customHeight="1">
      <c r="C26" s="15" t="s">
        <v>127</v>
      </c>
      <c r="D26" s="7">
        <f>COUNTIFS(Tabelle132[Team],"*",Tabelle132[Pulled after Start],"&lt;&gt;yes",Tabelle132[Status],H5)</f>
        <v>40</v>
      </c>
      <c r="E26" s="7">
        <f>SUMIFS(Tabelle132[Jira Story Points],Tabelle132[Team],"*",Tabelle132[Pulled after Start],"&lt;&gt;yes",Tabelle132[Status],H5)+COUNTIFS(Tabelle132[Team],"*",Tabelle132[Jira Story Points],"-",Tabelle132[Pulled after Start],"&lt;&gt;yes",Tabelle132[Status],H5)*$M$28</f>
        <v>193</v>
      </c>
      <c r="F26" s="7">
        <f>COUNTIFS(Tabelle132[Pulled after Start],"yes",Tabelle132[Status],H5)</f>
        <v>8</v>
      </c>
      <c r="G26" s="7">
        <f>SUMIFS(Tabelle132[Jira Story Points],Tabelle132[Team],"*",Tabelle132[Pulled after Start],"yes",Tabelle132[Status],H5)+COUNTIFS(Tabelle132[Team],"*",Tabelle132[Jira Story Points],"-",Tabelle132[Pulled after Start],"yes",Tabelle132[Status],H5)*$M$28</f>
        <v>20</v>
      </c>
      <c r="H26" s="7">
        <f t="shared" si="5"/>
        <v>48</v>
      </c>
      <c r="I26" s="7">
        <f t="shared" si="5"/>
        <v>213</v>
      </c>
      <c r="J26" s="7">
        <f>COUNTIFS(Tabelle132[Team],"*",Tabelle132[Jira Story Points],"&lt;&gt;-",Tabelle132[Status],H5)</f>
        <v>47</v>
      </c>
      <c r="K26" s="7">
        <f>SUMIFS(Tabelle132[Jira Story Points],Tabelle132[Team],"*",Tabelle132[Jira Story Points],"&lt;&gt;-",Tabelle132[Status],H5)</f>
        <v>211</v>
      </c>
      <c r="L26" s="17">
        <f>COUNTIFS(Tabelle132[Team],"*",Tabelle132[Jira Story Points],"-",Tabelle132[Status],H5)</f>
        <v>1</v>
      </c>
      <c r="M26" s="8">
        <f>L26*$M$28</f>
        <v>2</v>
      </c>
      <c r="N26" s="7">
        <f t="shared" si="6"/>
        <v>48</v>
      </c>
      <c r="O26" s="7">
        <f t="shared" si="6"/>
        <v>213</v>
      </c>
    </row>
    <row r="27" spans="1:39" ht="13.5" customHeight="1">
      <c r="C27" s="15" t="s">
        <v>126</v>
      </c>
      <c r="D27" s="7">
        <f>COUNTIFS(Tabelle132[Team],"*",Tabelle132[Pulled after Start],"&lt;&gt;yes",Tabelle132[Status],I5)</f>
        <v>2</v>
      </c>
      <c r="E27" s="7">
        <f>SUMIFS(Tabelle132[Jira Story Points],Tabelle132[Team],"*",Tabelle132[Pulled after Start],"&lt;&gt;yes",Tabelle132[Status],I5)+COUNTIFS(Tabelle132[Team],"*",Tabelle132[Jira Story Points],"-",Tabelle132[Pulled after Start],"&lt;&gt;yes",Tabelle132[Status],I5)*$M$28</f>
        <v>5</v>
      </c>
      <c r="F27" s="7">
        <f>COUNTIFS(Tabelle132[Pulled after Start],"yes",Tabelle132[Status],I5)</f>
        <v>0</v>
      </c>
      <c r="G27" s="7">
        <f>SUMIFS(Tabelle132[Jira Story Points],Tabelle132[Team],"*",Tabelle132[Pulled after Start],"yes",Tabelle132[Status],I5)+COUNTIFS(Tabelle132[Team],"*",Tabelle132[Jira Story Points],"-",Tabelle132[Pulled after Start],"yes",Tabelle132[Status],I5)*$M$28</f>
        <v>0</v>
      </c>
      <c r="H27" s="7">
        <f t="shared" si="5"/>
        <v>2</v>
      </c>
      <c r="I27" s="7">
        <f t="shared" si="5"/>
        <v>5</v>
      </c>
      <c r="J27" s="7">
        <f>COUNTIFS(Tabelle132[Team],"*",Tabelle132[Jira Story Points],"&lt;&gt;-",Tabelle132[Status],I5)</f>
        <v>2</v>
      </c>
      <c r="K27" s="7">
        <f>SUMIFS(Tabelle132[Jira Story Points],Tabelle132[Team],"*",Tabelle132[Jira Story Points],"&lt;&gt;-",Tabelle132[Status],I5)</f>
        <v>5</v>
      </c>
      <c r="L27" s="17">
        <f>COUNTIFS(Tabelle132[Team],"*",Tabelle132[Jira Story Points],"-",Tabelle132[Status],I5)</f>
        <v>0</v>
      </c>
      <c r="M27" s="8">
        <f>L27*$M$28</f>
        <v>0</v>
      </c>
      <c r="N27" s="7">
        <f t="shared" si="6"/>
        <v>2</v>
      </c>
      <c r="O27" s="7">
        <f t="shared" si="6"/>
        <v>5</v>
      </c>
    </row>
    <row r="28" spans="1:39" ht="13.5" customHeight="1">
      <c r="C28" s="1"/>
      <c r="D28" s="1"/>
      <c r="E28" s="1"/>
      <c r="F28" s="1"/>
      <c r="G28" s="1"/>
      <c r="H28" s="1"/>
      <c r="I28" s="1"/>
      <c r="J28" s="1"/>
      <c r="K28" s="1"/>
      <c r="L28" s="24" t="s">
        <v>193</v>
      </c>
      <c r="M28" s="26">
        <v>2</v>
      </c>
    </row>
    <row r="31" spans="1:39" s="155" customFormat="1" ht="27">
      <c r="A31" s="151" t="s">
        <v>194</v>
      </c>
      <c r="B31" s="151" t="s">
        <v>195</v>
      </c>
      <c r="C31" s="152" t="s">
        <v>196</v>
      </c>
      <c r="D31" s="152" t="s">
        <v>197</v>
      </c>
      <c r="E31" s="152" t="s">
        <v>198</v>
      </c>
      <c r="F31" s="152" t="s">
        <v>199</v>
      </c>
      <c r="G31" s="152" t="s">
        <v>167</v>
      </c>
      <c r="H31" s="152" t="s">
        <v>106</v>
      </c>
      <c r="I31" s="152" t="s">
        <v>200</v>
      </c>
      <c r="J31" s="152" t="s">
        <v>201</v>
      </c>
      <c r="K31" s="152" t="s">
        <v>202</v>
      </c>
      <c r="L31" s="152" t="s">
        <v>203</v>
      </c>
      <c r="M31" s="153" t="s">
        <v>1304</v>
      </c>
      <c r="N31" s="153" t="s">
        <v>1305</v>
      </c>
      <c r="O31" s="153" t="s">
        <v>1306</v>
      </c>
      <c r="P31" s="154" t="s">
        <v>1307</v>
      </c>
      <c r="Q31" s="153" t="s">
        <v>1308</v>
      </c>
    </row>
    <row r="32" spans="1:39" s="109" customFormat="1">
      <c r="A32" s="158" t="s">
        <v>3668</v>
      </c>
      <c r="B32" s="46" t="s">
        <v>1680</v>
      </c>
      <c r="C32" s="76" t="s">
        <v>372</v>
      </c>
      <c r="D32" s="76">
        <v>3</v>
      </c>
      <c r="E32" s="76" t="s">
        <v>238</v>
      </c>
      <c r="F32" s="76">
        <v>8</v>
      </c>
      <c r="G32" s="76" t="s">
        <v>12</v>
      </c>
      <c r="H32" s="76"/>
      <c r="I32" s="103" t="s">
        <v>3669</v>
      </c>
      <c r="J32" s="76" t="s">
        <v>127</v>
      </c>
      <c r="K32" s="76">
        <v>1</v>
      </c>
      <c r="L32" s="76">
        <v>1</v>
      </c>
      <c r="M32" s="136">
        <f>IF(Tabelle132[[#This Row],[Pulled after Start]]="",MIN(Tabelle132[[#This Row],[Jira Story Points]],Tabelle132[[#This Row],[Carry-over]]),0)</f>
        <v>1</v>
      </c>
      <c r="N32" s="136">
        <f>MIN(Tabelle132[[#This Row],[Jira Story Points]],Tabelle132[[#This Row],[Carry-over]])-Tabelle132[[#This Row],[SP Initially Planned (COS)]]</f>
        <v>0</v>
      </c>
      <c r="O32" s="104">
        <f>IFERROR(IF(Tabelle132[[#This Row],[Status]]=$I$5,0,IF(AND(Tabelle132[[#This Row],[Status]]=$H$5,Tabelle132[[#This Row],[Spill-over]]=0),0,IF(Tabelle132[[#This Row],[Carry-over]]&lt;&gt;0,Tabelle132[[#This Row],[Carry-over]]-Tabelle132[[#This Row],[Spill-over]],Tabelle132[[#This Row],[Jira Story Points]]-Tabelle132[[#This Row],[Spill-over]]))),"-")</f>
        <v>0</v>
      </c>
      <c r="P32" s="136">
        <f>IFERROR(IF(Tabelle132[[#This Row],[Status]]=$I$5,MIN(Tabelle132[[#This Row],[Jira Story Points]],Tabelle132[[#This Row],[Carry-over]]),0),0)</f>
        <v>0</v>
      </c>
      <c r="Q32" s="156">
        <f>IFERROR(IF(Tabelle132[[#This Row],[Status]]=$I$5,0,MIN(Tabelle132[[#This Row],[Jira Story Points]],Tabelle132[[#This Row],[Carry-over]])-Tabelle132[[#This Row],[SP Completed (COS &amp; SOS)]]),0)</f>
        <v>1</v>
      </c>
      <c r="AA32" s="46"/>
      <c r="AB32" s="46"/>
      <c r="AC32" s="46"/>
      <c r="AD32" s="46"/>
      <c r="AE32" s="46"/>
      <c r="AF32" s="46"/>
      <c r="AG32" s="46"/>
      <c r="AH32" s="46"/>
      <c r="AI32" s="46"/>
      <c r="AJ32" s="46"/>
      <c r="AK32" s="46"/>
      <c r="AL32" s="46"/>
      <c r="AM32" s="46"/>
    </row>
    <row r="33" spans="1:39" s="109" customFormat="1">
      <c r="A33" s="88" t="s">
        <v>3670</v>
      </c>
      <c r="B33" s="46" t="s">
        <v>3671</v>
      </c>
      <c r="C33" s="76" t="s">
        <v>372</v>
      </c>
      <c r="D33" s="76">
        <v>3</v>
      </c>
      <c r="E33" s="76" t="s">
        <v>216</v>
      </c>
      <c r="F33" s="76">
        <v>2</v>
      </c>
      <c r="G33" s="76" t="s">
        <v>12</v>
      </c>
      <c r="H33" s="76"/>
      <c r="I33" s="103" t="s">
        <v>3672</v>
      </c>
      <c r="J33" s="76" t="s">
        <v>125</v>
      </c>
      <c r="K33" s="76">
        <v>1</v>
      </c>
      <c r="L33" s="76"/>
      <c r="M33" s="136">
        <f>IF(Tabelle132[[#This Row],[Pulled after Start]]="",MIN(Tabelle132[[#This Row],[Jira Story Points]],Tabelle132[[#This Row],[Carry-over]]),0)</f>
        <v>1</v>
      </c>
      <c r="N33" s="136">
        <f>MIN(Tabelle132[[#This Row],[Jira Story Points]],Tabelle132[[#This Row],[Carry-over]])-Tabelle132[[#This Row],[SP Initially Planned (COS)]]</f>
        <v>0</v>
      </c>
      <c r="O33" s="104">
        <f>IFERROR(IF(Tabelle132[[#This Row],[Status]]=$I$5,0,IF(AND(Tabelle132[[#This Row],[Status]]=$H$5,Tabelle132[[#This Row],[Spill-over]]=0),0,IF(Tabelle132[[#This Row],[Carry-over]]&lt;&gt;0,Tabelle132[[#This Row],[Carry-over]]-Tabelle132[[#This Row],[Spill-over]],Tabelle132[[#This Row],[Jira Story Points]]-Tabelle132[[#This Row],[Spill-over]]))),"-")</f>
        <v>1</v>
      </c>
      <c r="P33" s="136">
        <f>IFERROR(IF(Tabelle132[[#This Row],[Status]]=$I$5,MIN(Tabelle132[[#This Row],[Jira Story Points]],Tabelle132[[#This Row],[Carry-over]]),0),0)</f>
        <v>0</v>
      </c>
      <c r="Q33" s="156">
        <f>IFERROR(IF(Tabelle132[[#This Row],[Status]]=$I$5,0,MIN(Tabelle132[[#This Row],[Jira Story Points]],Tabelle132[[#This Row],[Carry-over]])-Tabelle132[[#This Row],[SP Completed (COS &amp; SOS)]]),0)</f>
        <v>0</v>
      </c>
      <c r="AA33" s="112"/>
      <c r="AB33" s="112"/>
      <c r="AC33" s="112"/>
      <c r="AD33" s="112"/>
      <c r="AE33" s="112"/>
      <c r="AF33" s="112"/>
      <c r="AG33" s="112"/>
      <c r="AH33" s="112"/>
      <c r="AI33" s="112"/>
      <c r="AJ33" s="112"/>
      <c r="AK33" s="112"/>
      <c r="AL33" s="112"/>
      <c r="AM33" s="112"/>
    </row>
    <row r="34" spans="1:39" s="113" customFormat="1">
      <c r="A34" s="88" t="s">
        <v>3673</v>
      </c>
      <c r="B34" s="46" t="s">
        <v>3214</v>
      </c>
      <c r="C34" s="76" t="s">
        <v>372</v>
      </c>
      <c r="D34" s="76">
        <v>3</v>
      </c>
      <c r="E34" s="76" t="s">
        <v>238</v>
      </c>
      <c r="F34" s="76">
        <v>3</v>
      </c>
      <c r="G34" s="76" t="s">
        <v>12</v>
      </c>
      <c r="H34" s="76"/>
      <c r="I34" s="103" t="s">
        <v>3674</v>
      </c>
      <c r="J34" s="76" t="s">
        <v>127</v>
      </c>
      <c r="K34" s="76">
        <v>3</v>
      </c>
      <c r="L34" s="76">
        <v>1</v>
      </c>
      <c r="M34" s="136">
        <f>IF(Tabelle132[[#This Row],[Pulled after Start]]="",MIN(Tabelle132[[#This Row],[Jira Story Points]],Tabelle132[[#This Row],[Carry-over]]),0)</f>
        <v>3</v>
      </c>
      <c r="N34" s="136">
        <f>MIN(Tabelle132[[#This Row],[Jira Story Points]],Tabelle132[[#This Row],[Carry-over]])-Tabelle132[[#This Row],[SP Initially Planned (COS)]]</f>
        <v>0</v>
      </c>
      <c r="O34" s="104">
        <f>IFERROR(IF(Tabelle132[[#This Row],[Status]]=$I$5,0,IF(AND(Tabelle132[[#This Row],[Status]]=$H$5,Tabelle132[[#This Row],[Spill-over]]=0),0,IF(Tabelle132[[#This Row],[Carry-over]]&lt;&gt;0,Tabelle132[[#This Row],[Carry-over]]-Tabelle132[[#This Row],[Spill-over]],Tabelle132[[#This Row],[Jira Story Points]]-Tabelle132[[#This Row],[Spill-over]]))),"-")</f>
        <v>2</v>
      </c>
      <c r="P34" s="136">
        <f>IFERROR(IF(Tabelle132[[#This Row],[Status]]=$I$5,MIN(Tabelle132[[#This Row],[Jira Story Points]],Tabelle132[[#This Row],[Carry-over]]),0),0)</f>
        <v>0</v>
      </c>
      <c r="Q34" s="156">
        <f>IFERROR(IF(Tabelle132[[#This Row],[Status]]=$I$5,0,MIN(Tabelle132[[#This Row],[Jira Story Points]],Tabelle132[[#This Row],[Carry-over]])-Tabelle132[[#This Row],[SP Completed (COS &amp; SOS)]]),0)</f>
        <v>1</v>
      </c>
      <c r="AA34" s="46"/>
      <c r="AB34" s="46"/>
      <c r="AC34" s="46"/>
      <c r="AD34" s="46"/>
      <c r="AE34" s="46"/>
      <c r="AF34" s="46"/>
      <c r="AG34" s="46"/>
      <c r="AH34" s="46"/>
      <c r="AI34" s="46"/>
      <c r="AK34" s="112"/>
      <c r="AL34" s="112"/>
      <c r="AM34" s="112"/>
    </row>
    <row r="35" spans="1:39" s="46" customFormat="1">
      <c r="A35" s="88" t="s">
        <v>3675</v>
      </c>
      <c r="B35" s="46" t="s">
        <v>2348</v>
      </c>
      <c r="C35" s="76" t="s">
        <v>372</v>
      </c>
      <c r="D35" s="76">
        <v>3</v>
      </c>
      <c r="E35" s="76" t="s">
        <v>273</v>
      </c>
      <c r="F35" s="76">
        <v>3</v>
      </c>
      <c r="G35" s="76" t="s">
        <v>12</v>
      </c>
      <c r="H35" s="76"/>
      <c r="I35" s="103"/>
      <c r="J35" s="76" t="s">
        <v>126</v>
      </c>
      <c r="K35" s="76"/>
      <c r="L35" s="76"/>
      <c r="M35" s="136">
        <f>IF(Tabelle132[[#This Row],[Pulled after Start]]="",MIN(Tabelle132[[#This Row],[Jira Story Points]],Tabelle132[[#This Row],[Carry-over]]),0)</f>
        <v>3</v>
      </c>
      <c r="N35" s="136">
        <f>MIN(Tabelle132[[#This Row],[Jira Story Points]],Tabelle132[[#This Row],[Carry-over]])-Tabelle132[[#This Row],[SP Initially Planned (COS)]]</f>
        <v>0</v>
      </c>
      <c r="O35" s="104">
        <f>IFERROR(IF(Tabelle132[[#This Row],[Status]]=$I$5,0,IF(AND(Tabelle132[[#This Row],[Status]]=$H$5,Tabelle132[[#This Row],[Spill-over]]=0),0,IF(Tabelle132[[#This Row],[Carry-over]]&lt;&gt;0,Tabelle132[[#This Row],[Carry-over]]-Tabelle132[[#This Row],[Spill-over]],Tabelle132[[#This Row],[Jira Story Points]]-Tabelle132[[#This Row],[Spill-over]]))),"-")</f>
        <v>0</v>
      </c>
      <c r="P35" s="136">
        <f>IFERROR(IF(Tabelle132[[#This Row],[Status]]=$I$5,MIN(Tabelle132[[#This Row],[Jira Story Points]],Tabelle132[[#This Row],[Carry-over]]),0),0)</f>
        <v>3</v>
      </c>
      <c r="Q35" s="156">
        <f>IFERROR(IF(Tabelle132[[#This Row],[Status]]=$I$5,0,MIN(Tabelle132[[#This Row],[Jira Story Points]],Tabelle132[[#This Row],[Carry-over]])-Tabelle132[[#This Row],[SP Completed (COS &amp; SOS)]]),0)</f>
        <v>0</v>
      </c>
      <c r="AL35" s="112"/>
      <c r="AM35" s="112"/>
    </row>
    <row r="36" spans="1:39" s="46" customFormat="1">
      <c r="A36" s="88" t="s">
        <v>3676</v>
      </c>
      <c r="B36" s="46" t="s">
        <v>3677</v>
      </c>
      <c r="C36" s="76" t="s">
        <v>372</v>
      </c>
      <c r="D36" s="76">
        <v>3</v>
      </c>
      <c r="E36" s="76" t="s">
        <v>216</v>
      </c>
      <c r="F36" s="76">
        <v>3</v>
      </c>
      <c r="G36" s="76" t="s">
        <v>12</v>
      </c>
      <c r="H36" s="76"/>
      <c r="I36" s="103" t="s">
        <v>3672</v>
      </c>
      <c r="J36" s="76" t="s">
        <v>125</v>
      </c>
      <c r="K36" s="76"/>
      <c r="L36" s="76"/>
      <c r="M36" s="136">
        <f>IF(Tabelle132[[#This Row],[Pulled after Start]]="",MIN(Tabelle132[[#This Row],[Jira Story Points]],Tabelle132[[#This Row],[Carry-over]]),0)</f>
        <v>3</v>
      </c>
      <c r="N36" s="136">
        <f>MIN(Tabelle132[[#This Row],[Jira Story Points]],Tabelle132[[#This Row],[Carry-over]])-Tabelle132[[#This Row],[SP Initially Planned (COS)]]</f>
        <v>0</v>
      </c>
      <c r="O36" s="104">
        <f>IFERROR(IF(Tabelle132[[#This Row],[Status]]=$I$5,0,IF(AND(Tabelle132[[#This Row],[Status]]=$H$5,Tabelle132[[#This Row],[Spill-over]]=0),0,IF(Tabelle132[[#This Row],[Carry-over]]&lt;&gt;0,Tabelle132[[#This Row],[Carry-over]]-Tabelle132[[#This Row],[Spill-over]],Tabelle132[[#This Row],[Jira Story Points]]-Tabelle132[[#This Row],[Spill-over]]))),"-")</f>
        <v>3</v>
      </c>
      <c r="P36" s="136">
        <f>IFERROR(IF(Tabelle132[[#This Row],[Status]]=$I$5,MIN(Tabelle132[[#This Row],[Jira Story Points]],Tabelle132[[#This Row],[Carry-over]]),0),0)</f>
        <v>0</v>
      </c>
      <c r="Q36" s="156">
        <f>IFERROR(IF(Tabelle132[[#This Row],[Status]]=$I$5,0,MIN(Tabelle132[[#This Row],[Jira Story Points]],Tabelle132[[#This Row],[Carry-over]])-Tabelle132[[#This Row],[SP Completed (COS &amp; SOS)]]),0)</f>
        <v>0</v>
      </c>
      <c r="AL36" s="112"/>
      <c r="AM36" s="112"/>
    </row>
    <row r="37" spans="1:39" s="46" customFormat="1">
      <c r="A37" s="88" t="s">
        <v>3678</v>
      </c>
      <c r="B37" s="46" t="s">
        <v>3519</v>
      </c>
      <c r="C37" s="76" t="s">
        <v>372</v>
      </c>
      <c r="D37" s="76">
        <v>3</v>
      </c>
      <c r="E37" s="76" t="s">
        <v>238</v>
      </c>
      <c r="F37" s="76">
        <v>2</v>
      </c>
      <c r="G37" s="76" t="s">
        <v>12</v>
      </c>
      <c r="H37" s="76"/>
      <c r="I37" s="103" t="s">
        <v>3679</v>
      </c>
      <c r="J37" s="76" t="s">
        <v>127</v>
      </c>
      <c r="K37" s="76"/>
      <c r="L37" s="76">
        <v>1</v>
      </c>
      <c r="M37" s="136">
        <f>IF(Tabelle132[[#This Row],[Pulled after Start]]="",MIN(Tabelle132[[#This Row],[Jira Story Points]],Tabelle132[[#This Row],[Carry-over]]),0)</f>
        <v>2</v>
      </c>
      <c r="N37" s="136">
        <f>MIN(Tabelle132[[#This Row],[Jira Story Points]],Tabelle132[[#This Row],[Carry-over]])-Tabelle132[[#This Row],[SP Initially Planned (COS)]]</f>
        <v>0</v>
      </c>
      <c r="O37" s="104">
        <f>IFERROR(IF(Tabelle132[[#This Row],[Status]]=$I$5,0,IF(AND(Tabelle132[[#This Row],[Status]]=$H$5,Tabelle132[[#This Row],[Spill-over]]=0),0,IF(Tabelle132[[#This Row],[Carry-over]]&lt;&gt;0,Tabelle132[[#This Row],[Carry-over]]-Tabelle132[[#This Row],[Spill-over]],Tabelle132[[#This Row],[Jira Story Points]]-Tabelle132[[#This Row],[Spill-over]]))),"-")</f>
        <v>1</v>
      </c>
      <c r="P37" s="136">
        <f>IFERROR(IF(Tabelle132[[#This Row],[Status]]=$I$5,MIN(Tabelle132[[#This Row],[Jira Story Points]],Tabelle132[[#This Row],[Carry-over]]),0),0)</f>
        <v>0</v>
      </c>
      <c r="Q37" s="156">
        <f>IFERROR(IF(Tabelle132[[#This Row],[Status]]=$I$5,0,MIN(Tabelle132[[#This Row],[Jira Story Points]],Tabelle132[[#This Row],[Carry-over]])-Tabelle132[[#This Row],[SP Completed (COS &amp; SOS)]]),0)</f>
        <v>1</v>
      </c>
      <c r="AL37" s="112"/>
      <c r="AM37" s="112"/>
    </row>
    <row r="38" spans="1:39" s="46" customFormat="1">
      <c r="A38" s="88" t="s">
        <v>3680</v>
      </c>
      <c r="B38" s="46" t="s">
        <v>3681</v>
      </c>
      <c r="C38" s="76" t="s">
        <v>382</v>
      </c>
      <c r="D38" s="76">
        <v>3</v>
      </c>
      <c r="E38" s="76" t="s">
        <v>216</v>
      </c>
      <c r="F38" s="76" t="s">
        <v>210</v>
      </c>
      <c r="G38" s="76" t="s">
        <v>12</v>
      </c>
      <c r="H38" s="76"/>
      <c r="I38" s="103"/>
      <c r="J38" s="76" t="s">
        <v>125</v>
      </c>
      <c r="K38" s="76"/>
      <c r="L38" s="76"/>
      <c r="M38" s="136">
        <f>IF(Tabelle132[[#This Row],[Pulled after Start]]="",MIN(Tabelle132[[#This Row],[Jira Story Points]],Tabelle132[[#This Row],[Carry-over]]),0)</f>
        <v>0</v>
      </c>
      <c r="N38" s="136">
        <f>MIN(Tabelle132[[#This Row],[Jira Story Points]],Tabelle132[[#This Row],[Carry-over]])-Tabelle132[[#This Row],[SP Initially Planned (COS)]]</f>
        <v>0</v>
      </c>
      <c r="O38" s="104" t="str">
        <f>IFERROR(IF(Tabelle132[[#This Row],[Status]]=$I$5,0,IF(AND(Tabelle132[[#This Row],[Status]]=$H$5,Tabelle132[[#This Row],[Spill-over]]=0),0,IF(Tabelle132[[#This Row],[Carry-over]]&lt;&gt;0,Tabelle132[[#This Row],[Carry-over]]-Tabelle132[[#This Row],[Spill-over]],Tabelle132[[#This Row],[Jira Story Points]]-Tabelle132[[#This Row],[Spill-over]]))),"-")</f>
        <v>-</v>
      </c>
      <c r="P38" s="136">
        <f>IFERROR(IF(Tabelle132[[#This Row],[Status]]=$I$5,MIN(Tabelle132[[#This Row],[Jira Story Points]],Tabelle132[[#This Row],[Carry-over]]),0),0)</f>
        <v>0</v>
      </c>
      <c r="Q38" s="156">
        <f>IFERROR(IF(Tabelle132[[#This Row],[Status]]=$I$5,0,MIN(Tabelle132[[#This Row],[Jira Story Points]],Tabelle132[[#This Row],[Carry-over]])-Tabelle132[[#This Row],[SP Completed (COS &amp; SOS)]]),0)</f>
        <v>0</v>
      </c>
      <c r="AJ38" s="112"/>
      <c r="AK38" s="112"/>
      <c r="AL38" s="112"/>
      <c r="AM38" s="112"/>
    </row>
    <row r="39" spans="1:39" s="46" customFormat="1">
      <c r="A39" s="88" t="s">
        <v>3682</v>
      </c>
      <c r="B39" s="46" t="s">
        <v>3683</v>
      </c>
      <c r="C39" s="76" t="s">
        <v>382</v>
      </c>
      <c r="D39" s="76">
        <v>3</v>
      </c>
      <c r="E39" s="76" t="s">
        <v>216</v>
      </c>
      <c r="F39" s="76" t="s">
        <v>210</v>
      </c>
      <c r="G39" s="76" t="s">
        <v>12</v>
      </c>
      <c r="H39" s="76"/>
      <c r="I39" s="103"/>
      <c r="J39" s="76" t="s">
        <v>125</v>
      </c>
      <c r="K39" s="76"/>
      <c r="L39" s="76"/>
      <c r="M39" s="136">
        <f>IF(Tabelle132[[#This Row],[Pulled after Start]]="",MIN(Tabelle132[[#This Row],[Jira Story Points]],Tabelle132[[#This Row],[Carry-over]]),0)</f>
        <v>0</v>
      </c>
      <c r="N39" s="136">
        <f>MIN(Tabelle132[[#This Row],[Jira Story Points]],Tabelle132[[#This Row],[Carry-over]])-Tabelle132[[#This Row],[SP Initially Planned (COS)]]</f>
        <v>0</v>
      </c>
      <c r="O39" s="104" t="str">
        <f>IFERROR(IF(Tabelle132[[#This Row],[Status]]=$I$5,0,IF(AND(Tabelle132[[#This Row],[Status]]=$H$5,Tabelle132[[#This Row],[Spill-over]]=0),0,IF(Tabelle132[[#This Row],[Carry-over]]&lt;&gt;0,Tabelle132[[#This Row],[Carry-over]]-Tabelle132[[#This Row],[Spill-over]],Tabelle132[[#This Row],[Jira Story Points]]-Tabelle132[[#This Row],[Spill-over]]))),"-")</f>
        <v>-</v>
      </c>
      <c r="P39" s="136">
        <f>IFERROR(IF(Tabelle132[[#This Row],[Status]]=$I$5,MIN(Tabelle132[[#This Row],[Jira Story Points]],Tabelle132[[#This Row],[Carry-over]]),0),0)</f>
        <v>0</v>
      </c>
      <c r="Q39" s="156">
        <f>IFERROR(IF(Tabelle132[[#This Row],[Status]]=$I$5,0,MIN(Tabelle132[[#This Row],[Jira Story Points]],Tabelle132[[#This Row],[Carry-over]])-Tabelle132[[#This Row],[SP Completed (COS &amp; SOS)]]),0)</f>
        <v>0</v>
      </c>
      <c r="AJ39" s="112"/>
      <c r="AK39" s="112"/>
      <c r="AL39" s="112"/>
      <c r="AM39" s="112"/>
    </row>
    <row r="40" spans="1:39" s="46" customFormat="1">
      <c r="A40" s="88" t="s">
        <v>3684</v>
      </c>
      <c r="B40" s="46" t="s">
        <v>3225</v>
      </c>
      <c r="C40" s="76" t="s">
        <v>372</v>
      </c>
      <c r="D40" s="76">
        <v>3</v>
      </c>
      <c r="E40" s="76" t="s">
        <v>238</v>
      </c>
      <c r="F40" s="76">
        <v>1</v>
      </c>
      <c r="G40" s="76" t="s">
        <v>12</v>
      </c>
      <c r="H40" s="76" t="s">
        <v>209</v>
      </c>
      <c r="I40" s="103" t="s">
        <v>3674</v>
      </c>
      <c r="J40" s="76" t="s">
        <v>127</v>
      </c>
      <c r="K40" s="76"/>
      <c r="L40" s="76">
        <v>1</v>
      </c>
      <c r="M40" s="136">
        <f>IF(Tabelle132[[#This Row],[Pulled after Start]]="",MIN(Tabelle132[[#This Row],[Jira Story Points]],Tabelle132[[#This Row],[Carry-over]]),0)</f>
        <v>0</v>
      </c>
      <c r="N40" s="136">
        <f>MIN(Tabelle132[[#This Row],[Jira Story Points]],Tabelle132[[#This Row],[Carry-over]])-Tabelle132[[#This Row],[SP Initially Planned (COS)]]</f>
        <v>1</v>
      </c>
      <c r="O40" s="104">
        <f>IFERROR(IF(Tabelle132[[#This Row],[Status]]=$I$5,0,IF(AND(Tabelle132[[#This Row],[Status]]=$H$5,Tabelle132[[#This Row],[Spill-over]]=0),0,IF(Tabelle132[[#This Row],[Carry-over]]&lt;&gt;0,Tabelle132[[#This Row],[Carry-over]]-Tabelle132[[#This Row],[Spill-over]],Tabelle132[[#This Row],[Jira Story Points]]-Tabelle132[[#This Row],[Spill-over]]))),"-")</f>
        <v>0</v>
      </c>
      <c r="P40" s="136">
        <f>IFERROR(IF(Tabelle132[[#This Row],[Status]]=$I$5,MIN(Tabelle132[[#This Row],[Jira Story Points]],Tabelle132[[#This Row],[Carry-over]]),0),0)</f>
        <v>0</v>
      </c>
      <c r="Q40" s="156">
        <f>IFERROR(IF(Tabelle132[[#This Row],[Status]]=$I$5,0,MIN(Tabelle132[[#This Row],[Jira Story Points]],Tabelle132[[#This Row],[Carry-over]])-Tabelle132[[#This Row],[SP Completed (COS &amp; SOS)]]),0)</f>
        <v>1</v>
      </c>
      <c r="AJ40" s="112"/>
      <c r="AK40" s="112"/>
      <c r="AL40" s="112"/>
      <c r="AM40" s="112"/>
    </row>
    <row r="41" spans="1:39" s="46" customFormat="1">
      <c r="A41" s="158" t="s">
        <v>3685</v>
      </c>
      <c r="B41" s="46" t="s">
        <v>3686</v>
      </c>
      <c r="C41" s="112" t="s">
        <v>372</v>
      </c>
      <c r="D41" s="76">
        <v>2</v>
      </c>
      <c r="E41" s="76" t="s">
        <v>254</v>
      </c>
      <c r="F41" s="76">
        <v>5</v>
      </c>
      <c r="G41" s="76" t="s">
        <v>27</v>
      </c>
      <c r="H41" s="76"/>
      <c r="I41" s="103"/>
      <c r="J41" s="76" t="s">
        <v>127</v>
      </c>
      <c r="K41" s="76">
        <v>5</v>
      </c>
      <c r="L41" s="76"/>
      <c r="M41" s="136">
        <f>IF(Tabelle132[[#This Row],[Pulled after Start]]="",MIN(Tabelle132[[#This Row],[Jira Story Points]],Tabelle132[[#This Row],[Carry-over]]),0)</f>
        <v>5</v>
      </c>
      <c r="N41" s="136">
        <f>MIN(Tabelle132[[#This Row],[Jira Story Points]],Tabelle132[[#This Row],[Carry-over]])-Tabelle132[[#This Row],[SP Initially Planned (COS)]]</f>
        <v>0</v>
      </c>
      <c r="O41" s="104">
        <f>IFERROR(IF(Tabelle132[[#This Row],[Status]]=$I$5,0,IF(AND(Tabelle132[[#This Row],[Status]]=$H$5,Tabelle132[[#This Row],[Spill-over]]=0),0,IF(Tabelle132[[#This Row],[Carry-over]]&lt;&gt;0,Tabelle132[[#This Row],[Carry-over]]-Tabelle132[[#This Row],[Spill-over]],Tabelle132[[#This Row],[Jira Story Points]]-Tabelle132[[#This Row],[Spill-over]]))),"-")</f>
        <v>0</v>
      </c>
      <c r="P41" s="136">
        <f>IFERROR(IF(Tabelle132[[#This Row],[Status]]=$I$5,MIN(Tabelle132[[#This Row],[Jira Story Points]],Tabelle132[[#This Row],[Carry-over]]),0),0)</f>
        <v>0</v>
      </c>
      <c r="Q41" s="156">
        <f>IFERROR(IF(Tabelle132[[#This Row],[Status]]=$I$5,0,MIN(Tabelle132[[#This Row],[Jira Story Points]],Tabelle132[[#This Row],[Carry-over]])-Tabelle132[[#This Row],[SP Completed (COS &amp; SOS)]]),0)</f>
        <v>5</v>
      </c>
      <c r="AJ41" s="112"/>
      <c r="AK41" s="112"/>
      <c r="AL41" s="112"/>
      <c r="AM41" s="112"/>
    </row>
    <row r="42" spans="1:39" s="46" customFormat="1">
      <c r="A42" s="158" t="s">
        <v>3687</v>
      </c>
      <c r="B42" s="47" t="s">
        <v>3688</v>
      </c>
      <c r="C42" s="76" t="s">
        <v>372</v>
      </c>
      <c r="D42" s="76">
        <v>3</v>
      </c>
      <c r="E42" s="76" t="s">
        <v>216</v>
      </c>
      <c r="F42" s="76">
        <v>8</v>
      </c>
      <c r="G42" s="76" t="s">
        <v>27</v>
      </c>
      <c r="H42" s="76"/>
      <c r="I42" s="103"/>
      <c r="J42" s="76" t="s">
        <v>125</v>
      </c>
      <c r="K42" s="76"/>
      <c r="L42" s="76"/>
      <c r="M42" s="136">
        <f>IF(Tabelle132[[#This Row],[Pulled after Start]]="",MIN(Tabelle132[[#This Row],[Jira Story Points]],Tabelle132[[#This Row],[Carry-over]]),0)</f>
        <v>8</v>
      </c>
      <c r="N42" s="136">
        <f>MIN(Tabelle132[[#This Row],[Jira Story Points]],Tabelle132[[#This Row],[Carry-over]])-Tabelle132[[#This Row],[SP Initially Planned (COS)]]</f>
        <v>0</v>
      </c>
      <c r="O42" s="104">
        <f>IFERROR(IF(Tabelle132[[#This Row],[Status]]=$I$5,0,IF(AND(Tabelle132[[#This Row],[Status]]=$H$5,Tabelle132[[#This Row],[Spill-over]]=0),0,IF(Tabelle132[[#This Row],[Carry-over]]&lt;&gt;0,Tabelle132[[#This Row],[Carry-over]]-Tabelle132[[#This Row],[Spill-over]],Tabelle132[[#This Row],[Jira Story Points]]-Tabelle132[[#This Row],[Spill-over]]))),"-")</f>
        <v>8</v>
      </c>
      <c r="P42" s="136">
        <f>IFERROR(IF(Tabelle132[[#This Row],[Status]]=$I$5,MIN(Tabelle132[[#This Row],[Jira Story Points]],Tabelle132[[#This Row],[Carry-over]]),0),0)</f>
        <v>0</v>
      </c>
      <c r="Q42" s="156">
        <f>IFERROR(IF(Tabelle132[[#This Row],[Status]]=$I$5,0,MIN(Tabelle132[[#This Row],[Jira Story Points]],Tabelle132[[#This Row],[Carry-over]])-Tabelle132[[#This Row],[SP Completed (COS &amp; SOS)]]),0)</f>
        <v>0</v>
      </c>
      <c r="AJ42" s="112"/>
      <c r="AK42" s="112"/>
      <c r="AL42" s="112"/>
      <c r="AM42" s="112"/>
    </row>
    <row r="43" spans="1:39" s="46" customFormat="1">
      <c r="A43" s="158" t="s">
        <v>3689</v>
      </c>
      <c r="B43" s="47" t="s">
        <v>3690</v>
      </c>
      <c r="C43" s="76" t="s">
        <v>372</v>
      </c>
      <c r="D43" s="76">
        <v>3</v>
      </c>
      <c r="E43" s="76" t="s">
        <v>216</v>
      </c>
      <c r="F43" s="76">
        <v>5</v>
      </c>
      <c r="G43" s="76" t="s">
        <v>27</v>
      </c>
      <c r="H43" s="76"/>
      <c r="I43" s="103"/>
      <c r="J43" s="76" t="s">
        <v>125</v>
      </c>
      <c r="K43" s="76"/>
      <c r="L43" s="76"/>
      <c r="M43" s="136">
        <f>IF(Tabelle132[[#This Row],[Pulled after Start]]="",MIN(Tabelle132[[#This Row],[Jira Story Points]],Tabelle132[[#This Row],[Carry-over]]),0)</f>
        <v>5</v>
      </c>
      <c r="N43" s="136">
        <f>MIN(Tabelle132[[#This Row],[Jira Story Points]],Tabelle132[[#This Row],[Carry-over]])-Tabelle132[[#This Row],[SP Initially Planned (COS)]]</f>
        <v>0</v>
      </c>
      <c r="O43" s="104">
        <f>IFERROR(IF(Tabelle132[[#This Row],[Status]]=$I$5,0,IF(AND(Tabelle132[[#This Row],[Status]]=$H$5,Tabelle132[[#This Row],[Spill-over]]=0),0,IF(Tabelle132[[#This Row],[Carry-over]]&lt;&gt;0,Tabelle132[[#This Row],[Carry-over]]-Tabelle132[[#This Row],[Spill-over]],Tabelle132[[#This Row],[Jira Story Points]]-Tabelle132[[#This Row],[Spill-over]]))),"-")</f>
        <v>5</v>
      </c>
      <c r="P43" s="136">
        <f>IFERROR(IF(Tabelle132[[#This Row],[Status]]=$I$5,MIN(Tabelle132[[#This Row],[Jira Story Points]],Tabelle132[[#This Row],[Carry-over]]),0),0)</f>
        <v>0</v>
      </c>
      <c r="Q43" s="156">
        <f>IFERROR(IF(Tabelle132[[#This Row],[Status]]=$I$5,0,MIN(Tabelle132[[#This Row],[Jira Story Points]],Tabelle132[[#This Row],[Carry-over]])-Tabelle132[[#This Row],[SP Completed (COS &amp; SOS)]]),0)</f>
        <v>0</v>
      </c>
    </row>
    <row r="44" spans="1:39" s="46" customFormat="1">
      <c r="A44" s="158" t="s">
        <v>3691</v>
      </c>
      <c r="B44" s="47" t="s">
        <v>3692</v>
      </c>
      <c r="C44" s="76" t="s">
        <v>375</v>
      </c>
      <c r="D44" s="76">
        <v>3</v>
      </c>
      <c r="E44" s="76" t="s">
        <v>216</v>
      </c>
      <c r="F44" s="76">
        <v>3</v>
      </c>
      <c r="G44" s="76" t="s">
        <v>27</v>
      </c>
      <c r="H44" s="76"/>
      <c r="I44" s="103"/>
      <c r="J44" s="76" t="s">
        <v>125</v>
      </c>
      <c r="K44" s="76"/>
      <c r="L44" s="76"/>
      <c r="M44" s="136">
        <f>IF(Tabelle132[[#This Row],[Pulled after Start]]="",MIN(Tabelle132[[#This Row],[Jira Story Points]],Tabelle132[[#This Row],[Carry-over]]),0)</f>
        <v>3</v>
      </c>
      <c r="N44" s="136">
        <f>MIN(Tabelle132[[#This Row],[Jira Story Points]],Tabelle132[[#This Row],[Carry-over]])-Tabelle132[[#This Row],[SP Initially Planned (COS)]]</f>
        <v>0</v>
      </c>
      <c r="O44" s="104">
        <f>IFERROR(IF(Tabelle132[[#This Row],[Status]]=$I$5,0,IF(AND(Tabelle132[[#This Row],[Status]]=$H$5,Tabelle132[[#This Row],[Spill-over]]=0),0,IF(Tabelle132[[#This Row],[Carry-over]]&lt;&gt;0,Tabelle132[[#This Row],[Carry-over]]-Tabelle132[[#This Row],[Spill-over]],Tabelle132[[#This Row],[Jira Story Points]]-Tabelle132[[#This Row],[Spill-over]]))),"-")</f>
        <v>3</v>
      </c>
      <c r="P44" s="136">
        <f>IFERROR(IF(Tabelle132[[#This Row],[Status]]=$I$5,MIN(Tabelle132[[#This Row],[Jira Story Points]],Tabelle132[[#This Row],[Carry-over]]),0),0)</f>
        <v>0</v>
      </c>
      <c r="Q44" s="156">
        <f>IFERROR(IF(Tabelle132[[#This Row],[Status]]=$I$5,0,MIN(Tabelle132[[#This Row],[Jira Story Points]],Tabelle132[[#This Row],[Carry-over]])-Tabelle132[[#This Row],[SP Completed (COS &amp; SOS)]]),0)</f>
        <v>0</v>
      </c>
    </row>
    <row r="45" spans="1:39" s="46" customFormat="1">
      <c r="A45" s="158" t="s">
        <v>3530</v>
      </c>
      <c r="B45" s="47" t="s">
        <v>3531</v>
      </c>
      <c r="C45" s="76" t="s">
        <v>372</v>
      </c>
      <c r="D45" s="76">
        <v>3</v>
      </c>
      <c r="E45" s="76" t="s">
        <v>238</v>
      </c>
      <c r="F45" s="76">
        <v>20</v>
      </c>
      <c r="G45" s="76" t="s">
        <v>27</v>
      </c>
      <c r="H45" s="76"/>
      <c r="I45" s="103"/>
      <c r="J45" s="76" t="s">
        <v>127</v>
      </c>
      <c r="K45" s="76">
        <v>20</v>
      </c>
      <c r="L45" s="76"/>
      <c r="M45" s="136">
        <f>IF(Tabelle132[[#This Row],[Pulled after Start]]="",MIN(Tabelle132[[#This Row],[Jira Story Points]],Tabelle132[[#This Row],[Carry-over]]),0)</f>
        <v>20</v>
      </c>
      <c r="N45" s="136">
        <f>MIN(Tabelle132[[#This Row],[Jira Story Points]],Tabelle132[[#This Row],[Carry-over]])-Tabelle132[[#This Row],[SP Initially Planned (COS)]]</f>
        <v>0</v>
      </c>
      <c r="O45" s="104">
        <f>IFERROR(IF(Tabelle132[[#This Row],[Status]]=$I$5,0,IF(AND(Tabelle132[[#This Row],[Status]]=$H$5,Tabelle132[[#This Row],[Spill-over]]=0),0,IF(Tabelle132[[#This Row],[Carry-over]]&lt;&gt;0,Tabelle132[[#This Row],[Carry-over]]-Tabelle132[[#This Row],[Spill-over]],Tabelle132[[#This Row],[Jira Story Points]]-Tabelle132[[#This Row],[Spill-over]]))),"-")</f>
        <v>0</v>
      </c>
      <c r="P45" s="136">
        <f>IFERROR(IF(Tabelle132[[#This Row],[Status]]=$I$5,MIN(Tabelle132[[#This Row],[Jira Story Points]],Tabelle132[[#This Row],[Carry-over]]),0),0)</f>
        <v>0</v>
      </c>
      <c r="Q45" s="156">
        <f>IFERROR(IF(Tabelle132[[#This Row],[Status]]=$I$5,0,MIN(Tabelle132[[#This Row],[Jira Story Points]],Tabelle132[[#This Row],[Carry-over]])-Tabelle132[[#This Row],[SP Completed (COS &amp; SOS)]]),0)</f>
        <v>20</v>
      </c>
      <c r="AJ45" s="112"/>
      <c r="AK45" s="112"/>
      <c r="AL45" s="112"/>
      <c r="AM45" s="112"/>
    </row>
    <row r="46" spans="1:39" s="46" customFormat="1">
      <c r="A46" s="158" t="s">
        <v>3693</v>
      </c>
      <c r="B46" s="47" t="s">
        <v>3694</v>
      </c>
      <c r="C46" s="76" t="s">
        <v>372</v>
      </c>
      <c r="D46" s="76">
        <v>3</v>
      </c>
      <c r="E46" s="76" t="s">
        <v>254</v>
      </c>
      <c r="F46" s="76">
        <v>8</v>
      </c>
      <c r="G46" s="76" t="s">
        <v>27</v>
      </c>
      <c r="H46" s="76"/>
      <c r="I46" s="103"/>
      <c r="J46" s="76" t="s">
        <v>127</v>
      </c>
      <c r="K46" s="76">
        <v>8</v>
      </c>
      <c r="L46" s="76"/>
      <c r="M46" s="136">
        <f>IF(Tabelle132[[#This Row],[Pulled after Start]]="",MIN(Tabelle132[[#This Row],[Jira Story Points]],Tabelle132[[#This Row],[Carry-over]]),0)</f>
        <v>8</v>
      </c>
      <c r="N46" s="136">
        <f>MIN(Tabelle132[[#This Row],[Jira Story Points]],Tabelle132[[#This Row],[Carry-over]])-Tabelle132[[#This Row],[SP Initially Planned (COS)]]</f>
        <v>0</v>
      </c>
      <c r="O46" s="104">
        <f>IFERROR(IF(Tabelle132[[#This Row],[Status]]=$I$5,0,IF(AND(Tabelle132[[#This Row],[Status]]=$H$5,Tabelle132[[#This Row],[Spill-over]]=0),0,IF(Tabelle132[[#This Row],[Carry-over]]&lt;&gt;0,Tabelle132[[#This Row],[Carry-over]]-Tabelle132[[#This Row],[Spill-over]],Tabelle132[[#This Row],[Jira Story Points]]-Tabelle132[[#This Row],[Spill-over]]))),"-")</f>
        <v>0</v>
      </c>
      <c r="P46" s="136">
        <f>IFERROR(IF(Tabelle132[[#This Row],[Status]]=$I$5,MIN(Tabelle132[[#This Row],[Jira Story Points]],Tabelle132[[#This Row],[Carry-over]]),0),0)</f>
        <v>0</v>
      </c>
      <c r="Q46" s="156">
        <f>IFERROR(IF(Tabelle132[[#This Row],[Status]]=$I$5,0,MIN(Tabelle132[[#This Row],[Jira Story Points]],Tabelle132[[#This Row],[Carry-over]])-Tabelle132[[#This Row],[SP Completed (COS &amp; SOS)]]),0)</f>
        <v>8</v>
      </c>
      <c r="AJ46" s="109"/>
      <c r="AK46" s="109"/>
      <c r="AL46" s="109"/>
      <c r="AM46" s="109"/>
    </row>
    <row r="47" spans="1:39" s="46" customFormat="1">
      <c r="A47" s="158" t="s">
        <v>3533</v>
      </c>
      <c r="B47" s="47" t="s">
        <v>3534</v>
      </c>
      <c r="C47" s="76" t="s">
        <v>372</v>
      </c>
      <c r="D47" s="76">
        <v>3</v>
      </c>
      <c r="E47" s="76" t="s">
        <v>238</v>
      </c>
      <c r="F47" s="76">
        <v>5</v>
      </c>
      <c r="G47" s="76" t="s">
        <v>27</v>
      </c>
      <c r="H47" s="76"/>
      <c r="I47" s="103"/>
      <c r="J47" s="76" t="s">
        <v>127</v>
      </c>
      <c r="K47" s="76"/>
      <c r="L47" s="76"/>
      <c r="M47" s="136">
        <f>IF(Tabelle132[[#This Row],[Pulled after Start]]="",MIN(Tabelle132[[#This Row],[Jira Story Points]],Tabelle132[[#This Row],[Carry-over]]),0)</f>
        <v>5</v>
      </c>
      <c r="N47" s="136">
        <f>MIN(Tabelle132[[#This Row],[Jira Story Points]],Tabelle132[[#This Row],[Carry-over]])-Tabelle132[[#This Row],[SP Initially Planned (COS)]]</f>
        <v>0</v>
      </c>
      <c r="O47" s="104">
        <f>IFERROR(IF(Tabelle132[[#This Row],[Status]]=$I$5,0,IF(AND(Tabelle132[[#This Row],[Status]]=$H$5,Tabelle132[[#This Row],[Spill-over]]=0),0,IF(Tabelle132[[#This Row],[Carry-over]]&lt;&gt;0,Tabelle132[[#This Row],[Carry-over]]-Tabelle132[[#This Row],[Spill-over]],Tabelle132[[#This Row],[Jira Story Points]]-Tabelle132[[#This Row],[Spill-over]]))),"-")</f>
        <v>0</v>
      </c>
      <c r="P47" s="136">
        <f>IFERROR(IF(Tabelle132[[#This Row],[Status]]=$I$5,MIN(Tabelle132[[#This Row],[Jira Story Points]],Tabelle132[[#This Row],[Carry-over]]),0),0)</f>
        <v>0</v>
      </c>
      <c r="Q47" s="156">
        <f>IFERROR(IF(Tabelle132[[#This Row],[Status]]=$I$5,0,MIN(Tabelle132[[#This Row],[Jira Story Points]],Tabelle132[[#This Row],[Carry-over]])-Tabelle132[[#This Row],[SP Completed (COS &amp; SOS)]]),0)</f>
        <v>5</v>
      </c>
      <c r="R47" s="109"/>
      <c r="S47" s="109"/>
      <c r="T47" s="109"/>
      <c r="U47" s="109"/>
      <c r="V47" s="109"/>
      <c r="W47" s="109"/>
      <c r="X47" s="109"/>
      <c r="AJ47" s="109"/>
      <c r="AK47" s="109"/>
      <c r="AL47" s="109"/>
      <c r="AM47" s="109"/>
    </row>
    <row r="48" spans="1:39" s="46" customFormat="1">
      <c r="A48" s="158" t="s">
        <v>3695</v>
      </c>
      <c r="B48" s="47" t="s">
        <v>3696</v>
      </c>
      <c r="C48" s="76" t="s">
        <v>372</v>
      </c>
      <c r="D48" s="76">
        <v>3</v>
      </c>
      <c r="E48" s="76" t="s">
        <v>238</v>
      </c>
      <c r="F48" s="76">
        <v>2</v>
      </c>
      <c r="G48" s="76" t="s">
        <v>27</v>
      </c>
      <c r="H48" s="76"/>
      <c r="I48" s="103"/>
      <c r="J48" s="76" t="s">
        <v>125</v>
      </c>
      <c r="K48" s="76"/>
      <c r="L48" s="76"/>
      <c r="M48" s="136">
        <f>IF(Tabelle132[[#This Row],[Pulled after Start]]="",MIN(Tabelle132[[#This Row],[Jira Story Points]],Tabelle132[[#This Row],[Carry-over]]),0)</f>
        <v>2</v>
      </c>
      <c r="N48" s="136">
        <f>MIN(Tabelle132[[#This Row],[Jira Story Points]],Tabelle132[[#This Row],[Carry-over]])-Tabelle132[[#This Row],[SP Initially Planned (COS)]]</f>
        <v>0</v>
      </c>
      <c r="O48" s="104">
        <f>IFERROR(IF(Tabelle132[[#This Row],[Status]]=$I$5,0,IF(AND(Tabelle132[[#This Row],[Status]]=$H$5,Tabelle132[[#This Row],[Spill-over]]=0),0,IF(Tabelle132[[#This Row],[Carry-over]]&lt;&gt;0,Tabelle132[[#This Row],[Carry-over]]-Tabelle132[[#This Row],[Spill-over]],Tabelle132[[#This Row],[Jira Story Points]]-Tabelle132[[#This Row],[Spill-over]]))),"-")</f>
        <v>2</v>
      </c>
      <c r="P48" s="136">
        <f>IFERROR(IF(Tabelle132[[#This Row],[Status]]=$I$5,MIN(Tabelle132[[#This Row],[Jira Story Points]],Tabelle132[[#This Row],[Carry-over]]),0),0)</f>
        <v>0</v>
      </c>
      <c r="Q48" s="156">
        <f>IFERROR(IF(Tabelle132[[#This Row],[Status]]=$I$5,0,MIN(Tabelle132[[#This Row],[Jira Story Points]],Tabelle132[[#This Row],[Carry-over]])-Tabelle132[[#This Row],[SP Completed (COS &amp; SOS)]]),0)</f>
        <v>0</v>
      </c>
    </row>
    <row r="49" spans="1:17" s="46" customFormat="1">
      <c r="A49" s="158" t="s">
        <v>3697</v>
      </c>
      <c r="B49" s="47" t="s">
        <v>3698</v>
      </c>
      <c r="C49" s="76" t="s">
        <v>375</v>
      </c>
      <c r="D49" s="76">
        <v>1</v>
      </c>
      <c r="E49" s="76" t="s">
        <v>238</v>
      </c>
      <c r="F49" s="76">
        <v>5</v>
      </c>
      <c r="G49" s="76" t="s">
        <v>27</v>
      </c>
      <c r="H49" s="76" t="s">
        <v>209</v>
      </c>
      <c r="I49" s="103"/>
      <c r="J49" s="76" t="s">
        <v>125</v>
      </c>
      <c r="K49" s="76"/>
      <c r="L49" s="76"/>
      <c r="M49" s="136">
        <f>IF(Tabelle132[[#This Row],[Pulled after Start]]="",MIN(Tabelle132[[#This Row],[Jira Story Points]],Tabelle132[[#This Row],[Carry-over]]),0)</f>
        <v>0</v>
      </c>
      <c r="N49" s="136">
        <f>MIN(Tabelle132[[#This Row],[Jira Story Points]],Tabelle132[[#This Row],[Carry-over]])-Tabelle132[[#This Row],[SP Initially Planned (COS)]]</f>
        <v>5</v>
      </c>
      <c r="O49" s="104">
        <f>IFERROR(IF(Tabelle132[[#This Row],[Status]]=$I$5,0,IF(AND(Tabelle132[[#This Row],[Status]]=$H$5,Tabelle132[[#This Row],[Spill-over]]=0),0,IF(Tabelle132[[#This Row],[Carry-over]]&lt;&gt;0,Tabelle132[[#This Row],[Carry-over]]-Tabelle132[[#This Row],[Spill-over]],Tabelle132[[#This Row],[Jira Story Points]]-Tabelle132[[#This Row],[Spill-over]]))),"-")</f>
        <v>5</v>
      </c>
      <c r="P49" s="136">
        <f>IFERROR(IF(Tabelle132[[#This Row],[Status]]=$I$5,MIN(Tabelle132[[#This Row],[Jira Story Points]],Tabelle132[[#This Row],[Carry-over]]),0),0)</f>
        <v>0</v>
      </c>
      <c r="Q49" s="156">
        <f>IFERROR(IF(Tabelle132[[#This Row],[Status]]=$I$5,0,MIN(Tabelle132[[#This Row],[Jira Story Points]],Tabelle132[[#This Row],[Carry-over]])-Tabelle132[[#This Row],[SP Completed (COS &amp; SOS)]]),0)</f>
        <v>0</v>
      </c>
    </row>
    <row r="50" spans="1:17" s="46" customFormat="1">
      <c r="A50" s="158" t="s">
        <v>3699</v>
      </c>
      <c r="B50" s="47" t="s">
        <v>3700</v>
      </c>
      <c r="C50" s="76" t="s">
        <v>372</v>
      </c>
      <c r="D50" s="76">
        <v>3</v>
      </c>
      <c r="E50" s="76" t="s">
        <v>216</v>
      </c>
      <c r="F50" s="76">
        <v>8</v>
      </c>
      <c r="G50" s="76" t="s">
        <v>35</v>
      </c>
      <c r="H50" s="76"/>
      <c r="I50" s="103"/>
      <c r="J50" s="76" t="s">
        <v>125</v>
      </c>
      <c r="K50" s="76"/>
      <c r="L50" s="76"/>
      <c r="M50" s="136">
        <f>IF(Tabelle132[[#This Row],[Pulled after Start]]="",MIN(Tabelle132[[#This Row],[Jira Story Points]],Tabelle132[[#This Row],[Carry-over]]),0)</f>
        <v>8</v>
      </c>
      <c r="N50" s="136">
        <f>MIN(Tabelle132[[#This Row],[Jira Story Points]],Tabelle132[[#This Row],[Carry-over]])-Tabelle132[[#This Row],[SP Initially Planned (COS)]]</f>
        <v>0</v>
      </c>
      <c r="O50" s="104">
        <f>IFERROR(IF(Tabelle132[[#This Row],[Status]]=$I$5,0,IF(AND(Tabelle132[[#This Row],[Status]]=$H$5,Tabelle132[[#This Row],[Spill-over]]=0),0,IF(Tabelle132[[#This Row],[Carry-over]]&lt;&gt;0,Tabelle132[[#This Row],[Carry-over]]-Tabelle132[[#This Row],[Spill-over]],Tabelle132[[#This Row],[Jira Story Points]]-Tabelle132[[#This Row],[Spill-over]]))),"-")</f>
        <v>8</v>
      </c>
      <c r="P50" s="136">
        <f>IFERROR(IF(Tabelle132[[#This Row],[Status]]=$I$5,MIN(Tabelle132[[#This Row],[Jira Story Points]],Tabelle132[[#This Row],[Carry-over]]),0),0)</f>
        <v>0</v>
      </c>
      <c r="Q50" s="156">
        <f>IFERROR(IF(Tabelle132[[#This Row],[Status]]=$I$5,0,MIN(Tabelle132[[#This Row],[Jira Story Points]],Tabelle132[[#This Row],[Carry-over]])-Tabelle132[[#This Row],[SP Completed (COS &amp; SOS)]]),0)</f>
        <v>0</v>
      </c>
    </row>
    <row r="51" spans="1:17" s="46" customFormat="1">
      <c r="A51" s="158" t="s">
        <v>3701</v>
      </c>
      <c r="B51" s="159" t="s">
        <v>3702</v>
      </c>
      <c r="C51" s="76" t="s">
        <v>372</v>
      </c>
      <c r="D51" s="76">
        <v>3</v>
      </c>
      <c r="E51" s="76" t="s">
        <v>216</v>
      </c>
      <c r="F51" s="76">
        <v>3</v>
      </c>
      <c r="G51" s="76" t="s">
        <v>35</v>
      </c>
      <c r="H51" s="76"/>
      <c r="I51" s="103"/>
      <c r="J51" s="76" t="s">
        <v>125</v>
      </c>
      <c r="K51" s="76"/>
      <c r="L51" s="76"/>
      <c r="M51" s="136">
        <f>IF(Tabelle132[[#This Row],[Pulled after Start]]="",MIN(Tabelle132[[#This Row],[Jira Story Points]],Tabelle132[[#This Row],[Carry-over]]),0)</f>
        <v>3</v>
      </c>
      <c r="N51" s="136">
        <f>MIN(Tabelle132[[#This Row],[Jira Story Points]],Tabelle132[[#This Row],[Carry-over]])-Tabelle132[[#This Row],[SP Initially Planned (COS)]]</f>
        <v>0</v>
      </c>
      <c r="O51" s="104">
        <f>IFERROR(IF(Tabelle132[[#This Row],[Status]]=$I$5,0,IF(AND(Tabelle132[[#This Row],[Status]]=$H$5,Tabelle132[[#This Row],[Spill-over]]=0),0,IF(Tabelle132[[#This Row],[Carry-over]]&lt;&gt;0,Tabelle132[[#This Row],[Carry-over]]-Tabelle132[[#This Row],[Spill-over]],Tabelle132[[#This Row],[Jira Story Points]]-Tabelle132[[#This Row],[Spill-over]]))),"-")</f>
        <v>3</v>
      </c>
      <c r="P51" s="136">
        <f>IFERROR(IF(Tabelle132[[#This Row],[Status]]=$I$5,MIN(Tabelle132[[#This Row],[Jira Story Points]],Tabelle132[[#This Row],[Carry-over]]),0),0)</f>
        <v>0</v>
      </c>
      <c r="Q51" s="156">
        <f>IFERROR(IF(Tabelle132[[#This Row],[Status]]=$I$5,0,MIN(Tabelle132[[#This Row],[Jira Story Points]],Tabelle132[[#This Row],[Carry-over]])-Tabelle132[[#This Row],[SP Completed (COS &amp; SOS)]]),0)</f>
        <v>0</v>
      </c>
    </row>
    <row r="52" spans="1:17" s="46" customFormat="1">
      <c r="A52" s="158" t="s">
        <v>3703</v>
      </c>
      <c r="B52" s="47" t="s">
        <v>3704</v>
      </c>
      <c r="C52" s="76" t="s">
        <v>372</v>
      </c>
      <c r="D52" s="76">
        <v>3</v>
      </c>
      <c r="E52" s="76" t="s">
        <v>216</v>
      </c>
      <c r="F52" s="76">
        <v>3</v>
      </c>
      <c r="G52" s="76" t="s">
        <v>35</v>
      </c>
      <c r="H52" s="76"/>
      <c r="I52" s="103"/>
      <c r="J52" s="76" t="s">
        <v>125</v>
      </c>
      <c r="K52" s="76"/>
      <c r="L52" s="76"/>
      <c r="M52" s="136">
        <f>IF(Tabelle132[[#This Row],[Pulled after Start]]="",MIN(Tabelle132[[#This Row],[Jira Story Points]],Tabelle132[[#This Row],[Carry-over]]),0)</f>
        <v>3</v>
      </c>
      <c r="N52" s="136">
        <f>MIN(Tabelle132[[#This Row],[Jira Story Points]],Tabelle132[[#This Row],[Carry-over]])-Tabelle132[[#This Row],[SP Initially Planned (COS)]]</f>
        <v>0</v>
      </c>
      <c r="O52" s="104">
        <f>IFERROR(IF(Tabelle132[[#This Row],[Status]]=$I$5,0,IF(AND(Tabelle132[[#This Row],[Status]]=$H$5,Tabelle132[[#This Row],[Spill-over]]=0),0,IF(Tabelle132[[#This Row],[Carry-over]]&lt;&gt;0,Tabelle132[[#This Row],[Carry-over]]-Tabelle132[[#This Row],[Spill-over]],Tabelle132[[#This Row],[Jira Story Points]]-Tabelle132[[#This Row],[Spill-over]]))),"-")</f>
        <v>3</v>
      </c>
      <c r="P52" s="136">
        <f>IFERROR(IF(Tabelle132[[#This Row],[Status]]=$I$5,MIN(Tabelle132[[#This Row],[Jira Story Points]],Tabelle132[[#This Row],[Carry-over]]),0),0)</f>
        <v>0</v>
      </c>
      <c r="Q52" s="156">
        <f>IFERROR(IF(Tabelle132[[#This Row],[Status]]=$I$5,0,MIN(Tabelle132[[#This Row],[Jira Story Points]],Tabelle132[[#This Row],[Carry-over]])-Tabelle132[[#This Row],[SP Completed (COS &amp; SOS)]]),0)</f>
        <v>0</v>
      </c>
    </row>
    <row r="53" spans="1:17" s="46" customFormat="1">
      <c r="A53" s="158" t="s">
        <v>3705</v>
      </c>
      <c r="B53" s="47" t="s">
        <v>3706</v>
      </c>
      <c r="C53" s="76" t="s">
        <v>372</v>
      </c>
      <c r="D53" s="76">
        <v>3</v>
      </c>
      <c r="E53" s="76" t="s">
        <v>216</v>
      </c>
      <c r="F53" s="76">
        <v>8</v>
      </c>
      <c r="G53" s="76" t="s">
        <v>35</v>
      </c>
      <c r="H53" s="76"/>
      <c r="I53" s="103"/>
      <c r="J53" s="76" t="s">
        <v>125</v>
      </c>
      <c r="K53" s="76"/>
      <c r="L53" s="76"/>
      <c r="M53" s="136">
        <f>IF(Tabelle132[[#This Row],[Pulled after Start]]="",MIN(Tabelle132[[#This Row],[Jira Story Points]],Tabelle132[[#This Row],[Carry-over]]),0)</f>
        <v>8</v>
      </c>
      <c r="N53" s="136">
        <f>MIN(Tabelle132[[#This Row],[Jira Story Points]],Tabelle132[[#This Row],[Carry-over]])-Tabelle132[[#This Row],[SP Initially Planned (COS)]]</f>
        <v>0</v>
      </c>
      <c r="O53" s="104">
        <f>IFERROR(IF(Tabelle132[[#This Row],[Status]]=$I$5,0,IF(AND(Tabelle132[[#This Row],[Status]]=$H$5,Tabelle132[[#This Row],[Spill-over]]=0),0,IF(Tabelle132[[#This Row],[Carry-over]]&lt;&gt;0,Tabelle132[[#This Row],[Carry-over]]-Tabelle132[[#This Row],[Spill-over]],Tabelle132[[#This Row],[Jira Story Points]]-Tabelle132[[#This Row],[Spill-over]]))),"-")</f>
        <v>8</v>
      </c>
      <c r="P53" s="136">
        <f>IFERROR(IF(Tabelle132[[#This Row],[Status]]=$I$5,MIN(Tabelle132[[#This Row],[Jira Story Points]],Tabelle132[[#This Row],[Carry-over]]),0),0)</f>
        <v>0</v>
      </c>
      <c r="Q53" s="156">
        <f>IFERROR(IF(Tabelle132[[#This Row],[Status]]=$I$5,0,MIN(Tabelle132[[#This Row],[Jira Story Points]],Tabelle132[[#This Row],[Carry-over]])-Tabelle132[[#This Row],[SP Completed (COS &amp; SOS)]]),0)</f>
        <v>0</v>
      </c>
    </row>
    <row r="54" spans="1:17" s="46" customFormat="1">
      <c r="A54" s="158" t="s">
        <v>3707</v>
      </c>
      <c r="B54" s="47" t="s">
        <v>3708</v>
      </c>
      <c r="C54" s="76" t="s">
        <v>372</v>
      </c>
      <c r="D54" s="76">
        <v>3</v>
      </c>
      <c r="E54" s="76" t="s">
        <v>216</v>
      </c>
      <c r="F54" s="76">
        <v>5</v>
      </c>
      <c r="G54" s="76" t="s">
        <v>35</v>
      </c>
      <c r="H54" s="76"/>
      <c r="I54" s="103"/>
      <c r="J54" s="76" t="s">
        <v>125</v>
      </c>
      <c r="K54" s="76"/>
      <c r="L54" s="76"/>
      <c r="M54" s="136">
        <f>IF(Tabelle132[[#This Row],[Pulled after Start]]="",MIN(Tabelle132[[#This Row],[Jira Story Points]],Tabelle132[[#This Row],[Carry-over]]),0)</f>
        <v>5</v>
      </c>
      <c r="N54" s="136">
        <f>MIN(Tabelle132[[#This Row],[Jira Story Points]],Tabelle132[[#This Row],[Carry-over]])-Tabelle132[[#This Row],[SP Initially Planned (COS)]]</f>
        <v>0</v>
      </c>
      <c r="O54" s="104">
        <f>IFERROR(IF(Tabelle132[[#This Row],[Status]]=$I$5,0,IF(AND(Tabelle132[[#This Row],[Status]]=$H$5,Tabelle132[[#This Row],[Spill-over]]=0),0,IF(Tabelle132[[#This Row],[Carry-over]]&lt;&gt;0,Tabelle132[[#This Row],[Carry-over]]-Tabelle132[[#This Row],[Spill-over]],Tabelle132[[#This Row],[Jira Story Points]]-Tabelle132[[#This Row],[Spill-over]]))),"-")</f>
        <v>5</v>
      </c>
      <c r="P54" s="136">
        <f>IFERROR(IF(Tabelle132[[#This Row],[Status]]=$I$5,MIN(Tabelle132[[#This Row],[Jira Story Points]],Tabelle132[[#This Row],[Carry-over]]),0),0)</f>
        <v>0</v>
      </c>
      <c r="Q54" s="156">
        <f>IFERROR(IF(Tabelle132[[#This Row],[Status]]=$I$5,0,MIN(Tabelle132[[#This Row],[Jira Story Points]],Tabelle132[[#This Row],[Carry-over]])-Tabelle132[[#This Row],[SP Completed (COS &amp; SOS)]]),0)</f>
        <v>0</v>
      </c>
    </row>
    <row r="55" spans="1:17" s="46" customFormat="1">
      <c r="A55" s="158" t="s">
        <v>3709</v>
      </c>
      <c r="B55" s="47" t="s">
        <v>3710</v>
      </c>
      <c r="C55" s="76" t="s">
        <v>372</v>
      </c>
      <c r="D55" s="76">
        <v>3</v>
      </c>
      <c r="E55" s="76" t="s">
        <v>216</v>
      </c>
      <c r="F55" s="76">
        <v>2</v>
      </c>
      <c r="G55" s="76" t="s">
        <v>35</v>
      </c>
      <c r="H55" s="76"/>
      <c r="I55" s="103"/>
      <c r="J55" s="76" t="s">
        <v>125</v>
      </c>
      <c r="K55" s="76"/>
      <c r="L55" s="76"/>
      <c r="M55" s="136">
        <f>IF(Tabelle132[[#This Row],[Pulled after Start]]="",MIN(Tabelle132[[#This Row],[Jira Story Points]],Tabelle132[[#This Row],[Carry-over]]),0)</f>
        <v>2</v>
      </c>
      <c r="N55" s="136">
        <f>MIN(Tabelle132[[#This Row],[Jira Story Points]],Tabelle132[[#This Row],[Carry-over]])-Tabelle132[[#This Row],[SP Initially Planned (COS)]]</f>
        <v>0</v>
      </c>
      <c r="O55" s="104">
        <f>IFERROR(IF(Tabelle132[[#This Row],[Status]]=$I$5,0,IF(AND(Tabelle132[[#This Row],[Status]]=$H$5,Tabelle132[[#This Row],[Spill-over]]=0),0,IF(Tabelle132[[#This Row],[Carry-over]]&lt;&gt;0,Tabelle132[[#This Row],[Carry-over]]-Tabelle132[[#This Row],[Spill-over]],Tabelle132[[#This Row],[Jira Story Points]]-Tabelle132[[#This Row],[Spill-over]]))),"-")</f>
        <v>2</v>
      </c>
      <c r="P55" s="136">
        <f>IFERROR(IF(Tabelle132[[#This Row],[Status]]=$I$5,MIN(Tabelle132[[#This Row],[Jira Story Points]],Tabelle132[[#This Row],[Carry-over]]),0),0)</f>
        <v>0</v>
      </c>
      <c r="Q55" s="156">
        <f>IFERROR(IF(Tabelle132[[#This Row],[Status]]=$I$5,0,MIN(Tabelle132[[#This Row],[Jira Story Points]],Tabelle132[[#This Row],[Carry-over]])-Tabelle132[[#This Row],[SP Completed (COS &amp; SOS)]]),0)</f>
        <v>0</v>
      </c>
    </row>
    <row r="56" spans="1:17" s="46" customFormat="1">
      <c r="A56" s="158" t="s">
        <v>3711</v>
      </c>
      <c r="B56" s="47" t="s">
        <v>3712</v>
      </c>
      <c r="C56" s="76" t="s">
        <v>372</v>
      </c>
      <c r="D56" s="76">
        <v>3</v>
      </c>
      <c r="E56" s="76" t="s">
        <v>216</v>
      </c>
      <c r="F56" s="76">
        <v>3</v>
      </c>
      <c r="G56" s="76" t="s">
        <v>35</v>
      </c>
      <c r="H56" s="76"/>
      <c r="I56" s="103"/>
      <c r="J56" s="76" t="s">
        <v>125</v>
      </c>
      <c r="K56" s="76"/>
      <c r="L56" s="76"/>
      <c r="M56" s="136">
        <f>IF(Tabelle132[[#This Row],[Pulled after Start]]="",MIN(Tabelle132[[#This Row],[Jira Story Points]],Tabelle132[[#This Row],[Carry-over]]),0)</f>
        <v>3</v>
      </c>
      <c r="N56" s="136">
        <f>MIN(Tabelle132[[#This Row],[Jira Story Points]],Tabelle132[[#This Row],[Carry-over]])-Tabelle132[[#This Row],[SP Initially Planned (COS)]]</f>
        <v>0</v>
      </c>
      <c r="O56" s="104">
        <f>IFERROR(IF(Tabelle132[[#This Row],[Status]]=$I$5,0,IF(AND(Tabelle132[[#This Row],[Status]]=$H$5,Tabelle132[[#This Row],[Spill-over]]=0),0,IF(Tabelle132[[#This Row],[Carry-over]]&lt;&gt;0,Tabelle132[[#This Row],[Carry-over]]-Tabelle132[[#This Row],[Spill-over]],Tabelle132[[#This Row],[Jira Story Points]]-Tabelle132[[#This Row],[Spill-over]]))),"-")</f>
        <v>3</v>
      </c>
      <c r="P56" s="136">
        <f>IFERROR(IF(Tabelle132[[#This Row],[Status]]=$I$5,MIN(Tabelle132[[#This Row],[Jira Story Points]],Tabelle132[[#This Row],[Carry-over]]),0),0)</f>
        <v>0</v>
      </c>
      <c r="Q56" s="156">
        <f>IFERROR(IF(Tabelle132[[#This Row],[Status]]=$I$5,0,MIN(Tabelle132[[#This Row],[Jira Story Points]],Tabelle132[[#This Row],[Carry-over]])-Tabelle132[[#This Row],[SP Completed (COS &amp; SOS)]]),0)</f>
        <v>0</v>
      </c>
    </row>
    <row r="57" spans="1:17" s="46" customFormat="1">
      <c r="A57" s="158" t="s">
        <v>3713</v>
      </c>
      <c r="B57" s="47" t="s">
        <v>3714</v>
      </c>
      <c r="C57" s="76" t="s">
        <v>372</v>
      </c>
      <c r="D57" s="76">
        <v>3</v>
      </c>
      <c r="E57" s="76" t="s">
        <v>216</v>
      </c>
      <c r="F57" s="76">
        <v>1</v>
      </c>
      <c r="G57" s="76" t="s">
        <v>35</v>
      </c>
      <c r="H57" s="76"/>
      <c r="I57" s="103"/>
      <c r="J57" s="76" t="s">
        <v>125</v>
      </c>
      <c r="K57" s="76"/>
      <c r="L57" s="76"/>
      <c r="M57" s="136">
        <f>IF(Tabelle132[[#This Row],[Pulled after Start]]="",MIN(Tabelle132[[#This Row],[Jira Story Points]],Tabelle132[[#This Row],[Carry-over]]),0)</f>
        <v>1</v>
      </c>
      <c r="N57" s="136">
        <f>MIN(Tabelle132[[#This Row],[Jira Story Points]],Tabelle132[[#This Row],[Carry-over]])-Tabelle132[[#This Row],[SP Initially Planned (COS)]]</f>
        <v>0</v>
      </c>
      <c r="O57" s="104">
        <f>IFERROR(IF(Tabelle132[[#This Row],[Status]]=$I$5,0,IF(AND(Tabelle132[[#This Row],[Status]]=$H$5,Tabelle132[[#This Row],[Spill-over]]=0),0,IF(Tabelle132[[#This Row],[Carry-over]]&lt;&gt;0,Tabelle132[[#This Row],[Carry-over]]-Tabelle132[[#This Row],[Spill-over]],Tabelle132[[#This Row],[Jira Story Points]]-Tabelle132[[#This Row],[Spill-over]]))),"-")</f>
        <v>1</v>
      </c>
      <c r="P57" s="136">
        <f>IFERROR(IF(Tabelle132[[#This Row],[Status]]=$I$5,MIN(Tabelle132[[#This Row],[Jira Story Points]],Tabelle132[[#This Row],[Carry-over]]),0),0)</f>
        <v>0</v>
      </c>
      <c r="Q57" s="156">
        <f>IFERROR(IF(Tabelle132[[#This Row],[Status]]=$I$5,0,MIN(Tabelle132[[#This Row],[Jira Story Points]],Tabelle132[[#This Row],[Carry-over]])-Tabelle132[[#This Row],[SP Completed (COS &amp; SOS)]]),0)</f>
        <v>0</v>
      </c>
    </row>
    <row r="58" spans="1:17" s="46" customFormat="1">
      <c r="A58" s="158" t="s">
        <v>3715</v>
      </c>
      <c r="B58" s="47" t="s">
        <v>3716</v>
      </c>
      <c r="C58" s="76" t="s">
        <v>372</v>
      </c>
      <c r="D58" s="76">
        <v>3</v>
      </c>
      <c r="E58" s="76" t="s">
        <v>216</v>
      </c>
      <c r="F58" s="76" t="s">
        <v>210</v>
      </c>
      <c r="G58" s="76" t="s">
        <v>35</v>
      </c>
      <c r="H58" s="76" t="s">
        <v>209</v>
      </c>
      <c r="I58" s="103"/>
      <c r="J58" s="76" t="s">
        <v>125</v>
      </c>
      <c r="K58" s="76"/>
      <c r="L58" s="76"/>
      <c r="M58" s="136">
        <f>IF(Tabelle132[[#This Row],[Pulled after Start]]="",MIN(Tabelle132[[#This Row],[Jira Story Points]],Tabelle132[[#This Row],[Carry-over]]),0)</f>
        <v>0</v>
      </c>
      <c r="N58" s="136">
        <f>MIN(Tabelle132[[#This Row],[Jira Story Points]],Tabelle132[[#This Row],[Carry-over]])-Tabelle132[[#This Row],[SP Initially Planned (COS)]]</f>
        <v>0</v>
      </c>
      <c r="O58" s="104" t="str">
        <f>IFERROR(IF(Tabelle132[[#This Row],[Status]]=$I$5,0,IF(AND(Tabelle132[[#This Row],[Status]]=$H$5,Tabelle132[[#This Row],[Spill-over]]=0),0,IF(Tabelle132[[#This Row],[Carry-over]]&lt;&gt;0,Tabelle132[[#This Row],[Carry-over]]-Tabelle132[[#This Row],[Spill-over]],Tabelle132[[#This Row],[Jira Story Points]]-Tabelle132[[#This Row],[Spill-over]]))),"-")</f>
        <v>-</v>
      </c>
      <c r="P58" s="136">
        <f>IFERROR(IF(Tabelle132[[#This Row],[Status]]=$I$5,MIN(Tabelle132[[#This Row],[Jira Story Points]],Tabelle132[[#This Row],[Carry-over]]),0),0)</f>
        <v>0</v>
      </c>
      <c r="Q58" s="156">
        <f>IFERROR(IF(Tabelle132[[#This Row],[Status]]=$I$5,0,MIN(Tabelle132[[#This Row],[Jira Story Points]],Tabelle132[[#This Row],[Carry-over]])-Tabelle132[[#This Row],[SP Completed (COS &amp; SOS)]]),0)</f>
        <v>0</v>
      </c>
    </row>
    <row r="59" spans="1:17" s="46" customFormat="1">
      <c r="A59" s="157" t="s">
        <v>3717</v>
      </c>
      <c r="B59" s="47" t="s">
        <v>3718</v>
      </c>
      <c r="C59" s="76" t="s">
        <v>372</v>
      </c>
      <c r="D59" s="76">
        <v>2</v>
      </c>
      <c r="E59" s="76" t="s">
        <v>216</v>
      </c>
      <c r="F59" s="104">
        <v>5</v>
      </c>
      <c r="G59" s="76" t="s">
        <v>35</v>
      </c>
      <c r="H59" s="83" t="s">
        <v>209</v>
      </c>
      <c r="I59" s="103" t="s">
        <v>3719</v>
      </c>
      <c r="J59" s="76" t="s">
        <v>125</v>
      </c>
      <c r="K59" s="104"/>
      <c r="L59" s="104"/>
      <c r="M59" s="136">
        <f>IF(Tabelle132[[#This Row],[Pulled after Start]]="",MIN(Tabelle132[[#This Row],[Jira Story Points]],Tabelle132[[#This Row],[Carry-over]]),0)</f>
        <v>0</v>
      </c>
      <c r="N59" s="136">
        <f>MIN(Tabelle132[[#This Row],[Jira Story Points]],Tabelle132[[#This Row],[Carry-over]])-Tabelle132[[#This Row],[SP Initially Planned (COS)]]</f>
        <v>5</v>
      </c>
      <c r="O59" s="104">
        <f>IFERROR(IF(Tabelle132[[#This Row],[Status]]=$I$5,0,IF(AND(Tabelle132[[#This Row],[Status]]=$H$5,Tabelle132[[#This Row],[Spill-over]]=0),0,IF(Tabelle132[[#This Row],[Carry-over]]&lt;&gt;0,Tabelle132[[#This Row],[Carry-over]]-Tabelle132[[#This Row],[Spill-over]],Tabelle132[[#This Row],[Jira Story Points]]-Tabelle132[[#This Row],[Spill-over]]))),"-")</f>
        <v>5</v>
      </c>
      <c r="P59" s="136">
        <f>IFERROR(IF(Tabelle132[[#This Row],[Status]]=$I$5,MIN(Tabelle132[[#This Row],[Jira Story Points]],Tabelle132[[#This Row],[Carry-over]]),0),0)</f>
        <v>0</v>
      </c>
      <c r="Q59" s="156">
        <f>IFERROR(IF(Tabelle132[[#This Row],[Status]]=$I$5,0,MIN(Tabelle132[[#This Row],[Jira Story Points]],Tabelle132[[#This Row],[Carry-over]])-Tabelle132[[#This Row],[SP Completed (COS &amp; SOS)]]),0)</f>
        <v>0</v>
      </c>
    </row>
    <row r="60" spans="1:17" s="46" customFormat="1">
      <c r="A60" s="158" t="s">
        <v>3489</v>
      </c>
      <c r="B60" s="47" t="s">
        <v>3490</v>
      </c>
      <c r="C60" s="76" t="s">
        <v>372</v>
      </c>
      <c r="D60" s="76">
        <v>3</v>
      </c>
      <c r="E60" s="76" t="s">
        <v>238</v>
      </c>
      <c r="F60" s="76">
        <v>3</v>
      </c>
      <c r="G60" s="76" t="s">
        <v>35</v>
      </c>
      <c r="H60" s="76"/>
      <c r="I60" s="103"/>
      <c r="J60" s="76" t="s">
        <v>127</v>
      </c>
      <c r="K60" s="76"/>
      <c r="L60" s="76"/>
      <c r="M60" s="136">
        <f>IF(Tabelle132[[#This Row],[Pulled after Start]]="",MIN(Tabelle132[[#This Row],[Jira Story Points]],Tabelle132[[#This Row],[Carry-over]]),0)</f>
        <v>3</v>
      </c>
      <c r="N60" s="136">
        <f>MIN(Tabelle132[[#This Row],[Jira Story Points]],Tabelle132[[#This Row],[Carry-over]])-Tabelle132[[#This Row],[SP Initially Planned (COS)]]</f>
        <v>0</v>
      </c>
      <c r="O60" s="104">
        <f>IFERROR(IF(Tabelle132[[#This Row],[Status]]=$I$5,0,IF(AND(Tabelle132[[#This Row],[Status]]=$H$5,Tabelle132[[#This Row],[Spill-over]]=0),0,IF(Tabelle132[[#This Row],[Carry-over]]&lt;&gt;0,Tabelle132[[#This Row],[Carry-over]]-Tabelle132[[#This Row],[Spill-over]],Tabelle132[[#This Row],[Jira Story Points]]-Tabelle132[[#This Row],[Spill-over]]))),"-")</f>
        <v>0</v>
      </c>
      <c r="P60" s="136">
        <f>IFERROR(IF(Tabelle132[[#This Row],[Status]]=$I$5,MIN(Tabelle132[[#This Row],[Jira Story Points]],Tabelle132[[#This Row],[Carry-over]]),0),0)</f>
        <v>0</v>
      </c>
      <c r="Q60" s="156">
        <f>IFERROR(IF(Tabelle132[[#This Row],[Status]]=$I$5,0,MIN(Tabelle132[[#This Row],[Jira Story Points]],Tabelle132[[#This Row],[Carry-over]])-Tabelle132[[#This Row],[SP Completed (COS &amp; SOS)]]),0)</f>
        <v>3</v>
      </c>
    </row>
    <row r="61" spans="1:17" s="46" customFormat="1">
      <c r="A61" s="158" t="s">
        <v>3454</v>
      </c>
      <c r="B61" s="47" t="s">
        <v>3455</v>
      </c>
      <c r="C61" s="76" t="s">
        <v>372</v>
      </c>
      <c r="D61" s="76">
        <v>3</v>
      </c>
      <c r="E61" s="76" t="s">
        <v>351</v>
      </c>
      <c r="F61" s="76">
        <v>3</v>
      </c>
      <c r="G61" s="76" t="s">
        <v>35</v>
      </c>
      <c r="H61" s="76"/>
      <c r="I61" s="103"/>
      <c r="J61" s="76" t="s">
        <v>127</v>
      </c>
      <c r="K61" s="76"/>
      <c r="L61" s="76"/>
      <c r="M61" s="136">
        <f>IF(Tabelle132[[#This Row],[Pulled after Start]]="",MIN(Tabelle132[[#This Row],[Jira Story Points]],Tabelle132[[#This Row],[Carry-over]]),0)</f>
        <v>3</v>
      </c>
      <c r="N61" s="136">
        <f>MIN(Tabelle132[[#This Row],[Jira Story Points]],Tabelle132[[#This Row],[Carry-over]])-Tabelle132[[#This Row],[SP Initially Planned (COS)]]</f>
        <v>0</v>
      </c>
      <c r="O61" s="104">
        <f>IFERROR(IF(Tabelle132[[#This Row],[Status]]=$I$5,0,IF(AND(Tabelle132[[#This Row],[Status]]=$H$5,Tabelle132[[#This Row],[Spill-over]]=0),0,IF(Tabelle132[[#This Row],[Carry-over]]&lt;&gt;0,Tabelle132[[#This Row],[Carry-over]]-Tabelle132[[#This Row],[Spill-over]],Tabelle132[[#This Row],[Jira Story Points]]-Tabelle132[[#This Row],[Spill-over]]))),"-")</f>
        <v>0</v>
      </c>
      <c r="P61" s="136">
        <f>IFERROR(IF(Tabelle132[[#This Row],[Status]]=$I$5,MIN(Tabelle132[[#This Row],[Jira Story Points]],Tabelle132[[#This Row],[Carry-over]]),0),0)</f>
        <v>0</v>
      </c>
      <c r="Q61" s="156">
        <f>IFERROR(IF(Tabelle132[[#This Row],[Status]]=$I$5,0,MIN(Tabelle132[[#This Row],[Jira Story Points]],Tabelle132[[#This Row],[Carry-over]])-Tabelle132[[#This Row],[SP Completed (COS &amp; SOS)]]),0)</f>
        <v>3</v>
      </c>
    </row>
    <row r="62" spans="1:17" s="46" customFormat="1">
      <c r="A62" s="158" t="s">
        <v>3720</v>
      </c>
      <c r="B62" s="47" t="s">
        <v>3721</v>
      </c>
      <c r="C62" s="76" t="s">
        <v>372</v>
      </c>
      <c r="D62" s="76">
        <v>3</v>
      </c>
      <c r="E62" s="76" t="s">
        <v>216</v>
      </c>
      <c r="F62" s="76">
        <v>5</v>
      </c>
      <c r="G62" s="76" t="s">
        <v>35</v>
      </c>
      <c r="H62" s="76"/>
      <c r="I62" s="103"/>
      <c r="J62" s="76" t="s">
        <v>125</v>
      </c>
      <c r="K62" s="76"/>
      <c r="L62" s="76"/>
      <c r="M62" s="136">
        <f>IF(Tabelle132[[#This Row],[Pulled after Start]]="",MIN(Tabelle132[[#This Row],[Jira Story Points]],Tabelle132[[#This Row],[Carry-over]]),0)</f>
        <v>5</v>
      </c>
      <c r="N62" s="136">
        <f>MIN(Tabelle132[[#This Row],[Jira Story Points]],Tabelle132[[#This Row],[Carry-over]])-Tabelle132[[#This Row],[SP Initially Planned (COS)]]</f>
        <v>0</v>
      </c>
      <c r="O62" s="104">
        <f>IFERROR(IF(Tabelle132[[#This Row],[Status]]=$I$5,0,IF(AND(Tabelle132[[#This Row],[Status]]=$H$5,Tabelle132[[#This Row],[Spill-over]]=0),0,IF(Tabelle132[[#This Row],[Carry-over]]&lt;&gt;0,Tabelle132[[#This Row],[Carry-over]]-Tabelle132[[#This Row],[Spill-over]],Tabelle132[[#This Row],[Jira Story Points]]-Tabelle132[[#This Row],[Spill-over]]))),"-")</f>
        <v>5</v>
      </c>
      <c r="P62" s="136">
        <f>IFERROR(IF(Tabelle132[[#This Row],[Status]]=$I$5,MIN(Tabelle132[[#This Row],[Jira Story Points]],Tabelle132[[#This Row],[Carry-over]]),0),0)</f>
        <v>0</v>
      </c>
      <c r="Q62" s="156">
        <f>IFERROR(IF(Tabelle132[[#This Row],[Status]]=$I$5,0,MIN(Tabelle132[[#This Row],[Jira Story Points]],Tabelle132[[#This Row],[Carry-over]])-Tabelle132[[#This Row],[SP Completed (COS &amp; SOS)]]),0)</f>
        <v>0</v>
      </c>
    </row>
    <row r="63" spans="1:17" s="46" customFormat="1">
      <c r="A63" s="158" t="s">
        <v>3722</v>
      </c>
      <c r="B63" s="47" t="s">
        <v>3723</v>
      </c>
      <c r="C63" s="76" t="s">
        <v>372</v>
      </c>
      <c r="D63" s="76">
        <v>3</v>
      </c>
      <c r="E63" s="76" t="s">
        <v>216</v>
      </c>
      <c r="F63" s="76">
        <v>5</v>
      </c>
      <c r="G63" s="76" t="s">
        <v>35</v>
      </c>
      <c r="H63" s="76"/>
      <c r="I63" s="103"/>
      <c r="J63" s="76" t="s">
        <v>125</v>
      </c>
      <c r="K63" s="76"/>
      <c r="L63" s="76"/>
      <c r="M63" s="136">
        <f>IF(Tabelle132[[#This Row],[Pulled after Start]]="",MIN(Tabelle132[[#This Row],[Jira Story Points]],Tabelle132[[#This Row],[Carry-over]]),0)</f>
        <v>5</v>
      </c>
      <c r="N63" s="136">
        <f>MIN(Tabelle132[[#This Row],[Jira Story Points]],Tabelle132[[#This Row],[Carry-over]])-Tabelle132[[#This Row],[SP Initially Planned (COS)]]</f>
        <v>0</v>
      </c>
      <c r="O63" s="104">
        <f>IFERROR(IF(Tabelle132[[#This Row],[Status]]=$I$5,0,IF(AND(Tabelle132[[#This Row],[Status]]=$H$5,Tabelle132[[#This Row],[Spill-over]]=0),0,IF(Tabelle132[[#This Row],[Carry-over]]&lt;&gt;0,Tabelle132[[#This Row],[Carry-over]]-Tabelle132[[#This Row],[Spill-over]],Tabelle132[[#This Row],[Jira Story Points]]-Tabelle132[[#This Row],[Spill-over]]))),"-")</f>
        <v>5</v>
      </c>
      <c r="P63" s="136">
        <f>IFERROR(IF(Tabelle132[[#This Row],[Status]]=$I$5,MIN(Tabelle132[[#This Row],[Jira Story Points]],Tabelle132[[#This Row],[Carry-over]]),0),0)</f>
        <v>0</v>
      </c>
      <c r="Q63" s="156">
        <f>IFERROR(IF(Tabelle132[[#This Row],[Status]]=$I$5,0,MIN(Tabelle132[[#This Row],[Jira Story Points]],Tabelle132[[#This Row],[Carry-over]])-Tabelle132[[#This Row],[SP Completed (COS &amp; SOS)]]),0)</f>
        <v>0</v>
      </c>
    </row>
    <row r="64" spans="1:17" s="46" customFormat="1">
      <c r="A64" s="158" t="s">
        <v>3724</v>
      </c>
      <c r="B64" s="47" t="s">
        <v>3725</v>
      </c>
      <c r="C64" s="76" t="s">
        <v>372</v>
      </c>
      <c r="D64" s="76">
        <v>3</v>
      </c>
      <c r="E64" s="76" t="s">
        <v>216</v>
      </c>
      <c r="F64" s="76">
        <v>5</v>
      </c>
      <c r="G64" s="76" t="s">
        <v>35</v>
      </c>
      <c r="H64" s="76"/>
      <c r="I64" s="103"/>
      <c r="J64" s="76" t="s">
        <v>125</v>
      </c>
      <c r="K64" s="76"/>
      <c r="L64" s="76"/>
      <c r="M64" s="136">
        <f>IF(Tabelle132[[#This Row],[Pulled after Start]]="",MIN(Tabelle132[[#This Row],[Jira Story Points]],Tabelle132[[#This Row],[Carry-over]]),0)</f>
        <v>5</v>
      </c>
      <c r="N64" s="136">
        <f>MIN(Tabelle132[[#This Row],[Jira Story Points]],Tabelle132[[#This Row],[Carry-over]])-Tabelle132[[#This Row],[SP Initially Planned (COS)]]</f>
        <v>0</v>
      </c>
      <c r="O64" s="104">
        <f>IFERROR(IF(Tabelle132[[#This Row],[Status]]=$I$5,0,IF(AND(Tabelle132[[#This Row],[Status]]=$H$5,Tabelle132[[#This Row],[Spill-over]]=0),0,IF(Tabelle132[[#This Row],[Carry-over]]&lt;&gt;0,Tabelle132[[#This Row],[Carry-over]]-Tabelle132[[#This Row],[Spill-over]],Tabelle132[[#This Row],[Jira Story Points]]-Tabelle132[[#This Row],[Spill-over]]))),"-")</f>
        <v>5</v>
      </c>
      <c r="P64" s="136">
        <f>IFERROR(IF(Tabelle132[[#This Row],[Status]]=$I$5,MIN(Tabelle132[[#This Row],[Jira Story Points]],Tabelle132[[#This Row],[Carry-over]]),0),0)</f>
        <v>0</v>
      </c>
      <c r="Q64" s="156">
        <f>IFERROR(IF(Tabelle132[[#This Row],[Status]]=$I$5,0,MIN(Tabelle132[[#This Row],[Jira Story Points]],Tabelle132[[#This Row],[Carry-over]])-Tabelle132[[#This Row],[SP Completed (COS &amp; SOS)]]),0)</f>
        <v>0</v>
      </c>
    </row>
    <row r="65" spans="1:17" s="46" customFormat="1">
      <c r="A65" s="158" t="s">
        <v>3726</v>
      </c>
      <c r="B65" s="47" t="s">
        <v>3727</v>
      </c>
      <c r="C65" s="76" t="s">
        <v>372</v>
      </c>
      <c r="D65" s="76">
        <v>3</v>
      </c>
      <c r="E65" s="76" t="s">
        <v>226</v>
      </c>
      <c r="F65" s="76">
        <v>3</v>
      </c>
      <c r="G65" s="76" t="s">
        <v>35</v>
      </c>
      <c r="H65" s="76"/>
      <c r="I65" s="103" t="s">
        <v>3728</v>
      </c>
      <c r="J65" s="76" t="s">
        <v>125</v>
      </c>
      <c r="K65" s="76"/>
      <c r="L65" s="76"/>
      <c r="M65" s="136">
        <f>IF(Tabelle132[[#This Row],[Pulled after Start]]="",MIN(Tabelle132[[#This Row],[Jira Story Points]],Tabelle132[[#This Row],[Carry-over]]),0)</f>
        <v>3</v>
      </c>
      <c r="N65" s="136">
        <f>MIN(Tabelle132[[#This Row],[Jira Story Points]],Tabelle132[[#This Row],[Carry-over]])-Tabelle132[[#This Row],[SP Initially Planned (COS)]]</f>
        <v>0</v>
      </c>
      <c r="O65" s="104">
        <f>IFERROR(IF(Tabelle132[[#This Row],[Status]]=$I$5,0,IF(AND(Tabelle132[[#This Row],[Status]]=$H$5,Tabelle132[[#This Row],[Spill-over]]=0),0,IF(Tabelle132[[#This Row],[Carry-over]]&lt;&gt;0,Tabelle132[[#This Row],[Carry-over]]-Tabelle132[[#This Row],[Spill-over]],Tabelle132[[#This Row],[Jira Story Points]]-Tabelle132[[#This Row],[Spill-over]]))),"-")</f>
        <v>3</v>
      </c>
      <c r="P65" s="136">
        <f>IFERROR(IF(Tabelle132[[#This Row],[Status]]=$I$5,MIN(Tabelle132[[#This Row],[Jira Story Points]],Tabelle132[[#This Row],[Carry-over]]),0),0)</f>
        <v>0</v>
      </c>
      <c r="Q65" s="156">
        <f>IFERROR(IF(Tabelle132[[#This Row],[Status]]=$I$5,0,MIN(Tabelle132[[#This Row],[Jira Story Points]],Tabelle132[[#This Row],[Carry-over]])-Tabelle132[[#This Row],[SP Completed (COS &amp; SOS)]]),0)</f>
        <v>0</v>
      </c>
    </row>
    <row r="66" spans="1:17" s="46" customFormat="1">
      <c r="A66" s="158" t="s">
        <v>3456</v>
      </c>
      <c r="B66" s="47" t="s">
        <v>2514</v>
      </c>
      <c r="C66" s="76" t="s">
        <v>372</v>
      </c>
      <c r="D66" s="76">
        <v>3</v>
      </c>
      <c r="E66" s="76" t="s">
        <v>254</v>
      </c>
      <c r="F66" s="76">
        <v>1</v>
      </c>
      <c r="G66" s="76" t="s">
        <v>35</v>
      </c>
      <c r="H66" s="76"/>
      <c r="I66" s="103" t="s">
        <v>3729</v>
      </c>
      <c r="J66" s="76" t="s">
        <v>127</v>
      </c>
      <c r="K66" s="76"/>
      <c r="L66" s="76"/>
      <c r="M66" s="136">
        <f>IF(Tabelle132[[#This Row],[Pulled after Start]]="",MIN(Tabelle132[[#This Row],[Jira Story Points]],Tabelle132[[#This Row],[Carry-over]]),0)</f>
        <v>1</v>
      </c>
      <c r="N66" s="136">
        <f>MIN(Tabelle132[[#This Row],[Jira Story Points]],Tabelle132[[#This Row],[Carry-over]])-Tabelle132[[#This Row],[SP Initially Planned (COS)]]</f>
        <v>0</v>
      </c>
      <c r="O66" s="104">
        <f>IFERROR(IF(Tabelle132[[#This Row],[Status]]=$I$5,0,IF(AND(Tabelle132[[#This Row],[Status]]=$H$5,Tabelle132[[#This Row],[Spill-over]]=0),0,IF(Tabelle132[[#This Row],[Carry-over]]&lt;&gt;0,Tabelle132[[#This Row],[Carry-over]]-Tabelle132[[#This Row],[Spill-over]],Tabelle132[[#This Row],[Jira Story Points]]-Tabelle132[[#This Row],[Spill-over]]))),"-")</f>
        <v>0</v>
      </c>
      <c r="P66" s="136">
        <f>IFERROR(IF(Tabelle132[[#This Row],[Status]]=$I$5,MIN(Tabelle132[[#This Row],[Jira Story Points]],Tabelle132[[#This Row],[Carry-over]]),0),0)</f>
        <v>0</v>
      </c>
      <c r="Q66" s="156">
        <f>IFERROR(IF(Tabelle132[[#This Row],[Status]]=$I$5,0,MIN(Tabelle132[[#This Row],[Jira Story Points]],Tabelle132[[#This Row],[Carry-over]])-Tabelle132[[#This Row],[SP Completed (COS &amp; SOS)]]),0)</f>
        <v>1</v>
      </c>
    </row>
    <row r="67" spans="1:17" s="46" customFormat="1">
      <c r="A67" s="158" t="s">
        <v>3460</v>
      </c>
      <c r="B67" s="47" t="s">
        <v>3461</v>
      </c>
      <c r="C67" s="76" t="s">
        <v>372</v>
      </c>
      <c r="D67" s="76">
        <v>3</v>
      </c>
      <c r="E67" s="76" t="s">
        <v>238</v>
      </c>
      <c r="F67" s="76">
        <v>5</v>
      </c>
      <c r="G67" s="76" t="s">
        <v>35</v>
      </c>
      <c r="H67" s="76"/>
      <c r="I67" s="103"/>
      <c r="J67" s="76" t="s">
        <v>127</v>
      </c>
      <c r="K67" s="76"/>
      <c r="L67" s="76"/>
      <c r="M67" s="136">
        <f>IF(Tabelle132[[#This Row],[Pulled after Start]]="",MIN(Tabelle132[[#This Row],[Jira Story Points]],Tabelle132[[#This Row],[Carry-over]]),0)</f>
        <v>5</v>
      </c>
      <c r="N67" s="136">
        <f>MIN(Tabelle132[[#This Row],[Jira Story Points]],Tabelle132[[#This Row],[Carry-over]])-Tabelle132[[#This Row],[SP Initially Planned (COS)]]</f>
        <v>0</v>
      </c>
      <c r="O67" s="104">
        <f>IFERROR(IF(Tabelle132[[#This Row],[Status]]=$I$5,0,IF(AND(Tabelle132[[#This Row],[Status]]=$H$5,Tabelle132[[#This Row],[Spill-over]]=0),0,IF(Tabelle132[[#This Row],[Carry-over]]&lt;&gt;0,Tabelle132[[#This Row],[Carry-over]]-Tabelle132[[#This Row],[Spill-over]],Tabelle132[[#This Row],[Jira Story Points]]-Tabelle132[[#This Row],[Spill-over]]))),"-")</f>
        <v>0</v>
      </c>
      <c r="P67" s="136">
        <f>IFERROR(IF(Tabelle132[[#This Row],[Status]]=$I$5,MIN(Tabelle132[[#This Row],[Jira Story Points]],Tabelle132[[#This Row],[Carry-over]]),0),0)</f>
        <v>0</v>
      </c>
      <c r="Q67" s="156">
        <f>IFERROR(IF(Tabelle132[[#This Row],[Status]]=$I$5,0,MIN(Tabelle132[[#This Row],[Jira Story Points]],Tabelle132[[#This Row],[Carry-over]])-Tabelle132[[#This Row],[SP Completed (COS &amp; SOS)]]),0)</f>
        <v>5</v>
      </c>
    </row>
    <row r="68" spans="1:17" s="46" customFormat="1">
      <c r="A68" s="158" t="s">
        <v>3730</v>
      </c>
      <c r="B68" s="47" t="s">
        <v>3731</v>
      </c>
      <c r="C68" s="76" t="s">
        <v>375</v>
      </c>
      <c r="D68" s="76">
        <v>1</v>
      </c>
      <c r="E68" s="76" t="s">
        <v>216</v>
      </c>
      <c r="F68" s="76">
        <v>8</v>
      </c>
      <c r="G68" s="76" t="s">
        <v>35</v>
      </c>
      <c r="H68" s="76"/>
      <c r="I68" s="103"/>
      <c r="J68" s="76" t="s">
        <v>125</v>
      </c>
      <c r="K68" s="76"/>
      <c r="L68" s="76"/>
      <c r="M68" s="136">
        <f>IF(Tabelle132[[#This Row],[Pulled after Start]]="",MIN(Tabelle132[[#This Row],[Jira Story Points]],Tabelle132[[#This Row],[Carry-over]]),0)</f>
        <v>8</v>
      </c>
      <c r="N68" s="136">
        <f>MIN(Tabelle132[[#This Row],[Jira Story Points]],Tabelle132[[#This Row],[Carry-over]])-Tabelle132[[#This Row],[SP Initially Planned (COS)]]</f>
        <v>0</v>
      </c>
      <c r="O68" s="104">
        <f>IFERROR(IF(Tabelle132[[#This Row],[Status]]=$I$5,0,IF(AND(Tabelle132[[#This Row],[Status]]=$H$5,Tabelle132[[#This Row],[Spill-over]]=0),0,IF(Tabelle132[[#This Row],[Carry-over]]&lt;&gt;0,Tabelle132[[#This Row],[Carry-over]]-Tabelle132[[#This Row],[Spill-over]],Tabelle132[[#This Row],[Jira Story Points]]-Tabelle132[[#This Row],[Spill-over]]))),"-")</f>
        <v>8</v>
      </c>
      <c r="P68" s="136">
        <f>IFERROR(IF(Tabelle132[[#This Row],[Status]]=$I$5,MIN(Tabelle132[[#This Row],[Jira Story Points]],Tabelle132[[#This Row],[Carry-over]]),0),0)</f>
        <v>0</v>
      </c>
      <c r="Q68" s="156">
        <f>IFERROR(IF(Tabelle132[[#This Row],[Status]]=$I$5,0,MIN(Tabelle132[[#This Row],[Jira Story Points]],Tabelle132[[#This Row],[Carry-over]])-Tabelle132[[#This Row],[SP Completed (COS &amp; SOS)]]),0)</f>
        <v>0</v>
      </c>
    </row>
    <row r="69" spans="1:17" s="46" customFormat="1">
      <c r="A69" s="158" t="s">
        <v>3732</v>
      </c>
      <c r="B69" s="47" t="s">
        <v>3733</v>
      </c>
      <c r="C69" s="76" t="s">
        <v>372</v>
      </c>
      <c r="D69" s="76">
        <v>1</v>
      </c>
      <c r="E69" s="76" t="s">
        <v>216</v>
      </c>
      <c r="F69" s="76">
        <v>3</v>
      </c>
      <c r="G69" s="76" t="s">
        <v>35</v>
      </c>
      <c r="H69" s="76"/>
      <c r="I69" s="103"/>
      <c r="J69" s="76" t="s">
        <v>125</v>
      </c>
      <c r="K69" s="76"/>
      <c r="L69" s="76"/>
      <c r="M69" s="136">
        <f>IF(Tabelle132[[#This Row],[Pulled after Start]]="",MIN(Tabelle132[[#This Row],[Jira Story Points]],Tabelle132[[#This Row],[Carry-over]]),0)</f>
        <v>3</v>
      </c>
      <c r="N69" s="136">
        <f>MIN(Tabelle132[[#This Row],[Jira Story Points]],Tabelle132[[#This Row],[Carry-over]])-Tabelle132[[#This Row],[SP Initially Planned (COS)]]</f>
        <v>0</v>
      </c>
      <c r="O69" s="104">
        <f>IFERROR(IF(Tabelle132[[#This Row],[Status]]=$I$5,0,IF(AND(Tabelle132[[#This Row],[Status]]=$H$5,Tabelle132[[#This Row],[Spill-over]]=0),0,IF(Tabelle132[[#This Row],[Carry-over]]&lt;&gt;0,Tabelle132[[#This Row],[Carry-over]]-Tabelle132[[#This Row],[Spill-over]],Tabelle132[[#This Row],[Jira Story Points]]-Tabelle132[[#This Row],[Spill-over]]))),"-")</f>
        <v>3</v>
      </c>
      <c r="P69" s="136">
        <f>IFERROR(IF(Tabelle132[[#This Row],[Status]]=$I$5,MIN(Tabelle132[[#This Row],[Jira Story Points]],Tabelle132[[#This Row],[Carry-over]]),0),0)</f>
        <v>0</v>
      </c>
      <c r="Q69" s="156">
        <f>IFERROR(IF(Tabelle132[[#This Row],[Status]]=$I$5,0,MIN(Tabelle132[[#This Row],[Jira Story Points]],Tabelle132[[#This Row],[Carry-over]])-Tabelle132[[#This Row],[SP Completed (COS &amp; SOS)]]),0)</f>
        <v>0</v>
      </c>
    </row>
    <row r="70" spans="1:17" s="46" customFormat="1">
      <c r="A70" s="157" t="s">
        <v>3470</v>
      </c>
      <c r="B70" s="47" t="s">
        <v>3471</v>
      </c>
      <c r="C70" s="76" t="s">
        <v>372</v>
      </c>
      <c r="D70" s="76">
        <v>3</v>
      </c>
      <c r="E70" s="76" t="s">
        <v>238</v>
      </c>
      <c r="F70" s="104">
        <v>1</v>
      </c>
      <c r="G70" s="76" t="s">
        <v>35</v>
      </c>
      <c r="H70" s="83" t="s">
        <v>209</v>
      </c>
      <c r="I70" s="103"/>
      <c r="J70" s="76" t="s">
        <v>127</v>
      </c>
      <c r="K70" s="104"/>
      <c r="L70" s="104"/>
      <c r="M70" s="136">
        <f>IF(Tabelle132[[#This Row],[Pulled after Start]]="",MIN(Tabelle132[[#This Row],[Jira Story Points]],Tabelle132[[#This Row],[Carry-over]]),0)</f>
        <v>0</v>
      </c>
      <c r="N70" s="136">
        <f>MIN(Tabelle132[[#This Row],[Jira Story Points]],Tabelle132[[#This Row],[Carry-over]])-Tabelle132[[#This Row],[SP Initially Planned (COS)]]</f>
        <v>1</v>
      </c>
      <c r="O70" s="104">
        <f>IFERROR(IF(Tabelle132[[#This Row],[Status]]=$I$5,0,IF(AND(Tabelle132[[#This Row],[Status]]=$H$5,Tabelle132[[#This Row],[Spill-over]]=0),0,IF(Tabelle132[[#This Row],[Carry-over]]&lt;&gt;0,Tabelle132[[#This Row],[Carry-over]]-Tabelle132[[#This Row],[Spill-over]],Tabelle132[[#This Row],[Jira Story Points]]-Tabelle132[[#This Row],[Spill-over]]))),"-")</f>
        <v>0</v>
      </c>
      <c r="P70" s="136">
        <f>IFERROR(IF(Tabelle132[[#This Row],[Status]]=$I$5,MIN(Tabelle132[[#This Row],[Jira Story Points]],Tabelle132[[#This Row],[Carry-over]]),0),0)</f>
        <v>0</v>
      </c>
      <c r="Q70" s="156">
        <f>IFERROR(IF(Tabelle132[[#This Row],[Status]]=$I$5,0,MIN(Tabelle132[[#This Row],[Jira Story Points]],Tabelle132[[#This Row],[Carry-over]])-Tabelle132[[#This Row],[SP Completed (COS &amp; SOS)]]),0)</f>
        <v>1</v>
      </c>
    </row>
    <row r="71" spans="1:17" s="46" customFormat="1">
      <c r="A71" s="158" t="s">
        <v>3464</v>
      </c>
      <c r="B71" s="47" t="s">
        <v>3734</v>
      </c>
      <c r="C71" s="76" t="s">
        <v>372</v>
      </c>
      <c r="D71" s="76">
        <v>3</v>
      </c>
      <c r="E71" s="76" t="s">
        <v>254</v>
      </c>
      <c r="F71" s="76">
        <v>2</v>
      </c>
      <c r="G71" s="76" t="s">
        <v>35</v>
      </c>
      <c r="H71" s="76"/>
      <c r="I71" s="103" t="s">
        <v>3735</v>
      </c>
      <c r="J71" s="76" t="s">
        <v>126</v>
      </c>
      <c r="K71" s="76"/>
      <c r="L71" s="76"/>
      <c r="M71" s="136">
        <f>IF(Tabelle132[[#This Row],[Pulled after Start]]="",MIN(Tabelle132[[#This Row],[Jira Story Points]],Tabelle132[[#This Row],[Carry-over]]),0)</f>
        <v>2</v>
      </c>
      <c r="N71" s="136">
        <f>MIN(Tabelle132[[#This Row],[Jira Story Points]],Tabelle132[[#This Row],[Carry-over]])-Tabelle132[[#This Row],[SP Initially Planned (COS)]]</f>
        <v>0</v>
      </c>
      <c r="O71" s="104">
        <f>IFERROR(IF(Tabelle132[[#This Row],[Status]]=$I$5,0,IF(AND(Tabelle132[[#This Row],[Status]]=$H$5,Tabelle132[[#This Row],[Spill-over]]=0),0,IF(Tabelle132[[#This Row],[Carry-over]]&lt;&gt;0,Tabelle132[[#This Row],[Carry-over]]-Tabelle132[[#This Row],[Spill-over]],Tabelle132[[#This Row],[Jira Story Points]]-Tabelle132[[#This Row],[Spill-over]]))),"-")</f>
        <v>0</v>
      </c>
      <c r="P71" s="136">
        <f>IFERROR(IF(Tabelle132[[#This Row],[Status]]=$I$5,MIN(Tabelle132[[#This Row],[Jira Story Points]],Tabelle132[[#This Row],[Carry-over]]),0),0)</f>
        <v>2</v>
      </c>
      <c r="Q71" s="156">
        <f>IFERROR(IF(Tabelle132[[#This Row],[Status]]=$I$5,0,MIN(Tabelle132[[#This Row],[Jira Story Points]],Tabelle132[[#This Row],[Carry-over]])-Tabelle132[[#This Row],[SP Completed (COS &amp; SOS)]]),0)</f>
        <v>0</v>
      </c>
    </row>
    <row r="72" spans="1:17" s="46" customFormat="1">
      <c r="A72" s="158" t="s">
        <v>3736</v>
      </c>
      <c r="B72" s="47" t="s">
        <v>3737</v>
      </c>
      <c r="C72" s="76" t="s">
        <v>372</v>
      </c>
      <c r="D72" s="76">
        <v>3</v>
      </c>
      <c r="E72" s="76" t="s">
        <v>642</v>
      </c>
      <c r="F72" s="76">
        <v>3</v>
      </c>
      <c r="G72" s="76" t="s">
        <v>35</v>
      </c>
      <c r="H72" s="76"/>
      <c r="I72" s="103" t="s">
        <v>3738</v>
      </c>
      <c r="J72" s="76" t="s">
        <v>125</v>
      </c>
      <c r="K72" s="76"/>
      <c r="L72" s="76"/>
      <c r="M72" s="136">
        <f>IF(Tabelle132[[#This Row],[Pulled after Start]]="",MIN(Tabelle132[[#This Row],[Jira Story Points]],Tabelle132[[#This Row],[Carry-over]]),0)</f>
        <v>3</v>
      </c>
      <c r="N72" s="136">
        <f>MIN(Tabelle132[[#This Row],[Jira Story Points]],Tabelle132[[#This Row],[Carry-over]])-Tabelle132[[#This Row],[SP Initially Planned (COS)]]</f>
        <v>0</v>
      </c>
      <c r="O72" s="104">
        <f>IFERROR(IF(Tabelle132[[#This Row],[Status]]=$I$5,0,IF(AND(Tabelle132[[#This Row],[Status]]=$H$5,Tabelle132[[#This Row],[Spill-over]]=0),0,IF(Tabelle132[[#This Row],[Carry-over]]&lt;&gt;0,Tabelle132[[#This Row],[Carry-over]]-Tabelle132[[#This Row],[Spill-over]],Tabelle132[[#This Row],[Jira Story Points]]-Tabelle132[[#This Row],[Spill-over]]))),"-")</f>
        <v>3</v>
      </c>
      <c r="P72" s="136">
        <f>IFERROR(IF(Tabelle132[[#This Row],[Status]]=$I$5,MIN(Tabelle132[[#This Row],[Jira Story Points]],Tabelle132[[#This Row],[Carry-over]]),0),0)</f>
        <v>0</v>
      </c>
      <c r="Q72" s="156">
        <f>IFERROR(IF(Tabelle132[[#This Row],[Status]]=$I$5,0,MIN(Tabelle132[[#This Row],[Jira Story Points]],Tabelle132[[#This Row],[Carry-over]])-Tabelle132[[#This Row],[SP Completed (COS &amp; SOS)]]),0)</f>
        <v>0</v>
      </c>
    </row>
    <row r="73" spans="1:17" s="46" customFormat="1">
      <c r="A73" s="158" t="s">
        <v>3739</v>
      </c>
      <c r="B73" s="47" t="s">
        <v>3740</v>
      </c>
      <c r="C73" s="76" t="s">
        <v>372</v>
      </c>
      <c r="D73" s="76">
        <v>3</v>
      </c>
      <c r="E73" s="76" t="s">
        <v>330</v>
      </c>
      <c r="F73" s="76" t="s">
        <v>210</v>
      </c>
      <c r="G73" s="76" t="s">
        <v>35</v>
      </c>
      <c r="H73" s="76"/>
      <c r="I73" s="103" t="s">
        <v>3738</v>
      </c>
      <c r="J73" s="76" t="s">
        <v>125</v>
      </c>
      <c r="K73" s="76"/>
      <c r="L73" s="76"/>
      <c r="M73" s="136">
        <f>IF(Tabelle132[[#This Row],[Pulled after Start]]="",MIN(Tabelle132[[#This Row],[Jira Story Points]],Tabelle132[[#This Row],[Carry-over]]),0)</f>
        <v>0</v>
      </c>
      <c r="N73" s="136">
        <f>MIN(Tabelle132[[#This Row],[Jira Story Points]],Tabelle132[[#This Row],[Carry-over]])-Tabelle132[[#This Row],[SP Initially Planned (COS)]]</f>
        <v>0</v>
      </c>
      <c r="O73" s="104" t="str">
        <f>IFERROR(IF(Tabelle132[[#This Row],[Status]]=$I$5,0,IF(AND(Tabelle132[[#This Row],[Status]]=$H$5,Tabelle132[[#This Row],[Spill-over]]=0),0,IF(Tabelle132[[#This Row],[Carry-over]]&lt;&gt;0,Tabelle132[[#This Row],[Carry-over]]-Tabelle132[[#This Row],[Spill-over]],Tabelle132[[#This Row],[Jira Story Points]]-Tabelle132[[#This Row],[Spill-over]]))),"-")</f>
        <v>-</v>
      </c>
      <c r="P73" s="136">
        <f>IFERROR(IF(Tabelle132[[#This Row],[Status]]=$I$5,MIN(Tabelle132[[#This Row],[Jira Story Points]],Tabelle132[[#This Row],[Carry-over]]),0),0)</f>
        <v>0</v>
      </c>
      <c r="Q73" s="156">
        <f>IFERROR(IF(Tabelle132[[#This Row],[Status]]=$I$5,0,MIN(Tabelle132[[#This Row],[Jira Story Points]],Tabelle132[[#This Row],[Carry-over]])-Tabelle132[[#This Row],[SP Completed (COS &amp; SOS)]]),0)</f>
        <v>0</v>
      </c>
    </row>
    <row r="74" spans="1:17" s="46" customFormat="1">
      <c r="A74" s="158" t="s">
        <v>3741</v>
      </c>
      <c r="B74" s="47" t="s">
        <v>3742</v>
      </c>
      <c r="C74" s="76" t="s">
        <v>375</v>
      </c>
      <c r="D74" s="76">
        <v>3</v>
      </c>
      <c r="E74" s="76" t="s">
        <v>324</v>
      </c>
      <c r="F74" s="76">
        <v>3</v>
      </c>
      <c r="G74" s="76" t="s">
        <v>17</v>
      </c>
      <c r="H74" s="76"/>
      <c r="I74" s="103" t="s">
        <v>3743</v>
      </c>
      <c r="J74" s="76" t="s">
        <v>125</v>
      </c>
      <c r="K74" s="76"/>
      <c r="L74" s="76"/>
      <c r="M74" s="136">
        <f>IF(Tabelle132[[#This Row],[Pulled after Start]]="",MIN(Tabelle132[[#This Row],[Jira Story Points]],Tabelle132[[#This Row],[Carry-over]]),0)</f>
        <v>3</v>
      </c>
      <c r="N74" s="136">
        <f>MIN(Tabelle132[[#This Row],[Jira Story Points]],Tabelle132[[#This Row],[Carry-over]])-Tabelle132[[#This Row],[SP Initially Planned (COS)]]</f>
        <v>0</v>
      </c>
      <c r="O74" s="104">
        <f>IFERROR(IF(Tabelle132[[#This Row],[Status]]=$I$5,0,IF(AND(Tabelle132[[#This Row],[Status]]=$H$5,Tabelle132[[#This Row],[Spill-over]]=0),0,IF(Tabelle132[[#This Row],[Carry-over]]&lt;&gt;0,Tabelle132[[#This Row],[Carry-over]]-Tabelle132[[#This Row],[Spill-over]],Tabelle132[[#This Row],[Jira Story Points]]-Tabelle132[[#This Row],[Spill-over]]))),"-")</f>
        <v>3</v>
      </c>
      <c r="P74" s="136">
        <f>IFERROR(IF(Tabelle132[[#This Row],[Status]]=$I$5,MIN(Tabelle132[[#This Row],[Jira Story Points]],Tabelle132[[#This Row],[Carry-over]]),0),0)</f>
        <v>0</v>
      </c>
      <c r="Q74" s="156">
        <f>IFERROR(IF(Tabelle132[[#This Row],[Status]]=$I$5,0,MIN(Tabelle132[[#This Row],[Jira Story Points]],Tabelle132[[#This Row],[Carry-over]])-Tabelle132[[#This Row],[SP Completed (COS &amp; SOS)]]),0)</f>
        <v>0</v>
      </c>
    </row>
    <row r="75" spans="1:17" s="46" customFormat="1">
      <c r="A75" s="158" t="s">
        <v>2599</v>
      </c>
      <c r="B75" s="47" t="s">
        <v>2600</v>
      </c>
      <c r="C75" s="76" t="s">
        <v>372</v>
      </c>
      <c r="D75" s="76">
        <v>3</v>
      </c>
      <c r="E75" s="76" t="s">
        <v>327</v>
      </c>
      <c r="F75" s="76">
        <v>5</v>
      </c>
      <c r="G75" s="76" t="s">
        <v>17</v>
      </c>
      <c r="H75" s="76" t="s">
        <v>209</v>
      </c>
      <c r="I75" s="103" t="s">
        <v>3744</v>
      </c>
      <c r="J75" s="76" t="s">
        <v>127</v>
      </c>
      <c r="K75" s="76"/>
      <c r="L75" s="76"/>
      <c r="M75" s="136">
        <f>IF(Tabelle132[[#This Row],[Pulled after Start]]="",MIN(Tabelle132[[#This Row],[Jira Story Points]],Tabelle132[[#This Row],[Carry-over]]),0)</f>
        <v>0</v>
      </c>
      <c r="N75" s="136">
        <f>MIN(Tabelle132[[#This Row],[Jira Story Points]],Tabelle132[[#This Row],[Carry-over]])-Tabelle132[[#This Row],[SP Initially Planned (COS)]]</f>
        <v>5</v>
      </c>
      <c r="O75" s="104">
        <f>IFERROR(IF(Tabelle132[[#This Row],[Status]]=$I$5,0,IF(AND(Tabelle132[[#This Row],[Status]]=$H$5,Tabelle132[[#This Row],[Spill-over]]=0),0,IF(Tabelle132[[#This Row],[Carry-over]]&lt;&gt;0,Tabelle132[[#This Row],[Carry-over]]-Tabelle132[[#This Row],[Spill-over]],Tabelle132[[#This Row],[Jira Story Points]]-Tabelle132[[#This Row],[Spill-over]]))),"-")</f>
        <v>0</v>
      </c>
      <c r="P75" s="136">
        <f>IFERROR(IF(Tabelle132[[#This Row],[Status]]=$I$5,MIN(Tabelle132[[#This Row],[Jira Story Points]],Tabelle132[[#This Row],[Carry-over]]),0),0)</f>
        <v>0</v>
      </c>
      <c r="Q75" s="156">
        <f>IFERROR(IF(Tabelle132[[#This Row],[Status]]=$I$5,0,MIN(Tabelle132[[#This Row],[Jira Story Points]],Tabelle132[[#This Row],[Carry-over]])-Tabelle132[[#This Row],[SP Completed (COS &amp; SOS)]]),0)</f>
        <v>5</v>
      </c>
    </row>
    <row r="76" spans="1:17" s="46" customFormat="1">
      <c r="A76" s="158" t="s">
        <v>3745</v>
      </c>
      <c r="B76" s="47" t="s">
        <v>3746</v>
      </c>
      <c r="C76" s="76" t="s">
        <v>375</v>
      </c>
      <c r="D76" s="76">
        <v>3</v>
      </c>
      <c r="E76" s="76" t="s">
        <v>324</v>
      </c>
      <c r="F76" s="76">
        <v>3</v>
      </c>
      <c r="G76" s="76" t="s">
        <v>17</v>
      </c>
      <c r="H76" s="76"/>
      <c r="I76" s="103"/>
      <c r="J76" s="76" t="s">
        <v>125</v>
      </c>
      <c r="K76" s="76"/>
      <c r="L76" s="76"/>
      <c r="M76" s="136">
        <f>IF(Tabelle132[[#This Row],[Pulled after Start]]="",MIN(Tabelle132[[#This Row],[Jira Story Points]],Tabelle132[[#This Row],[Carry-over]]),0)</f>
        <v>3</v>
      </c>
      <c r="N76" s="136">
        <f>MIN(Tabelle132[[#This Row],[Jira Story Points]],Tabelle132[[#This Row],[Carry-over]])-Tabelle132[[#This Row],[SP Initially Planned (COS)]]</f>
        <v>0</v>
      </c>
      <c r="O76" s="104">
        <f>IFERROR(IF(Tabelle132[[#This Row],[Status]]=$I$5,0,IF(AND(Tabelle132[[#This Row],[Status]]=$H$5,Tabelle132[[#This Row],[Spill-over]]=0),0,IF(Tabelle132[[#This Row],[Carry-over]]&lt;&gt;0,Tabelle132[[#This Row],[Carry-over]]-Tabelle132[[#This Row],[Spill-over]],Tabelle132[[#This Row],[Jira Story Points]]-Tabelle132[[#This Row],[Spill-over]]))),"-")</f>
        <v>3</v>
      </c>
      <c r="P76" s="136">
        <f>IFERROR(IF(Tabelle132[[#This Row],[Status]]=$I$5,MIN(Tabelle132[[#This Row],[Jira Story Points]],Tabelle132[[#This Row],[Carry-over]]),0),0)</f>
        <v>0</v>
      </c>
      <c r="Q76" s="156">
        <f>IFERROR(IF(Tabelle132[[#This Row],[Status]]=$I$5,0,MIN(Tabelle132[[#This Row],[Jira Story Points]],Tabelle132[[#This Row],[Carry-over]])-Tabelle132[[#This Row],[SP Completed (COS &amp; SOS)]]),0)</f>
        <v>0</v>
      </c>
    </row>
    <row r="77" spans="1:17" s="46" customFormat="1">
      <c r="A77" s="158" t="s">
        <v>3568</v>
      </c>
      <c r="B77" s="47" t="s">
        <v>3569</v>
      </c>
      <c r="C77" s="76" t="s">
        <v>382</v>
      </c>
      <c r="D77" s="76">
        <v>3</v>
      </c>
      <c r="E77" s="76" t="s">
        <v>330</v>
      </c>
      <c r="F77" s="76">
        <v>5</v>
      </c>
      <c r="G77" s="76" t="s">
        <v>17</v>
      </c>
      <c r="H77" s="76"/>
      <c r="I77" s="103" t="s">
        <v>3744</v>
      </c>
      <c r="J77" s="76" t="s">
        <v>127</v>
      </c>
      <c r="K77" s="76"/>
      <c r="L77" s="76"/>
      <c r="M77" s="136">
        <f>IF(Tabelle132[[#This Row],[Pulled after Start]]="",MIN(Tabelle132[[#This Row],[Jira Story Points]],Tabelle132[[#This Row],[Carry-over]]),0)</f>
        <v>5</v>
      </c>
      <c r="N77" s="136">
        <f>MIN(Tabelle132[[#This Row],[Jira Story Points]],Tabelle132[[#This Row],[Carry-over]])-Tabelle132[[#This Row],[SP Initially Planned (COS)]]</f>
        <v>0</v>
      </c>
      <c r="O77" s="104">
        <f>IFERROR(IF(Tabelle132[[#This Row],[Status]]=$I$5,0,IF(AND(Tabelle132[[#This Row],[Status]]=$H$5,Tabelle132[[#This Row],[Spill-over]]=0),0,IF(Tabelle132[[#This Row],[Carry-over]]&lt;&gt;0,Tabelle132[[#This Row],[Carry-over]]-Tabelle132[[#This Row],[Spill-over]],Tabelle132[[#This Row],[Jira Story Points]]-Tabelle132[[#This Row],[Spill-over]]))),"-")</f>
        <v>0</v>
      </c>
      <c r="P77" s="136">
        <f>IFERROR(IF(Tabelle132[[#This Row],[Status]]=$I$5,MIN(Tabelle132[[#This Row],[Jira Story Points]],Tabelle132[[#This Row],[Carry-over]]),0),0)</f>
        <v>0</v>
      </c>
      <c r="Q77" s="156">
        <f>IFERROR(IF(Tabelle132[[#This Row],[Status]]=$I$5,0,MIN(Tabelle132[[#This Row],[Jira Story Points]],Tabelle132[[#This Row],[Carry-over]])-Tabelle132[[#This Row],[SP Completed (COS &amp; SOS)]]),0)</f>
        <v>5</v>
      </c>
    </row>
    <row r="78" spans="1:17" s="46" customFormat="1">
      <c r="A78" s="158" t="s">
        <v>3747</v>
      </c>
      <c r="B78" s="47" t="s">
        <v>3748</v>
      </c>
      <c r="C78" s="76" t="s">
        <v>382</v>
      </c>
      <c r="D78" s="76">
        <v>3</v>
      </c>
      <c r="E78" s="76" t="s">
        <v>324</v>
      </c>
      <c r="F78" s="76">
        <v>5</v>
      </c>
      <c r="G78" s="76" t="s">
        <v>17</v>
      </c>
      <c r="H78" s="76"/>
      <c r="I78" s="103"/>
      <c r="J78" s="76" t="s">
        <v>125</v>
      </c>
      <c r="K78" s="76"/>
      <c r="L78" s="76"/>
      <c r="M78" s="136">
        <f>IF(Tabelle132[[#This Row],[Pulled after Start]]="",MIN(Tabelle132[[#This Row],[Jira Story Points]],Tabelle132[[#This Row],[Carry-over]]),0)</f>
        <v>5</v>
      </c>
      <c r="N78" s="136">
        <f>MIN(Tabelle132[[#This Row],[Jira Story Points]],Tabelle132[[#This Row],[Carry-over]])-Tabelle132[[#This Row],[SP Initially Planned (COS)]]</f>
        <v>0</v>
      </c>
      <c r="O78" s="104">
        <f>IFERROR(IF(Tabelle132[[#This Row],[Status]]=$I$5,0,IF(AND(Tabelle132[[#This Row],[Status]]=$H$5,Tabelle132[[#This Row],[Spill-over]]=0),0,IF(Tabelle132[[#This Row],[Carry-over]]&lt;&gt;0,Tabelle132[[#This Row],[Carry-over]]-Tabelle132[[#This Row],[Spill-over]],Tabelle132[[#This Row],[Jira Story Points]]-Tabelle132[[#This Row],[Spill-over]]))),"-")</f>
        <v>5</v>
      </c>
      <c r="P78" s="136">
        <f>IFERROR(IF(Tabelle132[[#This Row],[Status]]=$I$5,MIN(Tabelle132[[#This Row],[Jira Story Points]],Tabelle132[[#This Row],[Carry-over]]),0),0)</f>
        <v>0</v>
      </c>
      <c r="Q78" s="156">
        <f>IFERROR(IF(Tabelle132[[#This Row],[Status]]=$I$5,0,MIN(Tabelle132[[#This Row],[Jira Story Points]],Tabelle132[[#This Row],[Carry-over]])-Tabelle132[[#This Row],[SP Completed (COS &amp; SOS)]]),0)</f>
        <v>0</v>
      </c>
    </row>
    <row r="79" spans="1:17" s="46" customFormat="1">
      <c r="A79" s="158" t="s">
        <v>3566</v>
      </c>
      <c r="B79" s="47" t="s">
        <v>3567</v>
      </c>
      <c r="C79" s="76" t="s">
        <v>372</v>
      </c>
      <c r="D79" s="76">
        <v>3</v>
      </c>
      <c r="E79" s="76" t="s">
        <v>327</v>
      </c>
      <c r="F79" s="76">
        <v>5</v>
      </c>
      <c r="G79" s="76" t="s">
        <v>17</v>
      </c>
      <c r="H79" s="76"/>
      <c r="I79" s="103" t="s">
        <v>3744</v>
      </c>
      <c r="J79" s="76" t="s">
        <v>127</v>
      </c>
      <c r="K79" s="76"/>
      <c r="L79" s="76"/>
      <c r="M79" s="136">
        <f>IF(Tabelle132[[#This Row],[Pulled after Start]]="",MIN(Tabelle132[[#This Row],[Jira Story Points]],Tabelle132[[#This Row],[Carry-over]]),0)</f>
        <v>5</v>
      </c>
      <c r="N79" s="136">
        <f>MIN(Tabelle132[[#This Row],[Jira Story Points]],Tabelle132[[#This Row],[Carry-over]])-Tabelle132[[#This Row],[SP Initially Planned (COS)]]</f>
        <v>0</v>
      </c>
      <c r="O79" s="104">
        <f>IFERROR(IF(Tabelle132[[#This Row],[Status]]=$I$5,0,IF(AND(Tabelle132[[#This Row],[Status]]=$H$5,Tabelle132[[#This Row],[Spill-over]]=0),0,IF(Tabelle132[[#This Row],[Carry-over]]&lt;&gt;0,Tabelle132[[#This Row],[Carry-over]]-Tabelle132[[#This Row],[Spill-over]],Tabelle132[[#This Row],[Jira Story Points]]-Tabelle132[[#This Row],[Spill-over]]))),"-")</f>
        <v>0</v>
      </c>
      <c r="P79" s="136">
        <f>IFERROR(IF(Tabelle132[[#This Row],[Status]]=$I$5,MIN(Tabelle132[[#This Row],[Jira Story Points]],Tabelle132[[#This Row],[Carry-over]]),0),0)</f>
        <v>0</v>
      </c>
      <c r="Q79" s="156">
        <f>IFERROR(IF(Tabelle132[[#This Row],[Status]]=$I$5,0,MIN(Tabelle132[[#This Row],[Jira Story Points]],Tabelle132[[#This Row],[Carry-over]])-Tabelle132[[#This Row],[SP Completed (COS &amp; SOS)]]),0)</f>
        <v>5</v>
      </c>
    </row>
    <row r="80" spans="1:17" s="46" customFormat="1">
      <c r="A80" s="158" t="s">
        <v>3749</v>
      </c>
      <c r="B80" s="47" t="s">
        <v>3750</v>
      </c>
      <c r="C80" s="76" t="s">
        <v>382</v>
      </c>
      <c r="D80" s="76">
        <v>3</v>
      </c>
      <c r="E80" s="76" t="s">
        <v>330</v>
      </c>
      <c r="F80" s="76">
        <v>8</v>
      </c>
      <c r="G80" s="76" t="s">
        <v>17</v>
      </c>
      <c r="H80" s="76"/>
      <c r="I80" s="103" t="s">
        <v>3744</v>
      </c>
      <c r="J80" s="76" t="s">
        <v>127</v>
      </c>
      <c r="K80" s="76"/>
      <c r="L80" s="76"/>
      <c r="M80" s="136">
        <f>IF(Tabelle132[[#This Row],[Pulled after Start]]="",MIN(Tabelle132[[#This Row],[Jira Story Points]],Tabelle132[[#This Row],[Carry-over]]),0)</f>
        <v>8</v>
      </c>
      <c r="N80" s="136">
        <f>MIN(Tabelle132[[#This Row],[Jira Story Points]],Tabelle132[[#This Row],[Carry-over]])-Tabelle132[[#This Row],[SP Initially Planned (COS)]]</f>
        <v>0</v>
      </c>
      <c r="O80" s="104">
        <f>IFERROR(IF(Tabelle132[[#This Row],[Status]]=$I$5,0,IF(AND(Tabelle132[[#This Row],[Status]]=$H$5,Tabelle132[[#This Row],[Spill-over]]=0),0,IF(Tabelle132[[#This Row],[Carry-over]]&lt;&gt;0,Tabelle132[[#This Row],[Carry-over]]-Tabelle132[[#This Row],[Spill-over]],Tabelle132[[#This Row],[Jira Story Points]]-Tabelle132[[#This Row],[Spill-over]]))),"-")</f>
        <v>0</v>
      </c>
      <c r="P80" s="136">
        <f>IFERROR(IF(Tabelle132[[#This Row],[Status]]=$I$5,MIN(Tabelle132[[#This Row],[Jira Story Points]],Tabelle132[[#This Row],[Carry-over]]),0),0)</f>
        <v>0</v>
      </c>
      <c r="Q80" s="156">
        <f>IFERROR(IF(Tabelle132[[#This Row],[Status]]=$I$5,0,MIN(Tabelle132[[#This Row],[Jira Story Points]],Tabelle132[[#This Row],[Carry-over]])-Tabelle132[[#This Row],[SP Completed (COS &amp; SOS)]]),0)</f>
        <v>8</v>
      </c>
    </row>
    <row r="81" spans="1:17" s="46" customFormat="1">
      <c r="A81" s="158" t="s">
        <v>3751</v>
      </c>
      <c r="B81" s="47" t="s">
        <v>3752</v>
      </c>
      <c r="C81" s="76" t="s">
        <v>382</v>
      </c>
      <c r="D81" s="76">
        <v>3</v>
      </c>
      <c r="E81" s="76" t="s">
        <v>330</v>
      </c>
      <c r="F81" s="76">
        <v>5</v>
      </c>
      <c r="G81" s="76" t="s">
        <v>17</v>
      </c>
      <c r="H81" s="76"/>
      <c r="I81" s="103" t="s">
        <v>3753</v>
      </c>
      <c r="J81" s="76" t="s">
        <v>127</v>
      </c>
      <c r="K81" s="76"/>
      <c r="L81" s="76"/>
      <c r="M81" s="136">
        <f>IF(Tabelle132[[#This Row],[Pulled after Start]]="",MIN(Tabelle132[[#This Row],[Jira Story Points]],Tabelle132[[#This Row],[Carry-over]]),0)</f>
        <v>5</v>
      </c>
      <c r="N81" s="136">
        <f>MIN(Tabelle132[[#This Row],[Jira Story Points]],Tabelle132[[#This Row],[Carry-over]])-Tabelle132[[#This Row],[SP Initially Planned (COS)]]</f>
        <v>0</v>
      </c>
      <c r="O81" s="104">
        <f>IFERROR(IF(Tabelle132[[#This Row],[Status]]=$I$5,0,IF(AND(Tabelle132[[#This Row],[Status]]=$H$5,Tabelle132[[#This Row],[Spill-over]]=0),0,IF(Tabelle132[[#This Row],[Carry-over]]&lt;&gt;0,Tabelle132[[#This Row],[Carry-over]]-Tabelle132[[#This Row],[Spill-over]],Tabelle132[[#This Row],[Jira Story Points]]-Tabelle132[[#This Row],[Spill-over]]))),"-")</f>
        <v>0</v>
      </c>
      <c r="P81" s="136">
        <f>IFERROR(IF(Tabelle132[[#This Row],[Status]]=$I$5,MIN(Tabelle132[[#This Row],[Jira Story Points]],Tabelle132[[#This Row],[Carry-over]]),0),0)</f>
        <v>0</v>
      </c>
      <c r="Q81" s="156">
        <f>IFERROR(IF(Tabelle132[[#This Row],[Status]]=$I$5,0,MIN(Tabelle132[[#This Row],[Jira Story Points]],Tabelle132[[#This Row],[Carry-over]])-Tabelle132[[#This Row],[SP Completed (COS &amp; SOS)]]),0)</f>
        <v>5</v>
      </c>
    </row>
    <row r="82" spans="1:17" s="46" customFormat="1">
      <c r="A82" s="158" t="s">
        <v>3754</v>
      </c>
      <c r="B82" s="47" t="s">
        <v>3755</v>
      </c>
      <c r="C82" s="76" t="s">
        <v>382</v>
      </c>
      <c r="D82" s="76">
        <v>3</v>
      </c>
      <c r="E82" s="76" t="s">
        <v>330</v>
      </c>
      <c r="F82" s="76">
        <v>3</v>
      </c>
      <c r="G82" s="76" t="s">
        <v>17</v>
      </c>
      <c r="H82" s="76"/>
      <c r="I82" s="103"/>
      <c r="J82" s="76" t="s">
        <v>127</v>
      </c>
      <c r="K82" s="76"/>
      <c r="L82" s="76"/>
      <c r="M82" s="136">
        <f>IF(Tabelle132[[#This Row],[Pulled after Start]]="",MIN(Tabelle132[[#This Row],[Jira Story Points]],Tabelle132[[#This Row],[Carry-over]]),0)</f>
        <v>3</v>
      </c>
      <c r="N82" s="136">
        <f>MIN(Tabelle132[[#This Row],[Jira Story Points]],Tabelle132[[#This Row],[Carry-over]])-Tabelle132[[#This Row],[SP Initially Planned (COS)]]</f>
        <v>0</v>
      </c>
      <c r="O82" s="104">
        <f>IFERROR(IF(Tabelle132[[#This Row],[Status]]=$I$5,0,IF(AND(Tabelle132[[#This Row],[Status]]=$H$5,Tabelle132[[#This Row],[Spill-over]]=0),0,IF(Tabelle132[[#This Row],[Carry-over]]&lt;&gt;0,Tabelle132[[#This Row],[Carry-over]]-Tabelle132[[#This Row],[Spill-over]],Tabelle132[[#This Row],[Jira Story Points]]-Tabelle132[[#This Row],[Spill-over]]))),"-")</f>
        <v>0</v>
      </c>
      <c r="P82" s="136">
        <f>IFERROR(IF(Tabelle132[[#This Row],[Status]]=$I$5,MIN(Tabelle132[[#This Row],[Jira Story Points]],Tabelle132[[#This Row],[Carry-over]]),0),0)</f>
        <v>0</v>
      </c>
      <c r="Q82" s="156">
        <f>IFERROR(IF(Tabelle132[[#This Row],[Status]]=$I$5,0,MIN(Tabelle132[[#This Row],[Jira Story Points]],Tabelle132[[#This Row],[Carry-over]])-Tabelle132[[#This Row],[SP Completed (COS &amp; SOS)]]),0)</f>
        <v>3</v>
      </c>
    </row>
    <row r="83" spans="1:17" s="46" customFormat="1">
      <c r="A83" s="158" t="s">
        <v>3756</v>
      </c>
      <c r="B83" s="47" t="s">
        <v>3757</v>
      </c>
      <c r="C83" s="76" t="s">
        <v>372</v>
      </c>
      <c r="D83" s="76">
        <v>3</v>
      </c>
      <c r="E83" s="76" t="s">
        <v>216</v>
      </c>
      <c r="F83" s="76">
        <v>2</v>
      </c>
      <c r="G83" s="76" t="s">
        <v>17</v>
      </c>
      <c r="H83" s="76" t="s">
        <v>209</v>
      </c>
      <c r="I83" s="103" t="s">
        <v>3743</v>
      </c>
      <c r="J83" s="76" t="s">
        <v>125</v>
      </c>
      <c r="K83" s="76"/>
      <c r="L83" s="76"/>
      <c r="M83" s="136">
        <f>IF(Tabelle132[[#This Row],[Pulled after Start]]="",MIN(Tabelle132[[#This Row],[Jira Story Points]],Tabelle132[[#This Row],[Carry-over]]),0)</f>
        <v>0</v>
      </c>
      <c r="N83" s="136">
        <f>MIN(Tabelle132[[#This Row],[Jira Story Points]],Tabelle132[[#This Row],[Carry-over]])-Tabelle132[[#This Row],[SP Initially Planned (COS)]]</f>
        <v>2</v>
      </c>
      <c r="O83" s="104">
        <f>IFERROR(IF(Tabelle132[[#This Row],[Status]]=$I$5,0,IF(AND(Tabelle132[[#This Row],[Status]]=$H$5,Tabelle132[[#This Row],[Spill-over]]=0),0,IF(Tabelle132[[#This Row],[Carry-over]]&lt;&gt;0,Tabelle132[[#This Row],[Carry-over]]-Tabelle132[[#This Row],[Spill-over]],Tabelle132[[#This Row],[Jira Story Points]]-Tabelle132[[#This Row],[Spill-over]]))),"-")</f>
        <v>2</v>
      </c>
      <c r="P83" s="136">
        <f>IFERROR(IF(Tabelle132[[#This Row],[Status]]=$I$5,MIN(Tabelle132[[#This Row],[Jira Story Points]],Tabelle132[[#This Row],[Carry-over]]),0),0)</f>
        <v>0</v>
      </c>
      <c r="Q83" s="156">
        <f>IFERROR(IF(Tabelle132[[#This Row],[Status]]=$I$5,0,MIN(Tabelle132[[#This Row],[Jira Story Points]],Tabelle132[[#This Row],[Carry-over]])-Tabelle132[[#This Row],[SP Completed (COS &amp; SOS)]]),0)</f>
        <v>0</v>
      </c>
    </row>
    <row r="84" spans="1:17" s="46" customFormat="1">
      <c r="A84" s="158" t="s">
        <v>3758</v>
      </c>
      <c r="B84" s="47" t="s">
        <v>3759</v>
      </c>
      <c r="C84" s="76"/>
      <c r="D84" s="76">
        <v>3</v>
      </c>
      <c r="E84" s="76" t="s">
        <v>324</v>
      </c>
      <c r="F84" s="76">
        <v>3</v>
      </c>
      <c r="G84" s="76" t="s">
        <v>17</v>
      </c>
      <c r="H84" s="76"/>
      <c r="I84" s="103"/>
      <c r="J84" s="76" t="s">
        <v>125</v>
      </c>
      <c r="K84" s="76"/>
      <c r="L84" s="76"/>
      <c r="M84" s="136">
        <f>IF(Tabelle132[[#This Row],[Pulled after Start]]="",MIN(Tabelle132[[#This Row],[Jira Story Points]],Tabelle132[[#This Row],[Carry-over]]),0)</f>
        <v>3</v>
      </c>
      <c r="N84" s="136">
        <f>MIN(Tabelle132[[#This Row],[Jira Story Points]],Tabelle132[[#This Row],[Carry-over]])-Tabelle132[[#This Row],[SP Initially Planned (COS)]]</f>
        <v>0</v>
      </c>
      <c r="O84" s="104">
        <f>IFERROR(IF(Tabelle132[[#This Row],[Status]]=$I$5,0,IF(AND(Tabelle132[[#This Row],[Status]]=$H$5,Tabelle132[[#This Row],[Spill-over]]=0),0,IF(Tabelle132[[#This Row],[Carry-over]]&lt;&gt;0,Tabelle132[[#This Row],[Carry-over]]-Tabelle132[[#This Row],[Spill-over]],Tabelle132[[#This Row],[Jira Story Points]]-Tabelle132[[#This Row],[Spill-over]]))),"-")</f>
        <v>3</v>
      </c>
      <c r="P84" s="136">
        <f>IFERROR(IF(Tabelle132[[#This Row],[Status]]=$I$5,MIN(Tabelle132[[#This Row],[Jira Story Points]],Tabelle132[[#This Row],[Carry-over]]),0),0)</f>
        <v>0</v>
      </c>
      <c r="Q84" s="156">
        <f>IFERROR(IF(Tabelle132[[#This Row],[Status]]=$I$5,0,MIN(Tabelle132[[#This Row],[Jira Story Points]],Tabelle132[[#This Row],[Carry-over]])-Tabelle132[[#This Row],[SP Completed (COS &amp; SOS)]]),0)</f>
        <v>0</v>
      </c>
    </row>
    <row r="85" spans="1:17" s="46" customFormat="1">
      <c r="A85" s="158" t="s">
        <v>3760</v>
      </c>
      <c r="B85" s="47" t="s">
        <v>3761</v>
      </c>
      <c r="C85" s="76"/>
      <c r="D85" s="76">
        <v>3</v>
      </c>
      <c r="E85" s="76" t="s">
        <v>330</v>
      </c>
      <c r="F85" s="76"/>
      <c r="G85" s="76" t="s">
        <v>17</v>
      </c>
      <c r="H85" s="76"/>
      <c r="I85" s="103"/>
      <c r="J85" s="76" t="s">
        <v>127</v>
      </c>
      <c r="K85" s="76"/>
      <c r="L85" s="76"/>
      <c r="M85" s="136">
        <f>IF(Tabelle132[[#This Row],[Pulled after Start]]="",MIN(Tabelle132[[#This Row],[Jira Story Points]],Tabelle132[[#This Row],[Carry-over]]),0)</f>
        <v>0</v>
      </c>
      <c r="N85" s="136">
        <f>MIN(Tabelle132[[#This Row],[Jira Story Points]],Tabelle132[[#This Row],[Carry-over]])-Tabelle132[[#This Row],[SP Initially Planned (COS)]]</f>
        <v>0</v>
      </c>
      <c r="O85" s="104">
        <f>IFERROR(IF(Tabelle132[[#This Row],[Status]]=$I$5,0,IF(AND(Tabelle132[[#This Row],[Status]]=$H$5,Tabelle132[[#This Row],[Spill-over]]=0),0,IF(Tabelle132[[#This Row],[Carry-over]]&lt;&gt;0,Tabelle132[[#This Row],[Carry-over]]-Tabelle132[[#This Row],[Spill-over]],Tabelle132[[#This Row],[Jira Story Points]]-Tabelle132[[#This Row],[Spill-over]]))),"-")</f>
        <v>0</v>
      </c>
      <c r="P85" s="136">
        <f>IFERROR(IF(Tabelle132[[#This Row],[Status]]=$I$5,MIN(Tabelle132[[#This Row],[Jira Story Points]],Tabelle132[[#This Row],[Carry-over]]),0),0)</f>
        <v>0</v>
      </c>
      <c r="Q85" s="156">
        <f>IFERROR(IF(Tabelle132[[#This Row],[Status]]=$I$5,0,MIN(Tabelle132[[#This Row],[Jira Story Points]],Tabelle132[[#This Row],[Carry-over]])-Tabelle132[[#This Row],[SP Completed (COS &amp; SOS)]]),0)</f>
        <v>0</v>
      </c>
    </row>
    <row r="86" spans="1:17" s="46" customFormat="1">
      <c r="A86" s="158" t="s">
        <v>3762</v>
      </c>
      <c r="B86" s="46" t="s">
        <v>3763</v>
      </c>
      <c r="C86" s="76" t="s">
        <v>375</v>
      </c>
      <c r="D86" s="76">
        <v>2</v>
      </c>
      <c r="E86" s="76" t="s">
        <v>324</v>
      </c>
      <c r="F86" s="76">
        <v>3</v>
      </c>
      <c r="G86" s="76" t="s">
        <v>24</v>
      </c>
      <c r="H86" s="76"/>
      <c r="I86" s="103"/>
      <c r="J86" s="76" t="s">
        <v>125</v>
      </c>
      <c r="K86" s="104"/>
      <c r="L86" s="104"/>
      <c r="M86" s="136">
        <f>IF(Tabelle132[[#This Row],[Pulled after Start]]="",MIN(Tabelle132[[#This Row],[Jira Story Points]],Tabelle132[[#This Row],[Carry-over]]),0)</f>
        <v>3</v>
      </c>
      <c r="N86" s="136">
        <f>MIN(Tabelle132[[#This Row],[Jira Story Points]],Tabelle132[[#This Row],[Carry-over]])-Tabelle132[[#This Row],[SP Initially Planned (COS)]]</f>
        <v>0</v>
      </c>
      <c r="O86" s="104">
        <f>IFERROR(IF(Tabelle132[[#This Row],[Status]]=$I$5,0,IF(AND(Tabelle132[[#This Row],[Status]]=$H$5,Tabelle132[[#This Row],[Spill-over]]=0),0,IF(Tabelle132[[#This Row],[Carry-over]]&lt;&gt;0,Tabelle132[[#This Row],[Carry-over]]-Tabelle132[[#This Row],[Spill-over]],Tabelle132[[#This Row],[Jira Story Points]]-Tabelle132[[#This Row],[Spill-over]]))),"-")</f>
        <v>3</v>
      </c>
      <c r="P86" s="136">
        <f>IFERROR(IF(Tabelle132[[#This Row],[Status]]=$I$5,MIN(Tabelle132[[#This Row],[Jira Story Points]],Tabelle132[[#This Row],[Carry-over]]),0),0)</f>
        <v>0</v>
      </c>
      <c r="Q86" s="156">
        <f>IFERROR(IF(Tabelle132[[#This Row],[Status]]=$I$5,0,MIN(Tabelle132[[#This Row],[Jira Story Points]],Tabelle132[[#This Row],[Carry-over]])-Tabelle132[[#This Row],[SP Completed (COS &amp; SOS)]]),0)</f>
        <v>0</v>
      </c>
    </row>
    <row r="87" spans="1:17" s="46" customFormat="1">
      <c r="A87" s="158" t="s">
        <v>3764</v>
      </c>
      <c r="B87" s="47" t="s">
        <v>3765</v>
      </c>
      <c r="C87" s="76" t="s">
        <v>382</v>
      </c>
      <c r="D87" s="76">
        <v>3</v>
      </c>
      <c r="E87" s="76" t="s">
        <v>324</v>
      </c>
      <c r="F87" s="76">
        <v>1</v>
      </c>
      <c r="G87" s="76" t="s">
        <v>24</v>
      </c>
      <c r="H87" s="76"/>
      <c r="I87" s="103"/>
      <c r="J87" s="76" t="s">
        <v>125</v>
      </c>
      <c r="K87" s="104"/>
      <c r="L87" s="104"/>
      <c r="M87" s="136">
        <f>IF(Tabelle132[[#This Row],[Pulled after Start]]="",MIN(Tabelle132[[#This Row],[Jira Story Points]],Tabelle132[[#This Row],[Carry-over]]),0)</f>
        <v>1</v>
      </c>
      <c r="N87" s="136">
        <f>MIN(Tabelle132[[#This Row],[Jira Story Points]],Tabelle132[[#This Row],[Carry-over]])-Tabelle132[[#This Row],[SP Initially Planned (COS)]]</f>
        <v>0</v>
      </c>
      <c r="O87" s="104">
        <f>IFERROR(IF(Tabelle132[[#This Row],[Status]]=$I$5,0,IF(AND(Tabelle132[[#This Row],[Status]]=$H$5,Tabelle132[[#This Row],[Spill-over]]=0),0,IF(Tabelle132[[#This Row],[Carry-over]]&lt;&gt;0,Tabelle132[[#This Row],[Carry-over]]-Tabelle132[[#This Row],[Spill-over]],Tabelle132[[#This Row],[Jira Story Points]]-Tabelle132[[#This Row],[Spill-over]]))),"-")</f>
        <v>1</v>
      </c>
      <c r="P87" s="136">
        <f>IFERROR(IF(Tabelle132[[#This Row],[Status]]=$I$5,MIN(Tabelle132[[#This Row],[Jira Story Points]],Tabelle132[[#This Row],[Carry-over]]),0),0)</f>
        <v>0</v>
      </c>
      <c r="Q87" s="156">
        <f>IFERROR(IF(Tabelle132[[#This Row],[Status]]=$I$5,0,MIN(Tabelle132[[#This Row],[Jira Story Points]],Tabelle132[[#This Row],[Carry-over]])-Tabelle132[[#This Row],[SP Completed (COS &amp; SOS)]]),0)</f>
        <v>0</v>
      </c>
    </row>
    <row r="88" spans="1:17" s="46" customFormat="1">
      <c r="A88" s="158" t="s">
        <v>3612</v>
      </c>
      <c r="B88" s="47" t="s">
        <v>3613</v>
      </c>
      <c r="C88" s="76" t="s">
        <v>382</v>
      </c>
      <c r="D88" s="76">
        <v>3</v>
      </c>
      <c r="E88" s="76" t="s">
        <v>351</v>
      </c>
      <c r="F88" s="76">
        <v>3</v>
      </c>
      <c r="G88" s="76" t="s">
        <v>24</v>
      </c>
      <c r="H88" s="76"/>
      <c r="I88" s="103" t="s">
        <v>3744</v>
      </c>
      <c r="J88" s="76" t="s">
        <v>127</v>
      </c>
      <c r="K88" s="104"/>
      <c r="L88" s="104"/>
      <c r="M88" s="136">
        <f>IF(Tabelle132[[#This Row],[Pulled after Start]]="",MIN(Tabelle132[[#This Row],[Jira Story Points]],Tabelle132[[#This Row],[Carry-over]]),0)</f>
        <v>3</v>
      </c>
      <c r="N88" s="136">
        <f>MIN(Tabelle132[[#This Row],[Jira Story Points]],Tabelle132[[#This Row],[Carry-over]])-Tabelle132[[#This Row],[SP Initially Planned (COS)]]</f>
        <v>0</v>
      </c>
      <c r="O88" s="104">
        <f>IFERROR(IF(Tabelle132[[#This Row],[Status]]=$I$5,0,IF(AND(Tabelle132[[#This Row],[Status]]=$H$5,Tabelle132[[#This Row],[Spill-over]]=0),0,IF(Tabelle132[[#This Row],[Carry-over]]&lt;&gt;0,Tabelle132[[#This Row],[Carry-over]]-Tabelle132[[#This Row],[Spill-over]],Tabelle132[[#This Row],[Jira Story Points]]-Tabelle132[[#This Row],[Spill-over]]))),"-")</f>
        <v>0</v>
      </c>
      <c r="P88" s="136">
        <f>IFERROR(IF(Tabelle132[[#This Row],[Status]]=$I$5,MIN(Tabelle132[[#This Row],[Jira Story Points]],Tabelle132[[#This Row],[Carry-over]]),0),0)</f>
        <v>0</v>
      </c>
      <c r="Q88" s="156">
        <f>IFERROR(IF(Tabelle132[[#This Row],[Status]]=$I$5,0,MIN(Tabelle132[[#This Row],[Jira Story Points]],Tabelle132[[#This Row],[Carry-over]])-Tabelle132[[#This Row],[SP Completed (COS &amp; SOS)]]),0)</f>
        <v>3</v>
      </c>
    </row>
    <row r="89" spans="1:17" s="46" customFormat="1">
      <c r="A89" s="158" t="s">
        <v>3766</v>
      </c>
      <c r="B89" s="47" t="s">
        <v>3767</v>
      </c>
      <c r="C89" s="76" t="s">
        <v>372</v>
      </c>
      <c r="D89" s="76">
        <v>2</v>
      </c>
      <c r="E89" s="76" t="s">
        <v>324</v>
      </c>
      <c r="F89" s="76">
        <v>2</v>
      </c>
      <c r="G89" s="76" t="s">
        <v>24</v>
      </c>
      <c r="H89" s="76"/>
      <c r="I89" s="103"/>
      <c r="J89" s="76" t="s">
        <v>125</v>
      </c>
      <c r="K89" s="104"/>
      <c r="L89" s="104"/>
      <c r="M89" s="136">
        <f>IF(Tabelle132[[#This Row],[Pulled after Start]]="",MIN(Tabelle132[[#This Row],[Jira Story Points]],Tabelle132[[#This Row],[Carry-over]]),0)</f>
        <v>2</v>
      </c>
      <c r="N89" s="136">
        <f>MIN(Tabelle132[[#This Row],[Jira Story Points]],Tabelle132[[#This Row],[Carry-over]])-Tabelle132[[#This Row],[SP Initially Planned (COS)]]</f>
        <v>0</v>
      </c>
      <c r="O89" s="104">
        <f>IFERROR(IF(Tabelle132[[#This Row],[Status]]=$I$5,0,IF(AND(Tabelle132[[#This Row],[Status]]=$H$5,Tabelle132[[#This Row],[Spill-over]]=0),0,IF(Tabelle132[[#This Row],[Carry-over]]&lt;&gt;0,Tabelle132[[#This Row],[Carry-over]]-Tabelle132[[#This Row],[Spill-over]],Tabelle132[[#This Row],[Jira Story Points]]-Tabelle132[[#This Row],[Spill-over]]))),"-")</f>
        <v>2</v>
      </c>
      <c r="P89" s="136">
        <f>IFERROR(IF(Tabelle132[[#This Row],[Status]]=$I$5,MIN(Tabelle132[[#This Row],[Jira Story Points]],Tabelle132[[#This Row],[Carry-over]]),0),0)</f>
        <v>0</v>
      </c>
      <c r="Q89" s="156">
        <f>IFERROR(IF(Tabelle132[[#This Row],[Status]]=$I$5,0,MIN(Tabelle132[[#This Row],[Jira Story Points]],Tabelle132[[#This Row],[Carry-over]])-Tabelle132[[#This Row],[SP Completed (COS &amp; SOS)]]),0)</f>
        <v>0</v>
      </c>
    </row>
    <row r="90" spans="1:17" s="46" customFormat="1">
      <c r="A90" s="158" t="s">
        <v>3768</v>
      </c>
      <c r="B90" s="47" t="s">
        <v>3769</v>
      </c>
      <c r="C90" s="76" t="s">
        <v>382</v>
      </c>
      <c r="D90" s="76">
        <v>3</v>
      </c>
      <c r="E90" s="76" t="s">
        <v>324</v>
      </c>
      <c r="F90" s="76">
        <v>3</v>
      </c>
      <c r="G90" s="76" t="s">
        <v>24</v>
      </c>
      <c r="H90" s="76"/>
      <c r="I90" s="103"/>
      <c r="J90" s="76" t="s">
        <v>125</v>
      </c>
      <c r="K90" s="104"/>
      <c r="L90" s="104"/>
      <c r="M90" s="136">
        <f>IF(Tabelle132[[#This Row],[Pulled after Start]]="",MIN(Tabelle132[[#This Row],[Jira Story Points]],Tabelle132[[#This Row],[Carry-over]]),0)</f>
        <v>3</v>
      </c>
      <c r="N90" s="136">
        <f>MIN(Tabelle132[[#This Row],[Jira Story Points]],Tabelle132[[#This Row],[Carry-over]])-Tabelle132[[#This Row],[SP Initially Planned (COS)]]</f>
        <v>0</v>
      </c>
      <c r="O90" s="104">
        <f>IFERROR(IF(Tabelle132[[#This Row],[Status]]=$I$5,0,IF(AND(Tabelle132[[#This Row],[Status]]=$H$5,Tabelle132[[#This Row],[Spill-over]]=0),0,IF(Tabelle132[[#This Row],[Carry-over]]&lt;&gt;0,Tabelle132[[#This Row],[Carry-over]]-Tabelle132[[#This Row],[Spill-over]],Tabelle132[[#This Row],[Jira Story Points]]-Tabelle132[[#This Row],[Spill-over]]))),"-")</f>
        <v>3</v>
      </c>
      <c r="P90" s="136">
        <f>IFERROR(IF(Tabelle132[[#This Row],[Status]]=$I$5,MIN(Tabelle132[[#This Row],[Jira Story Points]],Tabelle132[[#This Row],[Carry-over]]),0),0)</f>
        <v>0</v>
      </c>
      <c r="Q90" s="156">
        <f>IFERROR(IF(Tabelle132[[#This Row],[Status]]=$I$5,0,MIN(Tabelle132[[#This Row],[Jira Story Points]],Tabelle132[[#This Row],[Carry-over]])-Tabelle132[[#This Row],[SP Completed (COS &amp; SOS)]]),0)</f>
        <v>0</v>
      </c>
    </row>
    <row r="91" spans="1:17" s="46" customFormat="1">
      <c r="A91" s="158" t="s">
        <v>3770</v>
      </c>
      <c r="B91" s="47" t="s">
        <v>3771</v>
      </c>
      <c r="C91" s="76" t="s">
        <v>382</v>
      </c>
      <c r="D91" s="76">
        <v>3</v>
      </c>
      <c r="E91" s="76" t="s">
        <v>330</v>
      </c>
      <c r="F91" s="76">
        <v>3</v>
      </c>
      <c r="G91" s="76" t="s">
        <v>24</v>
      </c>
      <c r="H91" s="76"/>
      <c r="I91" s="103" t="s">
        <v>3744</v>
      </c>
      <c r="J91" s="76" t="s">
        <v>127</v>
      </c>
      <c r="K91" s="104"/>
      <c r="L91" s="104"/>
      <c r="M91" s="136">
        <f>IF(Tabelle132[[#This Row],[Pulled after Start]]="",MIN(Tabelle132[[#This Row],[Jira Story Points]],Tabelle132[[#This Row],[Carry-over]]),0)</f>
        <v>3</v>
      </c>
      <c r="N91" s="136">
        <f>MIN(Tabelle132[[#This Row],[Jira Story Points]],Tabelle132[[#This Row],[Carry-over]])-Tabelle132[[#This Row],[SP Initially Planned (COS)]]</f>
        <v>0</v>
      </c>
      <c r="O91" s="104">
        <f>IFERROR(IF(Tabelle132[[#This Row],[Status]]=$I$5,0,IF(AND(Tabelle132[[#This Row],[Status]]=$H$5,Tabelle132[[#This Row],[Spill-over]]=0),0,IF(Tabelle132[[#This Row],[Carry-over]]&lt;&gt;0,Tabelle132[[#This Row],[Carry-over]]-Tabelle132[[#This Row],[Spill-over]],Tabelle132[[#This Row],[Jira Story Points]]-Tabelle132[[#This Row],[Spill-over]]))),"-")</f>
        <v>0</v>
      </c>
      <c r="P91" s="136">
        <f>IFERROR(IF(Tabelle132[[#This Row],[Status]]=$I$5,MIN(Tabelle132[[#This Row],[Jira Story Points]],Tabelle132[[#This Row],[Carry-over]]),0),0)</f>
        <v>0</v>
      </c>
      <c r="Q91" s="156">
        <f>IFERROR(IF(Tabelle132[[#This Row],[Status]]=$I$5,0,MIN(Tabelle132[[#This Row],[Jira Story Points]],Tabelle132[[#This Row],[Carry-over]])-Tabelle132[[#This Row],[SP Completed (COS &amp; SOS)]]),0)</f>
        <v>3</v>
      </c>
    </row>
    <row r="92" spans="1:17" s="46" customFormat="1">
      <c r="A92" s="158" t="s">
        <v>3772</v>
      </c>
      <c r="B92" s="47" t="s">
        <v>3773</v>
      </c>
      <c r="C92" s="76" t="s">
        <v>382</v>
      </c>
      <c r="D92" s="76">
        <v>3</v>
      </c>
      <c r="E92" s="76" t="s">
        <v>324</v>
      </c>
      <c r="F92" s="76">
        <v>3</v>
      </c>
      <c r="G92" s="76" t="s">
        <v>24</v>
      </c>
      <c r="H92" s="76"/>
      <c r="I92" s="103"/>
      <c r="J92" s="76" t="s">
        <v>125</v>
      </c>
      <c r="K92" s="104"/>
      <c r="L92" s="104"/>
      <c r="M92" s="136">
        <f>IF(Tabelle132[[#This Row],[Pulled after Start]]="",MIN(Tabelle132[[#This Row],[Jira Story Points]],Tabelle132[[#This Row],[Carry-over]]),0)</f>
        <v>3</v>
      </c>
      <c r="N92" s="136">
        <f>MIN(Tabelle132[[#This Row],[Jira Story Points]],Tabelle132[[#This Row],[Carry-over]])-Tabelle132[[#This Row],[SP Initially Planned (COS)]]</f>
        <v>0</v>
      </c>
      <c r="O92" s="104">
        <f>IFERROR(IF(Tabelle132[[#This Row],[Status]]=$I$5,0,IF(AND(Tabelle132[[#This Row],[Status]]=$H$5,Tabelle132[[#This Row],[Spill-over]]=0),0,IF(Tabelle132[[#This Row],[Carry-over]]&lt;&gt;0,Tabelle132[[#This Row],[Carry-over]]-Tabelle132[[#This Row],[Spill-over]],Tabelle132[[#This Row],[Jira Story Points]]-Tabelle132[[#This Row],[Spill-over]]))),"-")</f>
        <v>3</v>
      </c>
      <c r="P92" s="136">
        <f>IFERROR(IF(Tabelle132[[#This Row],[Status]]=$I$5,MIN(Tabelle132[[#This Row],[Jira Story Points]],Tabelle132[[#This Row],[Carry-over]]),0),0)</f>
        <v>0</v>
      </c>
      <c r="Q92" s="156">
        <f>IFERROR(IF(Tabelle132[[#This Row],[Status]]=$I$5,0,MIN(Tabelle132[[#This Row],[Jira Story Points]],Tabelle132[[#This Row],[Carry-over]])-Tabelle132[[#This Row],[SP Completed (COS &amp; SOS)]]),0)</f>
        <v>0</v>
      </c>
    </row>
    <row r="93" spans="1:17" s="46" customFormat="1" ht="13.5" customHeight="1">
      <c r="A93" s="158" t="s">
        <v>3774</v>
      </c>
      <c r="B93" s="47" t="s">
        <v>3775</v>
      </c>
      <c r="C93" s="76" t="s">
        <v>382</v>
      </c>
      <c r="D93" s="76">
        <v>3</v>
      </c>
      <c r="E93" s="76" t="s">
        <v>324</v>
      </c>
      <c r="F93" s="76">
        <v>3</v>
      </c>
      <c r="G93" s="76" t="s">
        <v>24</v>
      </c>
      <c r="H93" s="76"/>
      <c r="I93" s="103"/>
      <c r="J93" s="76" t="s">
        <v>125</v>
      </c>
      <c r="K93" s="104"/>
      <c r="L93" s="104"/>
      <c r="M93" s="136">
        <f>IF(Tabelle132[[#This Row],[Pulled after Start]]="",MIN(Tabelle132[[#This Row],[Jira Story Points]],Tabelle132[[#This Row],[Carry-over]]),0)</f>
        <v>3</v>
      </c>
      <c r="N93" s="136">
        <f>MIN(Tabelle132[[#This Row],[Jira Story Points]],Tabelle132[[#This Row],[Carry-over]])-Tabelle132[[#This Row],[SP Initially Planned (COS)]]</f>
        <v>0</v>
      </c>
      <c r="O93" s="104">
        <f>IFERROR(IF(Tabelle132[[#This Row],[Status]]=$I$5,0,IF(AND(Tabelle132[[#This Row],[Status]]=$H$5,Tabelle132[[#This Row],[Spill-over]]=0),0,IF(Tabelle132[[#This Row],[Carry-over]]&lt;&gt;0,Tabelle132[[#This Row],[Carry-over]]-Tabelle132[[#This Row],[Spill-over]],Tabelle132[[#This Row],[Jira Story Points]]-Tabelle132[[#This Row],[Spill-over]]))),"-")</f>
        <v>3</v>
      </c>
      <c r="P93" s="136">
        <f>IFERROR(IF(Tabelle132[[#This Row],[Status]]=$I$5,MIN(Tabelle132[[#This Row],[Jira Story Points]],Tabelle132[[#This Row],[Carry-over]]),0),0)</f>
        <v>0</v>
      </c>
      <c r="Q93" s="156">
        <f>IFERROR(IF(Tabelle132[[#This Row],[Status]]=$I$5,0,MIN(Tabelle132[[#This Row],[Jira Story Points]],Tabelle132[[#This Row],[Carry-over]])-Tabelle132[[#This Row],[SP Completed (COS &amp; SOS)]]),0)</f>
        <v>0</v>
      </c>
    </row>
    <row r="94" spans="1:17" s="46" customFormat="1" ht="13.5" customHeight="1">
      <c r="A94" s="158" t="s">
        <v>3776</v>
      </c>
      <c r="B94" s="47" t="s">
        <v>3777</v>
      </c>
      <c r="C94" s="76" t="s">
        <v>382</v>
      </c>
      <c r="D94" s="76">
        <v>3</v>
      </c>
      <c r="E94" s="76" t="s">
        <v>324</v>
      </c>
      <c r="F94" s="76">
        <v>5</v>
      </c>
      <c r="G94" s="76" t="s">
        <v>24</v>
      </c>
      <c r="H94" s="76"/>
      <c r="I94" s="103"/>
      <c r="J94" s="76" t="s">
        <v>125</v>
      </c>
      <c r="K94" s="104"/>
      <c r="L94" s="104"/>
      <c r="M94" s="136">
        <f>IF(Tabelle132[[#This Row],[Pulled after Start]]="",MIN(Tabelle132[[#This Row],[Jira Story Points]],Tabelle132[[#This Row],[Carry-over]]),0)</f>
        <v>5</v>
      </c>
      <c r="N94" s="136">
        <f>MIN(Tabelle132[[#This Row],[Jira Story Points]],Tabelle132[[#This Row],[Carry-over]])-Tabelle132[[#This Row],[SP Initially Planned (COS)]]</f>
        <v>0</v>
      </c>
      <c r="O94" s="104">
        <f>IFERROR(IF(Tabelle132[[#This Row],[Status]]=$I$5,0,IF(AND(Tabelle132[[#This Row],[Status]]=$H$5,Tabelle132[[#This Row],[Spill-over]]=0),0,IF(Tabelle132[[#This Row],[Carry-over]]&lt;&gt;0,Tabelle132[[#This Row],[Carry-over]]-Tabelle132[[#This Row],[Spill-over]],Tabelle132[[#This Row],[Jira Story Points]]-Tabelle132[[#This Row],[Spill-over]]))),"-")</f>
        <v>5</v>
      </c>
      <c r="P94" s="136">
        <f>IFERROR(IF(Tabelle132[[#This Row],[Status]]=$I$5,MIN(Tabelle132[[#This Row],[Jira Story Points]],Tabelle132[[#This Row],[Carry-over]]),0),0)</f>
        <v>0</v>
      </c>
      <c r="Q94" s="156">
        <f>IFERROR(IF(Tabelle132[[#This Row],[Status]]=$I$5,0,MIN(Tabelle132[[#This Row],[Jira Story Points]],Tabelle132[[#This Row],[Carry-over]])-Tabelle132[[#This Row],[SP Completed (COS &amp; SOS)]]),0)</f>
        <v>0</v>
      </c>
    </row>
    <row r="95" spans="1:17" s="46" customFormat="1" ht="13.5" customHeight="1">
      <c r="A95" s="158" t="s">
        <v>3596</v>
      </c>
      <c r="B95" s="47" t="s">
        <v>3597</v>
      </c>
      <c r="C95" s="76" t="s">
        <v>382</v>
      </c>
      <c r="D95" s="76">
        <v>3</v>
      </c>
      <c r="E95" s="76" t="s">
        <v>330</v>
      </c>
      <c r="F95" s="76">
        <v>5</v>
      </c>
      <c r="G95" s="76" t="s">
        <v>24</v>
      </c>
      <c r="H95" s="76"/>
      <c r="I95" s="103" t="s">
        <v>3744</v>
      </c>
      <c r="J95" s="76" t="s">
        <v>127</v>
      </c>
      <c r="K95" s="104"/>
      <c r="L95" s="104"/>
      <c r="M95" s="136">
        <f>IF(Tabelle132[[#This Row],[Pulled after Start]]="",MIN(Tabelle132[[#This Row],[Jira Story Points]],Tabelle132[[#This Row],[Carry-over]]),0)</f>
        <v>5</v>
      </c>
      <c r="N95" s="136">
        <f>MIN(Tabelle132[[#This Row],[Jira Story Points]],Tabelle132[[#This Row],[Carry-over]])-Tabelle132[[#This Row],[SP Initially Planned (COS)]]</f>
        <v>0</v>
      </c>
      <c r="O95" s="104">
        <f>IFERROR(IF(Tabelle132[[#This Row],[Status]]=$I$5,0,IF(AND(Tabelle132[[#This Row],[Status]]=$H$5,Tabelle132[[#This Row],[Spill-over]]=0),0,IF(Tabelle132[[#This Row],[Carry-over]]&lt;&gt;0,Tabelle132[[#This Row],[Carry-over]]-Tabelle132[[#This Row],[Spill-over]],Tabelle132[[#This Row],[Jira Story Points]]-Tabelle132[[#This Row],[Spill-over]]))),"-")</f>
        <v>0</v>
      </c>
      <c r="P95" s="136">
        <f>IFERROR(IF(Tabelle132[[#This Row],[Status]]=$I$5,MIN(Tabelle132[[#This Row],[Jira Story Points]],Tabelle132[[#This Row],[Carry-over]]),0),0)</f>
        <v>0</v>
      </c>
      <c r="Q95" s="156">
        <f>IFERROR(IF(Tabelle132[[#This Row],[Status]]=$I$5,0,MIN(Tabelle132[[#This Row],[Jira Story Points]],Tabelle132[[#This Row],[Carry-over]])-Tabelle132[[#This Row],[SP Completed (COS &amp; SOS)]]),0)</f>
        <v>5</v>
      </c>
    </row>
    <row r="96" spans="1:17" s="46" customFormat="1" ht="13.5" customHeight="1">
      <c r="A96" s="158" t="s">
        <v>3778</v>
      </c>
      <c r="B96" s="47" t="s">
        <v>3779</v>
      </c>
      <c r="C96" s="76" t="s">
        <v>382</v>
      </c>
      <c r="D96" s="76">
        <v>3</v>
      </c>
      <c r="E96" s="76" t="s">
        <v>324</v>
      </c>
      <c r="F96" s="76">
        <v>5</v>
      </c>
      <c r="G96" s="76" t="s">
        <v>24</v>
      </c>
      <c r="H96" s="76"/>
      <c r="I96" s="103"/>
      <c r="J96" s="76" t="s">
        <v>125</v>
      </c>
      <c r="K96" s="104"/>
      <c r="L96" s="104"/>
      <c r="M96" s="136">
        <f>IF(Tabelle132[[#This Row],[Pulled after Start]]="",MIN(Tabelle132[[#This Row],[Jira Story Points]],Tabelle132[[#This Row],[Carry-over]]),0)</f>
        <v>5</v>
      </c>
      <c r="N96" s="136">
        <f>MIN(Tabelle132[[#This Row],[Jira Story Points]],Tabelle132[[#This Row],[Carry-over]])-Tabelle132[[#This Row],[SP Initially Planned (COS)]]</f>
        <v>0</v>
      </c>
      <c r="O96" s="104">
        <f>IFERROR(IF(Tabelle132[[#This Row],[Status]]=$I$5,0,IF(AND(Tabelle132[[#This Row],[Status]]=$H$5,Tabelle132[[#This Row],[Spill-over]]=0),0,IF(Tabelle132[[#This Row],[Carry-over]]&lt;&gt;0,Tabelle132[[#This Row],[Carry-over]]-Tabelle132[[#This Row],[Spill-over]],Tabelle132[[#This Row],[Jira Story Points]]-Tabelle132[[#This Row],[Spill-over]]))),"-")</f>
        <v>5</v>
      </c>
      <c r="P96" s="136">
        <f>IFERROR(IF(Tabelle132[[#This Row],[Status]]=$I$5,MIN(Tabelle132[[#This Row],[Jira Story Points]],Tabelle132[[#This Row],[Carry-over]]),0),0)</f>
        <v>0</v>
      </c>
      <c r="Q96" s="156">
        <f>IFERROR(IF(Tabelle132[[#This Row],[Status]]=$I$5,0,MIN(Tabelle132[[#This Row],[Jira Story Points]],Tabelle132[[#This Row],[Carry-over]])-Tabelle132[[#This Row],[SP Completed (COS &amp; SOS)]]),0)</f>
        <v>0</v>
      </c>
    </row>
    <row r="97" spans="1:17" s="46" customFormat="1" ht="13.5" customHeight="1">
      <c r="A97" s="158" t="s">
        <v>3780</v>
      </c>
      <c r="B97" s="47" t="s">
        <v>3781</v>
      </c>
      <c r="C97" s="76" t="s">
        <v>382</v>
      </c>
      <c r="D97" s="76">
        <v>3</v>
      </c>
      <c r="E97" s="76" t="s">
        <v>324</v>
      </c>
      <c r="F97" s="76">
        <v>2</v>
      </c>
      <c r="G97" s="76" t="s">
        <v>24</v>
      </c>
      <c r="H97" s="76"/>
      <c r="I97" s="103"/>
      <c r="J97" s="76" t="s">
        <v>125</v>
      </c>
      <c r="K97" s="104"/>
      <c r="L97" s="104"/>
      <c r="M97" s="136">
        <f>IF(Tabelle132[[#This Row],[Pulled after Start]]="",MIN(Tabelle132[[#This Row],[Jira Story Points]],Tabelle132[[#This Row],[Carry-over]]),0)</f>
        <v>2</v>
      </c>
      <c r="N97" s="136">
        <f>MIN(Tabelle132[[#This Row],[Jira Story Points]],Tabelle132[[#This Row],[Carry-over]])-Tabelle132[[#This Row],[SP Initially Planned (COS)]]</f>
        <v>0</v>
      </c>
      <c r="O97" s="104">
        <f>IFERROR(IF(Tabelle132[[#This Row],[Status]]=$I$5,0,IF(AND(Tabelle132[[#This Row],[Status]]=$H$5,Tabelle132[[#This Row],[Spill-over]]=0),0,IF(Tabelle132[[#This Row],[Carry-over]]&lt;&gt;0,Tabelle132[[#This Row],[Carry-over]]-Tabelle132[[#This Row],[Spill-over]],Tabelle132[[#This Row],[Jira Story Points]]-Tabelle132[[#This Row],[Spill-over]]))),"-")</f>
        <v>2</v>
      </c>
      <c r="P97" s="136">
        <f>IFERROR(IF(Tabelle132[[#This Row],[Status]]=$I$5,MIN(Tabelle132[[#This Row],[Jira Story Points]],Tabelle132[[#This Row],[Carry-over]]),0),0)</f>
        <v>0</v>
      </c>
      <c r="Q97" s="156">
        <f>IFERROR(IF(Tabelle132[[#This Row],[Status]]=$I$5,0,MIN(Tabelle132[[#This Row],[Jira Story Points]],Tabelle132[[#This Row],[Carry-over]])-Tabelle132[[#This Row],[SP Completed (COS &amp; SOS)]]),0)</f>
        <v>0</v>
      </c>
    </row>
    <row r="98" spans="1:17" s="46" customFormat="1" ht="13.5" customHeight="1">
      <c r="A98" s="158" t="s">
        <v>3609</v>
      </c>
      <c r="B98" s="47" t="s">
        <v>3610</v>
      </c>
      <c r="C98" s="76" t="s">
        <v>375</v>
      </c>
      <c r="D98" s="76">
        <v>2</v>
      </c>
      <c r="E98" s="76" t="s">
        <v>327</v>
      </c>
      <c r="F98" s="76">
        <v>3</v>
      </c>
      <c r="G98" s="76" t="s">
        <v>24</v>
      </c>
      <c r="H98" s="76" t="s">
        <v>209</v>
      </c>
      <c r="I98" s="103" t="s">
        <v>3744</v>
      </c>
      <c r="J98" s="76" t="s">
        <v>127</v>
      </c>
      <c r="K98" s="104"/>
      <c r="L98" s="104"/>
      <c r="M98" s="136">
        <f>IF(Tabelle132[[#This Row],[Pulled after Start]]="",MIN(Tabelle132[[#This Row],[Jira Story Points]],Tabelle132[[#This Row],[Carry-over]]),0)</f>
        <v>0</v>
      </c>
      <c r="N98" s="136">
        <f>MIN(Tabelle132[[#This Row],[Jira Story Points]],Tabelle132[[#This Row],[Carry-over]])-Tabelle132[[#This Row],[SP Initially Planned (COS)]]</f>
        <v>3</v>
      </c>
      <c r="O98" s="104">
        <f>IFERROR(IF(Tabelle132[[#This Row],[Status]]=$I$5,0,IF(AND(Tabelle132[[#This Row],[Status]]=$H$5,Tabelle132[[#This Row],[Spill-over]]=0),0,IF(Tabelle132[[#This Row],[Carry-over]]&lt;&gt;0,Tabelle132[[#This Row],[Carry-over]]-Tabelle132[[#This Row],[Spill-over]],Tabelle132[[#This Row],[Jira Story Points]]-Tabelle132[[#This Row],[Spill-over]]))),"-")</f>
        <v>0</v>
      </c>
      <c r="P98" s="136">
        <f>IFERROR(IF(Tabelle132[[#This Row],[Status]]=$I$5,MIN(Tabelle132[[#This Row],[Jira Story Points]],Tabelle132[[#This Row],[Carry-over]]),0),0)</f>
        <v>0</v>
      </c>
      <c r="Q98" s="156">
        <f>IFERROR(IF(Tabelle132[[#This Row],[Status]]=$I$5,0,MIN(Tabelle132[[#This Row],[Jira Story Points]],Tabelle132[[#This Row],[Carry-over]])-Tabelle132[[#This Row],[SP Completed (COS &amp; SOS)]]),0)</f>
        <v>3</v>
      </c>
    </row>
    <row r="99" spans="1:17" s="46" customFormat="1" ht="13.5" customHeight="1">
      <c r="A99" s="158" t="s">
        <v>3782</v>
      </c>
      <c r="B99" s="47" t="s">
        <v>3783</v>
      </c>
      <c r="C99" s="76" t="s">
        <v>372</v>
      </c>
      <c r="D99" s="76">
        <v>2</v>
      </c>
      <c r="E99" s="76" t="s">
        <v>324</v>
      </c>
      <c r="F99" s="76">
        <v>1</v>
      </c>
      <c r="G99" s="76" t="s">
        <v>24</v>
      </c>
      <c r="H99" s="76"/>
      <c r="I99" s="103"/>
      <c r="J99" s="76" t="s">
        <v>125</v>
      </c>
      <c r="K99" s="104"/>
      <c r="L99" s="104"/>
      <c r="M99" s="136">
        <f>IF(Tabelle132[[#This Row],[Pulled after Start]]="",MIN(Tabelle132[[#This Row],[Jira Story Points]],Tabelle132[[#This Row],[Carry-over]]),0)</f>
        <v>1</v>
      </c>
      <c r="N99" s="136">
        <f>MIN(Tabelle132[[#This Row],[Jira Story Points]],Tabelle132[[#This Row],[Carry-over]])-Tabelle132[[#This Row],[SP Initially Planned (COS)]]</f>
        <v>0</v>
      </c>
      <c r="O99" s="104">
        <f>IFERROR(IF(Tabelle132[[#This Row],[Status]]=$I$5,0,IF(AND(Tabelle132[[#This Row],[Status]]=$H$5,Tabelle132[[#This Row],[Spill-over]]=0),0,IF(Tabelle132[[#This Row],[Carry-over]]&lt;&gt;0,Tabelle132[[#This Row],[Carry-over]]-Tabelle132[[#This Row],[Spill-over]],Tabelle132[[#This Row],[Jira Story Points]]-Tabelle132[[#This Row],[Spill-over]]))),"-")</f>
        <v>1</v>
      </c>
      <c r="P99" s="136">
        <f>IFERROR(IF(Tabelle132[[#This Row],[Status]]=$I$5,MIN(Tabelle132[[#This Row],[Jira Story Points]],Tabelle132[[#This Row],[Carry-over]]),0),0)</f>
        <v>0</v>
      </c>
      <c r="Q99" s="156">
        <f>IFERROR(IF(Tabelle132[[#This Row],[Status]]=$I$5,0,MIN(Tabelle132[[#This Row],[Jira Story Points]],Tabelle132[[#This Row],[Carry-over]])-Tabelle132[[#This Row],[SP Completed (COS &amp; SOS)]]),0)</f>
        <v>0</v>
      </c>
    </row>
    <row r="100" spans="1:17" s="46" customFormat="1" ht="13.5" customHeight="1">
      <c r="A100" s="158" t="s">
        <v>3594</v>
      </c>
      <c r="B100" s="47" t="s">
        <v>3595</v>
      </c>
      <c r="C100" s="76" t="s">
        <v>382</v>
      </c>
      <c r="D100" s="76">
        <v>3</v>
      </c>
      <c r="E100" s="76" t="s">
        <v>351</v>
      </c>
      <c r="F100" s="76">
        <v>1</v>
      </c>
      <c r="G100" s="76" t="s">
        <v>24</v>
      </c>
      <c r="H100" s="76"/>
      <c r="I100" s="103"/>
      <c r="J100" s="76" t="s">
        <v>125</v>
      </c>
      <c r="K100" s="104"/>
      <c r="L100" s="104"/>
      <c r="M100" s="136">
        <f>IF(Tabelle132[[#This Row],[Pulled after Start]]="",MIN(Tabelle132[[#This Row],[Jira Story Points]],Tabelle132[[#This Row],[Carry-over]]),0)</f>
        <v>1</v>
      </c>
      <c r="N100" s="136">
        <f>MIN(Tabelle132[[#This Row],[Jira Story Points]],Tabelle132[[#This Row],[Carry-over]])-Tabelle132[[#This Row],[SP Initially Planned (COS)]]</f>
        <v>0</v>
      </c>
      <c r="O100" s="104">
        <f>IFERROR(IF(Tabelle132[[#This Row],[Status]]=$I$5,0,IF(AND(Tabelle132[[#This Row],[Status]]=$H$5,Tabelle132[[#This Row],[Spill-over]]=0),0,IF(Tabelle132[[#This Row],[Carry-over]]&lt;&gt;0,Tabelle132[[#This Row],[Carry-over]]-Tabelle132[[#This Row],[Spill-over]],Tabelle132[[#This Row],[Jira Story Points]]-Tabelle132[[#This Row],[Spill-over]]))),"-")</f>
        <v>1</v>
      </c>
      <c r="P100" s="136">
        <f>IFERROR(IF(Tabelle132[[#This Row],[Status]]=$I$5,MIN(Tabelle132[[#This Row],[Jira Story Points]],Tabelle132[[#This Row],[Carry-over]]),0),0)</f>
        <v>0</v>
      </c>
      <c r="Q100" s="156">
        <f>IFERROR(IF(Tabelle132[[#This Row],[Status]]=$I$5,0,MIN(Tabelle132[[#This Row],[Jira Story Points]],Tabelle132[[#This Row],[Carry-over]])-Tabelle132[[#This Row],[SP Completed (COS &amp; SOS)]]),0)</f>
        <v>0</v>
      </c>
    </row>
    <row r="101" spans="1:17" s="46" customFormat="1" ht="13.5" customHeight="1">
      <c r="A101" s="158" t="s">
        <v>3592</v>
      </c>
      <c r="B101" s="47" t="s">
        <v>3593</v>
      </c>
      <c r="C101" s="76" t="s">
        <v>382</v>
      </c>
      <c r="D101" s="76">
        <v>3</v>
      </c>
      <c r="E101" s="76" t="s">
        <v>330</v>
      </c>
      <c r="F101" s="76">
        <v>5</v>
      </c>
      <c r="G101" s="76" t="s">
        <v>24</v>
      </c>
      <c r="H101" s="76"/>
      <c r="I101" s="103" t="s">
        <v>3744</v>
      </c>
      <c r="J101" s="76" t="s">
        <v>127</v>
      </c>
      <c r="K101" s="104"/>
      <c r="L101" s="104"/>
      <c r="M101" s="136">
        <f>IF(Tabelle132[[#This Row],[Pulled after Start]]="",MIN(Tabelle132[[#This Row],[Jira Story Points]],Tabelle132[[#This Row],[Carry-over]]),0)</f>
        <v>5</v>
      </c>
      <c r="N101" s="136">
        <f>MIN(Tabelle132[[#This Row],[Jira Story Points]],Tabelle132[[#This Row],[Carry-over]])-Tabelle132[[#This Row],[SP Initially Planned (COS)]]</f>
        <v>0</v>
      </c>
      <c r="O101" s="104">
        <f>IFERROR(IF(Tabelle132[[#This Row],[Status]]=$I$5,0,IF(AND(Tabelle132[[#This Row],[Status]]=$H$5,Tabelle132[[#This Row],[Spill-over]]=0),0,IF(Tabelle132[[#This Row],[Carry-over]]&lt;&gt;0,Tabelle132[[#This Row],[Carry-over]]-Tabelle132[[#This Row],[Spill-over]],Tabelle132[[#This Row],[Jira Story Points]]-Tabelle132[[#This Row],[Spill-over]]))),"-")</f>
        <v>0</v>
      </c>
      <c r="P101" s="136">
        <f>IFERROR(IF(Tabelle132[[#This Row],[Status]]=$I$5,MIN(Tabelle132[[#This Row],[Jira Story Points]],Tabelle132[[#This Row],[Carry-over]]),0),0)</f>
        <v>0</v>
      </c>
      <c r="Q101" s="156">
        <f>IFERROR(IF(Tabelle132[[#This Row],[Status]]=$I$5,0,MIN(Tabelle132[[#This Row],[Jira Story Points]],Tabelle132[[#This Row],[Carry-over]])-Tabelle132[[#This Row],[SP Completed (COS &amp; SOS)]]),0)</f>
        <v>5</v>
      </c>
    </row>
    <row r="102" spans="1:17" s="46" customFormat="1" ht="13.5" customHeight="1">
      <c r="A102" s="158" t="s">
        <v>3784</v>
      </c>
      <c r="B102" s="47" t="s">
        <v>3785</v>
      </c>
      <c r="C102" s="76" t="s">
        <v>382</v>
      </c>
      <c r="D102" s="76">
        <v>3</v>
      </c>
      <c r="E102" s="76" t="s">
        <v>330</v>
      </c>
      <c r="F102" s="76">
        <v>5</v>
      </c>
      <c r="G102" s="76" t="s">
        <v>24</v>
      </c>
      <c r="H102" s="76"/>
      <c r="I102" s="103"/>
      <c r="J102" s="76" t="s">
        <v>125</v>
      </c>
      <c r="K102" s="104"/>
      <c r="L102" s="104"/>
      <c r="M102" s="136">
        <f>IF(Tabelle132[[#This Row],[Pulled after Start]]="",MIN(Tabelle132[[#This Row],[Jira Story Points]],Tabelle132[[#This Row],[Carry-over]]),0)</f>
        <v>5</v>
      </c>
      <c r="N102" s="136">
        <f>MIN(Tabelle132[[#This Row],[Jira Story Points]],Tabelle132[[#This Row],[Carry-over]])-Tabelle132[[#This Row],[SP Initially Planned (COS)]]</f>
        <v>0</v>
      </c>
      <c r="O102" s="104">
        <f>IFERROR(IF(Tabelle132[[#This Row],[Status]]=$I$5,0,IF(AND(Tabelle132[[#This Row],[Status]]=$H$5,Tabelle132[[#This Row],[Spill-over]]=0),0,IF(Tabelle132[[#This Row],[Carry-over]]&lt;&gt;0,Tabelle132[[#This Row],[Carry-over]]-Tabelle132[[#This Row],[Spill-over]],Tabelle132[[#This Row],[Jira Story Points]]-Tabelle132[[#This Row],[Spill-over]]))),"-")</f>
        <v>5</v>
      </c>
      <c r="P102" s="136">
        <f>IFERROR(IF(Tabelle132[[#This Row],[Status]]=$I$5,MIN(Tabelle132[[#This Row],[Jira Story Points]],Tabelle132[[#This Row],[Carry-over]]),0),0)</f>
        <v>0</v>
      </c>
      <c r="Q102" s="156">
        <f>IFERROR(IF(Tabelle132[[#This Row],[Status]]=$I$5,0,MIN(Tabelle132[[#This Row],[Jira Story Points]],Tabelle132[[#This Row],[Carry-over]])-Tabelle132[[#This Row],[SP Completed (COS &amp; SOS)]]),0)</f>
        <v>0</v>
      </c>
    </row>
    <row r="103" spans="1:17" s="46" customFormat="1" ht="13.5" customHeight="1">
      <c r="A103" s="158" t="s">
        <v>3786</v>
      </c>
      <c r="B103" s="47" t="s">
        <v>3755</v>
      </c>
      <c r="C103" s="76" t="s">
        <v>382</v>
      </c>
      <c r="D103" s="76">
        <v>3</v>
      </c>
      <c r="E103" s="76" t="s">
        <v>324</v>
      </c>
      <c r="F103" s="76"/>
      <c r="G103" s="76" t="s">
        <v>24</v>
      </c>
      <c r="H103" s="76" t="s">
        <v>209</v>
      </c>
      <c r="I103" s="103"/>
      <c r="J103" s="76" t="s">
        <v>125</v>
      </c>
      <c r="K103" s="104"/>
      <c r="L103" s="104"/>
      <c r="M103" s="136">
        <f>IF(Tabelle132[[#This Row],[Pulled after Start]]="",MIN(Tabelle132[[#This Row],[Jira Story Points]],Tabelle132[[#This Row],[Carry-over]]),0)</f>
        <v>0</v>
      </c>
      <c r="N103" s="136">
        <f>MIN(Tabelle132[[#This Row],[Jira Story Points]],Tabelle132[[#This Row],[Carry-over]])-Tabelle132[[#This Row],[SP Initially Planned (COS)]]</f>
        <v>0</v>
      </c>
      <c r="O103" s="104">
        <f>IFERROR(IF(Tabelle132[[#This Row],[Status]]=$I$5,0,IF(AND(Tabelle132[[#This Row],[Status]]=$H$5,Tabelle132[[#This Row],[Spill-over]]=0),0,IF(Tabelle132[[#This Row],[Carry-over]]&lt;&gt;0,Tabelle132[[#This Row],[Carry-over]]-Tabelle132[[#This Row],[Spill-over]],Tabelle132[[#This Row],[Jira Story Points]]-Tabelle132[[#This Row],[Spill-over]]))),"-")</f>
        <v>0</v>
      </c>
      <c r="P103" s="136">
        <f>IFERROR(IF(Tabelle132[[#This Row],[Status]]=$I$5,MIN(Tabelle132[[#This Row],[Jira Story Points]],Tabelle132[[#This Row],[Carry-over]]),0),0)</f>
        <v>0</v>
      </c>
      <c r="Q103" s="156">
        <f>IFERROR(IF(Tabelle132[[#This Row],[Status]]=$I$5,0,MIN(Tabelle132[[#This Row],[Jira Story Points]],Tabelle132[[#This Row],[Carry-over]])-Tabelle132[[#This Row],[SP Completed (COS &amp; SOS)]]),0)</f>
        <v>0</v>
      </c>
    </row>
    <row r="104" spans="1:17" s="46" customFormat="1" ht="13.5" customHeight="1">
      <c r="A104" s="158" t="s">
        <v>3787</v>
      </c>
      <c r="B104" s="47" t="s">
        <v>3788</v>
      </c>
      <c r="C104" s="76" t="s">
        <v>382</v>
      </c>
      <c r="D104" s="76">
        <v>3</v>
      </c>
      <c r="E104" s="76" t="s">
        <v>324</v>
      </c>
      <c r="F104" s="76">
        <v>3</v>
      </c>
      <c r="G104" s="76" t="s">
        <v>24</v>
      </c>
      <c r="H104" s="76" t="s">
        <v>209</v>
      </c>
      <c r="I104" s="103"/>
      <c r="J104" s="76" t="s">
        <v>125</v>
      </c>
      <c r="K104" s="104"/>
      <c r="L104" s="104"/>
      <c r="M104" s="136">
        <f>IF(Tabelle132[[#This Row],[Pulled after Start]]="",MIN(Tabelle132[[#This Row],[Jira Story Points]],Tabelle132[[#This Row],[Carry-over]]),0)</f>
        <v>0</v>
      </c>
      <c r="N104" s="136">
        <f>MIN(Tabelle132[[#This Row],[Jira Story Points]],Tabelle132[[#This Row],[Carry-over]])-Tabelle132[[#This Row],[SP Initially Planned (COS)]]</f>
        <v>3</v>
      </c>
      <c r="O104" s="104">
        <f>IFERROR(IF(Tabelle132[[#This Row],[Status]]=$I$5,0,IF(AND(Tabelle132[[#This Row],[Status]]=$H$5,Tabelle132[[#This Row],[Spill-over]]=0),0,IF(Tabelle132[[#This Row],[Carry-over]]&lt;&gt;0,Tabelle132[[#This Row],[Carry-over]]-Tabelle132[[#This Row],[Spill-over]],Tabelle132[[#This Row],[Jira Story Points]]-Tabelle132[[#This Row],[Spill-over]]))),"-")</f>
        <v>3</v>
      </c>
      <c r="P104" s="136">
        <f>IFERROR(IF(Tabelle132[[#This Row],[Status]]=$I$5,MIN(Tabelle132[[#This Row],[Jira Story Points]],Tabelle132[[#This Row],[Carry-over]]),0),0)</f>
        <v>0</v>
      </c>
      <c r="Q104" s="156">
        <f>IFERROR(IF(Tabelle132[[#This Row],[Status]]=$I$5,0,MIN(Tabelle132[[#This Row],[Jira Story Points]],Tabelle132[[#This Row],[Carry-over]])-Tabelle132[[#This Row],[SP Completed (COS &amp; SOS)]]),0)</f>
        <v>0</v>
      </c>
    </row>
    <row r="105" spans="1:17" s="46" customFormat="1" ht="13.5" customHeight="1">
      <c r="A105" s="158" t="s">
        <v>3789</v>
      </c>
      <c r="B105" s="47" t="s">
        <v>3790</v>
      </c>
      <c r="C105" s="76" t="s">
        <v>382</v>
      </c>
      <c r="D105" s="76">
        <v>3</v>
      </c>
      <c r="E105" s="76" t="s">
        <v>330</v>
      </c>
      <c r="F105" s="76">
        <v>2</v>
      </c>
      <c r="G105" s="76" t="s">
        <v>24</v>
      </c>
      <c r="H105" s="76" t="s">
        <v>209</v>
      </c>
      <c r="I105" s="103"/>
      <c r="J105" s="76" t="s">
        <v>125</v>
      </c>
      <c r="K105" s="104"/>
      <c r="L105" s="104"/>
      <c r="M105" s="136">
        <f>IF(Tabelle132[[#This Row],[Pulled after Start]]="",MIN(Tabelle132[[#This Row],[Jira Story Points]],Tabelle132[[#This Row],[Carry-over]]),0)</f>
        <v>0</v>
      </c>
      <c r="N105" s="136">
        <f>MIN(Tabelle132[[#This Row],[Jira Story Points]],Tabelle132[[#This Row],[Carry-over]])-Tabelle132[[#This Row],[SP Initially Planned (COS)]]</f>
        <v>2</v>
      </c>
      <c r="O105" s="104">
        <f>IFERROR(IF(Tabelle132[[#This Row],[Status]]=$I$5,0,IF(AND(Tabelle132[[#This Row],[Status]]=$H$5,Tabelle132[[#This Row],[Spill-over]]=0),0,IF(Tabelle132[[#This Row],[Carry-over]]&lt;&gt;0,Tabelle132[[#This Row],[Carry-over]]-Tabelle132[[#This Row],[Spill-over]],Tabelle132[[#This Row],[Jira Story Points]]-Tabelle132[[#This Row],[Spill-over]]))),"-")</f>
        <v>2</v>
      </c>
      <c r="P105" s="136">
        <f>IFERROR(IF(Tabelle132[[#This Row],[Status]]=$I$5,MIN(Tabelle132[[#This Row],[Jira Story Points]],Tabelle132[[#This Row],[Carry-over]]),0),0)</f>
        <v>0</v>
      </c>
      <c r="Q105" s="156">
        <f>IFERROR(IF(Tabelle132[[#This Row],[Status]]=$I$5,0,MIN(Tabelle132[[#This Row],[Jira Story Points]],Tabelle132[[#This Row],[Carry-over]])-Tabelle132[[#This Row],[SP Completed (COS &amp; SOS)]]),0)</f>
        <v>0</v>
      </c>
    </row>
    <row r="106" spans="1:17" s="46" customFormat="1" ht="13.5" customHeight="1">
      <c r="A106" s="158" t="s">
        <v>3791</v>
      </c>
      <c r="B106" s="47" t="s">
        <v>3792</v>
      </c>
      <c r="C106" s="76" t="s">
        <v>382</v>
      </c>
      <c r="D106" s="76">
        <v>3</v>
      </c>
      <c r="E106" s="76" t="s">
        <v>330</v>
      </c>
      <c r="F106" s="76">
        <v>2</v>
      </c>
      <c r="G106" s="76" t="s">
        <v>24</v>
      </c>
      <c r="H106" s="76" t="s">
        <v>209</v>
      </c>
      <c r="I106" s="103"/>
      <c r="J106" s="76" t="s">
        <v>125</v>
      </c>
      <c r="K106" s="104"/>
      <c r="L106" s="104"/>
      <c r="M106" s="136">
        <f>IF(Tabelle132[[#This Row],[Pulled after Start]]="",MIN(Tabelle132[[#This Row],[Jira Story Points]],Tabelle132[[#This Row],[Carry-over]]),0)</f>
        <v>0</v>
      </c>
      <c r="N106" s="136">
        <f>MIN(Tabelle132[[#This Row],[Jira Story Points]],Tabelle132[[#This Row],[Carry-over]])-Tabelle132[[#This Row],[SP Initially Planned (COS)]]</f>
        <v>2</v>
      </c>
      <c r="O106" s="104">
        <f>IFERROR(IF(Tabelle132[[#This Row],[Status]]=$I$5,0,IF(AND(Tabelle132[[#This Row],[Status]]=$H$5,Tabelle132[[#This Row],[Spill-over]]=0),0,IF(Tabelle132[[#This Row],[Carry-over]]&lt;&gt;0,Tabelle132[[#This Row],[Carry-over]]-Tabelle132[[#This Row],[Spill-over]],Tabelle132[[#This Row],[Jira Story Points]]-Tabelle132[[#This Row],[Spill-over]]))),"-")</f>
        <v>2</v>
      </c>
      <c r="P106" s="136">
        <f>IFERROR(IF(Tabelle132[[#This Row],[Status]]=$I$5,MIN(Tabelle132[[#This Row],[Jira Story Points]],Tabelle132[[#This Row],[Carry-over]]),0),0)</f>
        <v>0</v>
      </c>
      <c r="Q106" s="156">
        <f>IFERROR(IF(Tabelle132[[#This Row],[Status]]=$I$5,0,MIN(Tabelle132[[#This Row],[Jira Story Points]],Tabelle132[[#This Row],[Carry-over]])-Tabelle132[[#This Row],[SP Completed (COS &amp; SOS)]]),0)</f>
        <v>0</v>
      </c>
    </row>
    <row r="107" spans="1:17" s="46" customFormat="1" ht="13.5" customHeight="1">
      <c r="A107" s="158" t="s">
        <v>3793</v>
      </c>
      <c r="B107" s="47" t="s">
        <v>3794</v>
      </c>
      <c r="C107" s="76" t="s">
        <v>382</v>
      </c>
      <c r="D107" s="76">
        <v>3</v>
      </c>
      <c r="E107" s="76" t="s">
        <v>324</v>
      </c>
      <c r="F107" s="76">
        <v>3</v>
      </c>
      <c r="G107" s="76" t="s">
        <v>32</v>
      </c>
      <c r="H107" s="76"/>
      <c r="I107" s="103"/>
      <c r="J107" s="76" t="s">
        <v>125</v>
      </c>
      <c r="K107" s="104"/>
      <c r="L107" s="104"/>
      <c r="M107" s="136">
        <f>IF(Tabelle132[[#This Row],[Pulled after Start]]="",MIN(Tabelle132[[#This Row],[Jira Story Points]],Tabelle132[[#This Row],[Carry-over]]),0)</f>
        <v>3</v>
      </c>
      <c r="N107" s="136">
        <f>MIN(Tabelle132[[#This Row],[Jira Story Points]],Tabelle132[[#This Row],[Carry-over]])-Tabelle132[[#This Row],[SP Initially Planned (COS)]]</f>
        <v>0</v>
      </c>
      <c r="O107" s="104">
        <f>IFERROR(IF(Tabelle132[[#This Row],[Status]]=$I$5,0,IF(AND(Tabelle132[[#This Row],[Status]]=$H$5,Tabelle132[[#This Row],[Spill-over]]=0),0,IF(Tabelle132[[#This Row],[Carry-over]]&lt;&gt;0,Tabelle132[[#This Row],[Carry-over]]-Tabelle132[[#This Row],[Spill-over]],Tabelle132[[#This Row],[Jira Story Points]]-Tabelle132[[#This Row],[Spill-over]]))),"-")</f>
        <v>3</v>
      </c>
      <c r="P107" s="136">
        <f>IFERROR(IF(Tabelle132[[#This Row],[Status]]=$I$5,MIN(Tabelle132[[#This Row],[Jira Story Points]],Tabelle132[[#This Row],[Carry-over]]),0),0)</f>
        <v>0</v>
      </c>
      <c r="Q107" s="156">
        <f>IFERROR(IF(Tabelle132[[#This Row],[Status]]=$I$5,0,MIN(Tabelle132[[#This Row],[Jira Story Points]],Tabelle132[[#This Row],[Carry-over]])-Tabelle132[[#This Row],[SP Completed (COS &amp; SOS)]]),0)</f>
        <v>0</v>
      </c>
    </row>
    <row r="108" spans="1:17" s="46" customFormat="1" ht="13.5" customHeight="1">
      <c r="A108" s="158" t="s">
        <v>3795</v>
      </c>
      <c r="B108" s="47" t="s">
        <v>3796</v>
      </c>
      <c r="C108" s="76" t="s">
        <v>382</v>
      </c>
      <c r="D108" s="76">
        <v>3</v>
      </c>
      <c r="E108" s="76" t="s">
        <v>324</v>
      </c>
      <c r="F108" s="76">
        <v>3</v>
      </c>
      <c r="G108" s="76" t="s">
        <v>32</v>
      </c>
      <c r="H108" s="76"/>
      <c r="I108" s="103"/>
      <c r="J108" s="76" t="s">
        <v>125</v>
      </c>
      <c r="K108" s="104"/>
      <c r="L108" s="104"/>
      <c r="M108" s="136">
        <f>IF(Tabelle132[[#This Row],[Pulled after Start]]="",MIN(Tabelle132[[#This Row],[Jira Story Points]],Tabelle132[[#This Row],[Carry-over]]),0)</f>
        <v>3</v>
      </c>
      <c r="N108" s="136">
        <f>MIN(Tabelle132[[#This Row],[Jira Story Points]],Tabelle132[[#This Row],[Carry-over]])-Tabelle132[[#This Row],[SP Initially Planned (COS)]]</f>
        <v>0</v>
      </c>
      <c r="O108" s="104">
        <f>IFERROR(IF(Tabelle132[[#This Row],[Status]]=$I$5,0,IF(AND(Tabelle132[[#This Row],[Status]]=$H$5,Tabelle132[[#This Row],[Spill-over]]=0),0,IF(Tabelle132[[#This Row],[Carry-over]]&lt;&gt;0,Tabelle132[[#This Row],[Carry-over]]-Tabelle132[[#This Row],[Spill-over]],Tabelle132[[#This Row],[Jira Story Points]]-Tabelle132[[#This Row],[Spill-over]]))),"-")</f>
        <v>3</v>
      </c>
      <c r="P108" s="136">
        <f>IFERROR(IF(Tabelle132[[#This Row],[Status]]=$I$5,MIN(Tabelle132[[#This Row],[Jira Story Points]],Tabelle132[[#This Row],[Carry-over]]),0),0)</f>
        <v>0</v>
      </c>
      <c r="Q108" s="156">
        <f>IFERROR(IF(Tabelle132[[#This Row],[Status]]=$I$5,0,MIN(Tabelle132[[#This Row],[Jira Story Points]],Tabelle132[[#This Row],[Carry-over]])-Tabelle132[[#This Row],[SP Completed (COS &amp; SOS)]]),0)</f>
        <v>0</v>
      </c>
    </row>
    <row r="109" spans="1:17" s="46" customFormat="1" ht="13.5" customHeight="1">
      <c r="A109" s="158" t="s">
        <v>3797</v>
      </c>
      <c r="B109" s="47" t="s">
        <v>3798</v>
      </c>
      <c r="C109" s="76" t="s">
        <v>382</v>
      </c>
      <c r="D109" s="76">
        <v>3</v>
      </c>
      <c r="E109" s="76" t="s">
        <v>324</v>
      </c>
      <c r="F109" s="76">
        <v>3</v>
      </c>
      <c r="G109" s="76" t="s">
        <v>32</v>
      </c>
      <c r="H109" s="76"/>
      <c r="I109" s="103"/>
      <c r="J109" s="76" t="s">
        <v>125</v>
      </c>
      <c r="K109" s="104"/>
      <c r="L109" s="104"/>
      <c r="M109" s="136">
        <f>IF(Tabelle132[[#This Row],[Pulled after Start]]="",MIN(Tabelle132[[#This Row],[Jira Story Points]],Tabelle132[[#This Row],[Carry-over]]),0)</f>
        <v>3</v>
      </c>
      <c r="N109" s="136">
        <f>MIN(Tabelle132[[#This Row],[Jira Story Points]],Tabelle132[[#This Row],[Carry-over]])-Tabelle132[[#This Row],[SP Initially Planned (COS)]]</f>
        <v>0</v>
      </c>
      <c r="O109" s="104">
        <f>IFERROR(IF(Tabelle132[[#This Row],[Status]]=$I$5,0,IF(AND(Tabelle132[[#This Row],[Status]]=$H$5,Tabelle132[[#This Row],[Spill-over]]=0),0,IF(Tabelle132[[#This Row],[Carry-over]]&lt;&gt;0,Tabelle132[[#This Row],[Carry-over]]-Tabelle132[[#This Row],[Spill-over]],Tabelle132[[#This Row],[Jira Story Points]]-Tabelle132[[#This Row],[Spill-over]]))),"-")</f>
        <v>3</v>
      </c>
      <c r="P109" s="136">
        <f>IFERROR(IF(Tabelle132[[#This Row],[Status]]=$I$5,MIN(Tabelle132[[#This Row],[Jira Story Points]],Tabelle132[[#This Row],[Carry-over]]),0),0)</f>
        <v>0</v>
      </c>
      <c r="Q109" s="156">
        <f>IFERROR(IF(Tabelle132[[#This Row],[Status]]=$I$5,0,MIN(Tabelle132[[#This Row],[Jira Story Points]],Tabelle132[[#This Row],[Carry-over]])-Tabelle132[[#This Row],[SP Completed (COS &amp; SOS)]]),0)</f>
        <v>0</v>
      </c>
    </row>
    <row r="110" spans="1:17" s="46" customFormat="1" ht="13.5" customHeight="1">
      <c r="A110" s="158" t="s">
        <v>3799</v>
      </c>
      <c r="B110" s="47" t="s">
        <v>3800</v>
      </c>
      <c r="C110" s="76" t="s">
        <v>375</v>
      </c>
      <c r="D110" s="76">
        <v>2</v>
      </c>
      <c r="E110" s="76" t="s">
        <v>637</v>
      </c>
      <c r="F110" s="76">
        <v>3</v>
      </c>
      <c r="G110" s="76" t="s">
        <v>32</v>
      </c>
      <c r="H110" s="76"/>
      <c r="I110" s="103" t="s">
        <v>3744</v>
      </c>
      <c r="J110" s="76" t="s">
        <v>127</v>
      </c>
      <c r="K110" s="104"/>
      <c r="L110" s="104"/>
      <c r="M110" s="136">
        <f>IF(Tabelle132[[#This Row],[Pulled after Start]]="",MIN(Tabelle132[[#This Row],[Jira Story Points]],Tabelle132[[#This Row],[Carry-over]]),0)</f>
        <v>3</v>
      </c>
      <c r="N110" s="136">
        <f>MIN(Tabelle132[[#This Row],[Jira Story Points]],Tabelle132[[#This Row],[Carry-over]])-Tabelle132[[#This Row],[SP Initially Planned (COS)]]</f>
        <v>0</v>
      </c>
      <c r="O110" s="104">
        <f>IFERROR(IF(Tabelle132[[#This Row],[Status]]=$I$5,0,IF(AND(Tabelle132[[#This Row],[Status]]=$H$5,Tabelle132[[#This Row],[Spill-over]]=0),0,IF(Tabelle132[[#This Row],[Carry-over]]&lt;&gt;0,Tabelle132[[#This Row],[Carry-over]]-Tabelle132[[#This Row],[Spill-over]],Tabelle132[[#This Row],[Jira Story Points]]-Tabelle132[[#This Row],[Spill-over]]))),"-")</f>
        <v>0</v>
      </c>
      <c r="P110" s="136">
        <f>IFERROR(IF(Tabelle132[[#This Row],[Status]]=$I$5,MIN(Tabelle132[[#This Row],[Jira Story Points]],Tabelle132[[#This Row],[Carry-over]]),0),0)</f>
        <v>0</v>
      </c>
      <c r="Q110" s="156">
        <f>IFERROR(IF(Tabelle132[[#This Row],[Status]]=$I$5,0,MIN(Tabelle132[[#This Row],[Jira Story Points]],Tabelle132[[#This Row],[Carry-over]])-Tabelle132[[#This Row],[SP Completed (COS &amp; SOS)]]),0)</f>
        <v>3</v>
      </c>
    </row>
    <row r="111" spans="1:17" s="46" customFormat="1" ht="13.5" customHeight="1">
      <c r="A111" s="158" t="s">
        <v>3801</v>
      </c>
      <c r="B111" s="47" t="s">
        <v>3802</v>
      </c>
      <c r="C111" s="76" t="s">
        <v>382</v>
      </c>
      <c r="D111" s="76">
        <v>3</v>
      </c>
      <c r="E111" s="76" t="s">
        <v>330</v>
      </c>
      <c r="F111" s="76">
        <v>5</v>
      </c>
      <c r="G111" s="76" t="s">
        <v>32</v>
      </c>
      <c r="H111" s="76"/>
      <c r="I111" s="103" t="s">
        <v>3744</v>
      </c>
      <c r="J111" s="76" t="s">
        <v>127</v>
      </c>
      <c r="K111" s="104"/>
      <c r="L111" s="104"/>
      <c r="M111" s="136">
        <f>IF(Tabelle132[[#This Row],[Pulled after Start]]="",MIN(Tabelle132[[#This Row],[Jira Story Points]],Tabelle132[[#This Row],[Carry-over]]),0)</f>
        <v>5</v>
      </c>
      <c r="N111" s="136">
        <f>MIN(Tabelle132[[#This Row],[Jira Story Points]],Tabelle132[[#This Row],[Carry-over]])-Tabelle132[[#This Row],[SP Initially Planned (COS)]]</f>
        <v>0</v>
      </c>
      <c r="O111" s="104">
        <f>IFERROR(IF(Tabelle132[[#This Row],[Status]]=$I$5,0,IF(AND(Tabelle132[[#This Row],[Status]]=$H$5,Tabelle132[[#This Row],[Spill-over]]=0),0,IF(Tabelle132[[#This Row],[Carry-over]]&lt;&gt;0,Tabelle132[[#This Row],[Carry-over]]-Tabelle132[[#This Row],[Spill-over]],Tabelle132[[#This Row],[Jira Story Points]]-Tabelle132[[#This Row],[Spill-over]]))),"-")</f>
        <v>0</v>
      </c>
      <c r="P111" s="136">
        <f>IFERROR(IF(Tabelle132[[#This Row],[Status]]=$I$5,MIN(Tabelle132[[#This Row],[Jira Story Points]],Tabelle132[[#This Row],[Carry-over]]),0),0)</f>
        <v>0</v>
      </c>
      <c r="Q111" s="156">
        <f>IFERROR(IF(Tabelle132[[#This Row],[Status]]=$I$5,0,MIN(Tabelle132[[#This Row],[Jira Story Points]],Tabelle132[[#This Row],[Carry-over]])-Tabelle132[[#This Row],[SP Completed (COS &amp; SOS)]]),0)</f>
        <v>5</v>
      </c>
    </row>
    <row r="112" spans="1:17" s="46" customFormat="1" ht="13.5" customHeight="1">
      <c r="A112" s="158" t="s">
        <v>3803</v>
      </c>
      <c r="B112" s="47" t="s">
        <v>3804</v>
      </c>
      <c r="C112" s="76" t="s">
        <v>382</v>
      </c>
      <c r="D112" s="76">
        <v>3</v>
      </c>
      <c r="E112" s="76" t="s">
        <v>216</v>
      </c>
      <c r="F112" s="76">
        <v>3</v>
      </c>
      <c r="G112" s="76" t="s">
        <v>32</v>
      </c>
      <c r="H112" s="76"/>
      <c r="I112" s="103"/>
      <c r="J112" s="76" t="s">
        <v>125</v>
      </c>
      <c r="K112" s="104"/>
      <c r="L112" s="104"/>
      <c r="M112" s="136">
        <f>IF(Tabelle132[[#This Row],[Pulled after Start]]="",MIN(Tabelle132[[#This Row],[Jira Story Points]],Tabelle132[[#This Row],[Carry-over]]),0)</f>
        <v>3</v>
      </c>
      <c r="N112" s="136">
        <f>MIN(Tabelle132[[#This Row],[Jira Story Points]],Tabelle132[[#This Row],[Carry-over]])-Tabelle132[[#This Row],[SP Initially Planned (COS)]]</f>
        <v>0</v>
      </c>
      <c r="O112" s="104">
        <f>IFERROR(IF(Tabelle132[[#This Row],[Status]]=$I$5,0,IF(AND(Tabelle132[[#This Row],[Status]]=$H$5,Tabelle132[[#This Row],[Spill-over]]=0),0,IF(Tabelle132[[#This Row],[Carry-over]]&lt;&gt;0,Tabelle132[[#This Row],[Carry-over]]-Tabelle132[[#This Row],[Spill-over]],Tabelle132[[#This Row],[Jira Story Points]]-Tabelle132[[#This Row],[Spill-over]]))),"-")</f>
        <v>3</v>
      </c>
      <c r="P112" s="136">
        <f>IFERROR(IF(Tabelle132[[#This Row],[Status]]=$I$5,MIN(Tabelle132[[#This Row],[Jira Story Points]],Tabelle132[[#This Row],[Carry-over]]),0),0)</f>
        <v>0</v>
      </c>
      <c r="Q112" s="156">
        <f>IFERROR(IF(Tabelle132[[#This Row],[Status]]=$I$5,0,MIN(Tabelle132[[#This Row],[Jira Story Points]],Tabelle132[[#This Row],[Carry-over]])-Tabelle132[[#This Row],[SP Completed (COS &amp; SOS)]]),0)</f>
        <v>0</v>
      </c>
    </row>
    <row r="113" spans="1:17" s="46" customFormat="1" ht="13.5" customHeight="1">
      <c r="A113" s="158" t="s">
        <v>3805</v>
      </c>
      <c r="B113" s="47" t="s">
        <v>3806</v>
      </c>
      <c r="C113" s="76" t="s">
        <v>382</v>
      </c>
      <c r="D113" s="76">
        <v>3</v>
      </c>
      <c r="E113" s="76" t="s">
        <v>330</v>
      </c>
      <c r="F113" s="76">
        <v>3</v>
      </c>
      <c r="G113" s="76" t="s">
        <v>32</v>
      </c>
      <c r="H113" s="76"/>
      <c r="I113" s="103"/>
      <c r="J113" s="76" t="s">
        <v>127</v>
      </c>
      <c r="K113" s="104"/>
      <c r="L113" s="104"/>
      <c r="M113" s="136">
        <f>IF(Tabelle132[[#This Row],[Pulled after Start]]="",MIN(Tabelle132[[#This Row],[Jira Story Points]],Tabelle132[[#This Row],[Carry-over]]),0)</f>
        <v>3</v>
      </c>
      <c r="N113" s="136">
        <f>MIN(Tabelle132[[#This Row],[Jira Story Points]],Tabelle132[[#This Row],[Carry-over]])-Tabelle132[[#This Row],[SP Initially Planned (COS)]]</f>
        <v>0</v>
      </c>
      <c r="O113" s="104">
        <f>IFERROR(IF(Tabelle132[[#This Row],[Status]]=$I$5,0,IF(AND(Tabelle132[[#This Row],[Status]]=$H$5,Tabelle132[[#This Row],[Spill-over]]=0),0,IF(Tabelle132[[#This Row],[Carry-over]]&lt;&gt;0,Tabelle132[[#This Row],[Carry-over]]-Tabelle132[[#This Row],[Spill-over]],Tabelle132[[#This Row],[Jira Story Points]]-Tabelle132[[#This Row],[Spill-over]]))),"-")</f>
        <v>0</v>
      </c>
      <c r="P113" s="136">
        <f>IFERROR(IF(Tabelle132[[#This Row],[Status]]=$I$5,MIN(Tabelle132[[#This Row],[Jira Story Points]],Tabelle132[[#This Row],[Carry-over]]),0),0)</f>
        <v>0</v>
      </c>
      <c r="Q113" s="156">
        <f>IFERROR(IF(Tabelle132[[#This Row],[Status]]=$I$5,0,MIN(Tabelle132[[#This Row],[Jira Story Points]],Tabelle132[[#This Row],[Carry-over]])-Tabelle132[[#This Row],[SP Completed (COS &amp; SOS)]]),0)</f>
        <v>3</v>
      </c>
    </row>
    <row r="114" spans="1:17" s="46" customFormat="1" ht="13.5" customHeight="1">
      <c r="A114" s="158" t="s">
        <v>3807</v>
      </c>
      <c r="B114" s="47" t="s">
        <v>3808</v>
      </c>
      <c r="C114" s="76" t="s">
        <v>375</v>
      </c>
      <c r="D114" s="76">
        <v>3</v>
      </c>
      <c r="E114" s="76" t="s">
        <v>324</v>
      </c>
      <c r="F114" s="76">
        <v>5</v>
      </c>
      <c r="G114" s="76" t="s">
        <v>32</v>
      </c>
      <c r="H114" s="76"/>
      <c r="I114" s="103"/>
      <c r="J114" s="76" t="s">
        <v>125</v>
      </c>
      <c r="K114" s="104"/>
      <c r="L114" s="104"/>
      <c r="M114" s="136">
        <f>IF(Tabelle132[[#This Row],[Pulled after Start]]="",MIN(Tabelle132[[#This Row],[Jira Story Points]],Tabelle132[[#This Row],[Carry-over]]),0)</f>
        <v>5</v>
      </c>
      <c r="N114" s="136">
        <f>MIN(Tabelle132[[#This Row],[Jira Story Points]],Tabelle132[[#This Row],[Carry-over]])-Tabelle132[[#This Row],[SP Initially Planned (COS)]]</f>
        <v>0</v>
      </c>
      <c r="O114" s="104">
        <f>IFERROR(IF(Tabelle132[[#This Row],[Status]]=$I$5,0,IF(AND(Tabelle132[[#This Row],[Status]]=$H$5,Tabelle132[[#This Row],[Spill-over]]=0),0,IF(Tabelle132[[#This Row],[Carry-over]]&lt;&gt;0,Tabelle132[[#This Row],[Carry-over]]-Tabelle132[[#This Row],[Spill-over]],Tabelle132[[#This Row],[Jira Story Points]]-Tabelle132[[#This Row],[Spill-over]]))),"-")</f>
        <v>5</v>
      </c>
      <c r="P114" s="136">
        <f>IFERROR(IF(Tabelle132[[#This Row],[Status]]=$I$5,MIN(Tabelle132[[#This Row],[Jira Story Points]],Tabelle132[[#This Row],[Carry-over]]),0),0)</f>
        <v>0</v>
      </c>
      <c r="Q114" s="156">
        <f>IFERROR(IF(Tabelle132[[#This Row],[Status]]=$I$5,0,MIN(Tabelle132[[#This Row],[Jira Story Points]],Tabelle132[[#This Row],[Carry-over]])-Tabelle132[[#This Row],[SP Completed (COS &amp; SOS)]]),0)</f>
        <v>0</v>
      </c>
    </row>
    <row r="115" spans="1:17" s="46" customFormat="1" ht="13.5" customHeight="1">
      <c r="A115" s="158" t="s">
        <v>3809</v>
      </c>
      <c r="B115" s="47" t="s">
        <v>3810</v>
      </c>
      <c r="C115" s="76" t="s">
        <v>382</v>
      </c>
      <c r="D115" s="76">
        <v>3</v>
      </c>
      <c r="E115" s="76" t="s">
        <v>216</v>
      </c>
      <c r="F115" s="76">
        <v>5</v>
      </c>
      <c r="G115" s="76" t="s">
        <v>32</v>
      </c>
      <c r="H115" s="76"/>
      <c r="I115" s="103"/>
      <c r="J115" s="76" t="s">
        <v>125</v>
      </c>
      <c r="K115" s="104"/>
      <c r="L115" s="104"/>
      <c r="M115" s="136">
        <f>IF(Tabelle132[[#This Row],[Pulled after Start]]="",MIN(Tabelle132[[#This Row],[Jira Story Points]],Tabelle132[[#This Row],[Carry-over]]),0)</f>
        <v>5</v>
      </c>
      <c r="N115" s="136">
        <f>MIN(Tabelle132[[#This Row],[Jira Story Points]],Tabelle132[[#This Row],[Carry-over]])-Tabelle132[[#This Row],[SP Initially Planned (COS)]]</f>
        <v>0</v>
      </c>
      <c r="O115" s="104">
        <f>IFERROR(IF(Tabelle132[[#This Row],[Status]]=$I$5,0,IF(AND(Tabelle132[[#This Row],[Status]]=$H$5,Tabelle132[[#This Row],[Spill-over]]=0),0,IF(Tabelle132[[#This Row],[Carry-over]]&lt;&gt;0,Tabelle132[[#This Row],[Carry-over]]-Tabelle132[[#This Row],[Spill-over]],Tabelle132[[#This Row],[Jira Story Points]]-Tabelle132[[#This Row],[Spill-over]]))),"-")</f>
        <v>5</v>
      </c>
      <c r="P115" s="136">
        <f>IFERROR(IF(Tabelle132[[#This Row],[Status]]=$I$5,MIN(Tabelle132[[#This Row],[Jira Story Points]],Tabelle132[[#This Row],[Carry-over]]),0),0)</f>
        <v>0</v>
      </c>
      <c r="Q115" s="156">
        <f>IFERROR(IF(Tabelle132[[#This Row],[Status]]=$I$5,0,MIN(Tabelle132[[#This Row],[Jira Story Points]],Tabelle132[[#This Row],[Carry-over]])-Tabelle132[[#This Row],[SP Completed (COS &amp; SOS)]]),0)</f>
        <v>0</v>
      </c>
    </row>
    <row r="116" spans="1:17" s="46" customFormat="1" ht="13.5" customHeight="1">
      <c r="A116" s="158" t="s">
        <v>3623</v>
      </c>
      <c r="B116" s="47" t="s">
        <v>3624</v>
      </c>
      <c r="C116" s="76" t="s">
        <v>382</v>
      </c>
      <c r="D116" s="76">
        <v>3</v>
      </c>
      <c r="E116" s="76" t="s">
        <v>330</v>
      </c>
      <c r="F116" s="76">
        <v>5</v>
      </c>
      <c r="G116" s="76" t="s">
        <v>32</v>
      </c>
      <c r="H116" s="76"/>
      <c r="I116" s="103"/>
      <c r="J116" s="76" t="s">
        <v>125</v>
      </c>
      <c r="K116" s="104"/>
      <c r="L116" s="104"/>
      <c r="M116" s="136">
        <f>IF(Tabelle132[[#This Row],[Pulled after Start]]="",MIN(Tabelle132[[#This Row],[Jira Story Points]],Tabelle132[[#This Row],[Carry-over]]),0)</f>
        <v>5</v>
      </c>
      <c r="N116" s="136">
        <f>MIN(Tabelle132[[#This Row],[Jira Story Points]],Tabelle132[[#This Row],[Carry-over]])-Tabelle132[[#This Row],[SP Initially Planned (COS)]]</f>
        <v>0</v>
      </c>
      <c r="O116" s="104">
        <f>IFERROR(IF(Tabelle132[[#This Row],[Status]]=$I$5,0,IF(AND(Tabelle132[[#This Row],[Status]]=$H$5,Tabelle132[[#This Row],[Spill-over]]=0),0,IF(Tabelle132[[#This Row],[Carry-over]]&lt;&gt;0,Tabelle132[[#This Row],[Carry-over]]-Tabelle132[[#This Row],[Spill-over]],Tabelle132[[#This Row],[Jira Story Points]]-Tabelle132[[#This Row],[Spill-over]]))),"-")</f>
        <v>5</v>
      </c>
      <c r="P116" s="136">
        <f>IFERROR(IF(Tabelle132[[#This Row],[Status]]=$I$5,MIN(Tabelle132[[#This Row],[Jira Story Points]],Tabelle132[[#This Row],[Carry-over]]),0),0)</f>
        <v>0</v>
      </c>
      <c r="Q116" s="156">
        <f>IFERROR(IF(Tabelle132[[#This Row],[Status]]=$I$5,0,MIN(Tabelle132[[#This Row],[Jira Story Points]],Tabelle132[[#This Row],[Carry-over]])-Tabelle132[[#This Row],[SP Completed (COS &amp; SOS)]]),0)</f>
        <v>0</v>
      </c>
    </row>
    <row r="117" spans="1:17" s="46" customFormat="1" ht="13.5" customHeight="1">
      <c r="A117" s="158" t="s">
        <v>3625</v>
      </c>
      <c r="B117" s="47" t="s">
        <v>3626</v>
      </c>
      <c r="C117" s="76" t="s">
        <v>382</v>
      </c>
      <c r="D117" s="76">
        <v>3</v>
      </c>
      <c r="E117" s="76" t="s">
        <v>330</v>
      </c>
      <c r="F117" s="76">
        <v>5</v>
      </c>
      <c r="G117" s="76" t="s">
        <v>32</v>
      </c>
      <c r="H117" s="76"/>
      <c r="I117" s="103" t="s">
        <v>3744</v>
      </c>
      <c r="J117" s="76" t="s">
        <v>127</v>
      </c>
      <c r="K117" s="104"/>
      <c r="L117" s="104"/>
      <c r="M117" s="136">
        <f>IF(Tabelle132[[#This Row],[Pulled after Start]]="",MIN(Tabelle132[[#This Row],[Jira Story Points]],Tabelle132[[#This Row],[Carry-over]]),0)</f>
        <v>5</v>
      </c>
      <c r="N117" s="136">
        <f>MIN(Tabelle132[[#This Row],[Jira Story Points]],Tabelle132[[#This Row],[Carry-over]])-Tabelle132[[#This Row],[SP Initially Planned (COS)]]</f>
        <v>0</v>
      </c>
      <c r="O117" s="104">
        <f>IFERROR(IF(Tabelle132[[#This Row],[Status]]=$I$5,0,IF(AND(Tabelle132[[#This Row],[Status]]=$H$5,Tabelle132[[#This Row],[Spill-over]]=0),0,IF(Tabelle132[[#This Row],[Carry-over]]&lt;&gt;0,Tabelle132[[#This Row],[Carry-over]]-Tabelle132[[#This Row],[Spill-over]],Tabelle132[[#This Row],[Jira Story Points]]-Tabelle132[[#This Row],[Spill-over]]))),"-")</f>
        <v>0</v>
      </c>
      <c r="P117" s="136">
        <f>IFERROR(IF(Tabelle132[[#This Row],[Status]]=$I$5,MIN(Tabelle132[[#This Row],[Jira Story Points]],Tabelle132[[#This Row],[Carry-over]]),0),0)</f>
        <v>0</v>
      </c>
      <c r="Q117" s="156">
        <f>IFERROR(IF(Tabelle132[[#This Row],[Status]]=$I$5,0,MIN(Tabelle132[[#This Row],[Jira Story Points]],Tabelle132[[#This Row],[Carry-over]])-Tabelle132[[#This Row],[SP Completed (COS &amp; SOS)]]),0)</f>
        <v>5</v>
      </c>
    </row>
    <row r="118" spans="1:17" s="46" customFormat="1" ht="13.5" customHeight="1">
      <c r="A118" s="158" t="s">
        <v>3811</v>
      </c>
      <c r="B118" s="47" t="s">
        <v>3812</v>
      </c>
      <c r="C118" s="76" t="s">
        <v>382</v>
      </c>
      <c r="D118" s="76">
        <v>3</v>
      </c>
      <c r="E118" s="76" t="s">
        <v>330</v>
      </c>
      <c r="F118" s="76">
        <v>2</v>
      </c>
      <c r="G118" s="76" t="s">
        <v>32</v>
      </c>
      <c r="H118" s="76"/>
      <c r="I118" s="103"/>
      <c r="J118" s="76" t="s">
        <v>125</v>
      </c>
      <c r="K118" s="104"/>
      <c r="L118" s="104"/>
      <c r="M118" s="136">
        <f>IF(Tabelle132[[#This Row],[Pulled after Start]]="",MIN(Tabelle132[[#This Row],[Jira Story Points]],Tabelle132[[#This Row],[Carry-over]]),0)</f>
        <v>2</v>
      </c>
      <c r="N118" s="136">
        <f>MIN(Tabelle132[[#This Row],[Jira Story Points]],Tabelle132[[#This Row],[Carry-over]])-Tabelle132[[#This Row],[SP Initially Planned (COS)]]</f>
        <v>0</v>
      </c>
      <c r="O118" s="104">
        <f>IFERROR(IF(Tabelle132[[#This Row],[Status]]=$I$5,0,IF(AND(Tabelle132[[#This Row],[Status]]=$H$5,Tabelle132[[#This Row],[Spill-over]]=0),0,IF(Tabelle132[[#This Row],[Carry-over]]&lt;&gt;0,Tabelle132[[#This Row],[Carry-over]]-Tabelle132[[#This Row],[Spill-over]],Tabelle132[[#This Row],[Jira Story Points]]-Tabelle132[[#This Row],[Spill-over]]))),"-")</f>
        <v>2</v>
      </c>
      <c r="P118" s="136">
        <f>IFERROR(IF(Tabelle132[[#This Row],[Status]]=$I$5,MIN(Tabelle132[[#This Row],[Jira Story Points]],Tabelle132[[#This Row],[Carry-over]]),0),0)</f>
        <v>0</v>
      </c>
      <c r="Q118" s="156">
        <f>IFERROR(IF(Tabelle132[[#This Row],[Status]]=$I$5,0,MIN(Tabelle132[[#This Row],[Jira Story Points]],Tabelle132[[#This Row],[Carry-over]])-Tabelle132[[#This Row],[SP Completed (COS &amp; SOS)]]),0)</f>
        <v>0</v>
      </c>
    </row>
    <row r="119" spans="1:17" s="46" customFormat="1" ht="13.5" customHeight="1">
      <c r="A119" s="158" t="s">
        <v>3813</v>
      </c>
      <c r="B119" s="47" t="s">
        <v>3814</v>
      </c>
      <c r="C119" s="76" t="s">
        <v>382</v>
      </c>
      <c r="D119" s="76">
        <v>3</v>
      </c>
      <c r="E119" s="76" t="s">
        <v>324</v>
      </c>
      <c r="F119" s="76"/>
      <c r="G119" s="76" t="s">
        <v>32</v>
      </c>
      <c r="H119" s="76"/>
      <c r="I119" s="103"/>
      <c r="J119" s="76" t="s">
        <v>125</v>
      </c>
      <c r="K119" s="104"/>
      <c r="L119" s="104"/>
      <c r="M119" s="136">
        <f>IF(Tabelle132[[#This Row],[Pulled after Start]]="",MIN(Tabelle132[[#This Row],[Jira Story Points]],Tabelle132[[#This Row],[Carry-over]]),0)</f>
        <v>0</v>
      </c>
      <c r="N119" s="136">
        <f>MIN(Tabelle132[[#This Row],[Jira Story Points]],Tabelle132[[#This Row],[Carry-over]])-Tabelle132[[#This Row],[SP Initially Planned (COS)]]</f>
        <v>0</v>
      </c>
      <c r="O119" s="104">
        <f>IFERROR(IF(Tabelle132[[#This Row],[Status]]=$I$5,0,IF(AND(Tabelle132[[#This Row],[Status]]=$H$5,Tabelle132[[#This Row],[Spill-over]]=0),0,IF(Tabelle132[[#This Row],[Carry-over]]&lt;&gt;0,Tabelle132[[#This Row],[Carry-over]]-Tabelle132[[#This Row],[Spill-over]],Tabelle132[[#This Row],[Jira Story Points]]-Tabelle132[[#This Row],[Spill-over]]))),"-")</f>
        <v>0</v>
      </c>
      <c r="P119" s="136">
        <f>IFERROR(IF(Tabelle132[[#This Row],[Status]]=$I$5,MIN(Tabelle132[[#This Row],[Jira Story Points]],Tabelle132[[#This Row],[Carry-over]]),0),0)</f>
        <v>0</v>
      </c>
      <c r="Q119" s="156">
        <f>IFERROR(IF(Tabelle132[[#This Row],[Status]]=$I$5,0,MIN(Tabelle132[[#This Row],[Jira Story Points]],Tabelle132[[#This Row],[Carry-over]])-Tabelle132[[#This Row],[SP Completed (COS &amp; SOS)]]),0)</f>
        <v>0</v>
      </c>
    </row>
    <row r="120" spans="1:17" s="46" customFormat="1" ht="13.5" customHeight="1">
      <c r="A120" s="158" t="s">
        <v>2391</v>
      </c>
      <c r="B120" s="47" t="s">
        <v>2939</v>
      </c>
      <c r="C120" s="76" t="s">
        <v>372</v>
      </c>
      <c r="D120" s="76">
        <v>3</v>
      </c>
      <c r="E120" s="76" t="s">
        <v>327</v>
      </c>
      <c r="F120" s="76">
        <v>3</v>
      </c>
      <c r="G120" s="76" t="s">
        <v>32</v>
      </c>
      <c r="H120" s="76"/>
      <c r="I120" s="103" t="s">
        <v>3744</v>
      </c>
      <c r="J120" s="76" t="s">
        <v>127</v>
      </c>
      <c r="K120" s="104"/>
      <c r="L120" s="104"/>
      <c r="M120" s="136">
        <f>IF(Tabelle132[[#This Row],[Pulled after Start]]="",MIN(Tabelle132[[#This Row],[Jira Story Points]],Tabelle132[[#This Row],[Carry-over]]),0)</f>
        <v>3</v>
      </c>
      <c r="N120" s="136">
        <f>MIN(Tabelle132[[#This Row],[Jira Story Points]],Tabelle132[[#This Row],[Carry-over]])-Tabelle132[[#This Row],[SP Initially Planned (COS)]]</f>
        <v>0</v>
      </c>
      <c r="O120" s="104">
        <f>IFERROR(IF(Tabelle132[[#This Row],[Status]]=$I$5,0,IF(AND(Tabelle132[[#This Row],[Status]]=$H$5,Tabelle132[[#This Row],[Spill-over]]=0),0,IF(Tabelle132[[#This Row],[Carry-over]]&lt;&gt;0,Tabelle132[[#This Row],[Carry-over]]-Tabelle132[[#This Row],[Spill-over]],Tabelle132[[#This Row],[Jira Story Points]]-Tabelle132[[#This Row],[Spill-over]]))),"-")</f>
        <v>0</v>
      </c>
      <c r="P120" s="136">
        <f>IFERROR(IF(Tabelle132[[#This Row],[Status]]=$I$5,MIN(Tabelle132[[#This Row],[Jira Story Points]],Tabelle132[[#This Row],[Carry-over]]),0),0)</f>
        <v>0</v>
      </c>
      <c r="Q120" s="156">
        <f>IFERROR(IF(Tabelle132[[#This Row],[Status]]=$I$5,0,MIN(Tabelle132[[#This Row],[Jira Story Points]],Tabelle132[[#This Row],[Carry-over]])-Tabelle132[[#This Row],[SP Completed (COS &amp; SOS)]]),0)</f>
        <v>3</v>
      </c>
    </row>
    <row r="121" spans="1:17" s="46" customFormat="1" ht="13.5" customHeight="1">
      <c r="A121" s="158" t="s">
        <v>2393</v>
      </c>
      <c r="B121" s="47" t="s">
        <v>2394</v>
      </c>
      <c r="C121" s="76" t="s">
        <v>375</v>
      </c>
      <c r="D121" s="76">
        <v>3</v>
      </c>
      <c r="E121" s="76" t="s">
        <v>327</v>
      </c>
      <c r="F121" s="76">
        <v>3</v>
      </c>
      <c r="G121" s="76" t="s">
        <v>32</v>
      </c>
      <c r="H121" s="76"/>
      <c r="I121" s="103" t="s">
        <v>3744</v>
      </c>
      <c r="J121" s="76" t="s">
        <v>127</v>
      </c>
      <c r="K121" s="104"/>
      <c r="L121" s="104"/>
      <c r="M121" s="136">
        <f>IF(Tabelle132[[#This Row],[Pulled after Start]]="",MIN(Tabelle132[[#This Row],[Jira Story Points]],Tabelle132[[#This Row],[Carry-over]]),0)</f>
        <v>3</v>
      </c>
      <c r="N121" s="136">
        <f>MIN(Tabelle132[[#This Row],[Jira Story Points]],Tabelle132[[#This Row],[Carry-over]])-Tabelle132[[#This Row],[SP Initially Planned (COS)]]</f>
        <v>0</v>
      </c>
      <c r="O121" s="104">
        <f>IFERROR(IF(Tabelle132[[#This Row],[Status]]=$I$5,0,IF(AND(Tabelle132[[#This Row],[Status]]=$H$5,Tabelle132[[#This Row],[Spill-over]]=0),0,IF(Tabelle132[[#This Row],[Carry-over]]&lt;&gt;0,Tabelle132[[#This Row],[Carry-over]]-Tabelle132[[#This Row],[Spill-over]],Tabelle132[[#This Row],[Jira Story Points]]-Tabelle132[[#This Row],[Spill-over]]))),"-")</f>
        <v>0</v>
      </c>
      <c r="P121" s="136">
        <f>IFERROR(IF(Tabelle132[[#This Row],[Status]]=$I$5,MIN(Tabelle132[[#This Row],[Jira Story Points]],Tabelle132[[#This Row],[Carry-over]]),0),0)</f>
        <v>0</v>
      </c>
      <c r="Q121" s="156">
        <f>IFERROR(IF(Tabelle132[[#This Row],[Status]]=$I$5,0,MIN(Tabelle132[[#This Row],[Jira Story Points]],Tabelle132[[#This Row],[Carry-over]])-Tabelle132[[#This Row],[SP Completed (COS &amp; SOS)]]),0)</f>
        <v>3</v>
      </c>
    </row>
    <row r="122" spans="1:17" s="46" customFormat="1" ht="13.5" customHeight="1">
      <c r="A122" s="158" t="s">
        <v>3614</v>
      </c>
      <c r="B122" s="47" t="s">
        <v>3615</v>
      </c>
      <c r="C122" s="76" t="s">
        <v>372</v>
      </c>
      <c r="D122" s="76">
        <v>3</v>
      </c>
      <c r="E122" s="76" t="s">
        <v>327</v>
      </c>
      <c r="F122" s="76">
        <v>2</v>
      </c>
      <c r="G122" s="76" t="s">
        <v>32</v>
      </c>
      <c r="H122" s="76"/>
      <c r="I122" s="103" t="s">
        <v>3744</v>
      </c>
      <c r="J122" s="76" t="s">
        <v>127</v>
      </c>
      <c r="K122" s="104"/>
      <c r="L122" s="104"/>
      <c r="M122" s="136">
        <f>IF(Tabelle132[[#This Row],[Pulled after Start]]="",MIN(Tabelle132[[#This Row],[Jira Story Points]],Tabelle132[[#This Row],[Carry-over]]),0)</f>
        <v>2</v>
      </c>
      <c r="N122" s="136">
        <f>MIN(Tabelle132[[#This Row],[Jira Story Points]],Tabelle132[[#This Row],[Carry-over]])-Tabelle132[[#This Row],[SP Initially Planned (COS)]]</f>
        <v>0</v>
      </c>
      <c r="O122" s="104">
        <f>IFERROR(IF(Tabelle132[[#This Row],[Status]]=$I$5,0,IF(AND(Tabelle132[[#This Row],[Status]]=$H$5,Tabelle132[[#This Row],[Spill-over]]=0),0,IF(Tabelle132[[#This Row],[Carry-over]]&lt;&gt;0,Tabelle132[[#This Row],[Carry-over]]-Tabelle132[[#This Row],[Spill-over]],Tabelle132[[#This Row],[Jira Story Points]]-Tabelle132[[#This Row],[Spill-over]]))),"-")</f>
        <v>0</v>
      </c>
      <c r="P122" s="136">
        <f>IFERROR(IF(Tabelle132[[#This Row],[Status]]=$I$5,MIN(Tabelle132[[#This Row],[Jira Story Points]],Tabelle132[[#This Row],[Carry-over]]),0),0)</f>
        <v>0</v>
      </c>
      <c r="Q122" s="156">
        <f>IFERROR(IF(Tabelle132[[#This Row],[Status]]=$I$5,0,MIN(Tabelle132[[#This Row],[Jira Story Points]],Tabelle132[[#This Row],[Carry-over]])-Tabelle132[[#This Row],[SP Completed (COS &amp; SOS)]]),0)</f>
        <v>2</v>
      </c>
    </row>
    <row r="123" spans="1:17" s="46" customFormat="1" ht="13.5" customHeight="1">
      <c r="A123" s="158" t="s">
        <v>3627</v>
      </c>
      <c r="B123" s="47" t="s">
        <v>3628</v>
      </c>
      <c r="C123" s="76" t="s">
        <v>382</v>
      </c>
      <c r="D123" s="76">
        <v>3</v>
      </c>
      <c r="E123" s="76" t="s">
        <v>448</v>
      </c>
      <c r="F123" s="76">
        <v>3</v>
      </c>
      <c r="G123" s="76" t="s">
        <v>32</v>
      </c>
      <c r="H123" s="76"/>
      <c r="I123" s="103" t="s">
        <v>3744</v>
      </c>
      <c r="J123" s="76" t="s">
        <v>127</v>
      </c>
      <c r="K123" s="104"/>
      <c r="L123" s="104"/>
      <c r="M123" s="136">
        <f>IF(Tabelle132[[#This Row],[Pulled after Start]]="",MIN(Tabelle132[[#This Row],[Jira Story Points]],Tabelle132[[#This Row],[Carry-over]]),0)</f>
        <v>3</v>
      </c>
      <c r="N123" s="136">
        <f>MIN(Tabelle132[[#This Row],[Jira Story Points]],Tabelle132[[#This Row],[Carry-over]])-Tabelle132[[#This Row],[SP Initially Planned (COS)]]</f>
        <v>0</v>
      </c>
      <c r="O123" s="104">
        <f>IFERROR(IF(Tabelle132[[#This Row],[Status]]=$I$5,0,IF(AND(Tabelle132[[#This Row],[Status]]=$H$5,Tabelle132[[#This Row],[Spill-over]]=0),0,IF(Tabelle132[[#This Row],[Carry-over]]&lt;&gt;0,Tabelle132[[#This Row],[Carry-over]]-Tabelle132[[#This Row],[Spill-over]],Tabelle132[[#This Row],[Jira Story Points]]-Tabelle132[[#This Row],[Spill-over]]))),"-")</f>
        <v>0</v>
      </c>
      <c r="P123" s="136">
        <f>IFERROR(IF(Tabelle132[[#This Row],[Status]]=$I$5,MIN(Tabelle132[[#This Row],[Jira Story Points]],Tabelle132[[#This Row],[Carry-over]]),0),0)</f>
        <v>0</v>
      </c>
      <c r="Q123" s="156">
        <f>IFERROR(IF(Tabelle132[[#This Row],[Status]]=$I$5,0,MIN(Tabelle132[[#This Row],[Jira Story Points]],Tabelle132[[#This Row],[Carry-over]])-Tabelle132[[#This Row],[SP Completed (COS &amp; SOS)]]),0)</f>
        <v>3</v>
      </c>
    </row>
    <row r="124" spans="1:17" s="46" customFormat="1" ht="13.5" customHeight="1">
      <c r="A124" s="158" t="s">
        <v>3621</v>
      </c>
      <c r="B124" s="47" t="s">
        <v>3622</v>
      </c>
      <c r="C124" s="76" t="s">
        <v>375</v>
      </c>
      <c r="D124" s="76">
        <v>1</v>
      </c>
      <c r="E124" s="76" t="s">
        <v>327</v>
      </c>
      <c r="F124" s="76">
        <v>3</v>
      </c>
      <c r="G124" s="76" t="s">
        <v>32</v>
      </c>
      <c r="H124" s="76" t="s">
        <v>209</v>
      </c>
      <c r="I124" s="103" t="s">
        <v>3744</v>
      </c>
      <c r="J124" s="76" t="s">
        <v>127</v>
      </c>
      <c r="K124" s="104"/>
      <c r="L124" s="104"/>
      <c r="M124" s="136">
        <f>IF(Tabelle132[[#This Row],[Pulled after Start]]="",MIN(Tabelle132[[#This Row],[Jira Story Points]],Tabelle132[[#This Row],[Carry-over]]),0)</f>
        <v>0</v>
      </c>
      <c r="N124" s="136">
        <f>MIN(Tabelle132[[#This Row],[Jira Story Points]],Tabelle132[[#This Row],[Carry-over]])-Tabelle132[[#This Row],[SP Initially Planned (COS)]]</f>
        <v>3</v>
      </c>
      <c r="O124" s="104">
        <f>IFERROR(IF(Tabelle132[[#This Row],[Status]]=$I$5,0,IF(AND(Tabelle132[[#This Row],[Status]]=$H$5,Tabelle132[[#This Row],[Spill-over]]=0),0,IF(Tabelle132[[#This Row],[Carry-over]]&lt;&gt;0,Tabelle132[[#This Row],[Carry-over]]-Tabelle132[[#This Row],[Spill-over]],Tabelle132[[#This Row],[Jira Story Points]]-Tabelle132[[#This Row],[Spill-over]]))),"-")</f>
        <v>0</v>
      </c>
      <c r="P124" s="136">
        <f>IFERROR(IF(Tabelle132[[#This Row],[Status]]=$I$5,MIN(Tabelle132[[#This Row],[Jira Story Points]],Tabelle132[[#This Row],[Carry-over]]),0),0)</f>
        <v>0</v>
      </c>
      <c r="Q124" s="156">
        <f>IFERROR(IF(Tabelle132[[#This Row],[Status]]=$I$5,0,MIN(Tabelle132[[#This Row],[Jira Story Points]],Tabelle132[[#This Row],[Carry-over]])-Tabelle132[[#This Row],[SP Completed (COS &amp; SOS)]]),0)</f>
        <v>3</v>
      </c>
    </row>
    <row r="125" spans="1:17" s="46" customFormat="1" ht="13.5" customHeight="1">
      <c r="A125" s="158" t="s">
        <v>3619</v>
      </c>
      <c r="B125" s="47" t="s">
        <v>3620</v>
      </c>
      <c r="C125" s="76" t="s">
        <v>375</v>
      </c>
      <c r="D125" s="76">
        <v>3</v>
      </c>
      <c r="E125" s="76" t="s">
        <v>327</v>
      </c>
      <c r="F125" s="76">
        <v>3</v>
      </c>
      <c r="G125" s="76" t="s">
        <v>32</v>
      </c>
      <c r="H125" s="76" t="s">
        <v>209</v>
      </c>
      <c r="I125" s="103" t="s">
        <v>3744</v>
      </c>
      <c r="J125" s="76" t="s">
        <v>127</v>
      </c>
      <c r="K125" s="104"/>
      <c r="L125" s="104"/>
      <c r="M125" s="136">
        <f>IF(Tabelle132[[#This Row],[Pulled after Start]]="",MIN(Tabelle132[[#This Row],[Jira Story Points]],Tabelle132[[#This Row],[Carry-over]]),0)</f>
        <v>0</v>
      </c>
      <c r="N125" s="136">
        <f>MIN(Tabelle132[[#This Row],[Jira Story Points]],Tabelle132[[#This Row],[Carry-over]])-Tabelle132[[#This Row],[SP Initially Planned (COS)]]</f>
        <v>3</v>
      </c>
      <c r="O125" s="104">
        <f>IFERROR(IF(Tabelle132[[#This Row],[Status]]=$I$5,0,IF(AND(Tabelle132[[#This Row],[Status]]=$H$5,Tabelle132[[#This Row],[Spill-over]]=0),0,IF(Tabelle132[[#This Row],[Carry-over]]&lt;&gt;0,Tabelle132[[#This Row],[Carry-over]]-Tabelle132[[#This Row],[Spill-over]],Tabelle132[[#This Row],[Jira Story Points]]-Tabelle132[[#This Row],[Spill-over]]))),"-")</f>
        <v>0</v>
      </c>
      <c r="P125" s="136">
        <f>IFERROR(IF(Tabelle132[[#This Row],[Status]]=$I$5,MIN(Tabelle132[[#This Row],[Jira Story Points]],Tabelle132[[#This Row],[Carry-over]]),0),0)</f>
        <v>0</v>
      </c>
      <c r="Q125" s="156">
        <f>IFERROR(IF(Tabelle132[[#This Row],[Status]]=$I$5,0,MIN(Tabelle132[[#This Row],[Jira Story Points]],Tabelle132[[#This Row],[Carry-over]])-Tabelle132[[#This Row],[SP Completed (COS &amp; SOS)]]),0)</f>
        <v>3</v>
      </c>
    </row>
    <row r="126" spans="1:17" s="46" customFormat="1" ht="13.5" customHeight="1">
      <c r="A126" s="115" t="s">
        <v>3815</v>
      </c>
      <c r="B126" s="47" t="s">
        <v>3816</v>
      </c>
      <c r="C126" s="76" t="s">
        <v>372</v>
      </c>
      <c r="D126" s="76">
        <v>3</v>
      </c>
      <c r="E126" s="76" t="s">
        <v>324</v>
      </c>
      <c r="F126" s="104">
        <v>3</v>
      </c>
      <c r="G126" s="76" t="s">
        <v>5</v>
      </c>
      <c r="H126" s="83"/>
      <c r="I126" s="103"/>
      <c r="J126" s="76" t="s">
        <v>125</v>
      </c>
      <c r="K126" s="104"/>
      <c r="L126" s="104"/>
      <c r="M126" s="136">
        <f>IF(Tabelle132[[#This Row],[Pulled after Start]]="",MIN(Tabelle132[[#This Row],[Jira Story Points]],Tabelle132[[#This Row],[Carry-over]]),0)</f>
        <v>3</v>
      </c>
      <c r="N126" s="136">
        <f>MIN(Tabelle132[[#This Row],[Jira Story Points]],Tabelle132[[#This Row],[Carry-over]])-Tabelle132[[#This Row],[SP Initially Planned (COS)]]</f>
        <v>0</v>
      </c>
      <c r="O126" s="104">
        <f>IFERROR(IF(Tabelle132[[#This Row],[Status]]=$I$5,0,IF(AND(Tabelle132[[#This Row],[Status]]=$H$5,Tabelle132[[#This Row],[Spill-over]]=0),0,IF(Tabelle132[[#This Row],[Carry-over]]&lt;&gt;0,Tabelle132[[#This Row],[Carry-over]]-Tabelle132[[#This Row],[Spill-over]],Tabelle132[[#This Row],[Jira Story Points]]-Tabelle132[[#This Row],[Spill-over]]))),"-")</f>
        <v>3</v>
      </c>
      <c r="P126" s="136">
        <f>IFERROR(IF(Tabelle132[[#This Row],[Status]]=$I$5,MIN(Tabelle132[[#This Row],[Jira Story Points]],Tabelle132[[#This Row],[Carry-over]]),0),0)</f>
        <v>0</v>
      </c>
      <c r="Q126" s="156">
        <f>IFERROR(IF(Tabelle132[[#This Row],[Status]]=$I$5,0,MIN(Tabelle132[[#This Row],[Jira Story Points]],Tabelle132[[#This Row],[Carry-over]])-Tabelle132[[#This Row],[SP Completed (COS &amp; SOS)]]),0)</f>
        <v>0</v>
      </c>
    </row>
    <row r="127" spans="1:17" s="46" customFormat="1" ht="13.5" customHeight="1">
      <c r="A127" s="115" t="s">
        <v>3817</v>
      </c>
      <c r="B127" s="47" t="s">
        <v>3818</v>
      </c>
      <c r="C127" s="76" t="s">
        <v>372</v>
      </c>
      <c r="D127" s="76">
        <v>3</v>
      </c>
      <c r="E127" s="76" t="s">
        <v>324</v>
      </c>
      <c r="F127" s="104">
        <v>8</v>
      </c>
      <c r="G127" s="76" t="s">
        <v>5</v>
      </c>
      <c r="H127" s="83"/>
      <c r="I127" s="103"/>
      <c r="J127" s="76" t="s">
        <v>125</v>
      </c>
      <c r="K127" s="104"/>
      <c r="L127" s="104"/>
      <c r="M127" s="136">
        <f>IF(Tabelle132[[#This Row],[Pulled after Start]]="",MIN(Tabelle132[[#This Row],[Jira Story Points]],Tabelle132[[#This Row],[Carry-over]]),0)</f>
        <v>8</v>
      </c>
      <c r="N127" s="136">
        <f>MIN(Tabelle132[[#This Row],[Jira Story Points]],Tabelle132[[#This Row],[Carry-over]])-Tabelle132[[#This Row],[SP Initially Planned (COS)]]</f>
        <v>0</v>
      </c>
      <c r="O127" s="104">
        <f>IFERROR(IF(Tabelle132[[#This Row],[Status]]=$I$5,0,IF(AND(Tabelle132[[#This Row],[Status]]=$H$5,Tabelle132[[#This Row],[Spill-over]]=0),0,IF(Tabelle132[[#This Row],[Carry-over]]&lt;&gt;0,Tabelle132[[#This Row],[Carry-over]]-Tabelle132[[#This Row],[Spill-over]],Tabelle132[[#This Row],[Jira Story Points]]-Tabelle132[[#This Row],[Spill-over]]))),"-")</f>
        <v>8</v>
      </c>
      <c r="P127" s="136">
        <f>IFERROR(IF(Tabelle132[[#This Row],[Status]]=$I$5,MIN(Tabelle132[[#This Row],[Jira Story Points]],Tabelle132[[#This Row],[Carry-over]]),0),0)</f>
        <v>0</v>
      </c>
      <c r="Q127" s="156">
        <f>IFERROR(IF(Tabelle132[[#This Row],[Status]]=$I$5,0,MIN(Tabelle132[[#This Row],[Jira Story Points]],Tabelle132[[#This Row],[Carry-over]])-Tabelle132[[#This Row],[SP Completed (COS &amp; SOS)]]),0)</f>
        <v>0</v>
      </c>
    </row>
    <row r="128" spans="1:17" s="46" customFormat="1" ht="13.5" customHeight="1">
      <c r="A128" s="117" t="s">
        <v>3819</v>
      </c>
      <c r="B128" s="47" t="s">
        <v>3820</v>
      </c>
      <c r="C128" s="76" t="s">
        <v>372</v>
      </c>
      <c r="D128" s="76">
        <v>3</v>
      </c>
      <c r="E128" s="76" t="s">
        <v>324</v>
      </c>
      <c r="F128" s="104">
        <v>1</v>
      </c>
      <c r="G128" s="76" t="s">
        <v>5</v>
      </c>
      <c r="H128" s="83" t="s">
        <v>209</v>
      </c>
      <c r="I128" s="103"/>
      <c r="J128" s="76" t="s">
        <v>125</v>
      </c>
      <c r="K128" s="104"/>
      <c r="L128" s="104"/>
      <c r="M128" s="136">
        <f>IF(Tabelle132[[#This Row],[Pulled after Start]]="",MIN(Tabelle132[[#This Row],[Jira Story Points]],Tabelle132[[#This Row],[Carry-over]]),0)</f>
        <v>0</v>
      </c>
      <c r="N128" s="136">
        <f>MIN(Tabelle132[[#This Row],[Jira Story Points]],Tabelle132[[#This Row],[Carry-over]])-Tabelle132[[#This Row],[SP Initially Planned (COS)]]</f>
        <v>1</v>
      </c>
      <c r="O128" s="104">
        <f>IFERROR(IF(Tabelle132[[#This Row],[Status]]=$I$5,0,IF(AND(Tabelle132[[#This Row],[Status]]=$H$5,Tabelle132[[#This Row],[Spill-over]]=0),0,IF(Tabelle132[[#This Row],[Carry-over]]&lt;&gt;0,Tabelle132[[#This Row],[Carry-over]]-Tabelle132[[#This Row],[Spill-over]],Tabelle132[[#This Row],[Jira Story Points]]-Tabelle132[[#This Row],[Spill-over]]))),"-")</f>
        <v>1</v>
      </c>
      <c r="P128" s="136">
        <f>IFERROR(IF(Tabelle132[[#This Row],[Status]]=$I$5,MIN(Tabelle132[[#This Row],[Jira Story Points]],Tabelle132[[#This Row],[Carry-over]]),0),0)</f>
        <v>0</v>
      </c>
      <c r="Q128" s="156">
        <f>IFERROR(IF(Tabelle132[[#This Row],[Status]]=$I$5,0,MIN(Tabelle132[[#This Row],[Jira Story Points]],Tabelle132[[#This Row],[Carry-over]])-Tabelle132[[#This Row],[SP Completed (COS &amp; SOS)]]),0)</f>
        <v>0</v>
      </c>
    </row>
    <row r="129" spans="1:17" s="46" customFormat="1" ht="13.5" customHeight="1">
      <c r="A129" s="117" t="s">
        <v>3660</v>
      </c>
      <c r="B129" s="47" t="s">
        <v>3661</v>
      </c>
      <c r="C129" s="76" t="s">
        <v>372</v>
      </c>
      <c r="D129" s="76">
        <v>3</v>
      </c>
      <c r="E129" s="76" t="s">
        <v>327</v>
      </c>
      <c r="F129" s="104">
        <v>8</v>
      </c>
      <c r="G129" s="76" t="s">
        <v>5</v>
      </c>
      <c r="H129" s="83"/>
      <c r="I129" s="103" t="s">
        <v>3744</v>
      </c>
      <c r="J129" s="76" t="s">
        <v>127</v>
      </c>
      <c r="K129" s="104"/>
      <c r="L129" s="104">
        <v>2</v>
      </c>
      <c r="M129" s="136">
        <f>IF(Tabelle132[[#This Row],[Pulled after Start]]="",MIN(Tabelle132[[#This Row],[Jira Story Points]],Tabelle132[[#This Row],[Carry-over]]),0)</f>
        <v>8</v>
      </c>
      <c r="N129" s="136">
        <f>MIN(Tabelle132[[#This Row],[Jira Story Points]],Tabelle132[[#This Row],[Carry-over]])-Tabelle132[[#This Row],[SP Initially Planned (COS)]]</f>
        <v>0</v>
      </c>
      <c r="O129" s="104">
        <f>IFERROR(IF(Tabelle132[[#This Row],[Status]]=$I$5,0,IF(AND(Tabelle132[[#This Row],[Status]]=$H$5,Tabelle132[[#This Row],[Spill-over]]=0),0,IF(Tabelle132[[#This Row],[Carry-over]]&lt;&gt;0,Tabelle132[[#This Row],[Carry-over]]-Tabelle132[[#This Row],[Spill-over]],Tabelle132[[#This Row],[Jira Story Points]]-Tabelle132[[#This Row],[Spill-over]]))),"-")</f>
        <v>6</v>
      </c>
      <c r="P129" s="136">
        <f>IFERROR(IF(Tabelle132[[#This Row],[Status]]=$I$5,MIN(Tabelle132[[#This Row],[Jira Story Points]],Tabelle132[[#This Row],[Carry-over]]),0),0)</f>
        <v>0</v>
      </c>
      <c r="Q129" s="156">
        <f>IFERROR(IF(Tabelle132[[#This Row],[Status]]=$I$5,0,MIN(Tabelle132[[#This Row],[Jira Story Points]],Tabelle132[[#This Row],[Carry-over]])-Tabelle132[[#This Row],[SP Completed (COS &amp; SOS)]]),0)</f>
        <v>2</v>
      </c>
    </row>
    <row r="130" spans="1:17" s="46" customFormat="1" ht="13.5" customHeight="1">
      <c r="A130" s="117" t="s">
        <v>3205</v>
      </c>
      <c r="B130" s="47" t="s">
        <v>3206</v>
      </c>
      <c r="C130" s="76" t="s">
        <v>375</v>
      </c>
      <c r="D130" s="76">
        <v>2</v>
      </c>
      <c r="E130" s="76" t="s">
        <v>637</v>
      </c>
      <c r="F130" s="104">
        <v>3</v>
      </c>
      <c r="G130" s="76" t="s">
        <v>5</v>
      </c>
      <c r="H130" s="83"/>
      <c r="I130" s="103" t="s">
        <v>3744</v>
      </c>
      <c r="J130" s="76" t="s">
        <v>127</v>
      </c>
      <c r="K130" s="104"/>
      <c r="L130" s="104">
        <v>3</v>
      </c>
      <c r="M130" s="136">
        <f>IF(Tabelle132[[#This Row],[Pulled after Start]]="",MIN(Tabelle132[[#This Row],[Jira Story Points]],Tabelle132[[#This Row],[Carry-over]]),0)</f>
        <v>3</v>
      </c>
      <c r="N130" s="136">
        <f>MIN(Tabelle132[[#This Row],[Jira Story Points]],Tabelle132[[#This Row],[Carry-over]])-Tabelle132[[#This Row],[SP Initially Planned (COS)]]</f>
        <v>0</v>
      </c>
      <c r="O130" s="104">
        <f>IFERROR(IF(Tabelle132[[#This Row],[Status]]=$I$5,0,IF(AND(Tabelle132[[#This Row],[Status]]=$H$5,Tabelle132[[#This Row],[Spill-over]]=0),0,IF(Tabelle132[[#This Row],[Carry-over]]&lt;&gt;0,Tabelle132[[#This Row],[Carry-over]]-Tabelle132[[#This Row],[Spill-over]],Tabelle132[[#This Row],[Jira Story Points]]-Tabelle132[[#This Row],[Spill-over]]))),"-")</f>
        <v>0</v>
      </c>
      <c r="P130" s="136">
        <f>IFERROR(IF(Tabelle132[[#This Row],[Status]]=$I$5,MIN(Tabelle132[[#This Row],[Jira Story Points]],Tabelle132[[#This Row],[Carry-over]]),0),0)</f>
        <v>0</v>
      </c>
      <c r="Q130" s="156">
        <f>IFERROR(IF(Tabelle132[[#This Row],[Status]]=$I$5,0,MIN(Tabelle132[[#This Row],[Jira Story Points]],Tabelle132[[#This Row],[Carry-over]])-Tabelle132[[#This Row],[SP Completed (COS &amp; SOS)]]),0)</f>
        <v>3</v>
      </c>
    </row>
    <row r="131" spans="1:17" s="46" customFormat="1" ht="13.5" customHeight="1">
      <c r="A131" s="117" t="s">
        <v>3644</v>
      </c>
      <c r="B131" s="47" t="s">
        <v>3645</v>
      </c>
      <c r="C131" s="76" t="s">
        <v>372</v>
      </c>
      <c r="D131" s="76">
        <v>3</v>
      </c>
      <c r="E131" s="76" t="s">
        <v>327</v>
      </c>
      <c r="F131" s="104">
        <v>8</v>
      </c>
      <c r="G131" s="76" t="s">
        <v>5</v>
      </c>
      <c r="H131" s="83"/>
      <c r="I131" s="103"/>
      <c r="J131" s="76" t="s">
        <v>125</v>
      </c>
      <c r="K131" s="104"/>
      <c r="L131" s="104"/>
      <c r="M131" s="136">
        <f>IF(Tabelle132[[#This Row],[Pulled after Start]]="",MIN(Tabelle132[[#This Row],[Jira Story Points]],Tabelle132[[#This Row],[Carry-over]]),0)</f>
        <v>8</v>
      </c>
      <c r="N131" s="136">
        <f>MIN(Tabelle132[[#This Row],[Jira Story Points]],Tabelle132[[#This Row],[Carry-over]])-Tabelle132[[#This Row],[SP Initially Planned (COS)]]</f>
        <v>0</v>
      </c>
      <c r="O131" s="104">
        <f>IFERROR(IF(Tabelle132[[#This Row],[Status]]=$I$5,0,IF(AND(Tabelle132[[#This Row],[Status]]=$H$5,Tabelle132[[#This Row],[Spill-over]]=0),0,IF(Tabelle132[[#This Row],[Carry-over]]&lt;&gt;0,Tabelle132[[#This Row],[Carry-over]]-Tabelle132[[#This Row],[Spill-over]],Tabelle132[[#This Row],[Jira Story Points]]-Tabelle132[[#This Row],[Spill-over]]))),"-")</f>
        <v>8</v>
      </c>
      <c r="P131" s="136">
        <f>IFERROR(IF(Tabelle132[[#This Row],[Status]]=$I$5,MIN(Tabelle132[[#This Row],[Jira Story Points]],Tabelle132[[#This Row],[Carry-over]]),0),0)</f>
        <v>0</v>
      </c>
      <c r="Q131" s="156">
        <f>IFERROR(IF(Tabelle132[[#This Row],[Status]]=$I$5,0,MIN(Tabelle132[[#This Row],[Jira Story Points]],Tabelle132[[#This Row],[Carry-over]])-Tabelle132[[#This Row],[SP Completed (COS &amp; SOS)]]),0)</f>
        <v>0</v>
      </c>
    </row>
    <row r="132" spans="1:17" s="46" customFormat="1" ht="13.5" customHeight="1">
      <c r="A132" s="117" t="s">
        <v>3169</v>
      </c>
      <c r="B132" s="47" t="s">
        <v>3170</v>
      </c>
      <c r="C132" s="76" t="s">
        <v>372</v>
      </c>
      <c r="D132" s="76">
        <v>3</v>
      </c>
      <c r="E132" s="76" t="s">
        <v>327</v>
      </c>
      <c r="F132" s="104">
        <v>8</v>
      </c>
      <c r="G132" s="76" t="s">
        <v>5</v>
      </c>
      <c r="H132" s="83"/>
      <c r="I132" s="103" t="s">
        <v>3744</v>
      </c>
      <c r="J132" s="76" t="s">
        <v>127</v>
      </c>
      <c r="K132" s="104"/>
      <c r="L132" s="104">
        <v>3</v>
      </c>
      <c r="M132" s="136">
        <f>IF(Tabelle132[[#This Row],[Pulled after Start]]="",MIN(Tabelle132[[#This Row],[Jira Story Points]],Tabelle132[[#This Row],[Carry-over]]),0)</f>
        <v>8</v>
      </c>
      <c r="N132" s="136">
        <f>MIN(Tabelle132[[#This Row],[Jira Story Points]],Tabelle132[[#This Row],[Carry-over]])-Tabelle132[[#This Row],[SP Initially Planned (COS)]]</f>
        <v>0</v>
      </c>
      <c r="O132" s="104">
        <f>IFERROR(IF(Tabelle132[[#This Row],[Status]]=$I$5,0,IF(AND(Tabelle132[[#This Row],[Status]]=$H$5,Tabelle132[[#This Row],[Spill-over]]=0),0,IF(Tabelle132[[#This Row],[Carry-over]]&lt;&gt;0,Tabelle132[[#This Row],[Carry-over]]-Tabelle132[[#This Row],[Spill-over]],Tabelle132[[#This Row],[Jira Story Points]]-Tabelle132[[#This Row],[Spill-over]]))),"-")</f>
        <v>5</v>
      </c>
      <c r="P132" s="136">
        <f>IFERROR(IF(Tabelle132[[#This Row],[Status]]=$I$5,MIN(Tabelle132[[#This Row],[Jira Story Points]],Tabelle132[[#This Row],[Carry-over]]),0),0)</f>
        <v>0</v>
      </c>
      <c r="Q132" s="156">
        <f>IFERROR(IF(Tabelle132[[#This Row],[Status]]=$I$5,0,MIN(Tabelle132[[#This Row],[Jira Story Points]],Tabelle132[[#This Row],[Carry-over]])-Tabelle132[[#This Row],[SP Completed (COS &amp; SOS)]]),0)</f>
        <v>3</v>
      </c>
    </row>
    <row r="133" spans="1:17" s="46" customFormat="1" ht="13.5" customHeight="1">
      <c r="A133" s="117" t="s">
        <v>3821</v>
      </c>
      <c r="B133" s="47" t="s">
        <v>3822</v>
      </c>
      <c r="C133" s="76" t="s">
        <v>372</v>
      </c>
      <c r="D133" s="76">
        <v>3</v>
      </c>
      <c r="E133" s="76" t="s">
        <v>327</v>
      </c>
      <c r="F133" s="104">
        <v>8</v>
      </c>
      <c r="G133" s="76" t="s">
        <v>5</v>
      </c>
      <c r="H133" s="83"/>
      <c r="I133" s="103"/>
      <c r="J133" s="76" t="s">
        <v>125</v>
      </c>
      <c r="K133" s="104"/>
      <c r="L133" s="104"/>
      <c r="M133" s="136">
        <f>IF(Tabelle132[[#This Row],[Pulled after Start]]="",MIN(Tabelle132[[#This Row],[Jira Story Points]],Tabelle132[[#This Row],[Carry-over]]),0)</f>
        <v>8</v>
      </c>
      <c r="N133" s="136">
        <f>MIN(Tabelle132[[#This Row],[Jira Story Points]],Tabelle132[[#This Row],[Carry-over]])-Tabelle132[[#This Row],[SP Initially Planned (COS)]]</f>
        <v>0</v>
      </c>
      <c r="O133" s="104">
        <f>IFERROR(IF(Tabelle132[[#This Row],[Status]]=$I$5,0,IF(AND(Tabelle132[[#This Row],[Status]]=$H$5,Tabelle132[[#This Row],[Spill-over]]=0),0,IF(Tabelle132[[#This Row],[Carry-over]]&lt;&gt;0,Tabelle132[[#This Row],[Carry-over]]-Tabelle132[[#This Row],[Spill-over]],Tabelle132[[#This Row],[Jira Story Points]]-Tabelle132[[#This Row],[Spill-over]]))),"-")</f>
        <v>8</v>
      </c>
      <c r="P133" s="136">
        <f>IFERROR(IF(Tabelle132[[#This Row],[Status]]=$I$5,MIN(Tabelle132[[#This Row],[Jira Story Points]],Tabelle132[[#This Row],[Carry-over]]),0),0)</f>
        <v>0</v>
      </c>
      <c r="Q133" s="156">
        <f>IFERROR(IF(Tabelle132[[#This Row],[Status]]=$I$5,0,MIN(Tabelle132[[#This Row],[Jira Story Points]],Tabelle132[[#This Row],[Carry-over]])-Tabelle132[[#This Row],[SP Completed (COS &amp; SOS)]]),0)</f>
        <v>0</v>
      </c>
    </row>
    <row r="134" spans="1:17" s="46" customFormat="1" ht="13.5" customHeight="1">
      <c r="A134" s="117" t="s">
        <v>3648</v>
      </c>
      <c r="B134" s="47" t="s">
        <v>3649</v>
      </c>
      <c r="C134" s="76" t="s">
        <v>372</v>
      </c>
      <c r="D134" s="76">
        <v>3</v>
      </c>
      <c r="E134" s="76" t="s">
        <v>327</v>
      </c>
      <c r="F134" s="104">
        <v>8</v>
      </c>
      <c r="G134" s="76" t="s">
        <v>5</v>
      </c>
      <c r="H134" s="83"/>
      <c r="I134" s="103" t="s">
        <v>3744</v>
      </c>
      <c r="J134" s="76" t="s">
        <v>127</v>
      </c>
      <c r="K134" s="104"/>
      <c r="L134" s="104">
        <v>2</v>
      </c>
      <c r="M134" s="136">
        <f>IF(Tabelle132[[#This Row],[Pulled after Start]]="",MIN(Tabelle132[[#This Row],[Jira Story Points]],Tabelle132[[#This Row],[Carry-over]]),0)</f>
        <v>8</v>
      </c>
      <c r="N134" s="136">
        <f>MIN(Tabelle132[[#This Row],[Jira Story Points]],Tabelle132[[#This Row],[Carry-over]])-Tabelle132[[#This Row],[SP Initially Planned (COS)]]</f>
        <v>0</v>
      </c>
      <c r="O134" s="104">
        <f>IFERROR(IF(Tabelle132[[#This Row],[Status]]=$I$5,0,IF(AND(Tabelle132[[#This Row],[Status]]=$H$5,Tabelle132[[#This Row],[Spill-over]]=0),0,IF(Tabelle132[[#This Row],[Carry-over]]&lt;&gt;0,Tabelle132[[#This Row],[Carry-over]]-Tabelle132[[#This Row],[Spill-over]],Tabelle132[[#This Row],[Jira Story Points]]-Tabelle132[[#This Row],[Spill-over]]))),"-")</f>
        <v>6</v>
      </c>
      <c r="P134" s="136">
        <f>IFERROR(IF(Tabelle132[[#This Row],[Status]]=$I$5,MIN(Tabelle132[[#This Row],[Jira Story Points]],Tabelle132[[#This Row],[Carry-over]]),0),0)</f>
        <v>0</v>
      </c>
      <c r="Q134" s="156">
        <f>IFERROR(IF(Tabelle132[[#This Row],[Status]]=$I$5,0,MIN(Tabelle132[[#This Row],[Jira Story Points]],Tabelle132[[#This Row],[Carry-over]])-Tabelle132[[#This Row],[SP Completed (COS &amp; SOS)]]),0)</f>
        <v>2</v>
      </c>
    </row>
    <row r="135" spans="1:17" s="46" customFormat="1" ht="13.5" customHeight="1">
      <c r="A135" s="117" t="s">
        <v>3823</v>
      </c>
      <c r="B135" s="47" t="s">
        <v>3824</v>
      </c>
      <c r="C135" s="76" t="s">
        <v>372</v>
      </c>
      <c r="D135" s="76">
        <v>2</v>
      </c>
      <c r="E135" s="76" t="s">
        <v>327</v>
      </c>
      <c r="F135" s="104">
        <v>5</v>
      </c>
      <c r="G135" s="76" t="s">
        <v>5</v>
      </c>
      <c r="H135" s="83"/>
      <c r="I135" s="103"/>
      <c r="J135" s="76" t="s">
        <v>125</v>
      </c>
      <c r="K135" s="104"/>
      <c r="L135" s="104"/>
      <c r="M135" s="136">
        <f>IF(Tabelle132[[#This Row],[Pulled after Start]]="",MIN(Tabelle132[[#This Row],[Jira Story Points]],Tabelle132[[#This Row],[Carry-over]]),0)</f>
        <v>5</v>
      </c>
      <c r="N135" s="136">
        <f>MIN(Tabelle132[[#This Row],[Jira Story Points]],Tabelle132[[#This Row],[Carry-over]])-Tabelle132[[#This Row],[SP Initially Planned (COS)]]</f>
        <v>0</v>
      </c>
      <c r="O135" s="104">
        <f>IFERROR(IF(Tabelle132[[#This Row],[Status]]=$I$5,0,IF(AND(Tabelle132[[#This Row],[Status]]=$H$5,Tabelle132[[#This Row],[Spill-over]]=0),0,IF(Tabelle132[[#This Row],[Carry-over]]&lt;&gt;0,Tabelle132[[#This Row],[Carry-over]]-Tabelle132[[#This Row],[Spill-over]],Tabelle132[[#This Row],[Jira Story Points]]-Tabelle132[[#This Row],[Spill-over]]))),"-")</f>
        <v>5</v>
      </c>
      <c r="P135" s="136">
        <f>IFERROR(IF(Tabelle132[[#This Row],[Status]]=$I$5,MIN(Tabelle132[[#This Row],[Jira Story Points]],Tabelle132[[#This Row],[Carry-over]]),0),0)</f>
        <v>0</v>
      </c>
      <c r="Q135" s="156">
        <f>IFERROR(IF(Tabelle132[[#This Row],[Status]]=$I$5,0,MIN(Tabelle132[[#This Row],[Jira Story Points]],Tabelle132[[#This Row],[Carry-over]])-Tabelle132[[#This Row],[SP Completed (COS &amp; SOS)]]),0)</f>
        <v>0</v>
      </c>
    </row>
    <row r="136" spans="1:17" s="46" customFormat="1" ht="13.5" customHeight="1">
      <c r="A136" s="117" t="s">
        <v>3656</v>
      </c>
      <c r="B136" s="47" t="s">
        <v>3657</v>
      </c>
      <c r="C136" s="76" t="s">
        <v>382</v>
      </c>
      <c r="D136" s="76">
        <v>3</v>
      </c>
      <c r="E136" s="76" t="s">
        <v>330</v>
      </c>
      <c r="F136" s="104" t="s">
        <v>210</v>
      </c>
      <c r="G136" s="76" t="s">
        <v>5</v>
      </c>
      <c r="H136" s="83"/>
      <c r="I136" s="103"/>
      <c r="J136" s="76" t="s">
        <v>125</v>
      </c>
      <c r="K136" s="104"/>
      <c r="L136" s="104"/>
      <c r="M136" s="136">
        <f>IF(Tabelle132[[#This Row],[Pulled after Start]]="",MIN(Tabelle132[[#This Row],[Jira Story Points]],Tabelle132[[#This Row],[Carry-over]]),0)</f>
        <v>0</v>
      </c>
      <c r="N136" s="136">
        <f>MIN(Tabelle132[[#This Row],[Jira Story Points]],Tabelle132[[#This Row],[Carry-over]])-Tabelle132[[#This Row],[SP Initially Planned (COS)]]</f>
        <v>0</v>
      </c>
      <c r="O136" s="104" t="str">
        <f>IFERROR(IF(Tabelle132[[#This Row],[Status]]=$I$5,0,IF(AND(Tabelle132[[#This Row],[Status]]=$H$5,Tabelle132[[#This Row],[Spill-over]]=0),0,IF(Tabelle132[[#This Row],[Carry-over]]&lt;&gt;0,Tabelle132[[#This Row],[Carry-over]]-Tabelle132[[#This Row],[Spill-over]],Tabelle132[[#This Row],[Jira Story Points]]-Tabelle132[[#This Row],[Spill-over]]))),"-")</f>
        <v>-</v>
      </c>
      <c r="P136" s="136">
        <f>IFERROR(IF(Tabelle132[[#This Row],[Status]]=$I$5,MIN(Tabelle132[[#This Row],[Jira Story Points]],Tabelle132[[#This Row],[Carry-over]]),0),0)</f>
        <v>0</v>
      </c>
      <c r="Q136" s="156">
        <f>IFERROR(IF(Tabelle132[[#This Row],[Status]]=$I$5,0,MIN(Tabelle132[[#This Row],[Jira Story Points]],Tabelle132[[#This Row],[Carry-over]])-Tabelle132[[#This Row],[SP Completed (COS &amp; SOS)]]),0)</f>
        <v>0</v>
      </c>
    </row>
    <row r="137" spans="1:17" s="46" customFormat="1" ht="13.5" customHeight="1">
      <c r="A137" s="117" t="s">
        <v>3825</v>
      </c>
      <c r="B137" s="47" t="s">
        <v>3659</v>
      </c>
      <c r="C137" s="76" t="s">
        <v>382</v>
      </c>
      <c r="D137" s="76">
        <v>3</v>
      </c>
      <c r="E137" s="76" t="s">
        <v>330</v>
      </c>
      <c r="F137" s="104" t="s">
        <v>210</v>
      </c>
      <c r="G137" s="76" t="s">
        <v>5</v>
      </c>
      <c r="H137" s="83" t="s">
        <v>209</v>
      </c>
      <c r="I137" s="103" t="s">
        <v>3744</v>
      </c>
      <c r="J137" s="76" t="s">
        <v>127</v>
      </c>
      <c r="K137" s="104"/>
      <c r="L137" s="104"/>
      <c r="M137" s="136">
        <f>IF(Tabelle132[[#This Row],[Pulled after Start]]="",MIN(Tabelle132[[#This Row],[Jira Story Points]],Tabelle132[[#This Row],[Carry-over]]),0)</f>
        <v>0</v>
      </c>
      <c r="N137" s="136">
        <f>MIN(Tabelle132[[#This Row],[Jira Story Points]],Tabelle132[[#This Row],[Carry-over]])-Tabelle132[[#This Row],[SP Initially Planned (COS)]]</f>
        <v>0</v>
      </c>
      <c r="O137" s="104">
        <f>IFERROR(IF(Tabelle132[[#This Row],[Status]]=$I$5,0,IF(AND(Tabelle132[[#This Row],[Status]]=$H$5,Tabelle132[[#This Row],[Spill-over]]=0),0,IF(Tabelle132[[#This Row],[Carry-over]]&lt;&gt;0,Tabelle132[[#This Row],[Carry-over]]-Tabelle132[[#This Row],[Spill-over]],Tabelle132[[#This Row],[Jira Story Points]]-Tabelle132[[#This Row],[Spill-over]]))),"-")</f>
        <v>0</v>
      </c>
      <c r="P137" s="136">
        <f>IFERROR(IF(Tabelle132[[#This Row],[Status]]=$I$5,MIN(Tabelle132[[#This Row],[Jira Story Points]],Tabelle132[[#This Row],[Carry-over]]),0),0)</f>
        <v>0</v>
      </c>
      <c r="Q137" s="156">
        <f>IFERROR(IF(Tabelle132[[#This Row],[Status]]=$I$5,0,MIN(Tabelle132[[#This Row],[Jira Story Points]],Tabelle132[[#This Row],[Carry-over]])-Tabelle132[[#This Row],[SP Completed (COS &amp; SOS)]]),0)</f>
        <v>0</v>
      </c>
    </row>
    <row r="138" spans="1:17" s="46" customFormat="1" ht="13.5" customHeight="1">
      <c r="A138" s="157" t="s">
        <v>3509</v>
      </c>
      <c r="B138" s="47" t="s">
        <v>3510</v>
      </c>
      <c r="C138" s="76" t="s">
        <v>382</v>
      </c>
      <c r="D138" s="76">
        <v>3</v>
      </c>
      <c r="E138" s="76" t="s">
        <v>330</v>
      </c>
      <c r="F138" s="121" t="s">
        <v>210</v>
      </c>
      <c r="G138" s="76" t="s">
        <v>9</v>
      </c>
      <c r="H138" s="83"/>
      <c r="I138" s="103"/>
      <c r="J138" s="76" t="s">
        <v>125</v>
      </c>
      <c r="K138" s="104"/>
      <c r="L138" s="104"/>
      <c r="M138" s="136">
        <f>IF(Tabelle132[[#This Row],[Pulled after Start]]="",MIN(Tabelle132[[#This Row],[Jira Story Points]],Tabelle132[[#This Row],[Carry-over]]),0)</f>
        <v>0</v>
      </c>
      <c r="N138" s="136">
        <f>MIN(Tabelle132[[#This Row],[Jira Story Points]],Tabelle132[[#This Row],[Carry-over]])-Tabelle132[[#This Row],[SP Initially Planned (COS)]]</f>
        <v>0</v>
      </c>
      <c r="O138" s="104" t="str">
        <f>IFERROR(IF(Tabelle132[[#This Row],[Status]]=$I$5,0,IF(AND(Tabelle132[[#This Row],[Status]]=$H$5,Tabelle132[[#This Row],[Spill-over]]=0),0,IF(Tabelle132[[#This Row],[Carry-over]]&lt;&gt;0,Tabelle132[[#This Row],[Carry-over]]-Tabelle132[[#This Row],[Spill-over]],Tabelle132[[#This Row],[Jira Story Points]]-Tabelle132[[#This Row],[Spill-over]]))),"-")</f>
        <v>-</v>
      </c>
      <c r="P138" s="136">
        <f>IFERROR(IF(Tabelle132[[#This Row],[Status]]=$I$5,MIN(Tabelle132[[#This Row],[Jira Story Points]],Tabelle132[[#This Row],[Carry-over]]),0),0)</f>
        <v>0</v>
      </c>
      <c r="Q138" s="156">
        <f>IFERROR(IF(Tabelle132[[#This Row],[Status]]=$I$5,0,MIN(Tabelle132[[#This Row],[Jira Story Points]],Tabelle132[[#This Row],[Carry-over]])-Tabelle132[[#This Row],[SP Completed (COS &amp; SOS)]]),0)</f>
        <v>0</v>
      </c>
    </row>
    <row r="139" spans="1:17" s="46" customFormat="1" ht="13.5" customHeight="1">
      <c r="A139" s="157" t="s">
        <v>3826</v>
      </c>
      <c r="B139" s="47" t="s">
        <v>3827</v>
      </c>
      <c r="C139" s="76" t="s">
        <v>372</v>
      </c>
      <c r="D139" s="76">
        <v>3</v>
      </c>
      <c r="E139" s="76" t="s">
        <v>324</v>
      </c>
      <c r="F139" s="104">
        <v>3</v>
      </c>
      <c r="G139" s="76" t="s">
        <v>9</v>
      </c>
      <c r="H139" s="83"/>
      <c r="I139" s="103" t="s">
        <v>3744</v>
      </c>
      <c r="J139" s="76" t="s">
        <v>125</v>
      </c>
      <c r="K139" s="104"/>
      <c r="L139" s="104">
        <v>3</v>
      </c>
      <c r="M139" s="136">
        <f>IF(Tabelle132[[#This Row],[Pulled after Start]]="",MIN(Tabelle132[[#This Row],[Jira Story Points]],Tabelle132[[#This Row],[Carry-over]]),0)</f>
        <v>3</v>
      </c>
      <c r="N139" s="136">
        <f>MIN(Tabelle132[[#This Row],[Jira Story Points]],Tabelle132[[#This Row],[Carry-over]])-Tabelle132[[#This Row],[SP Initially Planned (COS)]]</f>
        <v>0</v>
      </c>
      <c r="O139" s="104">
        <f>IFERROR(IF(Tabelle132[[#This Row],[Status]]=$I$5,0,IF(AND(Tabelle132[[#This Row],[Status]]=$H$5,Tabelle132[[#This Row],[Spill-over]]=0),0,IF(Tabelle132[[#This Row],[Carry-over]]&lt;&gt;0,Tabelle132[[#This Row],[Carry-over]]-Tabelle132[[#This Row],[Spill-over]],Tabelle132[[#This Row],[Jira Story Points]]-Tabelle132[[#This Row],[Spill-over]]))),"-")</f>
        <v>0</v>
      </c>
      <c r="P139" s="136">
        <f>IFERROR(IF(Tabelle132[[#This Row],[Status]]=$I$5,MIN(Tabelle132[[#This Row],[Jira Story Points]],Tabelle132[[#This Row],[Carry-over]]),0),0)</f>
        <v>0</v>
      </c>
      <c r="Q139" s="156">
        <f>IFERROR(IF(Tabelle132[[#This Row],[Status]]=$I$5,0,MIN(Tabelle132[[#This Row],[Jira Story Points]],Tabelle132[[#This Row],[Carry-over]])-Tabelle132[[#This Row],[SP Completed (COS &amp; SOS)]]),0)</f>
        <v>3</v>
      </c>
    </row>
    <row r="140" spans="1:17" s="46" customFormat="1" ht="13.5" customHeight="1">
      <c r="A140" s="157" t="s">
        <v>3497</v>
      </c>
      <c r="B140" s="47" t="s">
        <v>3498</v>
      </c>
      <c r="C140" s="76" t="s">
        <v>372</v>
      </c>
      <c r="D140" s="76">
        <v>3</v>
      </c>
      <c r="E140" s="76" t="s">
        <v>327</v>
      </c>
      <c r="F140" s="104">
        <v>2</v>
      </c>
      <c r="G140" s="76" t="s">
        <v>9</v>
      </c>
      <c r="H140" s="83" t="s">
        <v>209</v>
      </c>
      <c r="I140" s="103" t="s">
        <v>3828</v>
      </c>
      <c r="J140" s="76" t="s">
        <v>125</v>
      </c>
      <c r="K140" s="104"/>
      <c r="L140" s="104"/>
      <c r="M140" s="136">
        <f>IF(Tabelle132[[#This Row],[Pulled after Start]]="",MIN(Tabelle132[[#This Row],[Jira Story Points]],Tabelle132[[#This Row],[Carry-over]]),0)</f>
        <v>0</v>
      </c>
      <c r="N140" s="136">
        <f>MIN(Tabelle132[[#This Row],[Jira Story Points]],Tabelle132[[#This Row],[Carry-over]])-Tabelle132[[#This Row],[SP Initially Planned (COS)]]</f>
        <v>2</v>
      </c>
      <c r="O140" s="104">
        <f>IFERROR(IF(Tabelle132[[#This Row],[Status]]=$I$5,0,IF(AND(Tabelle132[[#This Row],[Status]]=$H$5,Tabelle132[[#This Row],[Spill-over]]=0),0,IF(Tabelle132[[#This Row],[Carry-over]]&lt;&gt;0,Tabelle132[[#This Row],[Carry-over]]-Tabelle132[[#This Row],[Spill-over]],Tabelle132[[#This Row],[Jira Story Points]]-Tabelle132[[#This Row],[Spill-over]]))),"-")</f>
        <v>2</v>
      </c>
      <c r="P140" s="136">
        <f>IFERROR(IF(Tabelle132[[#This Row],[Status]]=$I$5,MIN(Tabelle132[[#This Row],[Jira Story Points]],Tabelle132[[#This Row],[Carry-over]]),0),0)</f>
        <v>0</v>
      </c>
      <c r="Q140" s="156">
        <f>IFERROR(IF(Tabelle132[[#This Row],[Status]]=$I$5,0,MIN(Tabelle132[[#This Row],[Jira Story Points]],Tabelle132[[#This Row],[Carry-over]])-Tabelle132[[#This Row],[SP Completed (COS &amp; SOS)]]),0)</f>
        <v>0</v>
      </c>
    </row>
    <row r="141" spans="1:17" s="46" customFormat="1" ht="13.5" customHeight="1">
      <c r="A141" s="157" t="s">
        <v>3829</v>
      </c>
      <c r="B141" s="47" t="s">
        <v>3830</v>
      </c>
      <c r="C141" s="76" t="s">
        <v>372</v>
      </c>
      <c r="D141" s="76">
        <v>3</v>
      </c>
      <c r="E141" s="76" t="s">
        <v>324</v>
      </c>
      <c r="F141" s="104">
        <v>5</v>
      </c>
      <c r="G141" s="76" t="s">
        <v>9</v>
      </c>
      <c r="H141" s="83"/>
      <c r="I141" s="103"/>
      <c r="J141" s="76" t="s">
        <v>125</v>
      </c>
      <c r="K141" s="104"/>
      <c r="L141" s="104"/>
      <c r="M141" s="136">
        <f>IF(Tabelle132[[#This Row],[Pulled after Start]]="",MIN(Tabelle132[[#This Row],[Jira Story Points]],Tabelle132[[#This Row],[Carry-over]]),0)</f>
        <v>5</v>
      </c>
      <c r="N141" s="136">
        <f>MIN(Tabelle132[[#This Row],[Jira Story Points]],Tabelle132[[#This Row],[Carry-over]])-Tabelle132[[#This Row],[SP Initially Planned (COS)]]</f>
        <v>0</v>
      </c>
      <c r="O141" s="104">
        <f>IFERROR(IF(Tabelle132[[#This Row],[Status]]=$I$5,0,IF(AND(Tabelle132[[#This Row],[Status]]=$H$5,Tabelle132[[#This Row],[Spill-over]]=0),0,IF(Tabelle132[[#This Row],[Carry-over]]&lt;&gt;0,Tabelle132[[#This Row],[Carry-over]]-Tabelle132[[#This Row],[Spill-over]],Tabelle132[[#This Row],[Jira Story Points]]-Tabelle132[[#This Row],[Spill-over]]))),"-")</f>
        <v>5</v>
      </c>
      <c r="P141" s="136">
        <f>IFERROR(IF(Tabelle132[[#This Row],[Status]]=$I$5,MIN(Tabelle132[[#This Row],[Jira Story Points]],Tabelle132[[#This Row],[Carry-over]]),0),0)</f>
        <v>0</v>
      </c>
      <c r="Q141" s="156">
        <f>IFERROR(IF(Tabelle132[[#This Row],[Status]]=$I$5,0,MIN(Tabelle132[[#This Row],[Jira Story Points]],Tabelle132[[#This Row],[Carry-over]])-Tabelle132[[#This Row],[SP Completed (COS &amp; SOS)]]),0)</f>
        <v>0</v>
      </c>
    </row>
    <row r="142" spans="1:17" s="46" customFormat="1" ht="13.5" customHeight="1">
      <c r="A142" s="157" t="s">
        <v>3493</v>
      </c>
      <c r="B142" s="47" t="s">
        <v>3494</v>
      </c>
      <c r="C142" s="76" t="s">
        <v>372</v>
      </c>
      <c r="D142" s="76">
        <v>3</v>
      </c>
      <c r="E142" s="76" t="s">
        <v>327</v>
      </c>
      <c r="F142" s="104">
        <v>3</v>
      </c>
      <c r="G142" s="76" t="s">
        <v>9</v>
      </c>
      <c r="H142" s="83"/>
      <c r="I142" s="103"/>
      <c r="J142" s="76" t="s">
        <v>127</v>
      </c>
      <c r="K142" s="104"/>
      <c r="L142" s="104">
        <v>1</v>
      </c>
      <c r="M142" s="136">
        <f>IF(Tabelle132[[#This Row],[Pulled after Start]]="",MIN(Tabelle132[[#This Row],[Jira Story Points]],Tabelle132[[#This Row],[Carry-over]]),0)</f>
        <v>3</v>
      </c>
      <c r="N142" s="136">
        <f>MIN(Tabelle132[[#This Row],[Jira Story Points]],Tabelle132[[#This Row],[Carry-over]])-Tabelle132[[#This Row],[SP Initially Planned (COS)]]</f>
        <v>0</v>
      </c>
      <c r="O142" s="104">
        <f>IFERROR(IF(Tabelle132[[#This Row],[Status]]=$I$5,0,IF(AND(Tabelle132[[#This Row],[Status]]=$H$5,Tabelle132[[#This Row],[Spill-over]]=0),0,IF(Tabelle132[[#This Row],[Carry-over]]&lt;&gt;0,Tabelle132[[#This Row],[Carry-over]]-Tabelle132[[#This Row],[Spill-over]],Tabelle132[[#This Row],[Jira Story Points]]-Tabelle132[[#This Row],[Spill-over]]))),"-")</f>
        <v>2</v>
      </c>
      <c r="P142" s="136">
        <f>IFERROR(IF(Tabelle132[[#This Row],[Status]]=$I$5,MIN(Tabelle132[[#This Row],[Jira Story Points]],Tabelle132[[#This Row],[Carry-over]]),0),0)</f>
        <v>0</v>
      </c>
      <c r="Q142" s="156">
        <f>IFERROR(IF(Tabelle132[[#This Row],[Status]]=$I$5,0,MIN(Tabelle132[[#This Row],[Jira Story Points]],Tabelle132[[#This Row],[Carry-over]])-Tabelle132[[#This Row],[SP Completed (COS &amp; SOS)]]),0)</f>
        <v>1</v>
      </c>
    </row>
    <row r="143" spans="1:17" s="46" customFormat="1" ht="13.5" customHeight="1">
      <c r="A143" s="157" t="s">
        <v>3831</v>
      </c>
      <c r="B143" s="47" t="s">
        <v>3832</v>
      </c>
      <c r="C143" s="76" t="s">
        <v>372</v>
      </c>
      <c r="D143" s="76">
        <v>3</v>
      </c>
      <c r="E143" s="76" t="s">
        <v>324</v>
      </c>
      <c r="F143" s="104">
        <v>3</v>
      </c>
      <c r="G143" s="76" t="s">
        <v>9</v>
      </c>
      <c r="H143" s="83"/>
      <c r="I143" s="103"/>
      <c r="J143" s="76" t="s">
        <v>125</v>
      </c>
      <c r="K143" s="104"/>
      <c r="L143" s="104"/>
      <c r="M143" s="136">
        <f>IF(Tabelle132[[#This Row],[Pulled after Start]]="",MIN(Tabelle132[[#This Row],[Jira Story Points]],Tabelle132[[#This Row],[Carry-over]]),0)</f>
        <v>3</v>
      </c>
      <c r="N143" s="136">
        <f>MIN(Tabelle132[[#This Row],[Jira Story Points]],Tabelle132[[#This Row],[Carry-over]])-Tabelle132[[#This Row],[SP Initially Planned (COS)]]</f>
        <v>0</v>
      </c>
      <c r="O143" s="104">
        <f>IFERROR(IF(Tabelle132[[#This Row],[Status]]=$I$5,0,IF(AND(Tabelle132[[#This Row],[Status]]=$H$5,Tabelle132[[#This Row],[Spill-over]]=0),0,IF(Tabelle132[[#This Row],[Carry-over]]&lt;&gt;0,Tabelle132[[#This Row],[Carry-over]]-Tabelle132[[#This Row],[Spill-over]],Tabelle132[[#This Row],[Jira Story Points]]-Tabelle132[[#This Row],[Spill-over]]))),"-")</f>
        <v>3</v>
      </c>
      <c r="P143" s="136">
        <f>IFERROR(IF(Tabelle132[[#This Row],[Status]]=$I$5,MIN(Tabelle132[[#This Row],[Jira Story Points]],Tabelle132[[#This Row],[Carry-over]]),0),0)</f>
        <v>0</v>
      </c>
      <c r="Q143" s="156">
        <f>IFERROR(IF(Tabelle132[[#This Row],[Status]]=$I$5,0,MIN(Tabelle132[[#This Row],[Jira Story Points]],Tabelle132[[#This Row],[Carry-over]])-Tabelle132[[#This Row],[SP Completed (COS &amp; SOS)]]),0)</f>
        <v>0</v>
      </c>
    </row>
    <row r="144" spans="1:17" s="46" customFormat="1" ht="13.5" customHeight="1">
      <c r="A144" s="157" t="s">
        <v>3833</v>
      </c>
      <c r="B144" s="47" t="s">
        <v>3491</v>
      </c>
      <c r="C144" s="76" t="s">
        <v>372</v>
      </c>
      <c r="D144" s="76">
        <v>3</v>
      </c>
      <c r="E144" s="76" t="s">
        <v>327</v>
      </c>
      <c r="F144" s="104">
        <v>2</v>
      </c>
      <c r="G144" s="76" t="s">
        <v>9</v>
      </c>
      <c r="H144" s="83"/>
      <c r="I144" s="103"/>
      <c r="J144" s="76" t="s">
        <v>127</v>
      </c>
      <c r="K144" s="104"/>
      <c r="L144" s="104">
        <v>1</v>
      </c>
      <c r="M144" s="136">
        <f>IF(Tabelle132[[#This Row],[Pulled after Start]]="",MIN(Tabelle132[[#This Row],[Jira Story Points]],Tabelle132[[#This Row],[Carry-over]]),0)</f>
        <v>2</v>
      </c>
      <c r="N144" s="136">
        <f>MIN(Tabelle132[[#This Row],[Jira Story Points]],Tabelle132[[#This Row],[Carry-over]])-Tabelle132[[#This Row],[SP Initially Planned (COS)]]</f>
        <v>0</v>
      </c>
      <c r="O144" s="104">
        <f>IFERROR(IF(Tabelle132[[#This Row],[Status]]=$I$5,0,IF(AND(Tabelle132[[#This Row],[Status]]=$H$5,Tabelle132[[#This Row],[Spill-over]]=0),0,IF(Tabelle132[[#This Row],[Carry-over]]&lt;&gt;0,Tabelle132[[#This Row],[Carry-over]]-Tabelle132[[#This Row],[Spill-over]],Tabelle132[[#This Row],[Jira Story Points]]-Tabelle132[[#This Row],[Spill-over]]))),"-")</f>
        <v>1</v>
      </c>
      <c r="P144" s="136">
        <f>IFERROR(IF(Tabelle132[[#This Row],[Status]]=$I$5,MIN(Tabelle132[[#This Row],[Jira Story Points]],Tabelle132[[#This Row],[Carry-over]]),0),0)</f>
        <v>0</v>
      </c>
      <c r="Q144" s="156">
        <f>IFERROR(IF(Tabelle132[[#This Row],[Status]]=$I$5,0,MIN(Tabelle132[[#This Row],[Jira Story Points]],Tabelle132[[#This Row],[Carry-over]])-Tabelle132[[#This Row],[SP Completed (COS &amp; SOS)]]),0)</f>
        <v>1</v>
      </c>
    </row>
    <row r="145" spans="1:17" s="46" customFormat="1" ht="13.5" customHeight="1">
      <c r="A145" s="157" t="s">
        <v>3495</v>
      </c>
      <c r="B145" s="47" t="s">
        <v>3496</v>
      </c>
      <c r="C145" s="76" t="s">
        <v>372</v>
      </c>
      <c r="D145" s="76">
        <v>3</v>
      </c>
      <c r="E145" s="76" t="s">
        <v>327</v>
      </c>
      <c r="F145" s="104">
        <v>5</v>
      </c>
      <c r="G145" s="76" t="s">
        <v>9</v>
      </c>
      <c r="H145" s="83"/>
      <c r="I145" s="103"/>
      <c r="J145" s="76" t="s">
        <v>127</v>
      </c>
      <c r="K145" s="104"/>
      <c r="L145" s="104">
        <v>2</v>
      </c>
      <c r="M145" s="136">
        <f>IF(Tabelle132[[#This Row],[Pulled after Start]]="",MIN(Tabelle132[[#This Row],[Jira Story Points]],Tabelle132[[#This Row],[Carry-over]]),0)</f>
        <v>5</v>
      </c>
      <c r="N145" s="136">
        <f>MIN(Tabelle132[[#This Row],[Jira Story Points]],Tabelle132[[#This Row],[Carry-over]])-Tabelle132[[#This Row],[SP Initially Planned (COS)]]</f>
        <v>0</v>
      </c>
      <c r="O145" s="104">
        <f>IFERROR(IF(Tabelle132[[#This Row],[Status]]=$I$5,0,IF(AND(Tabelle132[[#This Row],[Status]]=$H$5,Tabelle132[[#This Row],[Spill-over]]=0),0,IF(Tabelle132[[#This Row],[Carry-over]]&lt;&gt;0,Tabelle132[[#This Row],[Carry-over]]-Tabelle132[[#This Row],[Spill-over]],Tabelle132[[#This Row],[Jira Story Points]]-Tabelle132[[#This Row],[Spill-over]]))),"-")</f>
        <v>3</v>
      </c>
      <c r="P145" s="136">
        <f>IFERROR(IF(Tabelle132[[#This Row],[Status]]=$I$5,MIN(Tabelle132[[#This Row],[Jira Story Points]],Tabelle132[[#This Row],[Carry-over]]),0),0)</f>
        <v>0</v>
      </c>
      <c r="Q145" s="156">
        <f>IFERROR(IF(Tabelle132[[#This Row],[Status]]=$I$5,0,MIN(Tabelle132[[#This Row],[Jira Story Points]],Tabelle132[[#This Row],[Carry-over]])-Tabelle132[[#This Row],[SP Completed (COS &amp; SOS)]]),0)</f>
        <v>2</v>
      </c>
    </row>
    <row r="146" spans="1:17" s="46" customFormat="1" ht="13.5" customHeight="1">
      <c r="A146" s="117" t="s">
        <v>3834</v>
      </c>
      <c r="B146" s="117" t="s">
        <v>3835</v>
      </c>
      <c r="C146" s="76" t="s">
        <v>375</v>
      </c>
      <c r="D146" s="76">
        <v>2</v>
      </c>
      <c r="E146" s="76" t="s">
        <v>637</v>
      </c>
      <c r="F146" s="104">
        <v>3</v>
      </c>
      <c r="G146" s="138" t="s">
        <v>107</v>
      </c>
      <c r="H146" s="83" t="s">
        <v>209</v>
      </c>
      <c r="I146" s="103"/>
      <c r="J146" s="76" t="s">
        <v>125</v>
      </c>
      <c r="K146" s="104"/>
      <c r="L146" s="104"/>
      <c r="M146" s="136">
        <f>IF(Tabelle132[[#This Row],[Pulled after Start]]="",MIN(Tabelle132[[#This Row],[Jira Story Points]],Tabelle132[[#This Row],[Carry-over]]),0)</f>
        <v>0</v>
      </c>
      <c r="N146" s="136">
        <f>MIN(Tabelle132[[#This Row],[Jira Story Points]],Tabelle132[[#This Row],[Carry-over]])-Tabelle132[[#This Row],[SP Initially Planned (COS)]]</f>
        <v>3</v>
      </c>
      <c r="O146" s="104">
        <f>IFERROR(IF(Tabelle132[[#This Row],[Status]]=$I$5,0,IF(AND(Tabelle132[[#This Row],[Status]]=$H$5,Tabelle132[[#This Row],[Spill-over]]=0),0,IF(Tabelle132[[#This Row],[Carry-over]]&lt;&gt;0,Tabelle132[[#This Row],[Carry-over]]-Tabelle132[[#This Row],[Spill-over]],Tabelle132[[#This Row],[Jira Story Points]]-Tabelle132[[#This Row],[Spill-over]]))),"-")</f>
        <v>3</v>
      </c>
      <c r="P146" s="136">
        <f>IFERROR(IF(Tabelle132[[#This Row],[Status]]=$I$5,MIN(Tabelle132[[#This Row],[Jira Story Points]],Tabelle132[[#This Row],[Carry-over]]),0),0)</f>
        <v>0</v>
      </c>
      <c r="Q146" s="156">
        <f>IFERROR(IF(Tabelle132[[#This Row],[Status]]=$I$5,0,MIN(Tabelle132[[#This Row],[Jira Story Points]],Tabelle132[[#This Row],[Carry-over]])-Tabelle132[[#This Row],[SP Completed (COS &amp; SOS)]]),0)</f>
        <v>0</v>
      </c>
    </row>
    <row r="147" spans="1:17" s="46" customFormat="1" ht="13.5" customHeight="1">
      <c r="A147" s="117" t="s">
        <v>3836</v>
      </c>
      <c r="B147" s="117" t="s">
        <v>3837</v>
      </c>
      <c r="C147" s="76" t="s">
        <v>375</v>
      </c>
      <c r="D147" s="76">
        <v>3</v>
      </c>
      <c r="E147" s="76" t="s">
        <v>324</v>
      </c>
      <c r="F147" s="104">
        <v>3</v>
      </c>
      <c r="G147" s="138" t="s">
        <v>107</v>
      </c>
      <c r="H147" s="83"/>
      <c r="I147" s="103"/>
      <c r="J147" s="76" t="s">
        <v>125</v>
      </c>
      <c r="K147" s="104"/>
      <c r="L147" s="104"/>
      <c r="M147" s="136">
        <f>IF(Tabelle132[[#This Row],[Pulled after Start]]="",MIN(Tabelle132[[#This Row],[Jira Story Points]],Tabelle132[[#This Row],[Carry-over]]),0)</f>
        <v>3</v>
      </c>
      <c r="N147" s="136">
        <f>MIN(Tabelle132[[#This Row],[Jira Story Points]],Tabelle132[[#This Row],[Carry-over]])-Tabelle132[[#This Row],[SP Initially Planned (COS)]]</f>
        <v>0</v>
      </c>
      <c r="O147" s="104">
        <f>IFERROR(IF(Tabelle132[[#This Row],[Status]]=$I$5,0,IF(AND(Tabelle132[[#This Row],[Status]]=$H$5,Tabelle132[[#This Row],[Spill-over]]=0),0,IF(Tabelle132[[#This Row],[Carry-over]]&lt;&gt;0,Tabelle132[[#This Row],[Carry-over]]-Tabelle132[[#This Row],[Spill-over]],Tabelle132[[#This Row],[Jira Story Points]]-Tabelle132[[#This Row],[Spill-over]]))),"-")</f>
        <v>3</v>
      </c>
      <c r="P147" s="136">
        <f>IFERROR(IF(Tabelle132[[#This Row],[Status]]=$I$5,MIN(Tabelle132[[#This Row],[Jira Story Points]],Tabelle132[[#This Row],[Carry-over]]),0),0)</f>
        <v>0</v>
      </c>
      <c r="Q147" s="156">
        <f>IFERROR(IF(Tabelle132[[#This Row],[Status]]=$I$5,0,MIN(Tabelle132[[#This Row],[Jira Story Points]],Tabelle132[[#This Row],[Carry-over]])-Tabelle132[[#This Row],[SP Completed (COS &amp; SOS)]]),0)</f>
        <v>0</v>
      </c>
    </row>
    <row r="148" spans="1:17" s="46" customFormat="1" ht="13.5" customHeight="1">
      <c r="A148" s="117" t="s">
        <v>3838</v>
      </c>
      <c r="B148" s="117" t="s">
        <v>3839</v>
      </c>
      <c r="C148" s="76" t="s">
        <v>375</v>
      </c>
      <c r="D148" s="76">
        <v>3</v>
      </c>
      <c r="E148" s="76" t="s">
        <v>324</v>
      </c>
      <c r="F148" s="104">
        <v>3</v>
      </c>
      <c r="G148" s="138" t="s">
        <v>107</v>
      </c>
      <c r="H148" s="83"/>
      <c r="I148" s="103"/>
      <c r="J148" s="76" t="s">
        <v>125</v>
      </c>
      <c r="K148" s="104"/>
      <c r="L148" s="104"/>
      <c r="M148" s="136">
        <f>IF(Tabelle132[[#This Row],[Pulled after Start]]="",MIN(Tabelle132[[#This Row],[Jira Story Points]],Tabelle132[[#This Row],[Carry-over]]),0)</f>
        <v>3</v>
      </c>
      <c r="N148" s="136">
        <f>MIN(Tabelle132[[#This Row],[Jira Story Points]],Tabelle132[[#This Row],[Carry-over]])-Tabelle132[[#This Row],[SP Initially Planned (COS)]]</f>
        <v>0</v>
      </c>
      <c r="O148" s="104">
        <f>IFERROR(IF(Tabelle132[[#This Row],[Status]]=$I$5,0,IF(AND(Tabelle132[[#This Row],[Status]]=$H$5,Tabelle132[[#This Row],[Spill-over]]=0),0,IF(Tabelle132[[#This Row],[Carry-over]]&lt;&gt;0,Tabelle132[[#This Row],[Carry-over]]-Tabelle132[[#This Row],[Spill-over]],Tabelle132[[#This Row],[Jira Story Points]]-Tabelle132[[#This Row],[Spill-over]]))),"-")</f>
        <v>3</v>
      </c>
      <c r="P148" s="136">
        <f>IFERROR(IF(Tabelle132[[#This Row],[Status]]=$I$5,MIN(Tabelle132[[#This Row],[Jira Story Points]],Tabelle132[[#This Row],[Carry-over]]),0),0)</f>
        <v>0</v>
      </c>
      <c r="Q148" s="156">
        <f>IFERROR(IF(Tabelle132[[#This Row],[Status]]=$I$5,0,MIN(Tabelle132[[#This Row],[Jira Story Points]],Tabelle132[[#This Row],[Carry-over]])-Tabelle132[[#This Row],[SP Completed (COS &amp; SOS)]]),0)</f>
        <v>0</v>
      </c>
    </row>
    <row r="149" spans="1:17" s="46" customFormat="1" ht="13.5" customHeight="1">
      <c r="A149" s="117" t="s">
        <v>3840</v>
      </c>
      <c r="B149" s="117" t="s">
        <v>3841</v>
      </c>
      <c r="C149" s="76"/>
      <c r="D149" s="76">
        <v>3</v>
      </c>
      <c r="E149" s="76" t="s">
        <v>324</v>
      </c>
      <c r="F149" s="104">
        <v>3</v>
      </c>
      <c r="G149" s="138" t="s">
        <v>107</v>
      </c>
      <c r="H149" s="83"/>
      <c r="I149" s="103"/>
      <c r="J149" s="76" t="s">
        <v>125</v>
      </c>
      <c r="K149" s="104"/>
      <c r="L149" s="104"/>
      <c r="M149" s="136">
        <f>IF(Tabelle132[[#This Row],[Pulled after Start]]="",MIN(Tabelle132[[#This Row],[Jira Story Points]],Tabelle132[[#This Row],[Carry-over]]),0)</f>
        <v>3</v>
      </c>
      <c r="N149" s="136">
        <f>MIN(Tabelle132[[#This Row],[Jira Story Points]],Tabelle132[[#This Row],[Carry-over]])-Tabelle132[[#This Row],[SP Initially Planned (COS)]]</f>
        <v>0</v>
      </c>
      <c r="O149" s="104">
        <f>IFERROR(IF(Tabelle132[[#This Row],[Status]]=$I$5,0,IF(AND(Tabelle132[[#This Row],[Status]]=$H$5,Tabelle132[[#This Row],[Spill-over]]=0),0,IF(Tabelle132[[#This Row],[Carry-over]]&lt;&gt;0,Tabelle132[[#This Row],[Carry-over]]-Tabelle132[[#This Row],[Spill-over]],Tabelle132[[#This Row],[Jira Story Points]]-Tabelle132[[#This Row],[Spill-over]]))),"-")</f>
        <v>3</v>
      </c>
      <c r="P149" s="136">
        <f>IFERROR(IF(Tabelle132[[#This Row],[Status]]=$I$5,MIN(Tabelle132[[#This Row],[Jira Story Points]],Tabelle132[[#This Row],[Carry-over]]),0),0)</f>
        <v>0</v>
      </c>
      <c r="Q149" s="156">
        <f>IFERROR(IF(Tabelle132[[#This Row],[Status]]=$I$5,0,MIN(Tabelle132[[#This Row],[Jira Story Points]],Tabelle132[[#This Row],[Carry-over]])-Tabelle132[[#This Row],[SP Completed (COS &amp; SOS)]]),0)</f>
        <v>0</v>
      </c>
    </row>
    <row r="150" spans="1:17" s="46" customFormat="1" ht="13.5" customHeight="1">
      <c r="A150" s="117" t="s">
        <v>3218</v>
      </c>
      <c r="B150" s="117" t="s">
        <v>3219</v>
      </c>
      <c r="C150" s="76"/>
      <c r="D150" s="76">
        <v>3</v>
      </c>
      <c r="E150" s="76" t="s">
        <v>327</v>
      </c>
      <c r="F150" s="104">
        <v>8</v>
      </c>
      <c r="G150" s="138" t="s">
        <v>107</v>
      </c>
      <c r="H150" s="83"/>
      <c r="I150" s="103" t="s">
        <v>3744</v>
      </c>
      <c r="J150" s="76" t="s">
        <v>127</v>
      </c>
      <c r="K150" s="104"/>
      <c r="L150" s="104">
        <v>8</v>
      </c>
      <c r="M150" s="136">
        <f>IF(Tabelle132[[#This Row],[Pulled after Start]]="",MIN(Tabelle132[[#This Row],[Jira Story Points]],Tabelle132[[#This Row],[Carry-over]]),0)</f>
        <v>8</v>
      </c>
      <c r="N150" s="136">
        <f>MIN(Tabelle132[[#This Row],[Jira Story Points]],Tabelle132[[#This Row],[Carry-over]])-Tabelle132[[#This Row],[SP Initially Planned (COS)]]</f>
        <v>0</v>
      </c>
      <c r="O150" s="104">
        <f>IFERROR(IF(Tabelle132[[#This Row],[Status]]=$I$5,0,IF(AND(Tabelle132[[#This Row],[Status]]=$H$5,Tabelle132[[#This Row],[Spill-over]]=0),0,IF(Tabelle132[[#This Row],[Carry-over]]&lt;&gt;0,Tabelle132[[#This Row],[Carry-over]]-Tabelle132[[#This Row],[Spill-over]],Tabelle132[[#This Row],[Jira Story Points]]-Tabelle132[[#This Row],[Spill-over]]))),"-")</f>
        <v>0</v>
      </c>
      <c r="P150" s="136">
        <f>IFERROR(IF(Tabelle132[[#This Row],[Status]]=$I$5,MIN(Tabelle132[[#This Row],[Jira Story Points]],Tabelle132[[#This Row],[Carry-over]]),0),0)</f>
        <v>0</v>
      </c>
      <c r="Q150" s="156">
        <f>IFERROR(IF(Tabelle132[[#This Row],[Status]]=$I$5,0,MIN(Tabelle132[[#This Row],[Jira Story Points]],Tabelle132[[#This Row],[Carry-over]])-Tabelle132[[#This Row],[SP Completed (COS &amp; SOS)]]),0)</f>
        <v>8</v>
      </c>
    </row>
    <row r="151" spans="1:17" s="46" customFormat="1" ht="13.5" customHeight="1">
      <c r="A151" s="117" t="s">
        <v>2029</v>
      </c>
      <c r="B151" s="117" t="s">
        <v>2030</v>
      </c>
      <c r="C151" s="76" t="s">
        <v>375</v>
      </c>
      <c r="D151" s="76">
        <v>3</v>
      </c>
      <c r="E151" s="76" t="s">
        <v>637</v>
      </c>
      <c r="F151" s="104">
        <v>5</v>
      </c>
      <c r="G151" s="138" t="s">
        <v>107</v>
      </c>
      <c r="H151" s="83"/>
      <c r="I151" s="103"/>
      <c r="J151" s="76" t="s">
        <v>125</v>
      </c>
      <c r="K151" s="104"/>
      <c r="L151" s="104"/>
      <c r="M151" s="136">
        <f>IF(Tabelle132[[#This Row],[Pulled after Start]]="",MIN(Tabelle132[[#This Row],[Jira Story Points]],Tabelle132[[#This Row],[Carry-over]]),0)</f>
        <v>5</v>
      </c>
      <c r="N151" s="136">
        <f>MIN(Tabelle132[[#This Row],[Jira Story Points]],Tabelle132[[#This Row],[Carry-over]])-Tabelle132[[#This Row],[SP Initially Planned (COS)]]</f>
        <v>0</v>
      </c>
      <c r="O151" s="104">
        <f>IFERROR(IF(Tabelle132[[#This Row],[Status]]=$I$5,0,IF(AND(Tabelle132[[#This Row],[Status]]=$H$5,Tabelle132[[#This Row],[Spill-over]]=0),0,IF(Tabelle132[[#This Row],[Carry-over]]&lt;&gt;0,Tabelle132[[#This Row],[Carry-over]]-Tabelle132[[#This Row],[Spill-over]],Tabelle132[[#This Row],[Jira Story Points]]-Tabelle132[[#This Row],[Spill-over]]))),"-")</f>
        <v>5</v>
      </c>
      <c r="P151" s="136">
        <f>IFERROR(IF(Tabelle132[[#This Row],[Status]]=$I$5,MIN(Tabelle132[[#This Row],[Jira Story Points]],Tabelle132[[#This Row],[Carry-over]]),0),0)</f>
        <v>0</v>
      </c>
      <c r="Q151" s="156">
        <f>IFERROR(IF(Tabelle132[[#This Row],[Status]]=$I$5,0,MIN(Tabelle132[[#This Row],[Jira Story Points]],Tabelle132[[#This Row],[Carry-over]])-Tabelle132[[#This Row],[SP Completed (COS &amp; SOS)]]),0)</f>
        <v>0</v>
      </c>
    </row>
    <row r="152" spans="1:17" s="46" customFormat="1" ht="13.5" customHeight="1">
      <c r="A152" s="117" t="s">
        <v>3203</v>
      </c>
      <c r="B152" s="117" t="s">
        <v>3204</v>
      </c>
      <c r="C152" s="76"/>
      <c r="D152" s="76">
        <v>3</v>
      </c>
      <c r="E152" s="76" t="s">
        <v>327</v>
      </c>
      <c r="F152" s="104">
        <v>8</v>
      </c>
      <c r="G152" s="138" t="s">
        <v>107</v>
      </c>
      <c r="H152" s="83"/>
      <c r="I152" s="103" t="s">
        <v>3744</v>
      </c>
      <c r="J152" s="76" t="s">
        <v>127</v>
      </c>
      <c r="K152" s="104"/>
      <c r="L152" s="104">
        <v>8</v>
      </c>
      <c r="M152" s="136">
        <f>IF(Tabelle132[[#This Row],[Pulled after Start]]="",MIN(Tabelle132[[#This Row],[Jira Story Points]],Tabelle132[[#This Row],[Carry-over]]),0)</f>
        <v>8</v>
      </c>
      <c r="N152" s="136">
        <f>MIN(Tabelle132[[#This Row],[Jira Story Points]],Tabelle132[[#This Row],[Carry-over]])-Tabelle132[[#This Row],[SP Initially Planned (COS)]]</f>
        <v>0</v>
      </c>
      <c r="O152" s="104">
        <f>IFERROR(IF(Tabelle132[[#This Row],[Status]]=$I$5,0,IF(AND(Tabelle132[[#This Row],[Status]]=$H$5,Tabelle132[[#This Row],[Spill-over]]=0),0,IF(Tabelle132[[#This Row],[Carry-over]]&lt;&gt;0,Tabelle132[[#This Row],[Carry-over]]-Tabelle132[[#This Row],[Spill-over]],Tabelle132[[#This Row],[Jira Story Points]]-Tabelle132[[#This Row],[Spill-over]]))),"-")</f>
        <v>0</v>
      </c>
      <c r="P152" s="136">
        <f>IFERROR(IF(Tabelle132[[#This Row],[Status]]=$I$5,MIN(Tabelle132[[#This Row],[Jira Story Points]],Tabelle132[[#This Row],[Carry-over]]),0),0)</f>
        <v>0</v>
      </c>
      <c r="Q152" s="156">
        <f>IFERROR(IF(Tabelle132[[#This Row],[Status]]=$I$5,0,MIN(Tabelle132[[#This Row],[Jira Story Points]],Tabelle132[[#This Row],[Carry-over]])-Tabelle132[[#This Row],[SP Completed (COS &amp; SOS)]]),0)</f>
        <v>8</v>
      </c>
    </row>
    <row r="153" spans="1:17" s="46" customFormat="1" ht="13.5" customHeight="1">
      <c r="A153" s="117" t="s">
        <v>3434</v>
      </c>
      <c r="B153" s="117" t="s">
        <v>3435</v>
      </c>
      <c r="C153" s="76" t="s">
        <v>375</v>
      </c>
      <c r="D153" s="76">
        <v>4</v>
      </c>
      <c r="E153" s="76" t="s">
        <v>637</v>
      </c>
      <c r="F153" s="104">
        <v>5</v>
      </c>
      <c r="G153" s="138" t="s">
        <v>107</v>
      </c>
      <c r="H153" s="83"/>
      <c r="I153" s="103" t="s">
        <v>3744</v>
      </c>
      <c r="J153" s="76" t="s">
        <v>127</v>
      </c>
      <c r="K153" s="104"/>
      <c r="L153" s="104">
        <v>5</v>
      </c>
      <c r="M153" s="136">
        <f>IF(Tabelle132[[#This Row],[Pulled after Start]]="",MIN(Tabelle132[[#This Row],[Jira Story Points]],Tabelle132[[#This Row],[Carry-over]]),0)</f>
        <v>5</v>
      </c>
      <c r="N153" s="136">
        <f>MIN(Tabelle132[[#This Row],[Jira Story Points]],Tabelle132[[#This Row],[Carry-over]])-Tabelle132[[#This Row],[SP Initially Planned (COS)]]</f>
        <v>0</v>
      </c>
      <c r="O153" s="104">
        <f>IFERROR(IF(Tabelle132[[#This Row],[Status]]=$I$5,0,IF(AND(Tabelle132[[#This Row],[Status]]=$H$5,Tabelle132[[#This Row],[Spill-over]]=0),0,IF(Tabelle132[[#This Row],[Carry-over]]&lt;&gt;0,Tabelle132[[#This Row],[Carry-over]]-Tabelle132[[#This Row],[Spill-over]],Tabelle132[[#This Row],[Jira Story Points]]-Tabelle132[[#This Row],[Spill-over]]))),"-")</f>
        <v>0</v>
      </c>
      <c r="P153" s="136">
        <f>IFERROR(IF(Tabelle132[[#This Row],[Status]]=$I$5,MIN(Tabelle132[[#This Row],[Jira Story Points]],Tabelle132[[#This Row],[Carry-over]]),0),0)</f>
        <v>0</v>
      </c>
      <c r="Q153" s="156">
        <f>IFERROR(IF(Tabelle132[[#This Row],[Status]]=$I$5,0,MIN(Tabelle132[[#This Row],[Jira Story Points]],Tabelle132[[#This Row],[Carry-over]])-Tabelle132[[#This Row],[SP Completed (COS &amp; SOS)]]),0)</f>
        <v>5</v>
      </c>
    </row>
    <row r="154" spans="1:17" s="46" customFormat="1" ht="13.5" customHeight="1">
      <c r="A154" s="117" t="s">
        <v>3444</v>
      </c>
      <c r="B154" s="117" t="s">
        <v>3445</v>
      </c>
      <c r="C154" s="76"/>
      <c r="D154" s="76">
        <v>3</v>
      </c>
      <c r="E154" s="76" t="s">
        <v>327</v>
      </c>
      <c r="F154" s="104">
        <v>2</v>
      </c>
      <c r="G154" s="138" t="s">
        <v>107</v>
      </c>
      <c r="H154" s="83" t="s">
        <v>209</v>
      </c>
      <c r="I154" s="103" t="s">
        <v>3744</v>
      </c>
      <c r="J154" s="76" t="s">
        <v>127</v>
      </c>
      <c r="K154" s="104"/>
      <c r="L154" s="104">
        <v>2</v>
      </c>
      <c r="M154" s="136">
        <f>IF(Tabelle132[[#This Row],[Pulled after Start]]="",MIN(Tabelle132[[#This Row],[Jira Story Points]],Tabelle132[[#This Row],[Carry-over]]),0)</f>
        <v>0</v>
      </c>
      <c r="N154" s="136">
        <f>MIN(Tabelle132[[#This Row],[Jira Story Points]],Tabelle132[[#This Row],[Carry-over]])-Tabelle132[[#This Row],[SP Initially Planned (COS)]]</f>
        <v>2</v>
      </c>
      <c r="O154" s="104">
        <f>IFERROR(IF(Tabelle132[[#This Row],[Status]]=$I$5,0,IF(AND(Tabelle132[[#This Row],[Status]]=$H$5,Tabelle132[[#This Row],[Spill-over]]=0),0,IF(Tabelle132[[#This Row],[Carry-over]]&lt;&gt;0,Tabelle132[[#This Row],[Carry-over]]-Tabelle132[[#This Row],[Spill-over]],Tabelle132[[#This Row],[Jira Story Points]]-Tabelle132[[#This Row],[Spill-over]]))),"-")</f>
        <v>0</v>
      </c>
      <c r="P154" s="136">
        <f>IFERROR(IF(Tabelle132[[#This Row],[Status]]=$I$5,MIN(Tabelle132[[#This Row],[Jira Story Points]],Tabelle132[[#This Row],[Carry-over]]),0),0)</f>
        <v>0</v>
      </c>
      <c r="Q154" s="156">
        <f>IFERROR(IF(Tabelle132[[#This Row],[Status]]=$I$5,0,MIN(Tabelle132[[#This Row],[Jira Story Points]],Tabelle132[[#This Row],[Carry-over]])-Tabelle132[[#This Row],[SP Completed (COS &amp; SOS)]]),0)</f>
        <v>2</v>
      </c>
    </row>
    <row r="155" spans="1:17" s="46" customFormat="1" ht="13.5" customHeight="1">
      <c r="A155" s="117" t="s">
        <v>3188</v>
      </c>
      <c r="B155" s="117" t="s">
        <v>3842</v>
      </c>
      <c r="C155" s="76" t="s">
        <v>375</v>
      </c>
      <c r="D155" s="76">
        <v>3</v>
      </c>
      <c r="E155" s="76" t="s">
        <v>327</v>
      </c>
      <c r="F155" s="104">
        <v>3</v>
      </c>
      <c r="G155" s="138" t="s">
        <v>107</v>
      </c>
      <c r="H155" s="83"/>
      <c r="I155" s="120" t="s">
        <v>3843</v>
      </c>
      <c r="J155" s="76" t="s">
        <v>127</v>
      </c>
      <c r="K155" s="104"/>
      <c r="L155" s="104">
        <v>3</v>
      </c>
      <c r="M155" s="136">
        <f>IF(Tabelle132[[#This Row],[Pulled after Start]]="",MIN(Tabelle132[[#This Row],[Jira Story Points]],Tabelle132[[#This Row],[Carry-over]]),0)</f>
        <v>3</v>
      </c>
      <c r="N155" s="136">
        <f>MIN(Tabelle132[[#This Row],[Jira Story Points]],Tabelle132[[#This Row],[Carry-over]])-Tabelle132[[#This Row],[SP Initially Planned (COS)]]</f>
        <v>0</v>
      </c>
      <c r="O155" s="104">
        <f>IFERROR(IF(Tabelle132[[#This Row],[Status]]=$I$5,0,IF(AND(Tabelle132[[#This Row],[Status]]=$H$5,Tabelle132[[#This Row],[Spill-over]]=0),0,IF(Tabelle132[[#This Row],[Carry-over]]&lt;&gt;0,Tabelle132[[#This Row],[Carry-over]]-Tabelle132[[#This Row],[Spill-over]],Tabelle132[[#This Row],[Jira Story Points]]-Tabelle132[[#This Row],[Spill-over]]))),"-")</f>
        <v>0</v>
      </c>
      <c r="P155" s="136">
        <f>IFERROR(IF(Tabelle132[[#This Row],[Status]]=$I$5,MIN(Tabelle132[[#This Row],[Jira Story Points]],Tabelle132[[#This Row],[Carry-over]]),0),0)</f>
        <v>0</v>
      </c>
      <c r="Q155" s="156">
        <f>IFERROR(IF(Tabelle132[[#This Row],[Status]]=$I$5,0,MIN(Tabelle132[[#This Row],[Jira Story Points]],Tabelle132[[#This Row],[Carry-over]])-Tabelle132[[#This Row],[SP Completed (COS &amp; SOS)]]),0)</f>
        <v>3</v>
      </c>
    </row>
  </sheetData>
  <mergeCells count="9">
    <mergeCell ref="N22:O22"/>
    <mergeCell ref="C1:J1"/>
    <mergeCell ref="E4:J4"/>
    <mergeCell ref="D22:E22"/>
    <mergeCell ref="F22:G22"/>
    <mergeCell ref="H22:I22"/>
    <mergeCell ref="J22:K22"/>
    <mergeCell ref="L22:M22"/>
    <mergeCell ref="L4:Q4"/>
  </mergeCells>
  <phoneticPr fontId="12" type="noConversion"/>
  <dataValidations count="5">
    <dataValidation type="list" allowBlank="1" showErrorMessage="1" sqref="H32:H73" xr:uid="{DB98BB85-8824-42A0-9D03-228673C14E51}">
      <formula1>"yes"</formula1>
    </dataValidation>
    <dataValidation type="list" allowBlank="1" showErrorMessage="1" sqref="G32:G73" xr:uid="{E7E19FEF-EC76-4F9B-B38C-AE0FC7EE4C97}">
      <formula1>$C$6:$C$15</formula1>
    </dataValidation>
    <dataValidation allowBlank="1" showInputMessage="1" showErrorMessage="1" sqref="K32:N155" xr:uid="{7F61D15F-0C3F-40EE-A131-443A21AD7AF0}"/>
    <dataValidation type="list" allowBlank="1" showErrorMessage="1" sqref="J32:J155" xr:uid="{5AFD641A-CB5B-44A3-830A-B00B3E0EBD9A}">
      <formula1>$G$5:$I$5</formula1>
    </dataValidation>
    <dataValidation type="list" allowBlank="1" showErrorMessage="1" sqref="G146:G155" xr:uid="{AFD4C412-3048-4DB5-A8BD-8661AA89A49C}">
      <formula1>$P$6:$P$15</formula1>
    </dataValidation>
  </dataValidations>
  <hyperlinks>
    <hyperlink ref="A32" r:id="rId1" display="[ANP-21583] Refactor Multilane State - Jira" xr:uid="{9A1CC696-0DC7-41D7-B6D3-2BC8AED47A42}"/>
    <hyperlink ref="A33" r:id="rId2" display="[ANP-21635] Disimplement Rebooking of Payments with failed signature check - Extension deprecation - Jira" xr:uid="{DF1DED3C-91D5-449E-9B65-8AE6791EE619}"/>
    <hyperlink ref="A34" r:id="rId3" display="[ANP-23181] Create Multilane IP assignment extension setting - Jira" xr:uid="{55BA4758-2A36-41AD-B580-20D96B4A3C25}"/>
    <hyperlink ref="A35" r:id="rId4" display="[ANP-23497] Build Maintenance Release 3.18.4 - Jira" xr:uid="{7DA4C336-42F5-4C37-B6FA-9C577C2F8098}"/>
    <hyperlink ref="A36" r:id="rId5" display="[ANP-23346] Build Release 4.5.0 - Jira" xr:uid="{CBDEB513-CB6D-48E9-9111-A9E4A129AB72}"/>
    <hyperlink ref="A37" r:id="rId6" display="[ANP-23350] Post Release Tasks for NP Release 4.5.0 - Jira" xr:uid="{9D24C6FA-9A8D-47DE-A29E-79B37C78FD24}"/>
    <hyperlink ref="A38" r:id="rId7" display="[ANP-22916] get messages related to payment in conjunction with article tender restrictions - Jira" xr:uid="{1E18A626-B1B8-49B3-A627-8B5FB5A1333C}"/>
    <hyperlink ref="A39" r:id="rId8" display="[ANP-23057] lay the foundation for integrity testing multilane AT - Jira" xr:uid="{DBC83A0F-6391-4698-A546-53AF324F35E5}"/>
    <hyperlink ref="A40" r:id="rId9" display="[ANP-23670] Set Multilane IP assignment extension setting for CH - Jira" xr:uid="{B98879A7-B553-49A5-9492-4518603ED960}"/>
    <hyperlink ref="A41" r:id="rId10" xr:uid="{2DEDADD9-C66F-40FD-A777-F86B2951EE4A}"/>
    <hyperlink ref="A42" r:id="rId11" display="https://aldi-sued.atlassian.net/browse/ANP-11593" xr:uid="{F7AA7C0C-F425-4DB9-86FC-6976772C0BAB}"/>
    <hyperlink ref="A43" r:id="rId12" display="https://aldi-sued.atlassian.net/browse/ANP-22950" xr:uid="{C959C607-AB96-4BA1-AA33-64DB372E8328}"/>
    <hyperlink ref="A44" r:id="rId13" display="https://aldi-sued.atlassian.net/browse/ANP-23107" xr:uid="{C60F8E41-E3B4-46D0-9793-4E75E2ACE3C0}"/>
    <hyperlink ref="A45" r:id="rId14" display="https://aldi-sued.atlassian.net/browse/ANP-20250" xr:uid="{E3302815-7171-4ED1-B181-5508278545D3}"/>
    <hyperlink ref="A46" r:id="rId15" display="https://aldi-sued.atlassian.net/browse/ANP-23008" xr:uid="{466DD691-7900-4320-BED8-ED9A2CBCEF6C}"/>
    <hyperlink ref="A47" r:id="rId16" display="https://aldi-sued.atlassian.net/browse/ANP-23187" xr:uid="{8EB5B777-D430-415E-995B-43735F436DC5}"/>
    <hyperlink ref="A48" r:id="rId17" display="https://aldi-sued.atlassian.net/browse/ANP-23195" xr:uid="{4AB45DCB-7E69-44B0-8909-B552066F5DE5}"/>
    <hyperlink ref="A49" r:id="rId18" display="https://aldi-sued.atlassian.net/browse/ANP-23470" xr:uid="{0DFF9CCA-DDF7-4F11-8B4F-5C7385319588}"/>
    <hyperlink ref="A50" r:id="rId19" display="https://aldi-sued.atlassian.net/browse/CHO-3253" xr:uid="{6D0EF5B0-AED2-43B7-8A1E-F8B909FC9870}"/>
    <hyperlink ref="A51" r:id="rId20" display="https://aldi-sued.atlassian.net/browse/CHO-3436" xr:uid="{DCA8B1AC-C552-41EB-B24D-9F63FCA92775}"/>
    <hyperlink ref="A52" r:id="rId21" display="https://aldi-sued.atlassian.net/browse/CHO-3440" xr:uid="{30FEE1DA-AB1D-41C7-B6AA-FB666E9DBA0F}"/>
    <hyperlink ref="A53" r:id="rId22" display="https://aldi-sued.atlassian.net/browse/CHO-4468" xr:uid="{F2BB6AF7-E620-46C1-A2E5-69BB8EAD23DB}"/>
    <hyperlink ref="A55" r:id="rId23" display="https://aldi-sued.atlassian.net/browse/CHO-4829" xr:uid="{A465CA5C-2B16-4312-ABFE-01179B4E5DAC}"/>
    <hyperlink ref="A56" r:id="rId24" display="https://aldi-sued.atlassian.net/browse/CHO-4863" xr:uid="{76B78558-D35E-41F0-BA88-E03EC48D9B05}"/>
    <hyperlink ref="A57" r:id="rId25" display="https://aldi-sued.atlassian.net/browse/CHO-4937" xr:uid="{7359D861-2DDA-455B-B4EE-CFC32E3A11CD}"/>
    <hyperlink ref="A58" r:id="rId26" display="https://aldi-sued.atlassian.net/browse/CHO-4972" xr:uid="{BBB73817-C8FF-4F4C-AA3E-34B5068FA2F3}"/>
    <hyperlink ref="A60" r:id="rId27" display="https://aldi-sued.atlassian.net/browse/CHO-7" xr:uid="{21563051-5A26-40EA-8189-D0381FCDE03F}"/>
    <hyperlink ref="A61" r:id="rId28" display="https://aldi-sued.atlassian.net/browse/CHO-1520" xr:uid="{9C813CCF-F00B-4D49-B273-4F7CD5C91FE5}"/>
    <hyperlink ref="A62" r:id="rId29" display="https://aldi-sued.atlassian.net/browse/CHO-3254" xr:uid="{D651068D-E73C-48BF-A9DF-15D1806CC45A}"/>
    <hyperlink ref="A63" r:id="rId30" display="https://aldi-sued.atlassian.net/browse/CHO-3255" xr:uid="{468C2479-9769-44CF-984D-26B45DF1218F}"/>
    <hyperlink ref="A64" r:id="rId31" display="https://aldi-sued.atlassian.net/browse/CHO-3435" xr:uid="{4E3B8A3F-5A76-4556-97CC-E59F87899BE4}"/>
    <hyperlink ref="A65" r:id="rId32" display="https://aldi-sued.atlassian.net/browse/CHO-3437" xr:uid="{E5551C74-12F9-4742-A251-7C3BE2687872}"/>
    <hyperlink ref="A66" r:id="rId33" display="https://aldi-sued.atlassian.net/browse/CHO-4293" xr:uid="{05CB8F98-CA7B-4BBB-8971-D9CE9BA40A93}"/>
    <hyperlink ref="A67" r:id="rId34" display="https://aldi-sued.atlassian.net/browse/CHO-4737" xr:uid="{B41466EA-011B-4D14-923E-3D26BFA59756}"/>
    <hyperlink ref="A68" r:id="rId35" display="https://aldi-sued.atlassian.net/browse/CHO-4739" xr:uid="{8B272297-79B6-411C-B9FB-616F89C3D712}"/>
    <hyperlink ref="A69" r:id="rId36" display="https://aldi-sued.atlassian.net/browse/CHO-4864" xr:uid="{501DC1AF-DB27-4E6F-85F0-5E46FFA24558}"/>
    <hyperlink ref="A71" r:id="rId37" display="https://aldi-sued.atlassian.net/browse/CHO-4915" xr:uid="{09EF2A7B-3CE2-4731-8DF3-693E05892834}"/>
    <hyperlink ref="A72" r:id="rId38" display="https://aldi-sued.atlassian.net/browse/CHO-4939" xr:uid="{CB7B5D4C-9B45-4B51-96B6-50A23B372FCE}"/>
    <hyperlink ref="A73" r:id="rId39" display="https://aldi-sued.atlassian.net/browse/CHO-4940" xr:uid="{2E5406AB-08E1-4490-B521-A2F91D080D81}"/>
    <hyperlink ref="B85" r:id="rId40" display="https://aldi-sued.atlassian.net/browse/NPSCO-17298" xr:uid="{C74C4B12-8E89-4FAB-A063-B8E4B803B37C}"/>
    <hyperlink ref="A85" r:id="rId41" display="https://aldi-sued.atlassian.net/browse/NPSCO-17298" xr:uid="{41379899-7B42-4C30-B579-72BECA379BA1}"/>
    <hyperlink ref="B84" r:id="rId42" display="https://aldi-sued.atlassian.net/browse/NPSCO-17420" xr:uid="{F1E8FB61-B39B-4489-A9C5-360466739BF5}"/>
    <hyperlink ref="A84" r:id="rId43" display="https://aldi-sued.atlassian.net/browse/NPSCO-17420" xr:uid="{C50D07FE-C7AC-4C48-9F75-40815485D8BA}"/>
    <hyperlink ref="B83" r:id="rId44" display="https://aldi-sued.atlassian.net/browse/NPSCO-16188" xr:uid="{86793EF5-0728-49C9-B1DA-49CBC7020FB1}"/>
    <hyperlink ref="A83" r:id="rId45" display="https://aldi-sued.atlassian.net/browse/NPSCO-16188" xr:uid="{6100D285-3C10-4FFE-B2DC-6F21897D93F1}"/>
    <hyperlink ref="B82" r:id="rId46" display="https://aldi-sued.atlassian.net/browse/NPSCO-17424" xr:uid="{E7365B10-30D7-476C-866C-A9A231594EA6}"/>
    <hyperlink ref="A82" r:id="rId47" display="https://aldi-sued.atlassian.net/browse/NPSCO-17424" xr:uid="{D62A65CA-FE70-41E2-A9C1-46E157953AD6}"/>
    <hyperlink ref="B81" r:id="rId48" display="https://aldi-sued.atlassian.net/browse/NPSCO-16980" xr:uid="{21D8AA14-0BAA-40F9-BADB-F20AC8CF0F2F}"/>
    <hyperlink ref="A81" r:id="rId49" display="https://aldi-sued.atlassian.net/browse/NPSCO-16980" xr:uid="{39D55640-AF59-45FE-9D22-EF9BDE0874B8}"/>
    <hyperlink ref="B80" r:id="rId50" display="https://aldi-sued.atlassian.net/browse/NPSCO-17086" xr:uid="{E38A8EB1-579D-454E-8C0A-E1FDB574D067}"/>
    <hyperlink ref="A80" r:id="rId51" display="https://aldi-sued.atlassian.net/browse/NPSCO-17086" xr:uid="{D1676599-6B29-45B0-90B3-3A189D675141}"/>
    <hyperlink ref="B79" r:id="rId52" display="https://aldi-sued.atlassian.net/browse/NPSCO-16711" xr:uid="{0697EC2C-A37C-40BA-B61C-D2EA7F25CF81}"/>
    <hyperlink ref="A79" r:id="rId53" display="https://aldi-sued.atlassian.net/browse/NPSCO-16711" xr:uid="{F165E6A9-639D-48F9-A170-C7A10BB12C5A}"/>
    <hyperlink ref="B78" r:id="rId54" display="https://aldi-sued.atlassian.net/browse/NPSCO-17382" xr:uid="{0C8CD4C7-D3DF-4B93-BC17-CE1F48B1EFB4}"/>
    <hyperlink ref="A78" r:id="rId55" display="https://aldi-sued.atlassian.net/browse/NPSCO-17382" xr:uid="{4D4A435A-AC2C-4317-B0BE-6A7EBDE468B5}"/>
    <hyperlink ref="B77" r:id="rId56" display="https://aldi-sued.atlassian.net/browse/NPSCO-17361" xr:uid="{50D7C580-FCDF-4F5E-A9F8-FA2BD9CAFDCB}"/>
    <hyperlink ref="A77" r:id="rId57" display="https://aldi-sued.atlassian.net/browse/NPSCO-17361" xr:uid="{2B0AA542-9913-4EF1-B842-CF5CB0AAB270}"/>
    <hyperlink ref="B76" r:id="rId58" display="https://aldi-sued.atlassian.net/browse/NPSCO-17343" xr:uid="{DC155559-0A14-4F3D-833F-5F175943AC1E}"/>
    <hyperlink ref="A76" r:id="rId59" display="https://aldi-sued.atlassian.net/browse/NPSCO-17343" xr:uid="{B6727B34-040F-4C77-94C1-750187D0223F}"/>
    <hyperlink ref="B75" r:id="rId60" display="https://aldi-sued.atlassian.net/browse/NPSCO-16393" xr:uid="{EC77D8C5-B826-4ADB-88E1-B8BC353A50AD}"/>
    <hyperlink ref="A75" r:id="rId61" display="https://aldi-sued.atlassian.net/browse/NPSCO-16393" xr:uid="{74C4C5C4-FD5F-4ECA-94D9-44CB7C23BAA7}"/>
    <hyperlink ref="G74" r:id="rId62" display="https://aldi-sued.atlassian.net/issues/?jql=%22cf%5B12600%5D%22%20%3D%20SCO_Two_Fingered_Sloth" xr:uid="{834CF5C4-B6FD-48E6-9665-8DE43E014F8C}"/>
    <hyperlink ref="B74" r:id="rId63" display="https://aldi-sued.atlassian.net/browse/NPSCO-17319" xr:uid="{9559223D-2EA0-4507-AB79-8EE723FC67BB}"/>
    <hyperlink ref="A74" r:id="rId64" display="https://aldi-sued.atlassian.net/browse/NPSCO-17319" xr:uid="{3609343A-9673-4204-AAD2-684D75B9F73B}"/>
    <hyperlink ref="A86" r:id="rId65" display="https://aldi-sued.atlassian.net/browse/NPSCO-17367" xr:uid="{C8DB728C-6D4C-4785-89AF-32BF8B55F42D}"/>
    <hyperlink ref="G86" r:id="rId66" display="https://aldi-sued.atlassian.net/issues/?jql=%22cf%5B12600%5D%22%20%3D%20SCO_TNT" xr:uid="{470A9052-A118-4540-8E6C-4B7FE7E8AD04}"/>
    <hyperlink ref="A87" r:id="rId67" display="https://aldi-sued.atlassian.net/browse/NPSCO-17379" xr:uid="{6343FBF1-1D2E-4365-9E89-3EFFBE11AAE6}"/>
    <hyperlink ref="A88" r:id="rId68" display="https://aldi-sued.atlassian.net/browse/NPSCO-17376" xr:uid="{164D4DEA-3E05-475F-A310-8F36D6C33DDD}"/>
    <hyperlink ref="A89" r:id="rId69" display="https://aldi-sued.atlassian.net/browse/NPSCO-15728" xr:uid="{129A54B3-EFCD-46CB-B0BC-617FDA8398EF}"/>
    <hyperlink ref="A90" r:id="rId70" display="https://aldi-sued.atlassian.net/browse/NPSCO-16614" xr:uid="{49B9ED20-13EB-4ABE-9572-B11194509997}"/>
    <hyperlink ref="A91" r:id="rId71" display="https://aldi-sued.atlassian.net/browse/NPSCO-16610" xr:uid="{EEC53CF6-A72A-4C4E-BCB0-2D5D1EF80B61}"/>
    <hyperlink ref="A92" r:id="rId72" display="https://aldi-sued.atlassian.net/browse/NPSCO-17452" xr:uid="{9A947F5A-0000-42C6-9935-63896E3A6F34}"/>
    <hyperlink ref="A93" r:id="rId73" display="https://aldi-sued.atlassian.net/browse/NPSCO-17453" xr:uid="{D87885E7-C5EE-4312-810D-704671B6792E}"/>
    <hyperlink ref="A94" r:id="rId74" display="https://aldi-sued.atlassian.net/browse/NPSCO-17454" xr:uid="{F677CAE6-6E7D-49B7-9141-38C62EA932E6}"/>
    <hyperlink ref="A95" r:id="rId75" display="https://aldi-sued.atlassian.net/browse/NPSCO-17455" xr:uid="{9086ACD9-A954-45F1-BD9F-DCEA84614BC5}"/>
    <hyperlink ref="A96" r:id="rId76" display="https://aldi-sued.atlassian.net/browse/NPSCO-17456" xr:uid="{8C30FC98-E9DA-46B7-AFB3-C00C14D04E25}"/>
    <hyperlink ref="A97" r:id="rId77" display="https://aldi-sued.atlassian.net/browse/NPSCO-16615" xr:uid="{22AFB8CB-A433-413B-BA69-458E5D7DF3EE}"/>
    <hyperlink ref="A98" r:id="rId78" display="https://aldi-sued.atlassian.net/browse/NPSCO-16949" xr:uid="{DED26A7B-8800-4514-9EF5-54F88EFA36DC}"/>
    <hyperlink ref="A99" r:id="rId79" display="https://aldi-sued.atlassian.net/browse/NPSCO-15469" xr:uid="{6524182A-8049-4063-A2B3-8EEA0ECDAF30}"/>
    <hyperlink ref="A100" r:id="rId80" display="https://aldi-sued.atlassian.net/browse/NPSCO-17380" xr:uid="{84C65E7D-B509-44F2-8A94-FA54FD420AA7}"/>
    <hyperlink ref="A101" r:id="rId81" display="https://aldi-sued.atlassian.net/browse/NPSCO-17297" xr:uid="{6301392F-06C1-4AB0-873D-5FC5E1F20ADC}"/>
    <hyperlink ref="A102" r:id="rId82" display="https://aldi-sued.atlassian.net/browse/NPSCO-17463" xr:uid="{E4E0CDED-5038-466B-B160-355E96B27AF0}"/>
    <hyperlink ref="A103" r:id="rId83" display="https://aldi-sued.atlassian.net/browse/NPSCO-17551" xr:uid="{1F6FFB8A-5CA7-4437-94D9-FBE5FCFDD953}"/>
    <hyperlink ref="A104" r:id="rId84" display="https://aldi-sued.atlassian.net/browse/NPSCO-17451" xr:uid="{17AB8F5C-C8A7-4DEF-A212-6846B73CB78C}"/>
    <hyperlink ref="A105" r:id="rId85" display="https://aldi-sued.atlassian.net/browse/NPSCO-16617" xr:uid="{981F9721-DD15-47B6-9FB7-F36EB99FF667}"/>
    <hyperlink ref="A106" r:id="rId86" display="https://aldi-sued.atlassian.net/browse/NPSCO-17705" xr:uid="{06F604BC-8A39-4734-90E8-6D9802208A4D}"/>
    <hyperlink ref="A107" r:id="rId87" display="https://aldi-sued.atlassian.net/browse/NPSCO-17180" xr:uid="{464F0DA4-8048-4065-948C-FCF743840FE2}"/>
    <hyperlink ref="G107" r:id="rId88" display="https://aldi-sued.atlassian.net/issues/?jql=%22cf%5B12600%5D%22%20%3D%20SCO_TheTillTitans" xr:uid="{903A566B-B892-4820-B6A4-FB0BEB4B303C}"/>
    <hyperlink ref="A108" r:id="rId89" display="https://aldi-sued.atlassian.net/browse/NPSCO-17519" xr:uid="{377C96A7-5EE6-4808-AA23-8C605166CA55}"/>
    <hyperlink ref="A109" r:id="rId90" display="https://aldi-sued.atlassian.net/browse/NPSCO-17520" xr:uid="{10D60981-73B4-40C7-9C64-01C4A3365DC1}"/>
    <hyperlink ref="A110" r:id="rId91" display="https://aldi-sued.atlassian.net/browse/NPSCO-16998" xr:uid="{8B9FEFFA-8A40-4086-9E7A-007588FD8ADE}"/>
    <hyperlink ref="A111" r:id="rId92" display="https://aldi-sued.atlassian.net/browse/NPSCO-17140" xr:uid="{DCABBF5C-0EA3-4909-9220-87E3B0655289}"/>
    <hyperlink ref="A112" r:id="rId93" display="https://aldi-sued.atlassian.net/browse/NPSCO-17106" xr:uid="{D614BD4F-41A7-4549-9C17-39EAA450B276}"/>
    <hyperlink ref="A113" r:id="rId94" display="https://aldi-sued.atlassian.net/browse/NPSCO-15432" xr:uid="{EA1E7EFA-E2E3-4F3B-83BE-674BA19965AA}"/>
    <hyperlink ref="A114" r:id="rId95" display="https://aldi-sued.atlassian.net/browse/NPSCO-17059" xr:uid="{DC4F6B25-600F-4285-9603-B721FAAD209E}"/>
    <hyperlink ref="A115" r:id="rId96" display="https://aldi-sued.atlassian.net/browse/NPSCO-17374" xr:uid="{31D3784A-30E3-4B72-866C-8F3B39609B2B}"/>
    <hyperlink ref="A116" r:id="rId97" display="https://aldi-sued.atlassian.net/browse/NPSCO-17318" xr:uid="{6FEF9D50-1CAA-4C4B-BC68-EAEB643E66CA}"/>
    <hyperlink ref="A117" r:id="rId98" display="https://aldi-sued.atlassian.net/browse/NPSCO-17330" xr:uid="{C8940A62-CD30-4035-8D25-F9E06BE48875}"/>
    <hyperlink ref="A118" r:id="rId99" display="https://aldi-sued.atlassian.net/browse/NPSCO-17234" xr:uid="{55DAFAE5-3D76-42B5-8C81-13D83FB108A3}"/>
    <hyperlink ref="A119" r:id="rId100" display="https://aldi-sued.atlassian.net/browse/NPSCO-17464" xr:uid="{F1119199-515C-4313-A3B5-C5BE87385A9A}"/>
    <hyperlink ref="A120" r:id="rId101" display="https://aldi-sued.atlassian.net/browse/NPSCO-16261" xr:uid="{9844A617-3097-4824-9EF3-B3C8982BE19B}"/>
    <hyperlink ref="A121" r:id="rId102" display="https://aldi-sued.atlassian.net/browse/NPSCO-16390" xr:uid="{428D03F4-859C-4F16-BB36-306229CF7175}"/>
    <hyperlink ref="A122" r:id="rId103" display="https://aldi-sued.atlassian.net/browse/NPSCO-16369" xr:uid="{0663CDFC-CFFD-4ED6-A29B-6D5FBABB5E05}"/>
    <hyperlink ref="A123" r:id="rId104" display="https://aldi-sued.atlassian.net/browse/NPSCO-17515" xr:uid="{71AB220F-259B-42EA-A6F8-C3FB45D84670}"/>
    <hyperlink ref="A124" r:id="rId105" display="https://aldi-sued.atlassian.net/browse/NPSCO-17294" xr:uid="{EFC1D534-E780-4C97-8B39-3B3F55629EFF}"/>
    <hyperlink ref="A125" r:id="rId106" display="https://aldi-sued.atlassian.net/browse/NPSCO-16516" xr:uid="{77299F2A-1406-4E94-B9C6-2C5C95B67D6C}"/>
    <hyperlink ref="G75:G85" r:id="rId107" display="https://aldi-sued.atlassian.net/issues/?jql=%22cf%5B12600%5D%22%20%3D%20SCO_Two_Fingered_Sloth" xr:uid="{93FC518F-17E4-4928-9A29-3505726BC1DA}"/>
    <hyperlink ref="G87:G106" r:id="rId108" display="https://aldi-sued.atlassian.net/issues/?jql=%22cf%5B12600%5D%22%20%3D%20SCO_TNT" xr:uid="{AECD312B-CBFE-4954-AF6B-B77EE24945BA}"/>
    <hyperlink ref="G108:G125" r:id="rId109" display="https://aldi-sued.atlassian.net/issues/?jql=%22cf%5B12600%5D%22%20%3D%20SCO_TheTillTitans" xr:uid="{C7ECD2D8-87DF-4E98-8C3A-6D3E5D99F2A6}"/>
    <hyperlink ref="A146" r:id="rId110" xr:uid="{6DE5DAE6-A465-4E7B-888C-59B5722592EF}"/>
    <hyperlink ref="B146" r:id="rId111" xr:uid="{BB2BEE32-1528-405F-A8A8-B4B40018F040}"/>
    <hyperlink ref="A147" r:id="rId112" xr:uid="{7F15ABDB-A72E-4438-A2F1-F0961473911F}"/>
    <hyperlink ref="B147" r:id="rId113" xr:uid="{430E3C16-C527-4E15-913B-08B5E12C4A4A}"/>
    <hyperlink ref="A148" r:id="rId114" xr:uid="{0B93A7A6-1463-404D-BE42-201D016D33C9}"/>
    <hyperlink ref="B148" r:id="rId115" xr:uid="{3C9AE986-CB6E-4E9C-A46A-C405395BEC3E}"/>
    <hyperlink ref="A149" r:id="rId116" xr:uid="{34879133-4E17-4E9F-AE31-02499A26B23F}"/>
    <hyperlink ref="B149" r:id="rId117" xr:uid="{FE4B4A2C-23E1-4FCD-8C6A-75253585A12B}"/>
    <hyperlink ref="A150" r:id="rId118" xr:uid="{5B4B5707-5841-414B-A033-6416B1076ECD}"/>
    <hyperlink ref="B150" r:id="rId119" xr:uid="{A83149F8-2F3D-4C1F-9E0D-95B65A9437A9}"/>
    <hyperlink ref="A151" r:id="rId120" xr:uid="{B37D10D5-3F17-44C1-B5FC-2E82738E6FDA}"/>
    <hyperlink ref="B151" r:id="rId121" xr:uid="{97009C0C-70D0-4A53-9A28-DDF269B1CA72}"/>
    <hyperlink ref="A152" r:id="rId122" xr:uid="{518FD13A-BB2F-45EB-8EF3-4ACB9C56990F}"/>
    <hyperlink ref="B152" r:id="rId123" xr:uid="{7A2F18ED-463E-4F60-BA61-0DEB12018CB5}"/>
    <hyperlink ref="A153" r:id="rId124" xr:uid="{5AC15FAF-CE0A-460D-970D-F2691E34E28F}"/>
    <hyperlink ref="B153" r:id="rId125" xr:uid="{4ADD26E8-7913-4F82-B210-F00AAB8DF801}"/>
    <hyperlink ref="A154" r:id="rId126" xr:uid="{BE139D31-5C1D-49EF-92B2-DBA14FD2E175}"/>
    <hyperlink ref="B154" r:id="rId127" xr:uid="{364E615D-8D36-482D-A3E6-8E58D4831D27}"/>
    <hyperlink ref="A155" r:id="rId128" xr:uid="{B1997F81-B8C7-4CC8-B157-9BD4EF123D32}"/>
    <hyperlink ref="B155" r:id="rId129" xr:uid="{033A7E30-E600-495B-B07F-9DD02E399E1C}"/>
  </hyperlinks>
  <pageMargins left="0.23622047244094491" right="0.23622047244094491" top="0.35433070866141736" bottom="0.35433070866141736" header="0" footer="0"/>
  <pageSetup paperSize="9" scale="88" fitToHeight="0" orientation="landscape"/>
  <headerFooter>
    <oddFooter>&amp;CS. &amp;P / &amp;N</oddFooter>
  </headerFooter>
  <tableParts count="1">
    <tablePart r:id="rId13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BFB34-DF03-4E22-8C0F-20D0A3A52A97}">
  <dimension ref="A2:AU126"/>
  <sheetViews>
    <sheetView zoomScale="60" zoomScaleNormal="60" workbookViewId="0"/>
  </sheetViews>
  <sheetFormatPr baseColWidth="10" defaultColWidth="8.42578125" defaultRowHeight="15"/>
  <cols>
    <col min="1" max="1" width="24.28515625" style="87" bestFit="1" customWidth="1"/>
    <col min="2" max="11" width="11.42578125" style="36" customWidth="1"/>
    <col min="12" max="12" width="11.42578125" style="194" customWidth="1"/>
    <col min="13" max="13" width="24.28515625" style="87" bestFit="1" customWidth="1"/>
    <col min="14" max="23" width="11.42578125" style="36" customWidth="1"/>
    <col min="24" max="24" width="11.42578125" style="194" customWidth="1"/>
    <col min="25" max="25" width="11.7109375" style="87" customWidth="1"/>
    <col min="26" max="35" width="11.42578125" customWidth="1"/>
    <col min="36" max="36" width="11.42578125" style="194" customWidth="1"/>
    <col min="37" max="37" width="11.7109375" bestFit="1" customWidth="1"/>
    <col min="38" max="48" width="11.42578125" customWidth="1"/>
  </cols>
  <sheetData>
    <row r="2" spans="1:23">
      <c r="B2" s="408" t="s">
        <v>105</v>
      </c>
      <c r="C2" s="408"/>
      <c r="D2" s="408"/>
      <c r="E2" s="408"/>
      <c r="F2" s="408"/>
      <c r="G2" s="408"/>
      <c r="H2" s="408"/>
      <c r="I2" s="408"/>
      <c r="J2" s="408"/>
      <c r="K2" s="408"/>
      <c r="N2" s="408" t="s">
        <v>106</v>
      </c>
      <c r="O2" s="408"/>
      <c r="P2" s="408"/>
      <c r="Q2" s="408"/>
      <c r="R2" s="408"/>
      <c r="S2" s="408"/>
      <c r="T2" s="408"/>
      <c r="U2" s="408"/>
      <c r="V2" s="408"/>
      <c r="W2" s="408"/>
    </row>
    <row r="3" spans="1:23">
      <c r="B3" s="90" t="s">
        <v>35</v>
      </c>
      <c r="C3" s="90" t="s">
        <v>12</v>
      </c>
      <c r="D3" s="90" t="s">
        <v>27</v>
      </c>
      <c r="E3" s="90" t="s">
        <v>5</v>
      </c>
      <c r="F3" s="90" t="s">
        <v>32</v>
      </c>
      <c r="G3" s="90" t="s">
        <v>24</v>
      </c>
      <c r="H3" s="90" t="s">
        <v>17</v>
      </c>
      <c r="I3" s="90" t="s">
        <v>107</v>
      </c>
      <c r="J3" s="90" t="s">
        <v>21</v>
      </c>
      <c r="K3" s="90" t="s">
        <v>9</v>
      </c>
      <c r="N3" s="90" t="str">
        <f>B3</f>
        <v>Engineering</v>
      </c>
      <c r="O3" s="90" t="str">
        <f t="shared" ref="O3:W3" si="0">C3</f>
        <v>Payment</v>
      </c>
      <c r="P3" s="90" t="str">
        <f t="shared" si="0"/>
        <v>Sales</v>
      </c>
      <c r="Q3" s="90" t="str">
        <f t="shared" si="0"/>
        <v>Vlinder</v>
      </c>
      <c r="R3" s="90" t="str">
        <f t="shared" si="0"/>
        <v>TTT</v>
      </c>
      <c r="S3" s="90" t="str">
        <f t="shared" si="0"/>
        <v>TNT</v>
      </c>
      <c r="T3" s="90" t="str">
        <f t="shared" si="0"/>
        <v>TFS</v>
      </c>
      <c r="U3" s="90" t="str">
        <f t="shared" si="0"/>
        <v>0-Noise</v>
      </c>
      <c r="V3" s="90" t="str">
        <f t="shared" si="0"/>
        <v>Synergy</v>
      </c>
      <c r="W3" s="90" t="str">
        <f t="shared" si="0"/>
        <v>Papillon</v>
      </c>
    </row>
    <row r="4" spans="1:23">
      <c r="A4" s="87" t="s">
        <v>108</v>
      </c>
      <c r="B4" s="90">
        <f t="shared" ref="B4:B7" ca="1" si="1">INDIRECT($A4 &amp;"!E6")</f>
        <v>79</v>
      </c>
      <c r="C4" s="90">
        <f t="shared" ref="C4:C7" ca="1" si="2">INDIRECT($A4 &amp;"!E7")</f>
        <v>21</v>
      </c>
      <c r="D4" s="90">
        <f t="shared" ref="D4:D7" ca="1" si="3">INDIRECT($A4 &amp;"!E8")</f>
        <v>56</v>
      </c>
      <c r="E4" s="90">
        <f t="shared" ref="E4:E7" ca="1" si="4">INDIRECT($A4 &amp;"!E9")</f>
        <v>59</v>
      </c>
      <c r="F4" s="90">
        <f t="shared" ref="F4:F7" ca="1" si="5">INDIRECT($A4 &amp;"!E10")</f>
        <v>56</v>
      </c>
      <c r="G4" s="90">
        <f t="shared" ref="G4:G7" ca="1" si="6">INDIRECT($A4 &amp;"!E11")</f>
        <v>50</v>
      </c>
      <c r="H4" s="90">
        <f t="shared" ref="H4:H7" ca="1" si="7">INDIRECT($A4 &amp;"!E12")</f>
        <v>40</v>
      </c>
      <c r="I4" s="90">
        <f t="shared" ref="I4:I7" ca="1" si="8">INDIRECT($A4 &amp;"!E13")</f>
        <v>38</v>
      </c>
      <c r="J4" s="90"/>
      <c r="K4" s="90">
        <f t="shared" ref="K4:K7" ca="1" si="9">INDIRECT($A4 &amp;"!E15")</f>
        <v>21</v>
      </c>
      <c r="M4" s="87" t="str">
        <f t="shared" ref="M4:M13" si="10">A4</f>
        <v>Sprint_4_4</v>
      </c>
      <c r="N4" s="90">
        <f t="shared" ref="N4:N8" ca="1" si="11">INDIRECT($A4 &amp;"!F6")</f>
        <v>6</v>
      </c>
      <c r="O4" s="90">
        <f t="shared" ref="O4:O8" ca="1" si="12">INDIRECT($A4 &amp;"!F7")</f>
        <v>1</v>
      </c>
      <c r="P4" s="90">
        <f t="shared" ref="P4:P8" ca="1" si="13">INDIRECT($A4 &amp;"!F8")</f>
        <v>5</v>
      </c>
      <c r="Q4" s="90">
        <f t="shared" ref="Q4:Q8" ca="1" si="14">INDIRECT($A4 &amp;"!F9")</f>
        <v>1</v>
      </c>
      <c r="R4" s="90">
        <f t="shared" ref="R4:R8" ca="1" si="15">INDIRECT($A4 &amp;"!F10")</f>
        <v>6</v>
      </c>
      <c r="S4" s="90">
        <f t="shared" ref="S4:S8" ca="1" si="16">INDIRECT($A4 &amp;"!F11")</f>
        <v>10</v>
      </c>
      <c r="T4" s="90">
        <f t="shared" ref="T4:T8" ca="1" si="17">INDIRECT($A4 &amp;"!F12")</f>
        <v>7</v>
      </c>
      <c r="U4" s="90">
        <f t="shared" ref="U4:U7" ca="1" si="18">INDIRECT($A4 &amp;"!F13")</f>
        <v>5</v>
      </c>
      <c r="V4" s="90"/>
      <c r="W4" s="90">
        <f t="shared" ref="W4:W8" ca="1" si="19">INDIRECT($A4 &amp;"!F15")</f>
        <v>2</v>
      </c>
    </row>
    <row r="5" spans="1:23">
      <c r="A5" s="87" t="s">
        <v>109</v>
      </c>
      <c r="B5" s="90">
        <f t="shared" ca="1" si="1"/>
        <v>57</v>
      </c>
      <c r="C5" s="90">
        <f t="shared" ca="1" si="2"/>
        <v>13</v>
      </c>
      <c r="D5" s="90">
        <f t="shared" ca="1" si="3"/>
        <v>39</v>
      </c>
      <c r="E5" s="90">
        <f t="shared" ca="1" si="4"/>
        <v>51</v>
      </c>
      <c r="F5" s="90">
        <f t="shared" ca="1" si="5"/>
        <v>76</v>
      </c>
      <c r="G5" s="90">
        <f t="shared" ca="1" si="6"/>
        <v>40</v>
      </c>
      <c r="H5" s="90">
        <f t="shared" ca="1" si="7"/>
        <v>46</v>
      </c>
      <c r="I5" s="90">
        <f t="shared" ca="1" si="8"/>
        <v>34</v>
      </c>
      <c r="J5" s="90">
        <f t="shared" ref="J5:J7" ca="1" si="20">INDIRECT($A5 &amp;"!E14")</f>
        <v>29</v>
      </c>
      <c r="K5" s="90">
        <f t="shared" ca="1" si="9"/>
        <v>28</v>
      </c>
      <c r="M5" s="87" t="str">
        <f t="shared" si="10"/>
        <v>Sprint_4_5</v>
      </c>
      <c r="N5" s="90">
        <f t="shared" ca="1" si="11"/>
        <v>6</v>
      </c>
      <c r="O5" s="90">
        <f t="shared" ca="1" si="12"/>
        <v>11</v>
      </c>
      <c r="P5" s="90">
        <f t="shared" ca="1" si="13"/>
        <v>19</v>
      </c>
      <c r="Q5" s="90">
        <f t="shared" ca="1" si="14"/>
        <v>0</v>
      </c>
      <c r="R5" s="90">
        <f t="shared" ca="1" si="15"/>
        <v>3</v>
      </c>
      <c r="S5" s="90">
        <f t="shared" ca="1" si="16"/>
        <v>11</v>
      </c>
      <c r="T5" s="90">
        <f t="shared" ca="1" si="17"/>
        <v>8</v>
      </c>
      <c r="U5" s="90">
        <f t="shared" ca="1" si="18"/>
        <v>8</v>
      </c>
      <c r="V5" s="90">
        <f t="shared" ref="V5:V8" ca="1" si="21">INDIRECT($A5 &amp;"!F14")</f>
        <v>6</v>
      </c>
      <c r="W5" s="90">
        <f t="shared" ca="1" si="19"/>
        <v>2</v>
      </c>
    </row>
    <row r="6" spans="1:23">
      <c r="A6" s="87" t="s">
        <v>110</v>
      </c>
      <c r="B6" s="90">
        <f t="shared" ca="1" si="1"/>
        <v>46</v>
      </c>
      <c r="C6" s="90">
        <f t="shared" ca="1" si="2"/>
        <v>17</v>
      </c>
      <c r="D6" s="90">
        <f t="shared" ca="1" si="3"/>
        <v>26</v>
      </c>
      <c r="E6" s="90">
        <f t="shared" ca="1" si="4"/>
        <v>39</v>
      </c>
      <c r="F6" s="90">
        <f t="shared" ca="1" si="5"/>
        <v>63</v>
      </c>
      <c r="G6" s="90">
        <f t="shared" ca="1" si="6"/>
        <v>47</v>
      </c>
      <c r="H6" s="90">
        <f t="shared" ca="1" si="7"/>
        <v>27</v>
      </c>
      <c r="I6" s="90">
        <f t="shared" ca="1" si="8"/>
        <v>29</v>
      </c>
      <c r="J6" s="90">
        <f t="shared" ca="1" si="20"/>
        <v>71</v>
      </c>
      <c r="K6" s="90">
        <f t="shared" ca="1" si="9"/>
        <v>24.5</v>
      </c>
      <c r="M6" s="87" t="str">
        <f t="shared" si="10"/>
        <v>Sprint_4_6</v>
      </c>
      <c r="N6" s="90">
        <f t="shared" ca="1" si="11"/>
        <v>19</v>
      </c>
      <c r="O6" s="90">
        <f t="shared" ca="1" si="12"/>
        <v>3</v>
      </c>
      <c r="P6" s="90">
        <f t="shared" ca="1" si="13"/>
        <v>15</v>
      </c>
      <c r="Q6" s="90">
        <f t="shared" ca="1" si="14"/>
        <v>4</v>
      </c>
      <c r="R6" s="90">
        <f t="shared" ca="1" si="15"/>
        <v>14</v>
      </c>
      <c r="S6" s="90">
        <f t="shared" ca="1" si="16"/>
        <v>16</v>
      </c>
      <c r="T6" s="90">
        <f t="shared" ca="1" si="17"/>
        <v>11</v>
      </c>
      <c r="U6" s="90">
        <f t="shared" ca="1" si="18"/>
        <v>24</v>
      </c>
      <c r="V6" s="90">
        <f t="shared" ca="1" si="21"/>
        <v>2</v>
      </c>
      <c r="W6" s="90">
        <f t="shared" ca="1" si="19"/>
        <v>31.5</v>
      </c>
    </row>
    <row r="7" spans="1:23">
      <c r="A7" s="95" t="s">
        <v>111</v>
      </c>
      <c r="B7" s="90">
        <f t="shared" ca="1" si="1"/>
        <v>65</v>
      </c>
      <c r="C7" s="90">
        <f t="shared" ca="1" si="2"/>
        <v>17</v>
      </c>
      <c r="D7" s="90">
        <f t="shared" ca="1" si="3"/>
        <v>29</v>
      </c>
      <c r="E7" s="90">
        <f t="shared" ca="1" si="4"/>
        <v>34</v>
      </c>
      <c r="F7" s="90">
        <f t="shared" ca="1" si="5"/>
        <v>49</v>
      </c>
      <c r="G7" s="90">
        <f t="shared" ca="1" si="6"/>
        <v>42</v>
      </c>
      <c r="H7" s="90">
        <f t="shared" ca="1" si="7"/>
        <v>22</v>
      </c>
      <c r="I7" s="90">
        <f t="shared" ca="1" si="8"/>
        <v>27</v>
      </c>
      <c r="J7" s="90">
        <f t="shared" ca="1" si="20"/>
        <v>53</v>
      </c>
      <c r="K7" s="90">
        <f t="shared" ca="1" si="9"/>
        <v>28</v>
      </c>
      <c r="M7" s="87" t="str">
        <f t="shared" si="10"/>
        <v>Sprint_4_8</v>
      </c>
      <c r="N7" s="90">
        <f t="shared" ca="1" si="11"/>
        <v>37</v>
      </c>
      <c r="O7" s="90">
        <f t="shared" ca="1" si="12"/>
        <v>3</v>
      </c>
      <c r="P7" s="90">
        <f t="shared" ca="1" si="13"/>
        <v>3</v>
      </c>
      <c r="Q7" s="90">
        <f t="shared" ca="1" si="14"/>
        <v>14</v>
      </c>
      <c r="R7" s="90">
        <f t="shared" ca="1" si="15"/>
        <v>0</v>
      </c>
      <c r="S7" s="90">
        <f t="shared" ca="1" si="16"/>
        <v>15</v>
      </c>
      <c r="T7" s="90">
        <f t="shared" ca="1" si="17"/>
        <v>4</v>
      </c>
      <c r="U7" s="90">
        <f t="shared" ca="1" si="18"/>
        <v>0</v>
      </c>
      <c r="V7" s="90">
        <f t="shared" ca="1" si="21"/>
        <v>1</v>
      </c>
      <c r="W7" s="90">
        <f t="shared" ca="1" si="19"/>
        <v>7</v>
      </c>
    </row>
    <row r="8" spans="1:23">
      <c r="A8" s="87" t="s">
        <v>112</v>
      </c>
      <c r="B8" s="90">
        <f ca="1">INDIRECT($A8 &amp;"!E6")</f>
        <v>53</v>
      </c>
      <c r="C8" s="90">
        <f ca="1">INDIRECT($A8 &amp;"!E7")</f>
        <v>27</v>
      </c>
      <c r="D8" s="90">
        <f ca="1">INDIRECT($A8 &amp;"!E8")</f>
        <v>34</v>
      </c>
      <c r="E8" s="90">
        <f ca="1">INDIRECT($A8 &amp;"!E9")</f>
        <v>49</v>
      </c>
      <c r="F8" s="90">
        <f ca="1">INDIRECT($A8 &amp;"!E10")</f>
        <v>32</v>
      </c>
      <c r="G8" s="90">
        <f ca="1">INDIRECT($A8 &amp;"!E11")</f>
        <v>48</v>
      </c>
      <c r="H8" s="90">
        <f ca="1">INDIRECT($A8 &amp;"!E12")</f>
        <v>23</v>
      </c>
      <c r="I8" s="90"/>
      <c r="J8" s="90">
        <f ca="1">INDIRECT($A8 &amp;"!E14")</f>
        <v>37</v>
      </c>
      <c r="K8" s="90">
        <f ca="1">INDIRECT($A8 &amp;"!E15")</f>
        <v>36</v>
      </c>
      <c r="M8" s="87" t="str">
        <f t="shared" si="10"/>
        <v>Sprint_1_1</v>
      </c>
      <c r="N8" s="90">
        <f t="shared" ca="1" si="11"/>
        <v>38</v>
      </c>
      <c r="O8" s="90">
        <f t="shared" ca="1" si="12"/>
        <v>9</v>
      </c>
      <c r="P8" s="90">
        <f t="shared" ca="1" si="13"/>
        <v>20</v>
      </c>
      <c r="Q8" s="90">
        <f t="shared" ca="1" si="14"/>
        <v>0</v>
      </c>
      <c r="R8" s="90">
        <f t="shared" ca="1" si="15"/>
        <v>5</v>
      </c>
      <c r="S8" s="90">
        <f t="shared" ca="1" si="16"/>
        <v>8</v>
      </c>
      <c r="T8" s="90">
        <f t="shared" ca="1" si="17"/>
        <v>10</v>
      </c>
      <c r="U8" s="90"/>
      <c r="V8" s="90">
        <f t="shared" ca="1" si="21"/>
        <v>4</v>
      </c>
      <c r="W8" s="90">
        <f t="shared" ca="1" si="19"/>
        <v>12</v>
      </c>
    </row>
    <row r="9" spans="1:23">
      <c r="A9" s="87" t="s">
        <v>113</v>
      </c>
      <c r="B9" s="90">
        <f ca="1">INDIRECT($A9 &amp;"!F6")</f>
        <v>48</v>
      </c>
      <c r="C9" s="90">
        <f ca="1">INDIRECT($A9 &amp;"!F7")</f>
        <v>28</v>
      </c>
      <c r="D9" s="90">
        <f ca="1">INDIRECT($A9 &amp;"!F8")</f>
        <v>54</v>
      </c>
      <c r="E9" s="90">
        <f ca="1">INDIRECT($A9 &amp;"!F9")</f>
        <v>38</v>
      </c>
      <c r="F9" s="90">
        <f ca="1">INDIRECT($A9 &amp;"!F10")</f>
        <v>35</v>
      </c>
      <c r="G9" s="90">
        <f ca="1">INDIRECT($A9 &amp;"!F11")</f>
        <v>45</v>
      </c>
      <c r="H9" s="90">
        <f ca="1">INDIRECT($A9 &amp;"!F12")</f>
        <v>40</v>
      </c>
      <c r="I9" s="90"/>
      <c r="J9" s="90">
        <f ca="1">INDIRECT($A9 &amp;"!F14")</f>
        <v>31</v>
      </c>
      <c r="K9" s="90">
        <f ca="1">INDIRECT($A9 &amp;"!F15")</f>
        <v>37</v>
      </c>
      <c r="M9" s="87" t="str">
        <f t="shared" si="10"/>
        <v>Sprint_1_2</v>
      </c>
      <c r="N9" s="90">
        <f ca="1">INDIRECT($A9 &amp;"!G$6")</f>
        <v>5</v>
      </c>
      <c r="O9" s="90">
        <f ca="1">INDIRECT($A9 &amp;"!G$7")</f>
        <v>19</v>
      </c>
      <c r="P9" s="90">
        <f ca="1">INDIRECT($A9 &amp;"!G$8")</f>
        <v>4</v>
      </c>
      <c r="Q9" s="90">
        <f ca="1">INDIRECT($A9 &amp;"!G$9")</f>
        <v>5</v>
      </c>
      <c r="R9" s="90">
        <f ca="1">INDIRECT($A9 &amp;"!G$10")</f>
        <v>6</v>
      </c>
      <c r="S9" s="90">
        <f ca="1">INDIRECT($A9 &amp;"!G$11")</f>
        <v>5</v>
      </c>
      <c r="T9" s="90">
        <f ca="1">INDIRECT($A9 &amp;"!G$12")</f>
        <v>0</v>
      </c>
      <c r="U9" s="90"/>
      <c r="V9" s="90">
        <f ca="1">INDIRECT($A9 &amp;"!G$14")</f>
        <v>9</v>
      </c>
      <c r="W9" s="90">
        <f ca="1">INDIRECT($A9 &amp;"!G$15")</f>
        <v>19.5</v>
      </c>
    </row>
    <row r="10" spans="1:23">
      <c r="A10" s="87" t="s">
        <v>114</v>
      </c>
      <c r="B10" s="90">
        <f t="shared" ref="B10:B18" ca="1" si="22">INDIRECT($A10 &amp;"!F6")</f>
        <v>74</v>
      </c>
      <c r="C10" s="90">
        <f t="shared" ref="C10:C18" ca="1" si="23">INDIRECT($A10 &amp;"!F7")</f>
        <v>34</v>
      </c>
      <c r="D10" s="90">
        <f t="shared" ref="D10:D18" ca="1" si="24">INDIRECT($A10 &amp;"!F8")</f>
        <v>37</v>
      </c>
      <c r="E10" s="90">
        <f t="shared" ref="E10:E18" ca="1" si="25">INDIRECT($A10 &amp;"!F9")</f>
        <v>44</v>
      </c>
      <c r="F10" s="90">
        <f t="shared" ref="F10:F18" ca="1" si="26">INDIRECT($A10 &amp;"!F10")</f>
        <v>41</v>
      </c>
      <c r="G10" s="90">
        <f t="shared" ref="G10:G18" ca="1" si="27">INDIRECT($A10 &amp;"!F11")</f>
        <v>36</v>
      </c>
      <c r="H10" s="90">
        <f t="shared" ref="H10:H18" ca="1" si="28">INDIRECT($A10 &amp;"!F12")</f>
        <v>25</v>
      </c>
      <c r="I10" s="90"/>
      <c r="J10" s="90">
        <f t="shared" ref="J10:J18" ca="1" si="29">INDIRECT($A10 &amp;"!F14")</f>
        <v>19</v>
      </c>
      <c r="K10" s="90">
        <f t="shared" ref="K10:K18" ca="1" si="30">INDIRECT($A10 &amp;"!F15")</f>
        <v>35</v>
      </c>
      <c r="M10" s="87" t="str">
        <f t="shared" si="10"/>
        <v>Sprint_1_3</v>
      </c>
      <c r="N10" s="90">
        <f t="shared" ref="N10:N18" ca="1" si="31">INDIRECT($A10 &amp;"!G$6")</f>
        <v>10</v>
      </c>
      <c r="O10" s="90">
        <f t="shared" ref="O10:O18" ca="1" si="32">INDIRECT($A10 &amp;"!G$7")</f>
        <v>3</v>
      </c>
      <c r="P10" s="90">
        <f t="shared" ref="P10:P18" ca="1" si="33">INDIRECT($A10 &amp;"!G$8")</f>
        <v>18</v>
      </c>
      <c r="Q10" s="90">
        <f t="shared" ref="Q10:Q18" ca="1" si="34">INDIRECT($A10 &amp;"!G$9")</f>
        <v>0</v>
      </c>
      <c r="R10" s="90">
        <f t="shared" ref="R10:R18" ca="1" si="35">INDIRECT($A10 &amp;"!G$10")</f>
        <v>0</v>
      </c>
      <c r="S10" s="90">
        <f t="shared" ref="S10:S18" ca="1" si="36">INDIRECT($A10 &amp;"!G$11")</f>
        <v>13</v>
      </c>
      <c r="T10" s="90">
        <f t="shared" ref="T10:T18" ca="1" si="37">INDIRECT($A10 &amp;"!G$12")</f>
        <v>8</v>
      </c>
      <c r="U10" s="90"/>
      <c r="V10" s="90">
        <f t="shared" ref="V10:V18" ca="1" si="38">INDIRECT($A10 &amp;"!G$14")</f>
        <v>8</v>
      </c>
      <c r="W10" s="90">
        <f t="shared" ref="W10:W18" ca="1" si="39">INDIRECT($A10 &amp;"!G$15")</f>
        <v>52</v>
      </c>
    </row>
    <row r="11" spans="1:23">
      <c r="A11" s="87" t="s">
        <v>115</v>
      </c>
      <c r="B11" s="90">
        <f t="shared" ca="1" si="22"/>
        <v>58</v>
      </c>
      <c r="C11" s="90">
        <f t="shared" ca="1" si="23"/>
        <v>26</v>
      </c>
      <c r="D11" s="90">
        <f t="shared" ca="1" si="24"/>
        <v>52</v>
      </c>
      <c r="E11" s="90">
        <f t="shared" ca="1" si="25"/>
        <v>36</v>
      </c>
      <c r="F11" s="90">
        <f t="shared" ca="1" si="26"/>
        <v>36</v>
      </c>
      <c r="G11" s="90">
        <f t="shared" ca="1" si="27"/>
        <v>35</v>
      </c>
      <c r="H11" s="90">
        <f t="shared" ca="1" si="28"/>
        <v>34</v>
      </c>
      <c r="I11" s="90"/>
      <c r="J11" s="90">
        <f t="shared" ca="1" si="29"/>
        <v>32</v>
      </c>
      <c r="K11" s="90">
        <f t="shared" ca="1" si="30"/>
        <v>38</v>
      </c>
      <c r="M11" s="87" t="str">
        <f t="shared" si="10"/>
        <v>Sprint_1_4</v>
      </c>
      <c r="N11" s="90">
        <f t="shared" ca="1" si="31"/>
        <v>6</v>
      </c>
      <c r="O11" s="90">
        <f t="shared" ca="1" si="32"/>
        <v>11</v>
      </c>
      <c r="P11" s="90">
        <f t="shared" ca="1" si="33"/>
        <v>4</v>
      </c>
      <c r="Q11" s="90">
        <f t="shared" ca="1" si="34"/>
        <v>21</v>
      </c>
      <c r="R11" s="90">
        <f t="shared" ca="1" si="35"/>
        <v>6</v>
      </c>
      <c r="S11" s="90">
        <f t="shared" ca="1" si="36"/>
        <v>4</v>
      </c>
      <c r="T11" s="90">
        <f t="shared" ca="1" si="37"/>
        <v>8</v>
      </c>
      <c r="U11" s="90"/>
      <c r="V11" s="90">
        <f t="shared" ca="1" si="38"/>
        <v>8</v>
      </c>
      <c r="W11" s="90">
        <f t="shared" ca="1" si="39"/>
        <v>27.5</v>
      </c>
    </row>
    <row r="12" spans="1:23">
      <c r="A12" s="87" t="s">
        <v>116</v>
      </c>
      <c r="B12" s="90">
        <f t="shared" ca="1" si="22"/>
        <v>77</v>
      </c>
      <c r="C12" s="90">
        <f t="shared" ca="1" si="23"/>
        <v>24</v>
      </c>
      <c r="D12" s="90">
        <f t="shared" ca="1" si="24"/>
        <v>29</v>
      </c>
      <c r="E12" s="90">
        <f t="shared" ca="1" si="25"/>
        <v>50</v>
      </c>
      <c r="F12" s="90">
        <f t="shared" ca="1" si="26"/>
        <v>38</v>
      </c>
      <c r="G12" s="90">
        <f t="shared" ca="1" si="27"/>
        <v>35</v>
      </c>
      <c r="H12" s="90">
        <f t="shared" ca="1" si="28"/>
        <v>32</v>
      </c>
      <c r="I12" s="90"/>
      <c r="J12" s="90">
        <f t="shared" ca="1" si="29"/>
        <v>28</v>
      </c>
      <c r="K12" s="90">
        <f t="shared" ca="1" si="30"/>
        <v>46</v>
      </c>
      <c r="M12" s="87" t="str">
        <f t="shared" si="10"/>
        <v>Sprint_1_5</v>
      </c>
      <c r="N12" s="90">
        <f t="shared" ca="1" si="31"/>
        <v>6</v>
      </c>
      <c r="O12" s="90">
        <f t="shared" ca="1" si="32"/>
        <v>6</v>
      </c>
      <c r="P12" s="90">
        <f t="shared" ca="1" si="33"/>
        <v>7</v>
      </c>
      <c r="Q12" s="90">
        <f t="shared" ca="1" si="34"/>
        <v>3</v>
      </c>
      <c r="R12" s="90">
        <f t="shared" ca="1" si="35"/>
        <v>2</v>
      </c>
      <c r="S12" s="90">
        <f t="shared" ca="1" si="36"/>
        <v>13</v>
      </c>
      <c r="T12" s="90">
        <f t="shared" ca="1" si="37"/>
        <v>6</v>
      </c>
      <c r="U12" s="90"/>
      <c r="V12" s="90">
        <f t="shared" ca="1" si="38"/>
        <v>13</v>
      </c>
      <c r="W12" s="90">
        <f t="shared" ca="1" si="39"/>
        <v>38</v>
      </c>
    </row>
    <row r="13" spans="1:23">
      <c r="A13" s="87" t="s">
        <v>117</v>
      </c>
      <c r="B13" s="90">
        <f t="shared" ca="1" si="22"/>
        <v>66</v>
      </c>
      <c r="C13" s="90">
        <f t="shared" ca="1" si="23"/>
        <v>36</v>
      </c>
      <c r="D13" s="90">
        <f t="shared" ca="1" si="24"/>
        <v>37</v>
      </c>
      <c r="E13" s="90">
        <f t="shared" ca="1" si="25"/>
        <v>40</v>
      </c>
      <c r="F13" s="90">
        <f t="shared" ca="1" si="26"/>
        <v>46</v>
      </c>
      <c r="G13" s="90">
        <f t="shared" ca="1" si="27"/>
        <v>36</v>
      </c>
      <c r="H13" s="90">
        <f t="shared" ca="1" si="28"/>
        <v>23</v>
      </c>
      <c r="I13" s="90"/>
      <c r="J13" s="90">
        <f t="shared" ca="1" si="29"/>
        <v>37</v>
      </c>
      <c r="K13" s="90">
        <f t="shared" ca="1" si="30"/>
        <v>31</v>
      </c>
      <c r="M13" s="87" t="str">
        <f t="shared" si="10"/>
        <v>Sprint_1_6</v>
      </c>
      <c r="N13" s="90">
        <f t="shared" ca="1" si="31"/>
        <v>16</v>
      </c>
      <c r="O13" s="90">
        <f t="shared" ca="1" si="32"/>
        <v>9</v>
      </c>
      <c r="P13" s="90">
        <f t="shared" ca="1" si="33"/>
        <v>19</v>
      </c>
      <c r="Q13" s="90">
        <f t="shared" ca="1" si="34"/>
        <v>6</v>
      </c>
      <c r="R13" s="90">
        <f t="shared" ca="1" si="35"/>
        <v>6</v>
      </c>
      <c r="S13" s="90">
        <f t="shared" ca="1" si="36"/>
        <v>20</v>
      </c>
      <c r="T13" s="90">
        <f t="shared" ca="1" si="37"/>
        <v>3</v>
      </c>
      <c r="U13" s="90"/>
      <c r="V13" s="90">
        <f t="shared" ca="1" si="38"/>
        <v>5</v>
      </c>
      <c r="W13" s="90">
        <f t="shared" ca="1" si="39"/>
        <v>28.5</v>
      </c>
    </row>
    <row r="14" spans="1:23">
      <c r="A14" s="87" t="s">
        <v>118</v>
      </c>
      <c r="B14" s="90">
        <f t="shared" ca="1" si="22"/>
        <v>38</v>
      </c>
      <c r="C14" s="90">
        <f t="shared" ca="1" si="23"/>
        <v>15</v>
      </c>
      <c r="D14" s="90">
        <f t="shared" ca="1" si="24"/>
        <v>39</v>
      </c>
      <c r="E14" s="90">
        <f t="shared" ca="1" si="25"/>
        <v>47</v>
      </c>
      <c r="F14" s="90">
        <f t="shared" ca="1" si="26"/>
        <v>26</v>
      </c>
      <c r="G14" s="90">
        <f t="shared" ca="1" si="27"/>
        <v>33</v>
      </c>
      <c r="H14" s="90">
        <f t="shared" ca="1" si="28"/>
        <v>26</v>
      </c>
      <c r="I14" s="90"/>
      <c r="J14" s="90">
        <f t="shared" ca="1" si="29"/>
        <v>47</v>
      </c>
      <c r="K14" s="90">
        <f t="shared" ca="1" si="30"/>
        <v>48</v>
      </c>
      <c r="M14" s="87" t="str">
        <f t="shared" ref="M14:M19" si="40">A14</f>
        <v>Sprint_2_1</v>
      </c>
      <c r="N14" s="90">
        <f t="shared" ca="1" si="31"/>
        <v>14</v>
      </c>
      <c r="O14" s="90">
        <f t="shared" ca="1" si="32"/>
        <v>5</v>
      </c>
      <c r="P14" s="90">
        <f t="shared" ca="1" si="33"/>
        <v>8</v>
      </c>
      <c r="Q14" s="90">
        <f t="shared" ca="1" si="34"/>
        <v>15</v>
      </c>
      <c r="R14" s="90">
        <f t="shared" ca="1" si="35"/>
        <v>8</v>
      </c>
      <c r="S14" s="90">
        <f t="shared" ca="1" si="36"/>
        <v>7</v>
      </c>
      <c r="T14" s="90">
        <f t="shared" ca="1" si="37"/>
        <v>7</v>
      </c>
      <c r="U14" s="90"/>
      <c r="V14" s="90">
        <f t="shared" ca="1" si="38"/>
        <v>0</v>
      </c>
      <c r="W14" s="90">
        <f t="shared" ca="1" si="39"/>
        <v>15</v>
      </c>
    </row>
    <row r="15" spans="1:23">
      <c r="A15" s="87" t="s">
        <v>119</v>
      </c>
      <c r="B15" s="90">
        <f t="shared" ca="1" si="22"/>
        <v>41</v>
      </c>
      <c r="C15" s="90">
        <f t="shared" ca="1" si="23"/>
        <v>13</v>
      </c>
      <c r="D15" s="90">
        <f t="shared" ca="1" si="24"/>
        <v>46</v>
      </c>
      <c r="E15" s="90">
        <f t="shared" ca="1" si="25"/>
        <v>39</v>
      </c>
      <c r="F15" s="90">
        <f t="shared" ca="1" si="26"/>
        <v>36</v>
      </c>
      <c r="G15" s="90">
        <f t="shared" ca="1" si="27"/>
        <v>36</v>
      </c>
      <c r="H15" s="90">
        <f t="shared" ca="1" si="28"/>
        <v>21</v>
      </c>
      <c r="I15" s="90"/>
      <c r="J15" s="90">
        <f t="shared" ca="1" si="29"/>
        <v>50</v>
      </c>
      <c r="K15" s="90">
        <f t="shared" ca="1" si="30"/>
        <v>60</v>
      </c>
      <c r="M15" s="87" t="str">
        <f t="shared" ref="M15" si="41">A15</f>
        <v>Sprint_2_2</v>
      </c>
      <c r="N15" s="90">
        <f t="shared" ca="1" si="31"/>
        <v>2</v>
      </c>
      <c r="O15" s="90">
        <f t="shared" ca="1" si="32"/>
        <v>13</v>
      </c>
      <c r="P15" s="90">
        <f t="shared" ca="1" si="33"/>
        <v>11</v>
      </c>
      <c r="Q15" s="90">
        <f t="shared" ca="1" si="34"/>
        <v>9</v>
      </c>
      <c r="R15" s="90">
        <f t="shared" ca="1" si="35"/>
        <v>1</v>
      </c>
      <c r="S15" s="90">
        <f t="shared" ca="1" si="36"/>
        <v>8</v>
      </c>
      <c r="T15" s="90">
        <f t="shared" ca="1" si="37"/>
        <v>2</v>
      </c>
      <c r="U15" s="90"/>
      <c r="V15" s="90">
        <f t="shared" ca="1" si="38"/>
        <v>9</v>
      </c>
      <c r="W15" s="90">
        <f t="shared" ca="1" si="39"/>
        <v>16</v>
      </c>
    </row>
    <row r="16" spans="1:23">
      <c r="A16" s="87" t="s">
        <v>120</v>
      </c>
      <c r="B16" s="90">
        <f t="shared" ca="1" si="22"/>
        <v>96</v>
      </c>
      <c r="C16" s="90">
        <f t="shared" ca="1" si="23"/>
        <v>21</v>
      </c>
      <c r="D16" s="90">
        <f t="shared" ca="1" si="24"/>
        <v>36</v>
      </c>
      <c r="E16" s="90">
        <f t="shared" ca="1" si="25"/>
        <v>22</v>
      </c>
      <c r="F16" s="90">
        <f t="shared" ca="1" si="26"/>
        <v>38</v>
      </c>
      <c r="G16" s="90">
        <f t="shared" ca="1" si="27"/>
        <v>33</v>
      </c>
      <c r="H16" s="90">
        <f t="shared" ca="1" si="28"/>
        <v>45</v>
      </c>
      <c r="I16" s="90"/>
      <c r="J16" s="90">
        <f t="shared" ca="1" si="29"/>
        <v>98</v>
      </c>
      <c r="K16" s="90">
        <f t="shared" ca="1" si="30"/>
        <v>58</v>
      </c>
      <c r="M16" s="87" t="str">
        <f t="shared" ref="M16" si="42">A16</f>
        <v>Sprint_2_3u4</v>
      </c>
      <c r="N16" s="90">
        <f t="shared" ca="1" si="31"/>
        <v>10</v>
      </c>
      <c r="O16" s="90">
        <f t="shared" ca="1" si="32"/>
        <v>10</v>
      </c>
      <c r="P16" s="90">
        <f t="shared" ca="1" si="33"/>
        <v>42</v>
      </c>
      <c r="Q16" s="90">
        <f t="shared" ca="1" si="34"/>
        <v>91</v>
      </c>
      <c r="R16" s="90">
        <f t="shared" ca="1" si="35"/>
        <v>20</v>
      </c>
      <c r="S16" s="90">
        <f t="shared" ca="1" si="36"/>
        <v>42</v>
      </c>
      <c r="T16" s="90">
        <f t="shared" ca="1" si="37"/>
        <v>0</v>
      </c>
      <c r="U16" s="90"/>
      <c r="V16" s="90">
        <f t="shared" ca="1" si="38"/>
        <v>0</v>
      </c>
      <c r="W16" s="90">
        <f t="shared" ca="1" si="39"/>
        <v>45</v>
      </c>
    </row>
    <row r="17" spans="1:47">
      <c r="A17" s="87" t="s">
        <v>121</v>
      </c>
      <c r="B17" s="90">
        <f t="shared" ca="1" si="22"/>
        <v>104</v>
      </c>
      <c r="C17" s="90">
        <f t="shared" ca="1" si="23"/>
        <v>20</v>
      </c>
      <c r="D17" s="90">
        <f t="shared" ca="1" si="24"/>
        <v>68</v>
      </c>
      <c r="E17" s="90">
        <f t="shared" ca="1" si="25"/>
        <v>52</v>
      </c>
      <c r="F17" s="90">
        <f t="shared" ca="1" si="26"/>
        <v>52</v>
      </c>
      <c r="G17" s="90">
        <f t="shared" ca="1" si="27"/>
        <v>59</v>
      </c>
      <c r="H17" s="90">
        <f t="shared" ca="1" si="28"/>
        <v>43</v>
      </c>
      <c r="I17" s="90"/>
      <c r="J17" s="90">
        <f t="shared" ca="1" si="29"/>
        <v>81</v>
      </c>
      <c r="K17" s="90">
        <f t="shared" ca="1" si="30"/>
        <v>77</v>
      </c>
      <c r="M17" s="87" t="str">
        <f t="shared" ref="M17" si="43">A17</f>
        <v>Sprint_2_5u6</v>
      </c>
      <c r="N17" s="90">
        <f t="shared" ca="1" si="31"/>
        <v>20</v>
      </c>
      <c r="O17" s="90">
        <f t="shared" ca="1" si="32"/>
        <v>10</v>
      </c>
      <c r="P17" s="90">
        <f t="shared" ca="1" si="33"/>
        <v>56</v>
      </c>
      <c r="Q17" s="90">
        <f t="shared" ca="1" si="34"/>
        <v>24</v>
      </c>
      <c r="R17" s="90">
        <f t="shared" ca="1" si="35"/>
        <v>19</v>
      </c>
      <c r="S17" s="90">
        <f t="shared" ca="1" si="36"/>
        <v>28</v>
      </c>
      <c r="T17" s="90">
        <f t="shared" ca="1" si="37"/>
        <v>19</v>
      </c>
      <c r="U17" s="90"/>
      <c r="V17" s="90">
        <f t="shared" ca="1" si="38"/>
        <v>91</v>
      </c>
      <c r="W17" s="90">
        <f t="shared" ca="1" si="39"/>
        <v>33</v>
      </c>
    </row>
    <row r="18" spans="1:47">
      <c r="A18" s="87" t="s">
        <v>122</v>
      </c>
      <c r="B18" s="90">
        <f t="shared" ca="1" si="22"/>
        <v>0</v>
      </c>
      <c r="C18" s="90">
        <f t="shared" ca="1" si="23"/>
        <v>44</v>
      </c>
      <c r="D18" s="90">
        <f t="shared" ca="1" si="24"/>
        <v>78</v>
      </c>
      <c r="E18" s="90">
        <f t="shared" ca="1" si="25"/>
        <v>0</v>
      </c>
      <c r="F18" s="90">
        <f t="shared" ca="1" si="26"/>
        <v>47</v>
      </c>
      <c r="G18" s="90">
        <f t="shared" ca="1" si="27"/>
        <v>0</v>
      </c>
      <c r="H18" s="90">
        <f t="shared" ca="1" si="28"/>
        <v>72</v>
      </c>
      <c r="I18" s="90"/>
      <c r="J18" s="90">
        <f t="shared" ca="1" si="29"/>
        <v>0</v>
      </c>
      <c r="K18" s="90">
        <f t="shared" ca="1" si="30"/>
        <v>0</v>
      </c>
      <c r="M18" s="87" t="str">
        <f t="shared" ref="M18" si="44">A18</f>
        <v>Sprint_3_1u2</v>
      </c>
      <c r="N18" s="90">
        <f t="shared" ca="1" si="31"/>
        <v>0</v>
      </c>
      <c r="O18" s="90">
        <f t="shared" ca="1" si="32"/>
        <v>11</v>
      </c>
      <c r="P18" s="90">
        <f t="shared" ca="1" si="33"/>
        <v>73</v>
      </c>
      <c r="Q18" s="90">
        <f t="shared" ca="1" si="34"/>
        <v>0</v>
      </c>
      <c r="R18" s="90">
        <f t="shared" ca="1" si="35"/>
        <v>33</v>
      </c>
      <c r="S18" s="90">
        <f t="shared" ca="1" si="36"/>
        <v>0</v>
      </c>
      <c r="T18" s="90">
        <f t="shared" ca="1" si="37"/>
        <v>0</v>
      </c>
      <c r="U18" s="90"/>
      <c r="V18" s="90">
        <f t="shared" ca="1" si="38"/>
        <v>0</v>
      </c>
      <c r="W18" s="90">
        <f t="shared" ca="1" si="39"/>
        <v>0</v>
      </c>
    </row>
    <row r="19" spans="1:47">
      <c r="A19" s="87" t="s">
        <v>123</v>
      </c>
      <c r="B19" s="90"/>
      <c r="C19" s="90"/>
      <c r="D19" s="90"/>
      <c r="E19" s="90"/>
      <c r="F19" s="90"/>
      <c r="G19" s="90"/>
      <c r="H19" s="90"/>
      <c r="I19" s="90"/>
      <c r="J19" s="90"/>
      <c r="K19" s="90"/>
      <c r="M19" s="87" t="str">
        <f t="shared" si="40"/>
        <v>Sprint_3_3u4</v>
      </c>
      <c r="N19" s="90"/>
      <c r="O19" s="90"/>
      <c r="P19" s="90"/>
      <c r="Q19" s="90"/>
      <c r="R19" s="90"/>
      <c r="S19" s="90"/>
      <c r="T19" s="90"/>
      <c r="U19" s="90"/>
      <c r="V19" s="90"/>
      <c r="W19" s="90"/>
    </row>
    <row r="20" spans="1:47">
      <c r="A20" s="87" t="s">
        <v>124</v>
      </c>
      <c r="B20" s="90"/>
      <c r="C20" s="90"/>
      <c r="D20" s="90"/>
      <c r="E20" s="90"/>
      <c r="F20" s="90"/>
      <c r="G20" s="90"/>
      <c r="H20" s="90"/>
      <c r="I20" s="90"/>
      <c r="J20" s="90"/>
      <c r="K20" s="90"/>
      <c r="M20" s="87" t="str">
        <f t="shared" ref="M20" si="45">A20</f>
        <v>Sprint_3_5u6</v>
      </c>
      <c r="N20" s="90"/>
      <c r="O20" s="90"/>
      <c r="P20" s="90"/>
      <c r="Q20" s="90"/>
      <c r="R20" s="90"/>
      <c r="S20" s="90"/>
      <c r="T20" s="90"/>
      <c r="U20" s="90"/>
      <c r="V20" s="90"/>
      <c r="W20" s="90"/>
    </row>
    <row r="21" spans="1:47">
      <c r="B21" s="91"/>
      <c r="C21" s="91"/>
      <c r="D21" s="91"/>
      <c r="E21" s="91"/>
      <c r="F21" s="91"/>
      <c r="G21" s="91"/>
      <c r="H21" s="91"/>
      <c r="I21" s="91"/>
      <c r="J21" s="91"/>
    </row>
    <row r="22" spans="1:47">
      <c r="B22" s="409" t="s">
        <v>125</v>
      </c>
      <c r="C22" s="409"/>
      <c r="D22" s="409"/>
      <c r="E22" s="409"/>
      <c r="F22" s="409"/>
      <c r="G22" s="409"/>
      <c r="H22" s="409"/>
      <c r="I22" s="409"/>
      <c r="J22" s="409"/>
      <c r="K22" s="409"/>
      <c r="N22" s="409" t="s">
        <v>126</v>
      </c>
      <c r="O22" s="409"/>
      <c r="P22" s="409"/>
      <c r="Q22" s="409"/>
      <c r="R22" s="409"/>
      <c r="S22" s="409"/>
      <c r="T22" s="409"/>
      <c r="U22" s="409"/>
      <c r="V22" s="409"/>
      <c r="W22" s="409"/>
      <c r="Z22" s="409" t="s">
        <v>127</v>
      </c>
      <c r="AA22" s="409"/>
      <c r="AB22" s="409"/>
      <c r="AC22" s="409"/>
      <c r="AD22" s="409"/>
      <c r="AE22" s="409"/>
      <c r="AF22" s="409"/>
      <c r="AG22" s="409"/>
      <c r="AH22" s="409"/>
      <c r="AI22" s="409"/>
      <c r="AK22" s="87"/>
      <c r="AL22" s="409" t="s">
        <v>128</v>
      </c>
      <c r="AM22" s="409"/>
      <c r="AN22" s="409"/>
      <c r="AO22" s="409"/>
      <c r="AP22" s="409"/>
      <c r="AQ22" s="409"/>
      <c r="AR22" s="409"/>
      <c r="AS22" s="409"/>
      <c r="AT22" s="409"/>
      <c r="AU22" s="409"/>
    </row>
    <row r="23" spans="1:47">
      <c r="B23" s="90" t="str">
        <f>B3</f>
        <v>Engineering</v>
      </c>
      <c r="C23" s="90" t="str">
        <f t="shared" ref="C23:K23" si="46">C3</f>
        <v>Payment</v>
      </c>
      <c r="D23" s="90" t="str">
        <f t="shared" si="46"/>
        <v>Sales</v>
      </c>
      <c r="E23" s="90" t="str">
        <f t="shared" si="46"/>
        <v>Vlinder</v>
      </c>
      <c r="F23" s="90" t="str">
        <f t="shared" si="46"/>
        <v>TTT</v>
      </c>
      <c r="G23" s="90" t="str">
        <f t="shared" si="46"/>
        <v>TNT</v>
      </c>
      <c r="H23" s="90" t="str">
        <f t="shared" si="46"/>
        <v>TFS</v>
      </c>
      <c r="I23" s="90" t="str">
        <f t="shared" si="46"/>
        <v>0-Noise</v>
      </c>
      <c r="J23" s="90" t="str">
        <f t="shared" si="46"/>
        <v>Synergy</v>
      </c>
      <c r="K23" s="90" t="str">
        <f t="shared" si="46"/>
        <v>Papillon</v>
      </c>
      <c r="N23" s="90" t="str">
        <f>B23</f>
        <v>Engineering</v>
      </c>
      <c r="O23" s="90" t="str">
        <f t="shared" ref="O23" si="47">C23</f>
        <v>Payment</v>
      </c>
      <c r="P23" s="90" t="str">
        <f t="shared" ref="P23" si="48">D23</f>
        <v>Sales</v>
      </c>
      <c r="Q23" s="90" t="str">
        <f t="shared" ref="Q23" si="49">E23</f>
        <v>Vlinder</v>
      </c>
      <c r="R23" s="90" t="str">
        <f t="shared" ref="R23" si="50">F23</f>
        <v>TTT</v>
      </c>
      <c r="S23" s="90" t="str">
        <f t="shared" ref="S23" si="51">G23</f>
        <v>TNT</v>
      </c>
      <c r="T23" s="90" t="str">
        <f t="shared" ref="T23" si="52">H23</f>
        <v>TFS</v>
      </c>
      <c r="U23" s="90" t="str">
        <f t="shared" ref="U23" si="53">I23</f>
        <v>0-Noise</v>
      </c>
      <c r="V23" s="90" t="str">
        <f t="shared" ref="V23" si="54">J23</f>
        <v>Synergy</v>
      </c>
      <c r="W23" s="90" t="str">
        <f t="shared" ref="W23" si="55">K23</f>
        <v>Papillon</v>
      </c>
      <c r="Z23" s="90" t="str">
        <f>N23</f>
        <v>Engineering</v>
      </c>
      <c r="AA23" s="90" t="str">
        <f t="shared" ref="AA23" si="56">O23</f>
        <v>Payment</v>
      </c>
      <c r="AB23" s="90" t="str">
        <f t="shared" ref="AB23" si="57">P23</f>
        <v>Sales</v>
      </c>
      <c r="AC23" s="90" t="str">
        <f t="shared" ref="AC23" si="58">Q23</f>
        <v>Vlinder</v>
      </c>
      <c r="AD23" s="90" t="str">
        <f t="shared" ref="AD23" si="59">R23</f>
        <v>TTT</v>
      </c>
      <c r="AE23" s="90" t="str">
        <f t="shared" ref="AE23" si="60">S23</f>
        <v>TNT</v>
      </c>
      <c r="AF23" s="90" t="str">
        <f t="shared" ref="AF23" si="61">T23</f>
        <v>TFS</v>
      </c>
      <c r="AG23" s="90" t="str">
        <f t="shared" ref="AG23" si="62">U23</f>
        <v>0-Noise</v>
      </c>
      <c r="AH23" s="90" t="str">
        <f t="shared" ref="AH23" si="63">V23</f>
        <v>Synergy</v>
      </c>
      <c r="AI23" s="90" t="str">
        <f t="shared" ref="AI23" si="64">W23</f>
        <v>Papillon</v>
      </c>
      <c r="AK23" s="87"/>
      <c r="AL23" s="90" t="str">
        <f>Z23</f>
        <v>Engineering</v>
      </c>
      <c r="AM23" s="90" t="str">
        <f t="shared" ref="AM23" si="65">AA23</f>
        <v>Payment</v>
      </c>
      <c r="AN23" s="90" t="str">
        <f t="shared" ref="AN23" si="66">AB23</f>
        <v>Sales</v>
      </c>
      <c r="AO23" s="90" t="str">
        <f t="shared" ref="AO23" si="67">AC23</f>
        <v>Vlinder</v>
      </c>
      <c r="AP23" s="90" t="str">
        <f t="shared" ref="AP23" si="68">AD23</f>
        <v>TTT</v>
      </c>
      <c r="AQ23" s="90" t="str">
        <f t="shared" ref="AQ23" si="69">AE23</f>
        <v>TNT</v>
      </c>
      <c r="AR23" s="90" t="str">
        <f t="shared" ref="AR23" si="70">AF23</f>
        <v>TFS</v>
      </c>
      <c r="AS23" s="90" t="str">
        <f t="shared" ref="AS23" si="71">AG23</f>
        <v>0-Noise</v>
      </c>
      <c r="AT23" s="90" t="str">
        <f t="shared" ref="AT23" si="72">AH23</f>
        <v>Synergy</v>
      </c>
      <c r="AU23" s="90" t="str">
        <f t="shared" ref="AU23" si="73">AI23</f>
        <v>Papillon</v>
      </c>
    </row>
    <row r="24" spans="1:47">
      <c r="A24" s="87" t="str">
        <f t="shared" ref="A24:A40" si="74">A4</f>
        <v>Sprint_4_4</v>
      </c>
      <c r="B24" s="90">
        <f t="shared" ref="B24:B28" ca="1" si="75">INDIRECT($A24 &amp;"!G$6")</f>
        <v>70</v>
      </c>
      <c r="C24" s="90">
        <f t="shared" ref="C24:C28" ca="1" si="76">INDIRECT($A24 &amp;"!G$7")</f>
        <v>5</v>
      </c>
      <c r="D24" s="90">
        <f t="shared" ref="D24:D28" ca="1" si="77">INDIRECT($A24 &amp;"!G$8")</f>
        <v>23</v>
      </c>
      <c r="E24" s="90">
        <f t="shared" ref="E24:E28" ca="1" si="78">INDIRECT($A24 &amp;"!G$9")</f>
        <v>33</v>
      </c>
      <c r="F24" s="90">
        <f t="shared" ref="F24:F28" ca="1" si="79">INDIRECT($A24 &amp;"!G$10")</f>
        <v>29</v>
      </c>
      <c r="G24" s="90">
        <f t="shared" ref="G24:G28" ca="1" si="80">INDIRECT($A24 &amp;"!G$11")</f>
        <v>41</v>
      </c>
      <c r="H24" s="90">
        <f t="shared" ref="H24:H28" ca="1" si="81">INDIRECT($A24 &amp;"!G$12")</f>
        <v>16</v>
      </c>
      <c r="I24" s="90">
        <f t="shared" ref="I24:I27" ca="1" si="82">INDIRECT($A24 &amp;"!G$13")</f>
        <v>17</v>
      </c>
      <c r="J24" s="90"/>
      <c r="K24" s="90">
        <f t="shared" ref="K24:K28" ca="1" si="83">INDIRECT($A24 &amp;"!G$15")</f>
        <v>13</v>
      </c>
      <c r="M24" s="87" t="str">
        <f t="shared" ref="M24:M33" si="84">A24</f>
        <v>Sprint_4_4</v>
      </c>
      <c r="N24" s="90">
        <f ca="1">INDIRECT($A4 &amp;"!I$6")</f>
        <v>2</v>
      </c>
      <c r="O24" s="90">
        <f ca="1">INDIRECT($A4 &amp;"!I$7")</f>
        <v>3</v>
      </c>
      <c r="P24" s="90">
        <f ca="1">INDIRECT($A4 &amp;"!I$8")</f>
        <v>0</v>
      </c>
      <c r="Q24" s="90">
        <f ca="1">INDIRECT($A4 &amp;"!I$9")</f>
        <v>0</v>
      </c>
      <c r="R24" s="90">
        <f ca="1">INDIRECT($A4 &amp;"!I$10")</f>
        <v>0</v>
      </c>
      <c r="S24" s="90">
        <f ca="1">INDIRECT($A4 &amp;"!I$11")</f>
        <v>0</v>
      </c>
      <c r="T24" s="90">
        <f ca="1">INDIRECT($A4 &amp;"!I$12")</f>
        <v>0</v>
      </c>
      <c r="U24" s="90">
        <f ca="1">INDIRECT($A4 &amp;"!I$13")</f>
        <v>0</v>
      </c>
      <c r="V24" s="90"/>
      <c r="W24" s="90">
        <f ca="1">INDIRECT($A4 &amp;"!I$15")</f>
        <v>0</v>
      </c>
      <c r="Y24" s="87" t="str">
        <f t="shared" ref="Y24:Y39" si="85">M24</f>
        <v>Sprint_4_4</v>
      </c>
      <c r="Z24" s="90">
        <f ca="1">INDIRECT($A4 &amp;"!H$6")</f>
        <v>13</v>
      </c>
      <c r="AA24" s="90">
        <f ca="1">INDIRECT($A4 &amp;"!H$7")</f>
        <v>14</v>
      </c>
      <c r="AB24" s="90">
        <f ca="1">INDIRECT($A4 &amp;"!H$8")</f>
        <v>38</v>
      </c>
      <c r="AC24" s="90">
        <f ca="1">INDIRECT($A4 &amp;"!H$9")</f>
        <v>27</v>
      </c>
      <c r="AD24" s="90">
        <f ca="1">INDIRECT($A4 &amp;"!H$10")</f>
        <v>33</v>
      </c>
      <c r="AE24" s="90">
        <f ca="1">INDIRECT($A4 &amp;"!H$11")</f>
        <v>19</v>
      </c>
      <c r="AF24" s="90">
        <f ca="1">INDIRECT($A4 &amp;"!H$12")</f>
        <v>31</v>
      </c>
      <c r="AG24" s="90">
        <f ca="1">INDIRECT($A4 &amp;"!H$13")</f>
        <v>26</v>
      </c>
      <c r="AH24" s="90"/>
      <c r="AI24" s="90">
        <f ca="1">INDIRECT($A4 &amp;"!H$15")</f>
        <v>10</v>
      </c>
      <c r="AK24" s="87" t="str">
        <f t="shared" ref="AK24:AK40" si="86">Y24</f>
        <v>Sprint_4_4</v>
      </c>
      <c r="AL24" s="90">
        <f t="shared" ref="AL24:AL27" ca="1" si="87">INDIRECT($A4 &amp;"!z$6")</f>
        <v>18</v>
      </c>
      <c r="AM24" s="90">
        <f t="shared" ref="AM24:AM27" ca="1" si="88">INDIRECT($A4 &amp;"!z$7")</f>
        <v>4</v>
      </c>
      <c r="AN24" s="90">
        <f t="shared" ref="AN24:AN27" ca="1" si="89">INDIRECT($A4 &amp;"!z$8")</f>
        <v>5</v>
      </c>
      <c r="AO24" s="90">
        <f t="shared" ref="AO24:AO27" ca="1" si="90">INDIRECT($A4 &amp;"!z$9")</f>
        <v>7</v>
      </c>
      <c r="AP24" s="90">
        <f t="shared" ref="AP24:AP27" ca="1" si="91">INDIRECT($A4 &amp;"!z$10")</f>
        <v>9</v>
      </c>
      <c r="AQ24" s="90">
        <f t="shared" ref="AQ24:AQ27" ca="1" si="92">INDIRECT($A4 &amp;"!z$11")</f>
        <v>16</v>
      </c>
      <c r="AR24" s="90">
        <f t="shared" ref="AR24:AR27" ca="1" si="93">INDIRECT($A4 &amp;"!z$12")</f>
        <v>5</v>
      </c>
      <c r="AS24" s="90"/>
      <c r="AT24" s="90">
        <f t="shared" ref="AT24:AT27" ca="1" si="94">INDIRECT($A4 &amp;"!z$14")</f>
        <v>0</v>
      </c>
      <c r="AU24" s="90">
        <f t="shared" ref="AU24:AU27" ca="1" si="95">INDIRECT($A4 &amp;"!z$15")</f>
        <v>5</v>
      </c>
    </row>
    <row r="25" spans="1:47">
      <c r="A25" s="87" t="str">
        <f t="shared" si="74"/>
        <v>Sprint_4_5</v>
      </c>
      <c r="B25" s="90">
        <f t="shared" ca="1" si="75"/>
        <v>59</v>
      </c>
      <c r="C25" s="90">
        <f t="shared" ca="1" si="76"/>
        <v>12</v>
      </c>
      <c r="D25" s="90">
        <f t="shared" ca="1" si="77"/>
        <v>50</v>
      </c>
      <c r="E25" s="90">
        <f t="shared" ca="1" si="78"/>
        <v>40</v>
      </c>
      <c r="F25" s="90">
        <f t="shared" ca="1" si="79"/>
        <v>36</v>
      </c>
      <c r="G25" s="90">
        <f t="shared" ca="1" si="80"/>
        <v>35</v>
      </c>
      <c r="H25" s="90">
        <f t="shared" ca="1" si="81"/>
        <v>30</v>
      </c>
      <c r="I25" s="90">
        <f t="shared" ca="1" si="82"/>
        <v>16</v>
      </c>
      <c r="J25" s="90">
        <f t="shared" ref="J25:J28" ca="1" si="96">INDIRECT($A25 &amp;"!G$14")</f>
        <v>23</v>
      </c>
      <c r="K25" s="90">
        <f t="shared" ca="1" si="83"/>
        <v>17</v>
      </c>
      <c r="M25" s="87" t="str">
        <f t="shared" si="84"/>
        <v>Sprint_4_5</v>
      </c>
      <c r="N25" s="90">
        <f ca="1">INDIRECT($A5 &amp;"!I$6")</f>
        <v>0</v>
      </c>
      <c r="O25" s="90">
        <f ca="1">INDIRECT($A5 &amp;"!I$7")</f>
        <v>0</v>
      </c>
      <c r="P25" s="90">
        <f ca="1">INDIRECT($A5 &amp;"!I$8")</f>
        <v>0</v>
      </c>
      <c r="Q25" s="90">
        <f ca="1">INDIRECT($A5 &amp;"!I$9")</f>
        <v>0</v>
      </c>
      <c r="R25" s="90">
        <f ca="1">INDIRECT($A5 &amp;"!I$10")</f>
        <v>3</v>
      </c>
      <c r="S25" s="90">
        <f ca="1">INDIRECT($A5 &amp;"!I$11")</f>
        <v>3</v>
      </c>
      <c r="T25" s="90">
        <f ca="1">INDIRECT($A5 &amp;"!I$12")</f>
        <v>0</v>
      </c>
      <c r="U25" s="90">
        <f ca="1">INDIRECT($A5 &amp;"!I$13")</f>
        <v>0</v>
      </c>
      <c r="V25" s="90">
        <f ca="1">INDIRECT($A5 &amp;"!I$14")</f>
        <v>0</v>
      </c>
      <c r="W25" s="90">
        <f ca="1">INDIRECT($A5 &amp;"!I$15")</f>
        <v>0</v>
      </c>
      <c r="Y25" s="87" t="str">
        <f t="shared" si="85"/>
        <v>Sprint_4_5</v>
      </c>
      <c r="Z25" s="90">
        <f ca="1">INDIRECT($A5 &amp;"!H$6")</f>
        <v>4</v>
      </c>
      <c r="AA25" s="90">
        <f ca="1">INDIRECT($A5 &amp;"!H$7")</f>
        <v>12</v>
      </c>
      <c r="AB25" s="90">
        <f ca="1">INDIRECT($A5 &amp;"!H$8")</f>
        <v>8</v>
      </c>
      <c r="AC25" s="90">
        <f ca="1">INDIRECT($A5 &amp;"!H$9")</f>
        <v>11</v>
      </c>
      <c r="AD25" s="90">
        <f ca="1">INDIRECT($A5 &amp;"!H$10")</f>
        <v>40</v>
      </c>
      <c r="AE25" s="90">
        <f ca="1">INDIRECT($A5 &amp;"!H$11")</f>
        <v>13</v>
      </c>
      <c r="AF25" s="90">
        <f ca="1">INDIRECT($A5 &amp;"!H$12")</f>
        <v>24</v>
      </c>
      <c r="AG25" s="90">
        <f ca="1">INDIRECT($A5 &amp;"!H$13")</f>
        <v>26</v>
      </c>
      <c r="AH25" s="90">
        <f ca="1">INDIRECT($A5 &amp;"!H$14")</f>
        <v>12</v>
      </c>
      <c r="AI25" s="90">
        <f ca="1">INDIRECT($A5 &amp;"!H$15")</f>
        <v>10</v>
      </c>
      <c r="AK25" s="87" t="str">
        <f t="shared" si="86"/>
        <v>Sprint_4_5</v>
      </c>
      <c r="AL25" s="90">
        <f t="shared" ca="1" si="87"/>
        <v>21</v>
      </c>
      <c r="AM25" s="90">
        <f t="shared" ca="1" si="88"/>
        <v>4</v>
      </c>
      <c r="AN25" s="90">
        <f t="shared" ca="1" si="89"/>
        <v>11</v>
      </c>
      <c r="AO25" s="90">
        <f t="shared" ca="1" si="90"/>
        <v>9</v>
      </c>
      <c r="AP25" s="90">
        <f t="shared" ca="1" si="91"/>
        <v>11</v>
      </c>
      <c r="AQ25" s="90">
        <f t="shared" ca="1" si="92"/>
        <v>12</v>
      </c>
      <c r="AR25" s="90">
        <f t="shared" ca="1" si="93"/>
        <v>9</v>
      </c>
      <c r="AS25" s="90"/>
      <c r="AT25" s="90">
        <f t="shared" ca="1" si="94"/>
        <v>9</v>
      </c>
      <c r="AU25" s="90">
        <f t="shared" ca="1" si="95"/>
        <v>7</v>
      </c>
    </row>
    <row r="26" spans="1:47">
      <c r="A26" s="87" t="str">
        <f t="shared" si="74"/>
        <v>Sprint_4_6</v>
      </c>
      <c r="B26" s="90">
        <f t="shared" ca="1" si="75"/>
        <v>37</v>
      </c>
      <c r="C26" s="90">
        <f t="shared" ca="1" si="76"/>
        <v>20</v>
      </c>
      <c r="D26" s="90">
        <f t="shared" ca="1" si="77"/>
        <v>33</v>
      </c>
      <c r="E26" s="90">
        <f t="shared" ca="1" si="78"/>
        <v>18</v>
      </c>
      <c r="F26" s="90">
        <f t="shared" ca="1" si="79"/>
        <v>51</v>
      </c>
      <c r="G26" s="90">
        <f t="shared" ca="1" si="80"/>
        <v>38</v>
      </c>
      <c r="H26" s="90">
        <f t="shared" ca="1" si="81"/>
        <v>30</v>
      </c>
      <c r="I26" s="90">
        <f t="shared" ca="1" si="82"/>
        <v>32</v>
      </c>
      <c r="J26" s="90">
        <f t="shared" ca="1" si="96"/>
        <v>30</v>
      </c>
      <c r="K26" s="90">
        <f t="shared" ca="1" si="83"/>
        <v>37</v>
      </c>
      <c r="M26" s="87" t="str">
        <f t="shared" si="84"/>
        <v>Sprint_4_6</v>
      </c>
      <c r="N26" s="90">
        <f ca="1">INDIRECT($A6 &amp;"!I$6")</f>
        <v>0</v>
      </c>
      <c r="O26" s="90">
        <f ca="1">INDIRECT($A6 &amp;"!I$7")</f>
        <v>0</v>
      </c>
      <c r="P26" s="90">
        <f ca="1">INDIRECT($A6 &amp;"!I$8")</f>
        <v>0</v>
      </c>
      <c r="Q26" s="90">
        <f ca="1">INDIRECT($A6 &amp;"!I$9")</f>
        <v>0</v>
      </c>
      <c r="R26" s="90">
        <f ca="1">INDIRECT($A6 &amp;"!I$10")</f>
        <v>0</v>
      </c>
      <c r="S26" s="90">
        <f ca="1">INDIRECT($A6 &amp;"!I$11")</f>
        <v>0</v>
      </c>
      <c r="T26" s="90">
        <f ca="1">INDIRECT($A6 &amp;"!I$12")</f>
        <v>0</v>
      </c>
      <c r="U26" s="90">
        <f ca="1">INDIRECT($A6 &amp;"!I$13")</f>
        <v>0</v>
      </c>
      <c r="V26" s="90">
        <f ca="1">INDIRECT($A6 &amp;"!I$14")</f>
        <v>0</v>
      </c>
      <c r="W26" s="90">
        <f ca="1">INDIRECT($A6 &amp;"!I$15")</f>
        <v>1</v>
      </c>
      <c r="Y26" s="87" t="str">
        <f t="shared" si="85"/>
        <v>Sprint_4_6</v>
      </c>
      <c r="Z26" s="90">
        <f ca="1">INDIRECT($A6 &amp;"!H$6")</f>
        <v>28</v>
      </c>
      <c r="AA26" s="90">
        <f ca="1">INDIRECT($A6 &amp;"!H$7")</f>
        <v>0</v>
      </c>
      <c r="AB26" s="90">
        <f ca="1">INDIRECT($A6 &amp;"!H$8")</f>
        <v>8</v>
      </c>
      <c r="AC26" s="90">
        <f ca="1">INDIRECT($A6 &amp;"!H$9")</f>
        <v>25</v>
      </c>
      <c r="AD26" s="90">
        <f ca="1">INDIRECT($A6 &amp;"!H$10")</f>
        <v>26</v>
      </c>
      <c r="AE26" s="90">
        <f ca="1">INDIRECT($A6 &amp;"!H$11")</f>
        <v>25</v>
      </c>
      <c r="AF26" s="90">
        <f ca="1">INDIRECT($A6 &amp;"!H$12")</f>
        <v>8</v>
      </c>
      <c r="AG26" s="90">
        <f ca="1">INDIRECT($A6 &amp;"!H$13")</f>
        <v>21</v>
      </c>
      <c r="AH26" s="90">
        <f ca="1">INDIRECT($A6 &amp;"!H$14")</f>
        <v>43</v>
      </c>
      <c r="AI26" s="90">
        <f ca="1">INDIRECT($A6 &amp;"!H$15")</f>
        <v>17</v>
      </c>
      <c r="AK26" s="87" t="str">
        <f t="shared" si="86"/>
        <v>Sprint_4_6</v>
      </c>
      <c r="AL26" s="90">
        <f t="shared" ca="1" si="87"/>
        <v>15</v>
      </c>
      <c r="AM26" s="90">
        <f t="shared" ca="1" si="88"/>
        <v>11</v>
      </c>
      <c r="AN26" s="90">
        <f t="shared" ca="1" si="89"/>
        <v>13</v>
      </c>
      <c r="AO26" s="90">
        <f t="shared" ca="1" si="90"/>
        <v>5</v>
      </c>
      <c r="AP26" s="90">
        <f t="shared" ca="1" si="91"/>
        <v>18</v>
      </c>
      <c r="AQ26" s="90">
        <f t="shared" ca="1" si="92"/>
        <v>12</v>
      </c>
      <c r="AR26" s="90">
        <f t="shared" ca="1" si="93"/>
        <v>14</v>
      </c>
      <c r="AS26" s="90"/>
      <c r="AT26" s="90">
        <f t="shared" ca="1" si="94"/>
        <v>7</v>
      </c>
      <c r="AU26" s="90">
        <f t="shared" ca="1" si="95"/>
        <v>15</v>
      </c>
    </row>
    <row r="27" spans="1:47">
      <c r="A27" s="87" t="str">
        <f t="shared" si="74"/>
        <v>Sprint_4_8</v>
      </c>
      <c r="B27" s="90">
        <f t="shared" ca="1" si="75"/>
        <v>74</v>
      </c>
      <c r="C27" s="90">
        <f t="shared" ca="1" si="76"/>
        <v>9</v>
      </c>
      <c r="D27" s="90">
        <f t="shared" ca="1" si="77"/>
        <v>24</v>
      </c>
      <c r="E27" s="90">
        <f t="shared" ca="1" si="78"/>
        <v>29</v>
      </c>
      <c r="F27" s="90">
        <f t="shared" ca="1" si="79"/>
        <v>38</v>
      </c>
      <c r="G27" s="90">
        <f t="shared" ca="1" si="80"/>
        <v>52</v>
      </c>
      <c r="H27" s="90">
        <f t="shared" ca="1" si="81"/>
        <v>18</v>
      </c>
      <c r="I27" s="90">
        <f t="shared" ca="1" si="82"/>
        <v>11</v>
      </c>
      <c r="J27" s="90">
        <f t="shared" ca="1" si="96"/>
        <v>23</v>
      </c>
      <c r="K27" s="90">
        <f t="shared" ca="1" si="83"/>
        <v>24</v>
      </c>
      <c r="M27" s="87" t="str">
        <f t="shared" si="84"/>
        <v>Sprint_4_8</v>
      </c>
      <c r="N27" s="90">
        <f ca="1">INDIRECT($A7 &amp;"!I$6")</f>
        <v>0</v>
      </c>
      <c r="O27" s="90">
        <f ca="1">INDIRECT($A7 &amp;"!I$7")</f>
        <v>0</v>
      </c>
      <c r="P27" s="90">
        <f ca="1">INDIRECT($A7 &amp;"!I$8")</f>
        <v>0</v>
      </c>
      <c r="Q27" s="90">
        <f ca="1">INDIRECT($A7 &amp;"!I$9")</f>
        <v>0</v>
      </c>
      <c r="R27" s="90">
        <f ca="1">INDIRECT($A7 &amp;"!I$10")</f>
        <v>0</v>
      </c>
      <c r="S27" s="90">
        <f ca="1">INDIRECT($A7 &amp;"!I$11")</f>
        <v>0</v>
      </c>
      <c r="T27" s="90">
        <f ca="1">INDIRECT($A7 &amp;"!I$12")</f>
        <v>0</v>
      </c>
      <c r="U27" s="90">
        <f ca="1">INDIRECT($A7 &amp;"!I$13")</f>
        <v>0</v>
      </c>
      <c r="V27" s="90">
        <f ca="1">INDIRECT($A7 &amp;"!I$14")</f>
        <v>0</v>
      </c>
      <c r="W27" s="90">
        <f ca="1">INDIRECT($A7 &amp;"!I$15")</f>
        <v>1</v>
      </c>
      <c r="Y27" s="87" t="str">
        <f t="shared" si="85"/>
        <v>Sprint_4_8</v>
      </c>
      <c r="Z27" s="90">
        <f ca="1">INDIRECT($A7 &amp;"!H$6")</f>
        <v>28</v>
      </c>
      <c r="AA27" s="90">
        <f ca="1">INDIRECT($A7 &amp;"!H$7")</f>
        <v>11</v>
      </c>
      <c r="AB27" s="90">
        <f ca="1">INDIRECT($A7 &amp;"!H$8")</f>
        <v>8</v>
      </c>
      <c r="AC27" s="90">
        <f ca="1">INDIRECT($A7 &amp;"!H$9")</f>
        <v>19</v>
      </c>
      <c r="AD27" s="90">
        <f ca="1">INDIRECT($A7 &amp;"!H$10")</f>
        <v>11</v>
      </c>
      <c r="AE27" s="90">
        <f ca="1">INDIRECT($A7 &amp;"!H$11")</f>
        <v>5</v>
      </c>
      <c r="AF27" s="90">
        <f ca="1">INDIRECT($A7 &amp;"!H$12")</f>
        <v>8</v>
      </c>
      <c r="AG27" s="90">
        <f ca="1">INDIRECT($A7 &amp;"!H$13")</f>
        <v>16</v>
      </c>
      <c r="AH27" s="90">
        <f ca="1">INDIRECT($A7 &amp;"!H$14")</f>
        <v>31</v>
      </c>
      <c r="AI27" s="90">
        <f ca="1">INDIRECT($A7 &amp;"!H$15")</f>
        <v>11</v>
      </c>
      <c r="AK27" s="87" t="str">
        <f t="shared" si="86"/>
        <v>Sprint_4_8</v>
      </c>
      <c r="AL27" s="90">
        <f t="shared" ca="1" si="87"/>
        <v>22</v>
      </c>
      <c r="AM27" s="90">
        <f t="shared" ca="1" si="88"/>
        <v>3</v>
      </c>
      <c r="AN27" s="90">
        <f t="shared" ca="1" si="89"/>
        <v>5</v>
      </c>
      <c r="AO27" s="90">
        <f t="shared" ca="1" si="90"/>
        <v>7</v>
      </c>
      <c r="AP27" s="90">
        <f t="shared" ca="1" si="91"/>
        <v>10</v>
      </c>
      <c r="AQ27" s="90">
        <f t="shared" ca="1" si="92"/>
        <v>17</v>
      </c>
      <c r="AR27" s="90">
        <f t="shared" ca="1" si="93"/>
        <v>9</v>
      </c>
      <c r="AS27" s="90"/>
      <c r="AT27" s="90">
        <f t="shared" ca="1" si="94"/>
        <v>8</v>
      </c>
      <c r="AU27" s="90">
        <f t="shared" ca="1" si="95"/>
        <v>10</v>
      </c>
    </row>
    <row r="28" spans="1:47">
      <c r="A28" s="87" t="str">
        <f t="shared" si="74"/>
        <v>Sprint_1_1</v>
      </c>
      <c r="B28" s="90">
        <f t="shared" ca="1" si="75"/>
        <v>75</v>
      </c>
      <c r="C28" s="90">
        <f t="shared" ca="1" si="76"/>
        <v>10</v>
      </c>
      <c r="D28" s="90">
        <f t="shared" ca="1" si="77"/>
        <v>37</v>
      </c>
      <c r="E28" s="90">
        <f t="shared" ca="1" si="78"/>
        <v>27</v>
      </c>
      <c r="F28" s="90">
        <f t="shared" ca="1" si="79"/>
        <v>29</v>
      </c>
      <c r="G28" s="90">
        <f t="shared" ca="1" si="80"/>
        <v>37</v>
      </c>
      <c r="H28" s="90">
        <f t="shared" ca="1" si="81"/>
        <v>22</v>
      </c>
      <c r="I28" s="90"/>
      <c r="J28" s="90">
        <f t="shared" ca="1" si="96"/>
        <v>17</v>
      </c>
      <c r="K28" s="90">
        <f t="shared" ca="1" si="83"/>
        <v>23</v>
      </c>
      <c r="M28" s="87" t="str">
        <f t="shared" si="84"/>
        <v>Sprint_1_1</v>
      </c>
      <c r="N28" s="90">
        <f ca="1">INDIRECT($A8 &amp;"!I$6")</f>
        <v>0</v>
      </c>
      <c r="O28" s="90">
        <f ca="1">INDIRECT($A8 &amp;"!I$7")</f>
        <v>0</v>
      </c>
      <c r="P28" s="90">
        <f ca="1">INDIRECT($A8 &amp;"!I$8")</f>
        <v>0</v>
      </c>
      <c r="Q28" s="90">
        <f ca="1">INDIRECT($A8 &amp;"!I$9")</f>
        <v>0</v>
      </c>
      <c r="R28" s="90">
        <f ca="1">INDIRECT($A8 &amp;"!I$10")</f>
        <v>5</v>
      </c>
      <c r="S28" s="90">
        <f ca="1">INDIRECT($A8 &amp;"!I$11")</f>
        <v>0</v>
      </c>
      <c r="T28" s="90">
        <f ca="1">INDIRECT($A8 &amp;"!I$12")</f>
        <v>0</v>
      </c>
      <c r="U28" s="90"/>
      <c r="V28" s="90">
        <f ca="1">INDIRECT($A8 &amp;"!I$14")</f>
        <v>11</v>
      </c>
      <c r="W28" s="90">
        <f ca="1">INDIRECT($A8 &amp;"!I$15")</f>
        <v>3</v>
      </c>
      <c r="Y28" s="87" t="str">
        <f t="shared" si="85"/>
        <v>Sprint_1_1</v>
      </c>
      <c r="Z28" s="90">
        <f ca="1">INDIRECT($A8 &amp;"!H$6")</f>
        <v>16</v>
      </c>
      <c r="AA28" s="90">
        <f ca="1">INDIRECT($A8 &amp;"!H$7")</f>
        <v>26</v>
      </c>
      <c r="AB28" s="90">
        <f ca="1">INDIRECT($A8 &amp;"!H$8")</f>
        <v>17</v>
      </c>
      <c r="AC28" s="90">
        <f ca="1">INDIRECT($A8 &amp;"!H$9")</f>
        <v>22</v>
      </c>
      <c r="AD28" s="90">
        <f ca="1">INDIRECT($A8 &amp;"!H$10")</f>
        <v>3</v>
      </c>
      <c r="AE28" s="90">
        <f ca="1">INDIRECT($A8 &amp;"!H$11")</f>
        <v>19</v>
      </c>
      <c r="AF28" s="90">
        <f ca="1">INDIRECT($A8 &amp;"!H$12")</f>
        <v>11</v>
      </c>
      <c r="AG28" s="90"/>
      <c r="AH28" s="90">
        <f ca="1">INDIRECT($A8 &amp;"!H$14")</f>
        <v>13</v>
      </c>
      <c r="AI28" s="90">
        <f ca="1">INDIRECT($A8 &amp;"!H$15")</f>
        <v>22</v>
      </c>
      <c r="AK28" s="256" t="str">
        <f t="shared" si="86"/>
        <v>Sprint_1_1</v>
      </c>
      <c r="AL28" s="296">
        <f ca="1">INDIRECT($A8 &amp;"!z$6")</f>
        <v>28</v>
      </c>
      <c r="AM28" s="296">
        <f ca="1">INDIRECT($A8 &amp;"!z$7")</f>
        <v>6</v>
      </c>
      <c r="AN28" s="296">
        <f ca="1">INDIRECT($A8 &amp;"!z$8")</f>
        <v>9</v>
      </c>
      <c r="AO28" s="296">
        <f ca="1">INDIRECT($A8 &amp;"!z$9")</f>
        <v>5</v>
      </c>
      <c r="AP28" s="296">
        <f ca="1">INDIRECT($A8 &amp;"!z$10")</f>
        <v>11</v>
      </c>
      <c r="AQ28" s="296">
        <f ca="1">INDIRECT($A8 &amp;"!z$11")</f>
        <v>15</v>
      </c>
      <c r="AR28" s="296">
        <f ca="1">INDIRECT($A8 &amp;"!z$12")</f>
        <v>10</v>
      </c>
      <c r="AS28" s="296"/>
      <c r="AT28" s="296">
        <f ca="1">INDIRECT($A8 &amp;"!z$14")</f>
        <v>5</v>
      </c>
      <c r="AU28" s="296">
        <f ca="1">INDIRECT($A8 &amp;"!z$15")</f>
        <v>7</v>
      </c>
    </row>
    <row r="29" spans="1:47">
      <c r="A29" s="87" t="str">
        <f t="shared" si="74"/>
        <v>Sprint_1_2</v>
      </c>
      <c r="B29" s="90">
        <f t="shared" ref="B29:B38" ca="1" si="97">INDIRECT($A9 &amp;"!H$6")</f>
        <v>38</v>
      </c>
      <c r="C29" s="90">
        <f t="shared" ref="C29:C38" ca="1" si="98">INDIRECT($A9 &amp;"!H$7")</f>
        <v>30</v>
      </c>
      <c r="D29" s="90">
        <f t="shared" ref="D29:D38" ca="1" si="99">INDIRECT($A9 &amp;"!H$8")</f>
        <v>45</v>
      </c>
      <c r="E29" s="90">
        <f t="shared" ref="E29:E38" ca="1" si="100">INDIRECT($A9 &amp;"!H$9")</f>
        <v>35</v>
      </c>
      <c r="F29" s="90">
        <f t="shared" ref="F29:F38" ca="1" si="101">INDIRECT($A9 &amp;"!H$10")</f>
        <v>26</v>
      </c>
      <c r="G29" s="90">
        <f t="shared" ref="G29:G38" ca="1" si="102">INDIRECT($A9 &amp;"!H$11")</f>
        <v>47</v>
      </c>
      <c r="H29" s="90">
        <f t="shared" ref="H29:H38" ca="1" si="103">INDIRECT($A9 &amp;"!H$12")</f>
        <v>29</v>
      </c>
      <c r="I29" s="90"/>
      <c r="J29" s="90">
        <f t="shared" ref="J29:J38" ca="1" si="104">INDIRECT($A9 &amp;"!H$14")</f>
        <v>29</v>
      </c>
      <c r="K29" s="90">
        <f t="shared" ref="K29:K38" ca="1" si="105">INDIRECT($A9 &amp;"!H$15")</f>
        <v>41.5</v>
      </c>
      <c r="M29" s="87" t="str">
        <f t="shared" si="84"/>
        <v>Sprint_1_2</v>
      </c>
      <c r="N29" s="90">
        <f t="shared" ref="N29:N38" ca="1" si="106">INDIRECT($A9 &amp;"!J$6")</f>
        <v>0</v>
      </c>
      <c r="O29" s="90">
        <f t="shared" ref="O29:O38" ca="1" si="107">INDIRECT($A9 &amp;"!J$7")</f>
        <v>5</v>
      </c>
      <c r="P29" s="90">
        <f t="shared" ref="P29:P38" ca="1" si="108">INDIRECT($A9 &amp;"!J$8")</f>
        <v>5</v>
      </c>
      <c r="Q29" s="90">
        <f t="shared" ref="Q29:Q38" ca="1" si="109">INDIRECT($A9 &amp;"!J$9")</f>
        <v>0</v>
      </c>
      <c r="R29" s="90">
        <f t="shared" ref="R29:R38" ca="1" si="110">INDIRECT($A9 &amp;"!J$10")</f>
        <v>0</v>
      </c>
      <c r="S29" s="90">
        <f t="shared" ref="S29:S38" ca="1" si="111">INDIRECT($A9 &amp;"!J$11")</f>
        <v>0</v>
      </c>
      <c r="T29" s="90">
        <f t="shared" ref="T29:T38" ca="1" si="112">INDIRECT($A9 &amp;"!J$12")</f>
        <v>0</v>
      </c>
      <c r="U29" s="90"/>
      <c r="V29" s="90">
        <f t="shared" ref="V29:V38" ca="1" si="113">INDIRECT($A9 &amp;"!J$14")</f>
        <v>0</v>
      </c>
      <c r="W29" s="90">
        <f t="shared" ref="W29:W38" ca="1" si="114">INDIRECT($A9 &amp;"!J$15")</f>
        <v>1</v>
      </c>
      <c r="Y29" s="87" t="str">
        <f t="shared" si="85"/>
        <v>Sprint_1_2</v>
      </c>
      <c r="Z29" s="90">
        <f t="shared" ref="Z29:Z38" ca="1" si="115">INDIRECT($A9 &amp;"!I$6")</f>
        <v>15</v>
      </c>
      <c r="AA29" s="90">
        <f t="shared" ref="AA29:AA38" ca="1" si="116">INDIRECT($A9 &amp;"!I$7")</f>
        <v>12</v>
      </c>
      <c r="AB29" s="90">
        <f t="shared" ref="AB29:AB38" ca="1" si="117">INDIRECT($A9 &amp;"!I$8")</f>
        <v>8</v>
      </c>
      <c r="AC29" s="90">
        <f t="shared" ref="AC29:AC38" ca="1" si="118">INDIRECT($A9 &amp;"!I$9")</f>
        <v>8</v>
      </c>
      <c r="AD29" s="90">
        <f t="shared" ref="AD29:AD38" ca="1" si="119">INDIRECT($A9 &amp;"!I$10")</f>
        <v>15</v>
      </c>
      <c r="AE29" s="90">
        <f t="shared" ref="AE29:AE38" ca="1" si="120">INDIRECT($A9 &amp;"!I$11")</f>
        <v>3</v>
      </c>
      <c r="AF29" s="90">
        <f t="shared" ref="AF29:AF38" ca="1" si="121">INDIRECT($A9 &amp;"!I$12")</f>
        <v>11</v>
      </c>
      <c r="AG29" s="90"/>
      <c r="AH29" s="90">
        <f t="shared" ref="AH29:AH38" ca="1" si="122">INDIRECT($A9 &amp;"!I$14")</f>
        <v>11</v>
      </c>
      <c r="AI29" s="90">
        <f t="shared" ref="AI29:AI38" ca="1" si="123">INDIRECT($A9 &amp;"!I$15")</f>
        <v>15</v>
      </c>
      <c r="AK29" s="87" t="str">
        <f t="shared" si="86"/>
        <v>Sprint_1_2</v>
      </c>
      <c r="AL29" s="90">
        <f t="shared" ref="AL29:AL35" ca="1" si="124">INDIRECT($A9 &amp;"!e$6")</f>
        <v>17</v>
      </c>
      <c r="AM29" s="90">
        <f t="shared" ref="AM29:AM35" ca="1" si="125">INDIRECT($A9 &amp;"!e$7")</f>
        <v>15</v>
      </c>
      <c r="AN29" s="90">
        <f t="shared" ref="AN29:AN35" ca="1" si="126">INDIRECT($A9 &amp;"!e$8")</f>
        <v>11</v>
      </c>
      <c r="AO29" s="90">
        <f t="shared" ref="AO29:AO35" ca="1" si="127">INDIRECT($A9 &amp;"!e$9")</f>
        <v>11</v>
      </c>
      <c r="AP29" s="90">
        <f t="shared" ref="AP29:AP35" ca="1" si="128">INDIRECT($A9 &amp;"!e$10")</f>
        <v>9</v>
      </c>
      <c r="AQ29" s="90">
        <f t="shared" ref="AQ29:AQ35" ca="1" si="129">INDIRECT($A9 &amp;"!e$11")</f>
        <v>16</v>
      </c>
      <c r="AR29" s="90">
        <f t="shared" ref="AR29:AR35" ca="1" si="130">INDIRECT($A9 &amp;"!e$12")</f>
        <v>6</v>
      </c>
      <c r="AS29" s="90"/>
      <c r="AT29" s="90">
        <f t="shared" ref="AT29:AT35" ca="1" si="131">INDIRECT($A9 &amp;"!e$14")</f>
        <v>7</v>
      </c>
      <c r="AU29" s="90">
        <f t="shared" ref="AU29:AU35" ca="1" si="132">INDIRECT($A9 &amp;"!e$15")</f>
        <v>15</v>
      </c>
    </row>
    <row r="30" spans="1:47">
      <c r="A30" s="87" t="str">
        <f t="shared" si="74"/>
        <v>Sprint_1_3</v>
      </c>
      <c r="B30" s="90">
        <f t="shared" ca="1" si="97"/>
        <v>54</v>
      </c>
      <c r="C30" s="90">
        <f t="shared" ca="1" si="98"/>
        <v>16</v>
      </c>
      <c r="D30" s="90">
        <f t="shared" ca="1" si="99"/>
        <v>34</v>
      </c>
      <c r="E30" s="90">
        <f t="shared" ca="1" si="100"/>
        <v>26</v>
      </c>
      <c r="F30" s="90">
        <f t="shared" ca="1" si="101"/>
        <v>29</v>
      </c>
      <c r="G30" s="90">
        <f t="shared" ca="1" si="102"/>
        <v>27</v>
      </c>
      <c r="H30" s="90">
        <f t="shared" ca="1" si="103"/>
        <v>25</v>
      </c>
      <c r="I30" s="90"/>
      <c r="J30" s="90">
        <f t="shared" ca="1" si="104"/>
        <v>16</v>
      </c>
      <c r="K30" s="90">
        <f t="shared" ca="1" si="105"/>
        <v>61</v>
      </c>
      <c r="M30" s="87" t="str">
        <f t="shared" si="84"/>
        <v>Sprint_1_3</v>
      </c>
      <c r="N30" s="90">
        <f t="shared" ca="1" si="106"/>
        <v>6</v>
      </c>
      <c r="O30" s="90">
        <f t="shared" ca="1" si="107"/>
        <v>0</v>
      </c>
      <c r="P30" s="90">
        <f t="shared" ca="1" si="108"/>
        <v>0</v>
      </c>
      <c r="Q30" s="90">
        <f t="shared" ca="1" si="109"/>
        <v>0</v>
      </c>
      <c r="R30" s="90">
        <f t="shared" ca="1" si="110"/>
        <v>0</v>
      </c>
      <c r="S30" s="90">
        <f t="shared" ca="1" si="111"/>
        <v>0</v>
      </c>
      <c r="T30" s="90">
        <f t="shared" ca="1" si="112"/>
        <v>0</v>
      </c>
      <c r="U30" s="90"/>
      <c r="V30" s="90">
        <f t="shared" ca="1" si="113"/>
        <v>0</v>
      </c>
      <c r="W30" s="90">
        <f t="shared" ca="1" si="114"/>
        <v>1</v>
      </c>
      <c r="Y30" s="87" t="str">
        <f t="shared" si="85"/>
        <v>Sprint_1_3</v>
      </c>
      <c r="Z30" s="90">
        <f t="shared" ca="1" si="115"/>
        <v>24</v>
      </c>
      <c r="AA30" s="90">
        <f t="shared" ca="1" si="116"/>
        <v>21</v>
      </c>
      <c r="AB30" s="90">
        <f t="shared" ca="1" si="117"/>
        <v>21</v>
      </c>
      <c r="AC30" s="90">
        <f t="shared" ca="1" si="118"/>
        <v>18</v>
      </c>
      <c r="AD30" s="90">
        <f t="shared" ca="1" si="119"/>
        <v>12</v>
      </c>
      <c r="AE30" s="90">
        <f t="shared" ca="1" si="120"/>
        <v>22</v>
      </c>
      <c r="AF30" s="90">
        <f t="shared" ca="1" si="121"/>
        <v>8</v>
      </c>
      <c r="AG30" s="90"/>
      <c r="AH30" s="90">
        <f t="shared" ca="1" si="122"/>
        <v>11</v>
      </c>
      <c r="AI30" s="90">
        <f t="shared" ca="1" si="123"/>
        <v>18</v>
      </c>
      <c r="AK30" s="87" t="str">
        <f t="shared" si="86"/>
        <v>Sprint_1_3</v>
      </c>
      <c r="AL30" s="90">
        <f t="shared" ca="1" si="124"/>
        <v>20</v>
      </c>
      <c r="AM30" s="90">
        <f t="shared" ca="1" si="125"/>
        <v>7</v>
      </c>
      <c r="AN30" s="90">
        <f t="shared" ca="1" si="126"/>
        <v>11</v>
      </c>
      <c r="AO30" s="90">
        <f t="shared" ca="1" si="127"/>
        <v>6</v>
      </c>
      <c r="AP30" s="90">
        <f t="shared" ca="1" si="128"/>
        <v>11</v>
      </c>
      <c r="AQ30" s="90">
        <f t="shared" ca="1" si="129"/>
        <v>10</v>
      </c>
      <c r="AR30" s="90">
        <f t="shared" ca="1" si="130"/>
        <v>9</v>
      </c>
      <c r="AS30" s="90"/>
      <c r="AT30" s="90">
        <f t="shared" ca="1" si="131"/>
        <v>4</v>
      </c>
      <c r="AU30" s="90">
        <f t="shared" ca="1" si="132"/>
        <v>22</v>
      </c>
    </row>
    <row r="31" spans="1:47">
      <c r="A31" s="87" t="str">
        <f t="shared" si="74"/>
        <v>Sprint_1_4</v>
      </c>
      <c r="B31" s="90">
        <f t="shared" ca="1" si="97"/>
        <v>27</v>
      </c>
      <c r="C31" s="90">
        <f t="shared" ca="1" si="98"/>
        <v>13</v>
      </c>
      <c r="D31" s="90">
        <f t="shared" ca="1" si="99"/>
        <v>56</v>
      </c>
      <c r="E31" s="90">
        <f t="shared" ca="1" si="100"/>
        <v>38</v>
      </c>
      <c r="F31" s="90">
        <f t="shared" ca="1" si="101"/>
        <v>33</v>
      </c>
      <c r="G31" s="90">
        <f t="shared" ca="1" si="102"/>
        <v>23</v>
      </c>
      <c r="H31" s="90">
        <f t="shared" ca="1" si="103"/>
        <v>34</v>
      </c>
      <c r="I31" s="90"/>
      <c r="J31" s="90">
        <f t="shared" ca="1" si="104"/>
        <v>29</v>
      </c>
      <c r="K31" s="90">
        <f t="shared" ca="1" si="105"/>
        <v>44.5</v>
      </c>
      <c r="M31" s="87" t="str">
        <f t="shared" si="84"/>
        <v>Sprint_1_4</v>
      </c>
      <c r="N31" s="90">
        <f t="shared" ca="1" si="106"/>
        <v>0</v>
      </c>
      <c r="O31" s="90">
        <f t="shared" ca="1" si="107"/>
        <v>8</v>
      </c>
      <c r="P31" s="90">
        <f t="shared" ca="1" si="108"/>
        <v>0</v>
      </c>
      <c r="Q31" s="90">
        <f t="shared" ca="1" si="109"/>
        <v>0</v>
      </c>
      <c r="R31" s="90">
        <f t="shared" ca="1" si="110"/>
        <v>0</v>
      </c>
      <c r="S31" s="90">
        <f t="shared" ca="1" si="111"/>
        <v>0</v>
      </c>
      <c r="T31" s="90">
        <f t="shared" ca="1" si="112"/>
        <v>0</v>
      </c>
      <c r="U31" s="90"/>
      <c r="V31" s="90">
        <f t="shared" ca="1" si="113"/>
        <v>0</v>
      </c>
      <c r="W31" s="90">
        <f t="shared" ca="1" si="114"/>
        <v>1</v>
      </c>
      <c r="Y31" s="87" t="str">
        <f t="shared" si="85"/>
        <v>Sprint_1_4</v>
      </c>
      <c r="Z31" s="90">
        <f t="shared" ca="1" si="115"/>
        <v>37</v>
      </c>
      <c r="AA31" s="90">
        <f t="shared" ca="1" si="116"/>
        <v>16</v>
      </c>
      <c r="AB31" s="90">
        <f t="shared" ca="1" si="117"/>
        <v>0</v>
      </c>
      <c r="AC31" s="90">
        <f t="shared" ca="1" si="118"/>
        <v>19</v>
      </c>
      <c r="AD31" s="90">
        <f t="shared" ca="1" si="119"/>
        <v>9</v>
      </c>
      <c r="AE31" s="90">
        <f t="shared" ca="1" si="120"/>
        <v>16</v>
      </c>
      <c r="AF31" s="90">
        <f t="shared" ca="1" si="121"/>
        <v>8</v>
      </c>
      <c r="AG31" s="90"/>
      <c r="AH31" s="90">
        <f t="shared" ca="1" si="122"/>
        <v>11</v>
      </c>
      <c r="AI31" s="90">
        <f t="shared" ca="1" si="123"/>
        <v>16</v>
      </c>
      <c r="AK31" s="87" t="str">
        <f t="shared" si="86"/>
        <v>Sprint_1_4</v>
      </c>
      <c r="AL31" s="90">
        <f t="shared" ca="1" si="124"/>
        <v>8</v>
      </c>
      <c r="AM31" s="90">
        <f t="shared" ca="1" si="125"/>
        <v>6</v>
      </c>
      <c r="AN31" s="90">
        <f t="shared" ca="1" si="126"/>
        <v>10</v>
      </c>
      <c r="AO31" s="90">
        <f t="shared" ca="1" si="127"/>
        <v>9</v>
      </c>
      <c r="AP31" s="90">
        <f t="shared" ca="1" si="128"/>
        <v>9</v>
      </c>
      <c r="AQ31" s="90">
        <f t="shared" ca="1" si="129"/>
        <v>9</v>
      </c>
      <c r="AR31" s="90">
        <f t="shared" ca="1" si="130"/>
        <v>10</v>
      </c>
      <c r="AS31" s="90"/>
      <c r="AT31" s="90">
        <f t="shared" ca="1" si="131"/>
        <v>7</v>
      </c>
      <c r="AU31" s="90">
        <f t="shared" ca="1" si="132"/>
        <v>18</v>
      </c>
    </row>
    <row r="32" spans="1:47">
      <c r="A32" s="87" t="str">
        <f t="shared" si="74"/>
        <v>Sprint_1_5</v>
      </c>
      <c r="B32" s="90">
        <f t="shared" ca="1" si="97"/>
        <v>72</v>
      </c>
      <c r="C32" s="90">
        <f t="shared" ca="1" si="98"/>
        <v>13</v>
      </c>
      <c r="D32" s="90">
        <f t="shared" ca="1" si="99"/>
        <v>31</v>
      </c>
      <c r="E32" s="90">
        <f t="shared" ca="1" si="100"/>
        <v>37</v>
      </c>
      <c r="F32" s="90">
        <f t="shared" ca="1" si="101"/>
        <v>28</v>
      </c>
      <c r="G32" s="90">
        <f t="shared" ca="1" si="102"/>
        <v>46</v>
      </c>
      <c r="H32" s="90">
        <f t="shared" ca="1" si="103"/>
        <v>35</v>
      </c>
      <c r="I32" s="90"/>
      <c r="J32" s="90">
        <f t="shared" ca="1" si="104"/>
        <v>36</v>
      </c>
      <c r="K32" s="90">
        <f t="shared" ca="1" si="105"/>
        <v>55.5</v>
      </c>
      <c r="M32" s="87" t="str">
        <f t="shared" si="84"/>
        <v>Sprint_1_5</v>
      </c>
      <c r="N32" s="90">
        <f t="shared" ca="1" si="106"/>
        <v>0</v>
      </c>
      <c r="O32" s="90">
        <f t="shared" ca="1" si="107"/>
        <v>0</v>
      </c>
      <c r="P32" s="90">
        <f t="shared" ca="1" si="108"/>
        <v>0</v>
      </c>
      <c r="Q32" s="90">
        <f t="shared" ca="1" si="109"/>
        <v>0</v>
      </c>
      <c r="R32" s="90">
        <f t="shared" ca="1" si="110"/>
        <v>0</v>
      </c>
      <c r="S32" s="90">
        <f t="shared" ca="1" si="111"/>
        <v>0</v>
      </c>
      <c r="T32" s="90">
        <f t="shared" ca="1" si="112"/>
        <v>0</v>
      </c>
      <c r="U32" s="90"/>
      <c r="V32" s="90">
        <f t="shared" ca="1" si="113"/>
        <v>0</v>
      </c>
      <c r="W32" s="90">
        <f t="shared" ca="1" si="114"/>
        <v>1</v>
      </c>
      <c r="Y32" s="87" t="str">
        <f t="shared" si="85"/>
        <v>Sprint_1_5</v>
      </c>
      <c r="Z32" s="90">
        <f t="shared" ca="1" si="115"/>
        <v>11</v>
      </c>
      <c r="AA32" s="90">
        <f t="shared" ca="1" si="116"/>
        <v>17</v>
      </c>
      <c r="AB32" s="90">
        <f t="shared" ca="1" si="117"/>
        <v>5</v>
      </c>
      <c r="AC32" s="90">
        <f t="shared" ca="1" si="118"/>
        <v>16</v>
      </c>
      <c r="AD32" s="90">
        <f t="shared" ca="1" si="119"/>
        <v>12</v>
      </c>
      <c r="AE32" s="90">
        <f t="shared" ca="1" si="120"/>
        <v>2</v>
      </c>
      <c r="AF32" s="90">
        <f t="shared" ca="1" si="121"/>
        <v>3</v>
      </c>
      <c r="AG32" s="90"/>
      <c r="AH32" s="90">
        <f t="shared" ca="1" si="122"/>
        <v>5</v>
      </c>
      <c r="AI32" s="90">
        <f t="shared" ca="1" si="123"/>
        <v>26</v>
      </c>
      <c r="AK32" s="87" t="str">
        <f t="shared" si="86"/>
        <v>Sprint_1_5</v>
      </c>
      <c r="AL32" s="90">
        <f t="shared" ca="1" si="124"/>
        <v>15</v>
      </c>
      <c r="AM32" s="90">
        <f t="shared" ca="1" si="125"/>
        <v>6</v>
      </c>
      <c r="AN32" s="90">
        <f t="shared" ca="1" si="126"/>
        <v>8</v>
      </c>
      <c r="AO32" s="90">
        <f t="shared" ca="1" si="127"/>
        <v>12</v>
      </c>
      <c r="AP32" s="90">
        <f t="shared" ca="1" si="128"/>
        <v>10</v>
      </c>
      <c r="AQ32" s="90">
        <f t="shared" ca="1" si="129"/>
        <v>12</v>
      </c>
      <c r="AR32" s="90">
        <f t="shared" ca="1" si="130"/>
        <v>11</v>
      </c>
      <c r="AS32" s="90"/>
      <c r="AT32" s="90">
        <f t="shared" ca="1" si="131"/>
        <v>12</v>
      </c>
      <c r="AU32" s="90">
        <f t="shared" ca="1" si="132"/>
        <v>17</v>
      </c>
    </row>
    <row r="33" spans="1:47">
      <c r="A33" s="87" t="str">
        <f t="shared" si="74"/>
        <v>Sprint_1_6</v>
      </c>
      <c r="B33" s="90">
        <f t="shared" ca="1" si="97"/>
        <v>68</v>
      </c>
      <c r="C33" s="90">
        <f t="shared" ca="1" si="98"/>
        <v>39</v>
      </c>
      <c r="D33" s="90">
        <f t="shared" ca="1" si="99"/>
        <v>48</v>
      </c>
      <c r="E33" s="90">
        <f t="shared" ca="1" si="100"/>
        <v>32</v>
      </c>
      <c r="F33" s="90">
        <f t="shared" ca="1" si="101"/>
        <v>26</v>
      </c>
      <c r="G33" s="90">
        <f t="shared" ca="1" si="102"/>
        <v>31</v>
      </c>
      <c r="H33" s="90">
        <f t="shared" ca="1" si="103"/>
        <v>18</v>
      </c>
      <c r="I33" s="90"/>
      <c r="J33" s="90">
        <f t="shared" ca="1" si="104"/>
        <v>36</v>
      </c>
      <c r="K33" s="90">
        <f t="shared" ca="1" si="105"/>
        <v>51</v>
      </c>
      <c r="M33" s="87" t="str">
        <f t="shared" si="84"/>
        <v>Sprint_1_6</v>
      </c>
      <c r="N33" s="90">
        <f t="shared" ca="1" si="106"/>
        <v>0</v>
      </c>
      <c r="O33" s="90">
        <f t="shared" ca="1" si="107"/>
        <v>0</v>
      </c>
      <c r="P33" s="90">
        <f t="shared" ca="1" si="108"/>
        <v>0</v>
      </c>
      <c r="Q33" s="90">
        <f t="shared" ca="1" si="109"/>
        <v>0</v>
      </c>
      <c r="R33" s="90">
        <f t="shared" ca="1" si="110"/>
        <v>0</v>
      </c>
      <c r="S33" s="90">
        <f t="shared" ca="1" si="111"/>
        <v>0</v>
      </c>
      <c r="T33" s="90">
        <f t="shared" ca="1" si="112"/>
        <v>0</v>
      </c>
      <c r="U33" s="90"/>
      <c r="V33" s="90">
        <f t="shared" ca="1" si="113"/>
        <v>0</v>
      </c>
      <c r="W33" s="90">
        <f t="shared" ca="1" si="114"/>
        <v>0</v>
      </c>
      <c r="Y33" s="87" t="str">
        <f t="shared" si="85"/>
        <v>Sprint_1_6</v>
      </c>
      <c r="Z33" s="90">
        <f t="shared" ca="1" si="115"/>
        <v>14</v>
      </c>
      <c r="AA33" s="90">
        <f t="shared" ca="1" si="116"/>
        <v>6</v>
      </c>
      <c r="AB33" s="90">
        <f t="shared" ca="1" si="117"/>
        <v>8</v>
      </c>
      <c r="AC33" s="90">
        <f t="shared" ca="1" si="118"/>
        <v>14</v>
      </c>
      <c r="AD33" s="90">
        <f t="shared" ca="1" si="119"/>
        <v>26</v>
      </c>
      <c r="AE33" s="90">
        <f t="shared" ca="1" si="120"/>
        <v>25</v>
      </c>
      <c r="AF33" s="90">
        <f t="shared" ca="1" si="121"/>
        <v>8</v>
      </c>
      <c r="AG33" s="90"/>
      <c r="AH33" s="90">
        <f t="shared" ca="1" si="122"/>
        <v>6</v>
      </c>
      <c r="AI33" s="90">
        <f t="shared" ca="1" si="123"/>
        <v>21</v>
      </c>
      <c r="AK33" s="87" t="str">
        <f t="shared" si="86"/>
        <v>Sprint_1_6</v>
      </c>
      <c r="AL33" s="90">
        <f t="shared" ca="1" si="124"/>
        <v>19</v>
      </c>
      <c r="AM33" s="90">
        <f t="shared" ca="1" si="125"/>
        <v>11</v>
      </c>
      <c r="AN33" s="90">
        <f t="shared" ca="1" si="126"/>
        <v>15</v>
      </c>
      <c r="AO33" s="90">
        <f t="shared" ca="1" si="127"/>
        <v>8</v>
      </c>
      <c r="AP33" s="90">
        <f t="shared" ca="1" si="128"/>
        <v>9</v>
      </c>
      <c r="AQ33" s="90">
        <f t="shared" ca="1" si="129"/>
        <v>10</v>
      </c>
      <c r="AR33" s="90">
        <f t="shared" ca="1" si="130"/>
        <v>8</v>
      </c>
      <c r="AS33" s="90"/>
      <c r="AT33" s="90">
        <f t="shared" ca="1" si="131"/>
        <v>12</v>
      </c>
      <c r="AU33" s="90">
        <f t="shared" ca="1" si="132"/>
        <v>16</v>
      </c>
    </row>
    <row r="34" spans="1:47">
      <c r="A34" s="87" t="str">
        <f t="shared" si="74"/>
        <v>Sprint_2_1</v>
      </c>
      <c r="B34" s="90">
        <f t="shared" ca="1" si="97"/>
        <v>40</v>
      </c>
      <c r="C34" s="90">
        <f t="shared" ca="1" si="98"/>
        <v>13</v>
      </c>
      <c r="D34" s="90">
        <f t="shared" ca="1" si="99"/>
        <v>26</v>
      </c>
      <c r="E34" s="90">
        <f t="shared" ca="1" si="100"/>
        <v>44</v>
      </c>
      <c r="F34" s="90">
        <f t="shared" ca="1" si="101"/>
        <v>25</v>
      </c>
      <c r="G34" s="90">
        <f t="shared" ca="1" si="102"/>
        <v>32</v>
      </c>
      <c r="H34" s="90">
        <f t="shared" ca="1" si="103"/>
        <v>17</v>
      </c>
      <c r="I34" s="90"/>
      <c r="J34" s="90">
        <f t="shared" ca="1" si="104"/>
        <v>34</v>
      </c>
      <c r="K34" s="90">
        <f t="shared" ca="1" si="105"/>
        <v>29</v>
      </c>
      <c r="M34" s="87" t="str">
        <f t="shared" ref="M34:M39" si="133">A34</f>
        <v>Sprint_2_1</v>
      </c>
      <c r="N34" s="90">
        <f t="shared" ca="1" si="106"/>
        <v>0</v>
      </c>
      <c r="O34" s="90">
        <f t="shared" ca="1" si="107"/>
        <v>0</v>
      </c>
      <c r="P34" s="90">
        <f t="shared" ca="1" si="108"/>
        <v>0</v>
      </c>
      <c r="Q34" s="90">
        <f t="shared" ca="1" si="109"/>
        <v>0</v>
      </c>
      <c r="R34" s="90">
        <f t="shared" ca="1" si="110"/>
        <v>0</v>
      </c>
      <c r="S34" s="90">
        <f t="shared" ca="1" si="111"/>
        <v>0</v>
      </c>
      <c r="T34" s="90">
        <f t="shared" ca="1" si="112"/>
        <v>0</v>
      </c>
      <c r="U34" s="90"/>
      <c r="V34" s="90">
        <f t="shared" ca="1" si="113"/>
        <v>0</v>
      </c>
      <c r="W34" s="90">
        <f t="shared" ca="1" si="114"/>
        <v>0</v>
      </c>
      <c r="Y34" s="87" t="str">
        <f t="shared" si="85"/>
        <v>Sprint_2_1</v>
      </c>
      <c r="Z34" s="90">
        <f t="shared" ca="1" si="115"/>
        <v>12</v>
      </c>
      <c r="AA34" s="90">
        <f t="shared" ca="1" si="116"/>
        <v>7</v>
      </c>
      <c r="AB34" s="90">
        <f t="shared" ca="1" si="117"/>
        <v>21</v>
      </c>
      <c r="AC34" s="90">
        <f t="shared" ca="1" si="118"/>
        <v>18</v>
      </c>
      <c r="AD34" s="90">
        <f t="shared" ca="1" si="119"/>
        <v>9</v>
      </c>
      <c r="AE34" s="90">
        <f t="shared" ca="1" si="120"/>
        <v>8</v>
      </c>
      <c r="AF34" s="90">
        <f t="shared" ca="1" si="121"/>
        <v>16</v>
      </c>
      <c r="AG34" s="90"/>
      <c r="AH34" s="90">
        <f t="shared" ca="1" si="122"/>
        <v>13</v>
      </c>
      <c r="AI34" s="90">
        <f t="shared" ca="1" si="123"/>
        <v>34</v>
      </c>
      <c r="AK34" s="87" t="str">
        <f t="shared" si="86"/>
        <v>Sprint_2_1</v>
      </c>
      <c r="AL34" s="90">
        <f t="shared" ca="1" si="124"/>
        <v>17</v>
      </c>
      <c r="AM34" s="90">
        <f t="shared" ca="1" si="125"/>
        <v>7</v>
      </c>
      <c r="AN34" s="90">
        <f t="shared" ca="1" si="126"/>
        <v>8</v>
      </c>
      <c r="AO34" s="90">
        <f t="shared" ca="1" si="127"/>
        <v>11</v>
      </c>
      <c r="AP34" s="90">
        <f t="shared" ca="1" si="128"/>
        <v>7</v>
      </c>
      <c r="AQ34" s="90">
        <f t="shared" ca="1" si="129"/>
        <v>9</v>
      </c>
      <c r="AR34" s="90">
        <f t="shared" ca="1" si="130"/>
        <v>6</v>
      </c>
      <c r="AS34" s="90"/>
      <c r="AT34" s="90">
        <f t="shared" ca="1" si="131"/>
        <v>11</v>
      </c>
      <c r="AU34" s="90">
        <f t="shared" ca="1" si="132"/>
        <v>10</v>
      </c>
    </row>
    <row r="35" spans="1:47">
      <c r="A35" s="87" t="str">
        <f t="shared" si="74"/>
        <v>Sprint_2_2</v>
      </c>
      <c r="B35" s="90">
        <f t="shared" ca="1" si="97"/>
        <v>21</v>
      </c>
      <c r="C35" s="90">
        <f t="shared" ca="1" si="98"/>
        <v>18</v>
      </c>
      <c r="D35" s="90">
        <f t="shared" ca="1" si="99"/>
        <v>39</v>
      </c>
      <c r="E35" s="90">
        <f t="shared" ca="1" si="100"/>
        <v>21</v>
      </c>
      <c r="F35" s="90">
        <f t="shared" ca="1" si="101"/>
        <v>25</v>
      </c>
      <c r="G35" s="90">
        <f t="shared" ca="1" si="102"/>
        <v>30</v>
      </c>
      <c r="H35" s="90">
        <f t="shared" ca="1" si="103"/>
        <v>20</v>
      </c>
      <c r="I35" s="90"/>
      <c r="J35" s="90">
        <f t="shared" ca="1" si="104"/>
        <v>49</v>
      </c>
      <c r="K35" s="90">
        <f t="shared" ca="1" si="105"/>
        <v>43</v>
      </c>
      <c r="M35" s="87" t="str">
        <f t="shared" ref="M35" si="134">A35</f>
        <v>Sprint_2_2</v>
      </c>
      <c r="N35" s="90">
        <f t="shared" ca="1" si="106"/>
        <v>0</v>
      </c>
      <c r="O35" s="90">
        <f t="shared" ca="1" si="107"/>
        <v>0</v>
      </c>
      <c r="P35" s="90">
        <f t="shared" ca="1" si="108"/>
        <v>8</v>
      </c>
      <c r="Q35" s="90">
        <f t="shared" ca="1" si="109"/>
        <v>0</v>
      </c>
      <c r="R35" s="90">
        <f t="shared" ca="1" si="110"/>
        <v>0</v>
      </c>
      <c r="S35" s="90">
        <f t="shared" ca="1" si="111"/>
        <v>0</v>
      </c>
      <c r="T35" s="90">
        <f t="shared" ca="1" si="112"/>
        <v>0</v>
      </c>
      <c r="U35" s="90"/>
      <c r="V35" s="90">
        <f t="shared" ca="1" si="113"/>
        <v>0</v>
      </c>
      <c r="W35" s="90">
        <f t="shared" ca="1" si="114"/>
        <v>0</v>
      </c>
      <c r="Y35" s="87" t="str">
        <f t="shared" ref="Y35" si="135">M35</f>
        <v>Sprint_2_2</v>
      </c>
      <c r="Z35" s="90">
        <f t="shared" ca="1" si="115"/>
        <v>22</v>
      </c>
      <c r="AA35" s="90">
        <f t="shared" ca="1" si="116"/>
        <v>8</v>
      </c>
      <c r="AB35" s="90">
        <f t="shared" ca="1" si="117"/>
        <v>10</v>
      </c>
      <c r="AC35" s="90">
        <f t="shared" ca="1" si="118"/>
        <v>27</v>
      </c>
      <c r="AD35" s="90">
        <f t="shared" ca="1" si="119"/>
        <v>12</v>
      </c>
      <c r="AE35" s="90">
        <f t="shared" ca="1" si="120"/>
        <v>14</v>
      </c>
      <c r="AF35" s="90">
        <f t="shared" ca="1" si="121"/>
        <v>3</v>
      </c>
      <c r="AG35" s="90"/>
      <c r="AH35" s="90">
        <f t="shared" ca="1" si="122"/>
        <v>10</v>
      </c>
      <c r="AI35" s="90">
        <f t="shared" ca="1" si="123"/>
        <v>33</v>
      </c>
      <c r="AK35" s="87" t="str">
        <f t="shared" si="86"/>
        <v>Sprint_2_2</v>
      </c>
      <c r="AL35" s="90">
        <f t="shared" ca="1" si="124"/>
        <v>8</v>
      </c>
      <c r="AM35" s="90">
        <f t="shared" ca="1" si="125"/>
        <v>8</v>
      </c>
      <c r="AN35" s="90">
        <f t="shared" ca="1" si="126"/>
        <v>10</v>
      </c>
      <c r="AO35" s="90">
        <f t="shared" ca="1" si="127"/>
        <v>6</v>
      </c>
      <c r="AP35" s="90">
        <f t="shared" ca="1" si="128"/>
        <v>10</v>
      </c>
      <c r="AQ35" s="90">
        <f t="shared" ca="1" si="129"/>
        <v>9</v>
      </c>
      <c r="AR35" s="90">
        <f t="shared" ca="1" si="130"/>
        <v>7</v>
      </c>
      <c r="AS35" s="90"/>
      <c r="AT35" s="90">
        <f t="shared" ca="1" si="131"/>
        <v>18</v>
      </c>
      <c r="AU35" s="90">
        <f t="shared" ca="1" si="132"/>
        <v>16</v>
      </c>
    </row>
    <row r="36" spans="1:47">
      <c r="A36" s="87" t="str">
        <f t="shared" si="74"/>
        <v>Sprint_2_3u4</v>
      </c>
      <c r="B36" s="90">
        <f t="shared" ca="1" si="97"/>
        <v>61</v>
      </c>
      <c r="C36" s="90">
        <f t="shared" ca="1" si="98"/>
        <v>21</v>
      </c>
      <c r="D36" s="90">
        <f t="shared" ca="1" si="99"/>
        <v>60</v>
      </c>
      <c r="E36" s="90">
        <f t="shared" ca="1" si="100"/>
        <v>94</v>
      </c>
      <c r="F36" s="90">
        <f t="shared" ca="1" si="101"/>
        <v>51</v>
      </c>
      <c r="G36" s="90">
        <f t="shared" ca="1" si="102"/>
        <v>55</v>
      </c>
      <c r="H36" s="90">
        <f t="shared" ca="1" si="103"/>
        <v>40</v>
      </c>
      <c r="I36" s="90"/>
      <c r="J36" s="90">
        <f t="shared" ca="1" si="104"/>
        <v>79</v>
      </c>
      <c r="K36" s="90">
        <f t="shared" ca="1" si="105"/>
        <v>67</v>
      </c>
      <c r="M36" s="87" t="str">
        <f t="shared" ref="M36" si="136">A36</f>
        <v>Sprint_2_3u4</v>
      </c>
      <c r="N36" s="90">
        <f t="shared" ca="1" si="106"/>
        <v>0</v>
      </c>
      <c r="O36" s="90">
        <f t="shared" ca="1" si="107"/>
        <v>1</v>
      </c>
      <c r="P36" s="90">
        <f t="shared" ca="1" si="108"/>
        <v>0</v>
      </c>
      <c r="Q36" s="90">
        <f t="shared" ca="1" si="109"/>
        <v>0</v>
      </c>
      <c r="R36" s="90">
        <f t="shared" ca="1" si="110"/>
        <v>0</v>
      </c>
      <c r="S36" s="90">
        <f t="shared" ca="1" si="111"/>
        <v>0</v>
      </c>
      <c r="T36" s="90">
        <f t="shared" ca="1" si="112"/>
        <v>0</v>
      </c>
      <c r="U36" s="90"/>
      <c r="V36" s="90">
        <f t="shared" ca="1" si="113"/>
        <v>0</v>
      </c>
      <c r="W36" s="90">
        <f t="shared" ca="1" si="114"/>
        <v>0</v>
      </c>
      <c r="Y36" s="87" t="str">
        <f t="shared" ref="Y36" si="137">M36</f>
        <v>Sprint_2_3u4</v>
      </c>
      <c r="Z36" s="90">
        <f t="shared" ca="1" si="115"/>
        <v>45</v>
      </c>
      <c r="AA36" s="90">
        <f t="shared" ca="1" si="116"/>
        <v>9</v>
      </c>
      <c r="AB36" s="90">
        <f t="shared" ca="1" si="117"/>
        <v>18</v>
      </c>
      <c r="AC36" s="90">
        <f t="shared" ca="1" si="118"/>
        <v>19</v>
      </c>
      <c r="AD36" s="90">
        <f t="shared" ca="1" si="119"/>
        <v>7</v>
      </c>
      <c r="AE36" s="90">
        <f t="shared" ca="1" si="120"/>
        <v>0</v>
      </c>
      <c r="AF36" s="90">
        <f t="shared" ca="1" si="121"/>
        <v>5</v>
      </c>
      <c r="AG36" s="90"/>
      <c r="AH36" s="90">
        <f t="shared" ca="1" si="122"/>
        <v>0</v>
      </c>
      <c r="AI36" s="90">
        <f t="shared" ca="1" si="123"/>
        <v>36</v>
      </c>
      <c r="AK36" s="87" t="str">
        <f t="shared" si="86"/>
        <v>Sprint_2_3u4</v>
      </c>
      <c r="AL36" s="90">
        <f ca="1">INDIRECT($A16 &amp;"!e$6")</f>
        <v>21</v>
      </c>
      <c r="AM36" s="90">
        <f ca="1">INDIRECT($A16 &amp;"!e$7")</f>
        <v>11</v>
      </c>
      <c r="AN36" s="90">
        <f ca="1">INDIRECT($A16 &amp;"!e$8")</f>
        <v>20</v>
      </c>
      <c r="AO36" s="90">
        <f ca="1">INDIRECT($A16 &amp;"!e$9")</f>
        <v>19</v>
      </c>
      <c r="AP36" s="90">
        <f ca="1">INDIRECT($A16 &amp;"!e$10")</f>
        <v>15</v>
      </c>
      <c r="AQ36" s="90">
        <f ca="1">INDIRECT($A16 &amp;"!e$11")</f>
        <v>18</v>
      </c>
      <c r="AR36" s="90">
        <f ca="1">INDIRECT($A16 &amp;"!e$12")</f>
        <v>14</v>
      </c>
      <c r="AS36" s="90"/>
      <c r="AT36" s="90">
        <f ca="1">INDIRECT($A16 &amp;"!e$14")</f>
        <v>24</v>
      </c>
      <c r="AU36" s="90">
        <f ca="1">INDIRECT($A16 &amp;"!e$15")</f>
        <v>18</v>
      </c>
    </row>
    <row r="37" spans="1:47">
      <c r="A37" s="87" t="str">
        <f t="shared" si="74"/>
        <v>Sprint_2_5u6</v>
      </c>
      <c r="B37" s="90">
        <f t="shared" ca="1" si="97"/>
        <v>83</v>
      </c>
      <c r="C37" s="90">
        <f t="shared" ca="1" si="98"/>
        <v>25</v>
      </c>
      <c r="D37" s="90">
        <f t="shared" ca="1" si="99"/>
        <v>81</v>
      </c>
      <c r="E37" s="90">
        <f t="shared" ca="1" si="100"/>
        <v>52</v>
      </c>
      <c r="F37" s="90">
        <f t="shared" ca="1" si="101"/>
        <v>47</v>
      </c>
      <c r="G37" s="90">
        <f t="shared" ca="1" si="102"/>
        <v>63</v>
      </c>
      <c r="H37" s="90">
        <f t="shared" ca="1" si="103"/>
        <v>43</v>
      </c>
      <c r="I37" s="90"/>
      <c r="J37" s="90">
        <f t="shared" ca="1" si="104"/>
        <v>151</v>
      </c>
      <c r="K37" s="90">
        <f t="shared" ca="1" si="105"/>
        <v>59</v>
      </c>
      <c r="M37" s="87" t="str">
        <f t="shared" si="133"/>
        <v>Sprint_2_5u6</v>
      </c>
      <c r="N37" s="90">
        <f t="shared" ca="1" si="106"/>
        <v>0</v>
      </c>
      <c r="O37" s="90">
        <f t="shared" ca="1" si="107"/>
        <v>2</v>
      </c>
      <c r="P37" s="90">
        <f t="shared" ca="1" si="108"/>
        <v>0</v>
      </c>
      <c r="Q37" s="90">
        <f t="shared" ca="1" si="109"/>
        <v>0</v>
      </c>
      <c r="R37" s="90">
        <f t="shared" ca="1" si="110"/>
        <v>0</v>
      </c>
      <c r="S37" s="90">
        <f t="shared" ca="1" si="111"/>
        <v>0</v>
      </c>
      <c r="T37" s="90">
        <f t="shared" ca="1" si="112"/>
        <v>0</v>
      </c>
      <c r="U37" s="90"/>
      <c r="V37" s="90">
        <f t="shared" ca="1" si="113"/>
        <v>0</v>
      </c>
      <c r="W37" s="90">
        <f t="shared" ca="1" si="114"/>
        <v>0</v>
      </c>
      <c r="Y37" s="87" t="str">
        <f t="shared" ref="Y37" si="138">M37</f>
        <v>Sprint_2_5u6</v>
      </c>
      <c r="Z37" s="90">
        <f t="shared" ca="1" si="115"/>
        <v>41</v>
      </c>
      <c r="AA37" s="90">
        <f t="shared" ca="1" si="116"/>
        <v>3</v>
      </c>
      <c r="AB37" s="90">
        <f t="shared" ca="1" si="117"/>
        <v>43</v>
      </c>
      <c r="AC37" s="90">
        <f t="shared" ca="1" si="118"/>
        <v>24</v>
      </c>
      <c r="AD37" s="90">
        <f t="shared" ca="1" si="119"/>
        <v>24</v>
      </c>
      <c r="AE37" s="90">
        <f t="shared" ca="1" si="120"/>
        <v>24</v>
      </c>
      <c r="AF37" s="90">
        <f t="shared" ca="1" si="121"/>
        <v>19</v>
      </c>
      <c r="AG37" s="90"/>
      <c r="AH37" s="90">
        <f t="shared" ca="1" si="122"/>
        <v>21</v>
      </c>
      <c r="AI37" s="90">
        <f t="shared" ca="1" si="123"/>
        <v>51</v>
      </c>
      <c r="AK37" s="87" t="str">
        <f t="shared" ref="AK37" si="139">Y37</f>
        <v>Sprint_2_5u6</v>
      </c>
      <c r="AL37" s="90">
        <f ca="1">INDIRECT($A17 &amp;"!e$6")</f>
        <v>23</v>
      </c>
      <c r="AM37" s="90">
        <f ca="1">INDIRECT($A17 &amp;"!e$7")</f>
        <v>11</v>
      </c>
      <c r="AN37" s="90">
        <f ca="1">INDIRECT($A17 &amp;"!e$8")</f>
        <v>27</v>
      </c>
      <c r="AO37" s="90">
        <f ca="1">INDIRECT($A17 &amp;"!e$9")</f>
        <v>13</v>
      </c>
      <c r="AP37" s="90">
        <f ca="1">INDIRECT($A17 &amp;"!e$10")</f>
        <v>17</v>
      </c>
      <c r="AQ37" s="90">
        <f ca="1">INDIRECT($A17 &amp;"!e$11")</f>
        <v>20</v>
      </c>
      <c r="AR37" s="90">
        <f ca="1">INDIRECT($A17 &amp;"!e$12")</f>
        <v>20</v>
      </c>
      <c r="AS37" s="90"/>
      <c r="AT37" s="90">
        <f ca="1">INDIRECT($A17 &amp;"!e$14")</f>
        <v>79</v>
      </c>
      <c r="AU37" s="90">
        <f ca="1">INDIRECT($A17 &amp;"!e$15")</f>
        <v>17</v>
      </c>
    </row>
    <row r="38" spans="1:47">
      <c r="A38" s="87" t="str">
        <f t="shared" si="74"/>
        <v>Sprint_3_1u2</v>
      </c>
      <c r="B38" s="90">
        <f t="shared" ca="1" si="97"/>
        <v>0</v>
      </c>
      <c r="C38" s="90">
        <f t="shared" ca="1" si="98"/>
        <v>28</v>
      </c>
      <c r="D38" s="90">
        <f t="shared" ca="1" si="99"/>
        <v>132</v>
      </c>
      <c r="E38" s="90">
        <f t="shared" ca="1" si="100"/>
        <v>0</v>
      </c>
      <c r="F38" s="90">
        <f t="shared" ca="1" si="101"/>
        <v>66</v>
      </c>
      <c r="G38" s="90">
        <f t="shared" ca="1" si="102"/>
        <v>0</v>
      </c>
      <c r="H38" s="90">
        <f t="shared" ca="1" si="103"/>
        <v>51</v>
      </c>
      <c r="I38" s="90"/>
      <c r="J38" s="90">
        <f t="shared" ca="1" si="104"/>
        <v>0</v>
      </c>
      <c r="K38" s="90">
        <f t="shared" ca="1" si="105"/>
        <v>0</v>
      </c>
      <c r="M38" s="87" t="str">
        <f t="shared" ref="M38" si="140">A38</f>
        <v>Sprint_3_1u2</v>
      </c>
      <c r="N38" s="90">
        <f t="shared" ca="1" si="106"/>
        <v>0</v>
      </c>
      <c r="O38" s="90">
        <f t="shared" ca="1" si="107"/>
        <v>10</v>
      </c>
      <c r="P38" s="90">
        <f t="shared" ca="1" si="108"/>
        <v>0</v>
      </c>
      <c r="Q38" s="90">
        <f t="shared" ca="1" si="109"/>
        <v>0</v>
      </c>
      <c r="R38" s="90">
        <f t="shared" ca="1" si="110"/>
        <v>0</v>
      </c>
      <c r="S38" s="90">
        <f t="shared" ca="1" si="111"/>
        <v>0</v>
      </c>
      <c r="T38" s="90">
        <f t="shared" ca="1" si="112"/>
        <v>0</v>
      </c>
      <c r="U38" s="90"/>
      <c r="V38" s="90">
        <f t="shared" ca="1" si="113"/>
        <v>0</v>
      </c>
      <c r="W38" s="90">
        <f t="shared" ca="1" si="114"/>
        <v>0</v>
      </c>
      <c r="Y38" s="87" t="str">
        <f t="shared" ref="Y38" si="141">M38</f>
        <v>Sprint_3_1u2</v>
      </c>
      <c r="Z38" s="90">
        <f t="shared" ca="1" si="115"/>
        <v>0</v>
      </c>
      <c r="AA38" s="90">
        <f t="shared" ca="1" si="116"/>
        <v>17</v>
      </c>
      <c r="AB38" s="90">
        <f t="shared" ca="1" si="117"/>
        <v>19</v>
      </c>
      <c r="AC38" s="90">
        <f t="shared" ca="1" si="118"/>
        <v>0</v>
      </c>
      <c r="AD38" s="90">
        <f t="shared" ca="1" si="119"/>
        <v>14</v>
      </c>
      <c r="AE38" s="90">
        <f t="shared" ca="1" si="120"/>
        <v>0</v>
      </c>
      <c r="AF38" s="90">
        <f t="shared" ca="1" si="121"/>
        <v>21</v>
      </c>
      <c r="AG38" s="90"/>
      <c r="AH38" s="90">
        <f t="shared" ca="1" si="122"/>
        <v>0</v>
      </c>
      <c r="AI38" s="90">
        <f t="shared" ca="1" si="123"/>
        <v>0</v>
      </c>
      <c r="AK38" s="87" t="str">
        <f t="shared" ref="AK38" si="142">Y38</f>
        <v>Sprint_3_1u2</v>
      </c>
      <c r="AL38" s="90">
        <f ca="1">INDIRECT($A18 &amp;"!e$6")</f>
        <v>0</v>
      </c>
      <c r="AM38" s="90">
        <f ca="1">INDIRECT($A18 &amp;"!e$7")</f>
        <v>9</v>
      </c>
      <c r="AN38" s="90">
        <f ca="1">INDIRECT($A18 &amp;"!e$8")</f>
        <v>39</v>
      </c>
      <c r="AO38" s="90">
        <f ca="1">INDIRECT($A18 &amp;"!e$9")</f>
        <v>0</v>
      </c>
      <c r="AP38" s="90">
        <f ca="1">INDIRECT($A18 &amp;"!e$10")</f>
        <v>19</v>
      </c>
      <c r="AQ38" s="90">
        <f ca="1">INDIRECT($A18 &amp;"!e$11")</f>
        <v>0</v>
      </c>
      <c r="AR38" s="90">
        <f ca="1">INDIRECT($A18 &amp;"!e$12")</f>
        <v>13</v>
      </c>
      <c r="AS38" s="90"/>
      <c r="AT38" s="90">
        <f ca="1">INDIRECT($A18 &amp;"!e$14")</f>
        <v>0</v>
      </c>
      <c r="AU38" s="90">
        <f ca="1">INDIRECT($A18 &amp;"!e$15")</f>
        <v>0</v>
      </c>
    </row>
    <row r="39" spans="1:47">
      <c r="A39" s="87" t="str">
        <f t="shared" si="74"/>
        <v>Sprint_3_3u4</v>
      </c>
      <c r="B39" s="90"/>
      <c r="C39" s="90"/>
      <c r="D39" s="90"/>
      <c r="E39" s="90"/>
      <c r="F39" s="90"/>
      <c r="G39" s="90"/>
      <c r="H39" s="90"/>
      <c r="I39" s="90"/>
      <c r="J39" s="90"/>
      <c r="K39" s="90"/>
      <c r="M39" s="87" t="str">
        <f t="shared" si="133"/>
        <v>Sprint_3_3u4</v>
      </c>
      <c r="N39" s="90"/>
      <c r="O39" s="90"/>
      <c r="P39" s="90"/>
      <c r="Q39" s="90"/>
      <c r="R39" s="90"/>
      <c r="S39" s="90"/>
      <c r="T39" s="90"/>
      <c r="U39" s="90"/>
      <c r="V39" s="90"/>
      <c r="W39" s="90"/>
      <c r="Y39" s="87" t="str">
        <f t="shared" si="85"/>
        <v>Sprint_3_3u4</v>
      </c>
      <c r="AK39" s="87" t="str">
        <f t="shared" si="86"/>
        <v>Sprint_3_3u4</v>
      </c>
    </row>
    <row r="40" spans="1:47">
      <c r="A40" s="87" t="str">
        <f t="shared" si="74"/>
        <v>Sprint_3_5u6</v>
      </c>
      <c r="B40" s="90"/>
      <c r="C40" s="90"/>
      <c r="D40" s="90"/>
      <c r="E40" s="90"/>
      <c r="F40" s="90"/>
      <c r="G40" s="90"/>
      <c r="H40" s="90"/>
      <c r="I40" s="90"/>
      <c r="J40" s="90"/>
      <c r="K40" s="90"/>
      <c r="M40" s="87" t="str">
        <f t="shared" ref="M40" si="143">A40</f>
        <v>Sprint_3_5u6</v>
      </c>
      <c r="N40" s="90"/>
      <c r="O40" s="90"/>
      <c r="P40" s="90"/>
      <c r="Q40" s="90"/>
      <c r="R40" s="90"/>
      <c r="S40" s="90"/>
      <c r="T40" s="90"/>
      <c r="U40" s="90"/>
      <c r="V40" s="90"/>
      <c r="W40" s="90"/>
      <c r="Y40" s="87" t="str">
        <f t="shared" ref="Y40" si="144">M40</f>
        <v>Sprint_3_5u6</v>
      </c>
      <c r="AK40" s="87" t="str">
        <f t="shared" si="86"/>
        <v>Sprint_3_5u6</v>
      </c>
    </row>
    <row r="41" spans="1:47">
      <c r="B41" s="90"/>
      <c r="C41" s="90"/>
      <c r="D41" s="90"/>
      <c r="E41" s="90"/>
      <c r="F41" s="90"/>
      <c r="G41" s="90"/>
      <c r="H41" s="90"/>
      <c r="I41" s="90"/>
      <c r="J41" s="90"/>
      <c r="K41" s="90"/>
    </row>
    <row r="42" spans="1:47">
      <c r="B42" s="410" t="s">
        <v>129</v>
      </c>
      <c r="C42" s="410"/>
      <c r="D42" s="410"/>
      <c r="E42" s="410"/>
      <c r="F42" s="410"/>
      <c r="G42" s="410"/>
      <c r="H42" s="410"/>
      <c r="I42" s="410"/>
      <c r="J42" s="410"/>
      <c r="K42" s="410"/>
      <c r="M42" s="94"/>
      <c r="N42" s="411" t="s">
        <v>43</v>
      </c>
      <c r="O42" s="411"/>
      <c r="P42" s="411"/>
      <c r="Q42" s="411"/>
      <c r="R42" s="411"/>
      <c r="S42" s="411"/>
      <c r="T42" s="411"/>
      <c r="U42" s="411"/>
      <c r="V42" s="411"/>
      <c r="W42" s="411"/>
      <c r="Z42" s="410" t="s">
        <v>130</v>
      </c>
      <c r="AA42" s="410"/>
      <c r="AB42" s="410"/>
      <c r="AC42" s="410"/>
      <c r="AD42" s="410"/>
      <c r="AE42" s="410"/>
      <c r="AF42" s="410"/>
      <c r="AG42" s="410"/>
      <c r="AH42" s="410"/>
      <c r="AI42" s="410"/>
    </row>
    <row r="43" spans="1:47">
      <c r="B43" s="90" t="str">
        <f>B23</f>
        <v>Engineering</v>
      </c>
      <c r="C43" s="90" t="str">
        <f t="shared" ref="C43:K43" si="145">C23</f>
        <v>Payment</v>
      </c>
      <c r="D43" s="90" t="str">
        <f t="shared" si="145"/>
        <v>Sales</v>
      </c>
      <c r="E43" s="90" t="str">
        <f t="shared" si="145"/>
        <v>Vlinder</v>
      </c>
      <c r="F43" s="90" t="str">
        <f t="shared" si="145"/>
        <v>TTT</v>
      </c>
      <c r="G43" s="90" t="str">
        <f t="shared" si="145"/>
        <v>TNT</v>
      </c>
      <c r="H43" s="90" t="str">
        <f t="shared" si="145"/>
        <v>TFS</v>
      </c>
      <c r="I43" s="90" t="str">
        <f t="shared" si="145"/>
        <v>0-Noise</v>
      </c>
      <c r="J43" s="90" t="str">
        <f t="shared" si="145"/>
        <v>Synergy</v>
      </c>
      <c r="K43" s="90" t="str">
        <f t="shared" si="145"/>
        <v>Papillon</v>
      </c>
      <c r="N43" s="90" t="str">
        <f>B43</f>
        <v>Engineering</v>
      </c>
      <c r="O43" s="90" t="str">
        <f t="shared" ref="O43" si="146">C43</f>
        <v>Payment</v>
      </c>
      <c r="P43" s="90" t="str">
        <f t="shared" ref="P43" si="147">D43</f>
        <v>Sales</v>
      </c>
      <c r="Q43" s="90" t="str">
        <f t="shared" ref="Q43" si="148">E43</f>
        <v>Vlinder</v>
      </c>
      <c r="R43" s="90" t="str">
        <f t="shared" ref="R43" si="149">F43</f>
        <v>TTT</v>
      </c>
      <c r="S43" s="90" t="str">
        <f t="shared" ref="S43" si="150">G43</f>
        <v>TNT</v>
      </c>
      <c r="T43" s="90" t="str">
        <f t="shared" ref="T43" si="151">H43</f>
        <v>TFS</v>
      </c>
      <c r="U43" s="90" t="str">
        <f t="shared" ref="U43" si="152">I43</f>
        <v>0-Noise</v>
      </c>
      <c r="V43" s="90" t="str">
        <f t="shared" ref="V43" si="153">J43</f>
        <v>Synergy</v>
      </c>
      <c r="W43" s="90" t="str">
        <f t="shared" ref="W43" si="154">K43</f>
        <v>Papillon</v>
      </c>
      <c r="Z43" s="90" t="str">
        <f>N43</f>
        <v>Engineering</v>
      </c>
      <c r="AA43" s="90" t="str">
        <f t="shared" ref="AA43" si="155">O43</f>
        <v>Payment</v>
      </c>
      <c r="AB43" s="90" t="str">
        <f t="shared" ref="AB43" si="156">P43</f>
        <v>Sales</v>
      </c>
      <c r="AC43" s="90" t="str">
        <f t="shared" ref="AC43" si="157">Q43</f>
        <v>Vlinder</v>
      </c>
      <c r="AD43" s="90" t="str">
        <f t="shared" ref="AD43" si="158">R43</f>
        <v>TTT</v>
      </c>
      <c r="AE43" s="90" t="str">
        <f t="shared" ref="AE43" si="159">S43</f>
        <v>TNT</v>
      </c>
      <c r="AF43" s="90" t="str">
        <f t="shared" ref="AF43" si="160">T43</f>
        <v>TFS</v>
      </c>
      <c r="AG43" s="90" t="str">
        <f t="shared" ref="AG43" si="161">U43</f>
        <v>0-Noise</v>
      </c>
      <c r="AH43" s="90" t="str">
        <f t="shared" ref="AH43" si="162">V43</f>
        <v>Synergy</v>
      </c>
      <c r="AI43" s="90" t="str">
        <f t="shared" ref="AI43" si="163">W43</f>
        <v>Papillon</v>
      </c>
    </row>
    <row r="44" spans="1:47">
      <c r="A44" s="94" t="str">
        <f t="shared" ref="A44:A58" si="164">A4&amp;" - "&amp;A6</f>
        <v>Sprint_4_4 - Sprint_4_6</v>
      </c>
      <c r="B44" s="93">
        <f ca="1">AVERAGE(B$24:B26)</f>
        <v>55.333333333333336</v>
      </c>
      <c r="C44" s="93">
        <f ca="1">AVERAGE(C$24:C26)</f>
        <v>12.333333333333334</v>
      </c>
      <c r="D44" s="93">
        <f ca="1">AVERAGE(D$24:D26)</f>
        <v>35.333333333333336</v>
      </c>
      <c r="E44" s="93">
        <f ca="1">AVERAGE(E$24:E26)</f>
        <v>30.333333333333332</v>
      </c>
      <c r="F44" s="93">
        <f ca="1">AVERAGE(F$24:F26)</f>
        <v>38.666666666666664</v>
      </c>
      <c r="G44" s="93">
        <f ca="1">AVERAGE(G$24:G26)</f>
        <v>38</v>
      </c>
      <c r="H44" s="93">
        <f ca="1">AVERAGE(H$24:H26)</f>
        <v>25.333333333333332</v>
      </c>
      <c r="I44" s="93">
        <f ca="1">AVERAGE(I$24:I26)</f>
        <v>21.666666666666668</v>
      </c>
      <c r="J44" s="93"/>
      <c r="K44" s="93">
        <f ca="1">AVERAGE(K$24:K26)</f>
        <v>22.333333333333332</v>
      </c>
      <c r="M44" s="87" t="str">
        <f t="shared" ref="M44:M51" si="165">A44</f>
        <v>Sprint_4_4 - Sprint_4_6</v>
      </c>
      <c r="N44" s="93">
        <f ca="1">_xlfn.STDEV.P(B$24:B26)</f>
        <v>13.719410418171119</v>
      </c>
      <c r="O44" s="93">
        <f ca="1">_xlfn.STDEV.P(C$24:C26)</f>
        <v>6.1282587702834119</v>
      </c>
      <c r="P44" s="93">
        <f ca="1">_xlfn.STDEV.P(D$24:D26)</f>
        <v>11.14550233153366</v>
      </c>
      <c r="Q44" s="93">
        <f ca="1">_xlfn.STDEV.P(E$24:E26)</f>
        <v>9.1772665986241364</v>
      </c>
      <c r="R44" s="93">
        <f ca="1">_xlfn.STDEV.P(F$24:F26)</f>
        <v>9.1772665986241364</v>
      </c>
      <c r="S44" s="93">
        <f ca="1">_xlfn.STDEV.P(G$24:G26)</f>
        <v>2.4494897427831779</v>
      </c>
      <c r="T44" s="93">
        <f ca="1">_xlfn.STDEV.P(H$24:H26)</f>
        <v>6.5996632910744433</v>
      </c>
      <c r="U44" s="93">
        <f ca="1">_xlfn.STDEV.P(I$24:I26)</f>
        <v>7.3181661333667165</v>
      </c>
      <c r="V44" s="93"/>
      <c r="W44" s="93">
        <f ca="1">_xlfn.STDEV.P(K$24:K26)</f>
        <v>10.498677165349081</v>
      </c>
      <c r="Y44" s="87" t="str">
        <f t="shared" ref="Y44:Y57" si="166">M44</f>
        <v>Sprint_4_4 - Sprint_4_6</v>
      </c>
      <c r="Z44" s="258">
        <f ca="1">AVEDEV(B$24:B26)</f>
        <v>12.222222222222221</v>
      </c>
      <c r="AA44" s="258">
        <f ca="1">AVEDEV(C$24:C26)</f>
        <v>5.1111111111111116</v>
      </c>
      <c r="AB44" s="258">
        <f ca="1">AVEDEV(D$24:D26)</f>
        <v>9.7777777777777786</v>
      </c>
      <c r="AC44" s="258">
        <f ca="1">AVEDEV(E$24:E26)</f>
        <v>8.2222222222222232</v>
      </c>
      <c r="AD44" s="258">
        <f ca="1">AVEDEV(F$24:F26)</f>
        <v>8.2222222222222214</v>
      </c>
      <c r="AE44" s="258">
        <f ca="1">AVEDEV(G$24:G26)</f>
        <v>2</v>
      </c>
      <c r="AF44" s="258">
        <f ca="1">AVEDEV(H$24:H26)</f>
        <v>6.2222222222222223</v>
      </c>
      <c r="AG44" s="258">
        <f ca="1">AVEDEV(I$24:I26)</f>
        <v>6.8888888888888893</v>
      </c>
      <c r="AH44" s="258"/>
      <c r="AI44" s="258">
        <f ca="1">AVEDEV(K$24:K26)</f>
        <v>9.7777777777777768</v>
      </c>
    </row>
    <row r="45" spans="1:47">
      <c r="A45" s="94" t="str">
        <f t="shared" si="164"/>
        <v>Sprint_4_5 - Sprint_4_8</v>
      </c>
      <c r="B45" s="93">
        <f ca="1">AVERAGE(B$24:B27)</f>
        <v>60</v>
      </c>
      <c r="C45" s="93">
        <f ca="1">AVERAGE(C$24:C27)</f>
        <v>11.5</v>
      </c>
      <c r="D45" s="93">
        <f ca="1">AVERAGE(D$24:D27)</f>
        <v>32.5</v>
      </c>
      <c r="E45" s="93">
        <f ca="1">AVERAGE(E$24:E27)</f>
        <v>30</v>
      </c>
      <c r="F45" s="93">
        <f ca="1">AVERAGE(F$24:F27)</f>
        <v>38.5</v>
      </c>
      <c r="G45" s="93">
        <f ca="1">AVERAGE(G$24:G27)</f>
        <v>41.5</v>
      </c>
      <c r="H45" s="93">
        <f ca="1">AVERAGE(H$24:H27)</f>
        <v>23.5</v>
      </c>
      <c r="I45" s="93"/>
      <c r="J45" s="93">
        <f ca="1">AVERAGE(J$24:J27)</f>
        <v>25.333333333333332</v>
      </c>
      <c r="K45" s="93">
        <f ca="1">AVERAGE(K$24:K27)</f>
        <v>22.75</v>
      </c>
      <c r="M45" s="87" t="str">
        <f t="shared" si="165"/>
        <v>Sprint_4_5 - Sprint_4_8</v>
      </c>
      <c r="N45" s="93">
        <f ca="1">_xlfn.STDEV.P(B$24:B27)</f>
        <v>14.370107863199914</v>
      </c>
      <c r="O45" s="93">
        <f ca="1">_xlfn.STDEV.P(C$24:C27)</f>
        <v>5.5</v>
      </c>
      <c r="P45" s="93">
        <f ca="1">_xlfn.STDEV.P(D$24:D27)</f>
        <v>10.828203913853857</v>
      </c>
      <c r="Q45" s="93">
        <f ca="1">_xlfn.STDEV.P(E$24:E27)</f>
        <v>7.9686887252546139</v>
      </c>
      <c r="R45" s="93">
        <f ca="1">_xlfn.STDEV.P(F$24:F27)</f>
        <v>7.952986860293433</v>
      </c>
      <c r="S45" s="93">
        <f ca="1">_xlfn.STDEV.P(G$24:G27)</f>
        <v>6.4226162893325647</v>
      </c>
      <c r="T45" s="93">
        <f ca="1">_xlfn.STDEV.P(H$24:H27)</f>
        <v>6.5383484153110105</v>
      </c>
      <c r="U45" s="93">
        <f ca="1">_xlfn.STDEV.P(I$24:I27)</f>
        <v>7.8421935706790613</v>
      </c>
      <c r="V45" s="93">
        <f ca="1">_xlfn.STDEV.P(J$24:J27)</f>
        <v>3.2998316455372216</v>
      </c>
      <c r="W45" s="93">
        <f ca="1">_xlfn.STDEV.P(K$24:K27)</f>
        <v>9.1207181734773499</v>
      </c>
      <c r="Y45" s="87" t="str">
        <f t="shared" si="166"/>
        <v>Sprint_4_5 - Sprint_4_8</v>
      </c>
      <c r="Z45" s="93">
        <f ca="1">AVEDEV(B$24:B27)</f>
        <v>12</v>
      </c>
      <c r="AA45" s="93">
        <f ca="1">AVEDEV(C$24:C27)</f>
        <v>4.5</v>
      </c>
      <c r="AB45" s="93">
        <f ca="1">AVEDEV(D$24:D27)</f>
        <v>9</v>
      </c>
      <c r="AC45" s="93">
        <f ca="1">AVEDEV(E$24:E27)</f>
        <v>6.5</v>
      </c>
      <c r="AD45" s="93">
        <f ca="1">AVEDEV(F$24:F27)</f>
        <v>6.25</v>
      </c>
      <c r="AE45" s="93">
        <f ca="1">AVEDEV(G$24:G27)</f>
        <v>5.25</v>
      </c>
      <c r="AF45" s="93">
        <f ca="1">AVEDEV(H$24:H27)</f>
        <v>6.5</v>
      </c>
      <c r="AG45" s="93">
        <f ca="1">AVEDEV(I$24:I27)</f>
        <v>6.5</v>
      </c>
      <c r="AH45" s="93">
        <f ca="1">AVEDEV(J$24:J27)</f>
        <v>3.1111111111111107</v>
      </c>
      <c r="AI45" s="93">
        <f ca="1">AVEDEV(K$24:K27)</f>
        <v>7.75</v>
      </c>
    </row>
    <row r="46" spans="1:47" s="289" customFormat="1">
      <c r="A46" s="257" t="str">
        <f t="shared" si="164"/>
        <v>Sprint_4_6 - Sprint_1_1</v>
      </c>
      <c r="B46" s="196">
        <f ca="1">AVERAGE(B$24:B28)</f>
        <v>63</v>
      </c>
      <c r="C46" s="196">
        <f ca="1">AVERAGE(C$24:C28)</f>
        <v>11.2</v>
      </c>
      <c r="D46" s="196">
        <f ca="1">AVERAGE(D$24:D28)</f>
        <v>33.4</v>
      </c>
      <c r="E46" s="196">
        <f ca="1">AVERAGE(E$24:E28)</f>
        <v>29.4</v>
      </c>
      <c r="F46" s="196">
        <f ca="1">AVERAGE(F$24:F28)</f>
        <v>36.6</v>
      </c>
      <c r="G46" s="196">
        <f ca="1">AVERAGE(G$24:G28)</f>
        <v>40.6</v>
      </c>
      <c r="H46" s="196">
        <f ca="1">AVERAGE(H$24:H28)</f>
        <v>23.2</v>
      </c>
      <c r="I46" s="196"/>
      <c r="J46" s="196">
        <f ca="1">AVERAGE(J$24:J28)</f>
        <v>23.25</v>
      </c>
      <c r="K46" s="196">
        <f ca="1">AVERAGE(K$24:K28)</f>
        <v>22.8</v>
      </c>
      <c r="L46" s="274"/>
      <c r="M46" s="256" t="str">
        <f t="shared" si="165"/>
        <v>Sprint_4_6 - Sprint_1_1</v>
      </c>
      <c r="N46" s="196">
        <f ca="1">_xlfn.STDEV.P(B$24:B28)</f>
        <v>14.184498581197715</v>
      </c>
      <c r="O46" s="196">
        <f ca="1">_xlfn.STDEV.P(C$24:C28)</f>
        <v>4.9558046773455464</v>
      </c>
      <c r="P46" s="196">
        <f ca="1">_xlfn.STDEV.P(D$24:D28)</f>
        <v>9.8508882848198009</v>
      </c>
      <c r="Q46" s="196">
        <f ca="1">_xlfn.STDEV.P(E$24:E28)</f>
        <v>7.2277243998370606</v>
      </c>
      <c r="R46" s="196">
        <f ca="1">_xlfn.STDEV.P(F$24:F28)</f>
        <v>8.064738061462382</v>
      </c>
      <c r="S46" s="196">
        <f ca="1">_xlfn.STDEV.P(G$24:G28)</f>
        <v>6.0199667773169647</v>
      </c>
      <c r="T46" s="196">
        <f ca="1">_xlfn.STDEV.P(H$24:H28)</f>
        <v>5.8787753826796276</v>
      </c>
      <c r="U46" s="196"/>
      <c r="V46" s="196">
        <f ca="1">_xlfn.STDEV.P(J$24:J28)</f>
        <v>4.6029881598804918</v>
      </c>
      <c r="W46" s="196">
        <f ca="1">_xlfn.STDEV.P(K$24:K28)</f>
        <v>8.1584312217484563</v>
      </c>
      <c r="X46" s="274"/>
      <c r="Y46" s="256" t="str">
        <f t="shared" si="166"/>
        <v>Sprint_4_6 - Sprint_1_1</v>
      </c>
      <c r="Z46" s="196">
        <f ca="1">AVEDEV(B$24:B28)</f>
        <v>12</v>
      </c>
      <c r="AA46" s="196">
        <f ca="1">AVEDEV(C$24:C28)</f>
        <v>3.84</v>
      </c>
      <c r="AB46" s="196">
        <f ca="1">AVEDEV(D$24:D28)</f>
        <v>8.08</v>
      </c>
      <c r="AC46" s="196">
        <f ca="1">AVEDEV(E$24:E28)</f>
        <v>5.68</v>
      </c>
      <c r="AD46" s="196">
        <f ca="1">AVEDEV(F$24:F28)</f>
        <v>6.32</v>
      </c>
      <c r="AE46" s="196">
        <f ca="1">AVEDEV(G$24:G28)</f>
        <v>4.7200000000000006</v>
      </c>
      <c r="AF46" s="196">
        <f ca="1">AVEDEV(H$24:H28)</f>
        <v>5.4399999999999995</v>
      </c>
      <c r="AG46" s="196"/>
      <c r="AH46" s="196">
        <f ca="1">AVEDEV(J$24:J28)</f>
        <v>3.375</v>
      </c>
      <c r="AI46" s="196">
        <f ca="1">AVEDEV(K$24:K28)</f>
        <v>6.24</v>
      </c>
      <c r="AJ46" s="274"/>
    </row>
    <row r="47" spans="1:47">
      <c r="A47" s="94" t="str">
        <f t="shared" si="164"/>
        <v>Sprint_4_8 - Sprint_1_2</v>
      </c>
      <c r="B47" s="93">
        <f ca="1">AVERAGE(B24:B29)</f>
        <v>58.833333333333336</v>
      </c>
      <c r="C47" s="93">
        <f t="shared" ref="C47:K47" ca="1" si="167">AVERAGE(C24:C29)</f>
        <v>14.333333333333334</v>
      </c>
      <c r="D47" s="93">
        <f t="shared" ca="1" si="167"/>
        <v>35.333333333333336</v>
      </c>
      <c r="E47" s="93">
        <f t="shared" ca="1" si="167"/>
        <v>30.333333333333332</v>
      </c>
      <c r="F47" s="93">
        <f t="shared" ca="1" si="167"/>
        <v>34.833333333333336</v>
      </c>
      <c r="G47" s="93">
        <f t="shared" ca="1" si="167"/>
        <v>41.666666666666664</v>
      </c>
      <c r="H47" s="93">
        <f t="shared" ca="1" si="167"/>
        <v>24.166666666666668</v>
      </c>
      <c r="I47" s="93"/>
      <c r="J47" s="93">
        <f t="shared" ca="1" si="167"/>
        <v>24.4</v>
      </c>
      <c r="K47" s="93">
        <f t="shared" ca="1" si="167"/>
        <v>25.916666666666668</v>
      </c>
      <c r="M47" s="87" t="str">
        <f t="shared" si="165"/>
        <v>Sprint_4_8 - Sprint_1_2</v>
      </c>
      <c r="N47" s="93">
        <f t="shared" ref="N47:N53" ca="1" si="168">_xlfn.STDEV.P(B24:B29)</f>
        <v>15.952185499868731</v>
      </c>
      <c r="O47" s="93">
        <f t="shared" ref="O47:W47" ca="1" si="169">_xlfn.STDEV.P(C24:C29)</f>
        <v>8.3399973354645365</v>
      </c>
      <c r="P47" s="93">
        <f t="shared" ca="1" si="169"/>
        <v>9.9777530313971763</v>
      </c>
      <c r="Q47" s="93">
        <f t="shared" ca="1" si="169"/>
        <v>6.9201798306755649</v>
      </c>
      <c r="R47" s="93">
        <f t="shared" ca="1" si="169"/>
        <v>8.3549719063295207</v>
      </c>
      <c r="S47" s="93">
        <f t="shared" ca="1" si="169"/>
        <v>5.9907335852038095</v>
      </c>
      <c r="T47" s="93">
        <f t="shared" ca="1" si="169"/>
        <v>5.7855183192365942</v>
      </c>
      <c r="U47" s="93"/>
      <c r="V47" s="93">
        <f t="shared" ca="1" si="169"/>
        <v>4.7159304490206386</v>
      </c>
      <c r="W47" s="93">
        <f t="shared" ca="1" si="169"/>
        <v>10.199741282121925</v>
      </c>
      <c r="Y47" s="87" t="str">
        <f t="shared" si="166"/>
        <v>Sprint_4_8 - Sprint_1_2</v>
      </c>
      <c r="Z47" s="93">
        <f ca="1">AVEDEV(B24:B29)</f>
        <v>14.222222222222223</v>
      </c>
      <c r="AA47" s="93">
        <f t="shared" ref="AA47:AI53" ca="1" si="170">AVEDEV(C24:C29)</f>
        <v>7.1111111111111116</v>
      </c>
      <c r="AB47" s="93">
        <f t="shared" ca="1" si="170"/>
        <v>8.6666666666666661</v>
      </c>
      <c r="AC47" s="93">
        <f t="shared" ca="1" si="170"/>
        <v>5.666666666666667</v>
      </c>
      <c r="AD47" s="93">
        <f t="shared" ca="1" si="170"/>
        <v>6.833333333333333</v>
      </c>
      <c r="AE47" s="93">
        <f t="shared" ca="1" si="170"/>
        <v>5.2222222222222214</v>
      </c>
      <c r="AF47" s="93">
        <f t="shared" ca="1" si="170"/>
        <v>5.5</v>
      </c>
      <c r="AG47" s="93"/>
      <c r="AH47" s="93">
        <f t="shared" ca="1" si="170"/>
        <v>4.08</v>
      </c>
      <c r="AI47" s="93">
        <f t="shared" ca="1" si="170"/>
        <v>8.8888888888888911</v>
      </c>
    </row>
    <row r="48" spans="1:47">
      <c r="A48" s="94" t="str">
        <f t="shared" si="164"/>
        <v>Sprint_1_1 - Sprint_1_3</v>
      </c>
      <c r="B48" s="93">
        <f t="shared" ref="B48:K48" ca="1" si="171">AVERAGE(B25:B30)</f>
        <v>56.166666666666664</v>
      </c>
      <c r="C48" s="93">
        <f t="shared" ca="1" si="171"/>
        <v>16.166666666666668</v>
      </c>
      <c r="D48" s="93">
        <f t="shared" ca="1" si="171"/>
        <v>37.166666666666664</v>
      </c>
      <c r="E48" s="93">
        <f t="shared" ca="1" si="171"/>
        <v>29.166666666666668</v>
      </c>
      <c r="F48" s="93">
        <f t="shared" ca="1" si="171"/>
        <v>34.833333333333336</v>
      </c>
      <c r="G48" s="93">
        <f t="shared" ca="1" si="171"/>
        <v>39.333333333333336</v>
      </c>
      <c r="H48" s="93">
        <f t="shared" ca="1" si="171"/>
        <v>25.666666666666668</v>
      </c>
      <c r="I48" s="93"/>
      <c r="J48" s="93">
        <f t="shared" ca="1" si="171"/>
        <v>23</v>
      </c>
      <c r="K48" s="93">
        <f t="shared" ca="1" si="171"/>
        <v>33.916666666666664</v>
      </c>
      <c r="M48" s="87" t="str">
        <f t="shared" si="165"/>
        <v>Sprint_1_1 - Sprint_1_3</v>
      </c>
      <c r="N48" s="93">
        <f t="shared" ca="1" si="168"/>
        <v>15.181311610734502</v>
      </c>
      <c r="O48" s="93">
        <f t="shared" ref="O48:T53" ca="1" si="172">_xlfn.STDEV.P(C25:C30)</f>
        <v>7.2207263408114901</v>
      </c>
      <c r="P48" s="93">
        <f t="shared" ca="1" si="172"/>
        <v>8.4343872859199962</v>
      </c>
      <c r="Q48" s="93">
        <f t="shared" ca="1" si="172"/>
        <v>6.9621995247351407</v>
      </c>
      <c r="R48" s="93">
        <f t="shared" ca="1" si="172"/>
        <v>8.3549719063295207</v>
      </c>
      <c r="S48" s="93">
        <f t="shared" ca="1" si="172"/>
        <v>8.1377037438224686</v>
      </c>
      <c r="T48" s="93">
        <f t="shared" ca="1" si="172"/>
        <v>4.4969125210773466</v>
      </c>
      <c r="U48" s="93"/>
      <c r="V48" s="93">
        <f t="shared" ref="V48:W53" ca="1" si="173">_xlfn.STDEV.P(J25:J30)</f>
        <v>5.3229064742237702</v>
      </c>
      <c r="W48" s="93">
        <f t="shared" ca="1" si="173"/>
        <v>14.743407189505266</v>
      </c>
      <c r="Y48" s="87" t="str">
        <f t="shared" si="166"/>
        <v>Sprint_1_1 - Sprint_1_3</v>
      </c>
      <c r="Z48" s="93">
        <f t="shared" ref="Z48:Z53" ca="1" si="174">AVEDEV(B25:B30)</f>
        <v>13.166666666666666</v>
      </c>
      <c r="AA48" s="93">
        <f t="shared" ca="1" si="170"/>
        <v>5.8888888888888902</v>
      </c>
      <c r="AB48" s="93">
        <f t="shared" ca="1" si="170"/>
        <v>6.8888888888888884</v>
      </c>
      <c r="AC48" s="93">
        <f t="shared" ca="1" si="170"/>
        <v>5.5555555555555562</v>
      </c>
      <c r="AD48" s="93">
        <f t="shared" ca="1" si="170"/>
        <v>6.833333333333333</v>
      </c>
      <c r="AE48" s="93">
        <f t="shared" ca="1" si="170"/>
        <v>6.7777777777777786</v>
      </c>
      <c r="AF48" s="93">
        <f t="shared" ca="1" si="170"/>
        <v>4</v>
      </c>
      <c r="AG48" s="93"/>
      <c r="AH48" s="93">
        <f t="shared" ca="1" si="170"/>
        <v>4.333333333333333</v>
      </c>
      <c r="AI48" s="93">
        <f t="shared" ca="1" si="170"/>
        <v>12.583333333333334</v>
      </c>
    </row>
    <row r="49" spans="1:35">
      <c r="A49" s="94" t="str">
        <f t="shared" si="164"/>
        <v>Sprint_1_2 - Sprint_1_4</v>
      </c>
      <c r="B49" s="93">
        <f t="shared" ref="B49:K49" ca="1" si="175">AVERAGE(B26:B31)</f>
        <v>50.833333333333336</v>
      </c>
      <c r="C49" s="93">
        <f t="shared" ca="1" si="175"/>
        <v>16.333333333333332</v>
      </c>
      <c r="D49" s="93">
        <f t="shared" ca="1" si="175"/>
        <v>38.166666666666664</v>
      </c>
      <c r="E49" s="93">
        <f t="shared" ca="1" si="175"/>
        <v>28.833333333333332</v>
      </c>
      <c r="F49" s="93">
        <f t="shared" ca="1" si="175"/>
        <v>34.333333333333336</v>
      </c>
      <c r="G49" s="93">
        <f t="shared" ca="1" si="175"/>
        <v>37.333333333333336</v>
      </c>
      <c r="H49" s="93">
        <f t="shared" ca="1" si="175"/>
        <v>26.333333333333332</v>
      </c>
      <c r="I49" s="93"/>
      <c r="J49" s="93">
        <f t="shared" ca="1" si="175"/>
        <v>24</v>
      </c>
      <c r="K49" s="93">
        <f t="shared" ca="1" si="175"/>
        <v>38.5</v>
      </c>
      <c r="M49" s="87" t="str">
        <f t="shared" si="165"/>
        <v>Sprint_1_2 - Sprint_1_4</v>
      </c>
      <c r="N49" s="93">
        <f t="shared" ca="1" si="168"/>
        <v>18.506005031400544</v>
      </c>
      <c r="O49" s="93">
        <f t="shared" ca="1" si="172"/>
        <v>7.1336448530108987</v>
      </c>
      <c r="P49" s="93">
        <f t="shared" ca="1" si="172"/>
        <v>10.089873911776873</v>
      </c>
      <c r="Q49" s="93">
        <f t="shared" ca="1" si="172"/>
        <v>6.4657215804236081</v>
      </c>
      <c r="R49" s="93">
        <f t="shared" ca="1" si="172"/>
        <v>8.3599574693229677</v>
      </c>
      <c r="S49" s="93">
        <f t="shared" ca="1" si="172"/>
        <v>10.176225014982499</v>
      </c>
      <c r="T49" s="93">
        <f t="shared" ca="1" si="172"/>
        <v>5.312459150169742</v>
      </c>
      <c r="U49" s="93"/>
      <c r="V49" s="93">
        <f t="shared" ca="1" si="173"/>
        <v>5.7735026918962582</v>
      </c>
      <c r="W49" s="93">
        <f t="shared" ca="1" si="173"/>
        <v>12.935738607954837</v>
      </c>
      <c r="Y49" s="87" t="str">
        <f t="shared" si="166"/>
        <v>Sprint_1_2 - Sprint_1_4</v>
      </c>
      <c r="Z49" s="93">
        <f t="shared" ca="1" si="174"/>
        <v>16.833333333333332</v>
      </c>
      <c r="AA49" s="93">
        <f t="shared" ca="1" si="170"/>
        <v>5.7777777777777777</v>
      </c>
      <c r="AB49" s="93">
        <f t="shared" ca="1" si="170"/>
        <v>8.2222222222222214</v>
      </c>
      <c r="AC49" s="93">
        <f t="shared" ca="1" si="170"/>
        <v>5.166666666666667</v>
      </c>
      <c r="AD49" s="93">
        <f t="shared" ca="1" si="170"/>
        <v>6.7777777777777786</v>
      </c>
      <c r="AE49" s="93">
        <f t="shared" ca="1" si="170"/>
        <v>8.3333333333333339</v>
      </c>
      <c r="AF49" s="93">
        <f t="shared" ca="1" si="170"/>
        <v>4.666666666666667</v>
      </c>
      <c r="AG49" s="93"/>
      <c r="AH49" s="93">
        <f t="shared" ca="1" si="170"/>
        <v>5.333333333333333</v>
      </c>
      <c r="AI49" s="93">
        <f t="shared" ca="1" si="170"/>
        <v>10.5</v>
      </c>
    </row>
    <row r="50" spans="1:35">
      <c r="A50" s="94" t="str">
        <f t="shared" si="164"/>
        <v>Sprint_1_3 - Sprint_1_5</v>
      </c>
      <c r="B50" s="93">
        <f t="shared" ref="B50:K50" ca="1" si="176">AVERAGE(B27:B32)</f>
        <v>56.666666666666664</v>
      </c>
      <c r="C50" s="93">
        <f t="shared" ca="1" si="176"/>
        <v>15.166666666666666</v>
      </c>
      <c r="D50" s="93">
        <f t="shared" ca="1" si="176"/>
        <v>37.833333333333336</v>
      </c>
      <c r="E50" s="93">
        <f t="shared" ca="1" si="176"/>
        <v>32</v>
      </c>
      <c r="F50" s="93">
        <f t="shared" ca="1" si="176"/>
        <v>30.5</v>
      </c>
      <c r="G50" s="93">
        <f t="shared" ca="1" si="176"/>
        <v>38.666666666666664</v>
      </c>
      <c r="H50" s="93">
        <f t="shared" ca="1" si="176"/>
        <v>27.166666666666668</v>
      </c>
      <c r="I50" s="93"/>
      <c r="J50" s="93">
        <f t="shared" ca="1" si="176"/>
        <v>25</v>
      </c>
      <c r="K50" s="93">
        <f t="shared" ca="1" si="176"/>
        <v>41.583333333333336</v>
      </c>
      <c r="M50" s="87" t="str">
        <f t="shared" si="165"/>
        <v>Sprint_1_3 - Sprint_1_5</v>
      </c>
      <c r="N50" s="93">
        <f t="shared" ca="1" si="168"/>
        <v>18.740923729160798</v>
      </c>
      <c r="O50" s="93">
        <f t="shared" ca="1" si="172"/>
        <v>7.0099136149376964</v>
      </c>
      <c r="P50" s="93">
        <f t="shared" ca="1" si="172"/>
        <v>10.286182749472982</v>
      </c>
      <c r="Q50" s="93">
        <f t="shared" ca="1" si="172"/>
        <v>4.8304589153964796</v>
      </c>
      <c r="R50" s="93">
        <f t="shared" ca="1" si="172"/>
        <v>3.9475730941090039</v>
      </c>
      <c r="S50" s="93">
        <f t="shared" ca="1" si="172"/>
        <v>10.687479694587598</v>
      </c>
      <c r="T50" s="93">
        <f t="shared" ca="1" si="172"/>
        <v>6.1486222485655722</v>
      </c>
      <c r="U50" s="93"/>
      <c r="V50" s="93">
        <f t="shared" ca="1" si="173"/>
        <v>7.0945988845975876</v>
      </c>
      <c r="W50" s="93">
        <f t="shared" ca="1" si="173"/>
        <v>14.339388255973669</v>
      </c>
      <c r="Y50" s="87" t="str">
        <f t="shared" si="166"/>
        <v>Sprint_1_3 - Sprint_1_5</v>
      </c>
      <c r="Z50" s="93">
        <f t="shared" ca="1" si="174"/>
        <v>17</v>
      </c>
      <c r="AA50" s="93">
        <f t="shared" ca="1" si="170"/>
        <v>5.2222222222222214</v>
      </c>
      <c r="AB50" s="93">
        <f t="shared" ca="1" si="170"/>
        <v>8.4444444444444446</v>
      </c>
      <c r="AC50" s="93">
        <f t="shared" ca="1" si="170"/>
        <v>4.666666666666667</v>
      </c>
      <c r="AD50" s="93">
        <f t="shared" ca="1" si="170"/>
        <v>3.3333333333333335</v>
      </c>
      <c r="AE50" s="93">
        <f t="shared" ca="1" si="170"/>
        <v>9.6666666666666661</v>
      </c>
      <c r="AF50" s="93">
        <f t="shared" ca="1" si="170"/>
        <v>5.5</v>
      </c>
      <c r="AG50" s="93"/>
      <c r="AH50" s="93">
        <f t="shared" ca="1" si="170"/>
        <v>6.333333333333333</v>
      </c>
      <c r="AI50" s="93">
        <f t="shared" ca="1" si="170"/>
        <v>12.083333333333334</v>
      </c>
    </row>
    <row r="51" spans="1:35">
      <c r="A51" s="94" t="str">
        <f t="shared" si="164"/>
        <v>Sprint_1_4 - Sprint_1_6</v>
      </c>
      <c r="B51" s="93">
        <f t="shared" ref="B51:K51" ca="1" si="177">AVERAGE(B28:B33)</f>
        <v>55.666666666666664</v>
      </c>
      <c r="C51" s="93">
        <f t="shared" ca="1" si="177"/>
        <v>20.166666666666668</v>
      </c>
      <c r="D51" s="93">
        <f t="shared" ca="1" si="177"/>
        <v>41.833333333333336</v>
      </c>
      <c r="E51" s="93">
        <f t="shared" ca="1" si="177"/>
        <v>32.5</v>
      </c>
      <c r="F51" s="93">
        <f t="shared" ca="1" si="177"/>
        <v>28.5</v>
      </c>
      <c r="G51" s="93">
        <f t="shared" ca="1" si="177"/>
        <v>35.166666666666664</v>
      </c>
      <c r="H51" s="93">
        <f t="shared" ca="1" si="177"/>
        <v>27.166666666666668</v>
      </c>
      <c r="I51" s="93"/>
      <c r="J51" s="93">
        <f t="shared" ca="1" si="177"/>
        <v>27.166666666666668</v>
      </c>
      <c r="K51" s="93">
        <f t="shared" ca="1" si="177"/>
        <v>46.083333333333336</v>
      </c>
      <c r="M51" s="87" t="str">
        <f t="shared" si="165"/>
        <v>Sprint_1_4 - Sprint_1_6</v>
      </c>
      <c r="N51" s="93">
        <f t="shared" ca="1" si="168"/>
        <v>17.93197020841702</v>
      </c>
      <c r="O51" s="93">
        <f t="shared" ca="1" si="172"/>
        <v>10.605292179955356</v>
      </c>
      <c r="P51" s="93">
        <f t="shared" ca="1" si="172"/>
        <v>8.6682690826305624</v>
      </c>
      <c r="Q51" s="93">
        <f t="shared" ca="1" si="172"/>
        <v>4.6457866215887842</v>
      </c>
      <c r="R51" s="93">
        <f t="shared" ca="1" si="172"/>
        <v>2.3629078131263039</v>
      </c>
      <c r="S51" s="93">
        <f t="shared" ca="1" si="172"/>
        <v>9.0630507495483492</v>
      </c>
      <c r="T51" s="93">
        <f t="shared" ca="1" si="172"/>
        <v>6.1486222485655722</v>
      </c>
      <c r="U51" s="93"/>
      <c r="V51" s="93">
        <f t="shared" ca="1" si="173"/>
        <v>8.0708666752021667</v>
      </c>
      <c r="W51" s="93">
        <f t="shared" ca="1" si="173"/>
        <v>12.190900522748741</v>
      </c>
      <c r="Y51" s="87" t="str">
        <f t="shared" si="166"/>
        <v>Sprint_1_4 - Sprint_1_6</v>
      </c>
      <c r="Z51" s="93">
        <f t="shared" ca="1" si="174"/>
        <v>16</v>
      </c>
      <c r="AA51" s="93">
        <f t="shared" ca="1" si="170"/>
        <v>9.5555555555555554</v>
      </c>
      <c r="AB51" s="93">
        <f t="shared" ca="1" si="170"/>
        <v>7.833333333333333</v>
      </c>
      <c r="AC51" s="93">
        <f t="shared" ca="1" si="170"/>
        <v>4.166666666666667</v>
      </c>
      <c r="AD51" s="93">
        <f t="shared" ca="1" si="170"/>
        <v>1.8333333333333333</v>
      </c>
      <c r="AE51" s="93">
        <f t="shared" ca="1" si="170"/>
        <v>8.1666666666666661</v>
      </c>
      <c r="AF51" s="93">
        <f t="shared" ca="1" si="170"/>
        <v>5.5</v>
      </c>
      <c r="AG51" s="93"/>
      <c r="AH51" s="93">
        <f t="shared" ca="1" si="170"/>
        <v>7.1111111111111098</v>
      </c>
      <c r="AI51" s="93">
        <f t="shared" ca="1" si="170"/>
        <v>9.75</v>
      </c>
    </row>
    <row r="52" spans="1:35">
      <c r="A52" s="94" t="str">
        <f t="shared" si="164"/>
        <v>Sprint_1_5 - Sprint_2_1</v>
      </c>
      <c r="B52" s="93">
        <f t="shared" ref="B52:K52" ca="1" si="178">AVERAGE(B29:B34)</f>
        <v>49.833333333333336</v>
      </c>
      <c r="C52" s="93">
        <f t="shared" ca="1" si="178"/>
        <v>20.666666666666668</v>
      </c>
      <c r="D52" s="93">
        <f t="shared" ca="1" si="178"/>
        <v>40</v>
      </c>
      <c r="E52" s="93">
        <f t="shared" ca="1" si="178"/>
        <v>35.333333333333336</v>
      </c>
      <c r="F52" s="93">
        <f t="shared" ca="1" si="178"/>
        <v>27.833333333333332</v>
      </c>
      <c r="G52" s="93">
        <f t="shared" ca="1" si="178"/>
        <v>34.333333333333336</v>
      </c>
      <c r="H52" s="93">
        <f t="shared" ca="1" si="178"/>
        <v>26.333333333333332</v>
      </c>
      <c r="I52" s="93"/>
      <c r="J52" s="93">
        <f t="shared" ca="1" si="178"/>
        <v>30</v>
      </c>
      <c r="K52" s="93">
        <f t="shared" ca="1" si="178"/>
        <v>47.083333333333336</v>
      </c>
      <c r="M52" s="87" t="str">
        <f t="shared" ref="M52:M57" si="179">A52</f>
        <v>Sprint_1_5 - Sprint_2_1</v>
      </c>
      <c r="N52" s="93">
        <f t="shared" ca="1" si="168"/>
        <v>16.313763786719758</v>
      </c>
      <c r="O52" s="93">
        <f t="shared" ca="1" si="172"/>
        <v>10.176225014982499</v>
      </c>
      <c r="P52" s="93">
        <f t="shared" ca="1" si="172"/>
        <v>10.472185381603339</v>
      </c>
      <c r="Q52" s="93">
        <f t="shared" ca="1" si="172"/>
        <v>5.5277079839256666</v>
      </c>
      <c r="R52" s="93">
        <f t="shared" ca="1" si="172"/>
        <v>2.6718699236468995</v>
      </c>
      <c r="S52" s="93">
        <f t="shared" ca="1" si="172"/>
        <v>9.0860087802926728</v>
      </c>
      <c r="T52" s="93">
        <f t="shared" ca="1" si="172"/>
        <v>7.0632067001390304</v>
      </c>
      <c r="U52" s="93"/>
      <c r="V52" s="93">
        <f t="shared" ca="1" si="173"/>
        <v>6.9041050590693258</v>
      </c>
      <c r="W52" s="93">
        <f t="shared" ca="1" si="173"/>
        <v>10.365876175649065</v>
      </c>
      <c r="Y52" s="87" t="str">
        <f t="shared" si="166"/>
        <v>Sprint_1_5 - Sprint_2_1</v>
      </c>
      <c r="Z52" s="93">
        <f t="shared" ca="1" si="174"/>
        <v>14.833333333333334</v>
      </c>
      <c r="AA52" s="93">
        <f t="shared" ca="1" si="170"/>
        <v>9.2222222222222232</v>
      </c>
      <c r="AB52" s="93">
        <f t="shared" ca="1" si="170"/>
        <v>9.6666666666666661</v>
      </c>
      <c r="AC52" s="93">
        <f t="shared" ca="1" si="170"/>
        <v>4.333333333333333</v>
      </c>
      <c r="AD52" s="93">
        <f t="shared" ca="1" si="170"/>
        <v>2.1666666666666665</v>
      </c>
      <c r="AE52" s="93">
        <f t="shared" ca="1" si="170"/>
        <v>8.1111111111111125</v>
      </c>
      <c r="AF52" s="93">
        <f t="shared" ca="1" si="170"/>
        <v>6.333333333333333</v>
      </c>
      <c r="AG52" s="93"/>
      <c r="AH52" s="93">
        <f t="shared" ca="1" si="170"/>
        <v>5.333333333333333</v>
      </c>
      <c r="AI52" s="93">
        <f t="shared" ca="1" si="170"/>
        <v>8.75</v>
      </c>
    </row>
    <row r="53" spans="1:35">
      <c r="A53" s="94" t="str">
        <f t="shared" si="164"/>
        <v>Sprint_1_6 - Sprint_2_2</v>
      </c>
      <c r="B53" s="93">
        <f t="shared" ref="B53:H56" ca="1" si="180">AVERAGE(B30:B35)</f>
        <v>47</v>
      </c>
      <c r="C53" s="93">
        <f t="shared" ca="1" si="180"/>
        <v>18.666666666666668</v>
      </c>
      <c r="D53" s="93">
        <f t="shared" ca="1" si="180"/>
        <v>39</v>
      </c>
      <c r="E53" s="93">
        <f t="shared" ca="1" si="180"/>
        <v>33</v>
      </c>
      <c r="F53" s="93">
        <f t="shared" ca="1" si="180"/>
        <v>27.666666666666668</v>
      </c>
      <c r="G53" s="93">
        <f t="shared" ca="1" si="180"/>
        <v>31.5</v>
      </c>
      <c r="H53" s="93">
        <f t="shared" ca="1" si="180"/>
        <v>24.833333333333332</v>
      </c>
      <c r="I53" s="93"/>
      <c r="J53" s="93">
        <f t="shared" ref="J53:K56" ca="1" si="181">AVERAGE(J30:J35)</f>
        <v>33.333333333333336</v>
      </c>
      <c r="K53" s="93">
        <f t="shared" ca="1" si="181"/>
        <v>47.333333333333336</v>
      </c>
      <c r="M53" s="87" t="str">
        <f t="shared" ref="M53" si="182">A53</f>
        <v>Sprint_1_6 - Sprint_2_2</v>
      </c>
      <c r="N53" s="93">
        <f t="shared" ca="1" si="168"/>
        <v>19.321835661585919</v>
      </c>
      <c r="O53" s="93">
        <f t="shared" ca="1" si="172"/>
        <v>9.2855921847894134</v>
      </c>
      <c r="P53" s="93">
        <f t="shared" ca="1" si="172"/>
        <v>10.230672835481871</v>
      </c>
      <c r="Q53" s="93">
        <f t="shared" ca="1" si="172"/>
        <v>7.7028133388608957</v>
      </c>
      <c r="R53" s="93">
        <f t="shared" ca="1" si="172"/>
        <v>2.8087165910587863</v>
      </c>
      <c r="S53" s="93">
        <f t="shared" ca="1" si="172"/>
        <v>7.1355915428692152</v>
      </c>
      <c r="T53" s="93">
        <f t="shared" ca="1" si="172"/>
        <v>7.2896425762096788</v>
      </c>
      <c r="U53" s="93"/>
      <c r="V53" s="93">
        <f t="shared" ca="1" si="173"/>
        <v>9.826268648655784</v>
      </c>
      <c r="W53" s="93">
        <f t="shared" ca="1" si="173"/>
        <v>10.245595259535788</v>
      </c>
      <c r="Y53" s="87" t="str">
        <f t="shared" si="166"/>
        <v>Sprint_1_6 - Sprint_2_2</v>
      </c>
      <c r="Z53" s="93">
        <f t="shared" ca="1" si="174"/>
        <v>17.666666666666668</v>
      </c>
      <c r="AA53" s="93">
        <f t="shared" ca="1" si="170"/>
        <v>6.7777777777777786</v>
      </c>
      <c r="AB53" s="93">
        <f t="shared" ca="1" si="170"/>
        <v>8.6666666666666661</v>
      </c>
      <c r="AC53" s="93">
        <f t="shared" ca="1" si="170"/>
        <v>6.666666666666667</v>
      </c>
      <c r="AD53" s="93">
        <f t="shared" ca="1" si="170"/>
        <v>2.3333333333333335</v>
      </c>
      <c r="AE53" s="93">
        <f t="shared" ca="1" si="170"/>
        <v>5</v>
      </c>
      <c r="AF53" s="93">
        <f t="shared" ca="1" si="170"/>
        <v>6.5</v>
      </c>
      <c r="AG53" s="93"/>
      <c r="AH53" s="93">
        <f t="shared" ca="1" si="170"/>
        <v>7.2222222222222214</v>
      </c>
      <c r="AI53" s="93">
        <f t="shared" ca="1" si="170"/>
        <v>8.5</v>
      </c>
    </row>
    <row r="54" spans="1:35">
      <c r="A54" s="94" t="str">
        <f t="shared" si="164"/>
        <v>Sprint_2_1 - Sprint_2_3u4</v>
      </c>
      <c r="B54" s="93">
        <f t="shared" ca="1" si="180"/>
        <v>48.166666666666664</v>
      </c>
      <c r="C54" s="93">
        <f t="shared" ca="1" si="180"/>
        <v>19.5</v>
      </c>
      <c r="D54" s="93">
        <f t="shared" ca="1" si="180"/>
        <v>43.333333333333336</v>
      </c>
      <c r="E54" s="93">
        <f t="shared" ca="1" si="180"/>
        <v>44.333333333333336</v>
      </c>
      <c r="F54" s="93">
        <f t="shared" ca="1" si="180"/>
        <v>31.333333333333332</v>
      </c>
      <c r="G54" s="93">
        <f t="shared" ca="1" si="180"/>
        <v>36.166666666666664</v>
      </c>
      <c r="H54" s="93">
        <f t="shared" ca="1" si="180"/>
        <v>27.333333333333332</v>
      </c>
      <c r="I54" s="93"/>
      <c r="J54" s="93">
        <f t="shared" ca="1" si="181"/>
        <v>43.833333333333336</v>
      </c>
      <c r="K54" s="93">
        <f t="shared" ca="1" si="181"/>
        <v>48.333333333333336</v>
      </c>
      <c r="M54" s="87" t="str">
        <f t="shared" ref="M54" si="183">A54</f>
        <v>Sprint_2_1 - Sprint_2_3u4</v>
      </c>
      <c r="N54" s="93">
        <f t="shared" ref="N54" ca="1" si="184">_xlfn.STDEV.P(B31:B36)</f>
        <v>19.911610236799589</v>
      </c>
      <c r="O54" s="93">
        <f t="shared" ref="O54" ca="1" si="185">_xlfn.STDEV.P(C31:C36)</f>
        <v>9.2330926563096938</v>
      </c>
      <c r="P54" s="93">
        <f t="shared" ref="P54" ca="1" si="186">_xlfn.STDEV.P(D31:D36)</f>
        <v>12.458821060687171</v>
      </c>
      <c r="Q54" s="93">
        <f t="shared" ref="Q54" ca="1" si="187">_xlfn.STDEV.P(E31:E36)</f>
        <v>23.299976156401726</v>
      </c>
      <c r="R54" s="93">
        <f t="shared" ref="R54" ca="1" si="188">_xlfn.STDEV.P(F31:F36)</f>
        <v>9.2135166407235012</v>
      </c>
      <c r="S54" s="93">
        <f t="shared" ref="S54" ca="1" si="189">_xlfn.STDEV.P(G31:G36)</f>
        <v>10.853826770109958</v>
      </c>
      <c r="T54" s="93">
        <f t="shared" ref="T54" ca="1" si="190">_xlfn.STDEV.P(H31:H36)</f>
        <v>9.2315882827508204</v>
      </c>
      <c r="U54" s="93"/>
      <c r="V54" s="93">
        <f t="shared" ref="V54" ca="1" si="191">_xlfn.STDEV.P(J31:J36)</f>
        <v>16.846529481040168</v>
      </c>
      <c r="W54" s="93">
        <f t="shared" ref="W54" ca="1" si="192">_xlfn.STDEV.P(K31:K36)</f>
        <v>11.717745327304035</v>
      </c>
      <c r="Y54" s="87" t="str">
        <f t="shared" ref="Y54" si="193">M54</f>
        <v>Sprint_2_1 - Sprint_2_3u4</v>
      </c>
      <c r="Z54" s="93">
        <f t="shared" ref="Z54" ca="1" si="194">AVEDEV(B31:B36)</f>
        <v>18.833333333333332</v>
      </c>
      <c r="AA54" s="93">
        <f t="shared" ref="AA54" ca="1" si="195">AVEDEV(C31:C36)</f>
        <v>7</v>
      </c>
      <c r="AB54" s="93">
        <f t="shared" ref="AB54" ca="1" si="196">AVEDEV(D31:D36)</f>
        <v>11.333333333333334</v>
      </c>
      <c r="AC54" s="93">
        <f t="shared" ref="AC54" ca="1" si="197">AVEDEV(E31:E36)</f>
        <v>16.555555555555557</v>
      </c>
      <c r="AD54" s="93">
        <f t="shared" ref="AD54" ca="1" si="198">AVEDEV(F31:F36)</f>
        <v>7.1111111111111107</v>
      </c>
      <c r="AE54" s="93">
        <f t="shared" ref="AE54" ca="1" si="199">AVEDEV(G31:G36)</f>
        <v>9.5555555555555554</v>
      </c>
      <c r="AF54" s="93">
        <f t="shared" ref="AF54" ca="1" si="200">AVEDEV(H31:H36)</f>
        <v>9</v>
      </c>
      <c r="AG54" s="93"/>
      <c r="AH54" s="93">
        <f t="shared" ref="AH54" ca="1" si="201">AVEDEV(J31:J36)</f>
        <v>13.444444444444445</v>
      </c>
      <c r="AI54" s="93">
        <f t="shared" ref="AI54" ca="1" si="202">AVEDEV(K31:K36)</f>
        <v>9.5</v>
      </c>
    </row>
    <row r="55" spans="1:35">
      <c r="A55" s="94" t="str">
        <f t="shared" si="164"/>
        <v>Sprint_2_2 - Sprint_2_5u6</v>
      </c>
      <c r="B55" s="93">
        <f t="shared" ca="1" si="180"/>
        <v>57.5</v>
      </c>
      <c r="C55" s="93">
        <f t="shared" ca="1" si="180"/>
        <v>21.5</v>
      </c>
      <c r="D55" s="93">
        <f t="shared" ca="1" si="180"/>
        <v>47.5</v>
      </c>
      <c r="E55" s="93">
        <f t="shared" ca="1" si="180"/>
        <v>46.666666666666664</v>
      </c>
      <c r="F55" s="93">
        <f t="shared" ca="1" si="180"/>
        <v>33.666666666666664</v>
      </c>
      <c r="G55" s="93">
        <f t="shared" ca="1" si="180"/>
        <v>42.833333333333336</v>
      </c>
      <c r="H55" s="93">
        <f t="shared" ca="1" si="180"/>
        <v>28.833333333333332</v>
      </c>
      <c r="I55" s="93"/>
      <c r="J55" s="93">
        <f t="shared" ca="1" si="181"/>
        <v>64.166666666666671</v>
      </c>
      <c r="K55" s="93">
        <f t="shared" ca="1" si="181"/>
        <v>50.75</v>
      </c>
      <c r="M55" s="87" t="str">
        <f t="shared" ref="M55" si="203">A55</f>
        <v>Sprint_2_2 - Sprint_2_5u6</v>
      </c>
      <c r="N55" s="93">
        <f t="shared" ref="N55" ca="1" si="204">_xlfn.STDEV.P(B32:B37)</f>
        <v>20.902551678363736</v>
      </c>
      <c r="O55" s="93">
        <f t="shared" ref="O55" ca="1" si="205">_xlfn.STDEV.P(C32:C37)</f>
        <v>8.9022469073824286</v>
      </c>
      <c r="P55" s="93">
        <f t="shared" ref="P55" ca="1" si="206">_xlfn.STDEV.P(D32:D37)</f>
        <v>18.64358692240668</v>
      </c>
      <c r="Q55" s="93">
        <f t="shared" ref="Q55" ca="1" si="207">_xlfn.STDEV.P(E32:E37)</f>
        <v>23.249850656629079</v>
      </c>
      <c r="R55" s="93">
        <f t="shared" ref="R55" ca="1" si="208">_xlfn.STDEV.P(F32:F37)</f>
        <v>10.949378470437894</v>
      </c>
      <c r="S55" s="93">
        <f t="shared" ref="S55" ca="1" si="209">_xlfn.STDEV.P(G32:G37)</f>
        <v>12.824672402140424</v>
      </c>
      <c r="T55" s="93">
        <f t="shared" ref="T55" ca="1" si="210">_xlfn.STDEV.P(H32:H37)</f>
        <v>10.792229715041383</v>
      </c>
      <c r="U55" s="93"/>
      <c r="V55" s="93">
        <f t="shared" ref="V55" ca="1" si="211">_xlfn.STDEV.P(J32:J37)</f>
        <v>41.806764471261772</v>
      </c>
      <c r="W55" s="93">
        <f t="shared" ref="W55" ca="1" si="212">_xlfn.STDEV.P(K32:K37)</f>
        <v>12.164668785736284</v>
      </c>
      <c r="Y55" s="87" t="str">
        <f t="shared" ref="Y55" si="213">M55</f>
        <v>Sprint_2_2 - Sprint_2_5u6</v>
      </c>
      <c r="Z55" s="93">
        <f t="shared" ref="Z55" ca="1" si="214">AVEDEV(B32:B37)</f>
        <v>18</v>
      </c>
      <c r="AA55" s="93">
        <f t="shared" ref="AA55" ca="1" si="215">AVEDEV(C32:C37)</f>
        <v>7</v>
      </c>
      <c r="AB55" s="93">
        <f t="shared" ref="AB55" ca="1" si="216">AVEDEV(D32:D37)</f>
        <v>15.5</v>
      </c>
      <c r="AC55" s="93">
        <f t="shared" ref="AC55" ca="1" si="217">AVEDEV(E32:E37)</f>
        <v>17.555555555555557</v>
      </c>
      <c r="AD55" s="93">
        <f t="shared" ref="AD55" ca="1" si="218">AVEDEV(F32:F37)</f>
        <v>10.222222222222221</v>
      </c>
      <c r="AE55" s="93">
        <f t="shared" ref="AE55" ca="1" si="219">AVEDEV(G32:G37)</f>
        <v>11.833333333333334</v>
      </c>
      <c r="AF55" s="93">
        <f t="shared" ref="AF55" ca="1" si="220">AVEDEV(H32:H37)</f>
        <v>10.5</v>
      </c>
      <c r="AG55" s="93"/>
      <c r="AH55" s="93">
        <f t="shared" ref="AH55" ca="1" si="221">AVEDEV(J32:J37)</f>
        <v>33.888888888888893</v>
      </c>
      <c r="AI55" s="93">
        <f t="shared" ref="AI55" ca="1" si="222">AVEDEV(K32:K37)</f>
        <v>9.8333333333333339</v>
      </c>
    </row>
    <row r="56" spans="1:35">
      <c r="A56" s="94" t="str">
        <f t="shared" si="164"/>
        <v>Sprint_2_3u4 - Sprint_3_1u2</v>
      </c>
      <c r="B56" s="93">
        <f t="shared" ca="1" si="180"/>
        <v>45.5</v>
      </c>
      <c r="C56" s="93">
        <f t="shared" ca="1" si="180"/>
        <v>24</v>
      </c>
      <c r="D56" s="93">
        <f t="shared" ca="1" si="180"/>
        <v>64.333333333333329</v>
      </c>
      <c r="E56" s="93">
        <f t="shared" ca="1" si="180"/>
        <v>40.5</v>
      </c>
      <c r="F56" s="93">
        <f t="shared" ca="1" si="180"/>
        <v>40</v>
      </c>
      <c r="G56" s="93">
        <f t="shared" ca="1" si="180"/>
        <v>35.166666666666664</v>
      </c>
      <c r="H56" s="93">
        <f t="shared" ca="1" si="180"/>
        <v>31.5</v>
      </c>
      <c r="I56" s="93"/>
      <c r="J56" s="93">
        <f t="shared" ca="1" si="181"/>
        <v>58.166666666666664</v>
      </c>
      <c r="K56" s="93">
        <f t="shared" ca="1" si="181"/>
        <v>41.5</v>
      </c>
      <c r="M56" s="87" t="str">
        <f t="shared" ref="M56" si="223">A56</f>
        <v>Sprint_2_3u4 - Sprint_3_1u2</v>
      </c>
      <c r="N56" s="93">
        <f t="shared" ref="N56" ca="1" si="224">_xlfn.STDEV.P(B33:B38)</f>
        <v>28.441460346941867</v>
      </c>
      <c r="O56" s="93">
        <f t="shared" ref="O56" ca="1" si="225">_xlfn.STDEV.P(C33:C38)</f>
        <v>8.2462112512353212</v>
      </c>
      <c r="P56" s="93">
        <f t="shared" ref="P56" ca="1" si="226">_xlfn.STDEV.P(D33:D38)</f>
        <v>34.769079494414129</v>
      </c>
      <c r="Q56" s="93">
        <f t="shared" ref="Q56" ca="1" si="227">_xlfn.STDEV.P(E33:E38)</f>
        <v>29.15333028432029</v>
      </c>
      <c r="R56" s="93">
        <f t="shared" ref="R56" ca="1" si="228">_xlfn.STDEV.P(F33:F38)</f>
        <v>15.769168230019828</v>
      </c>
      <c r="S56" s="93">
        <f t="shared" ref="S56" ca="1" si="229">_xlfn.STDEV.P(G33:G38)</f>
        <v>20.243654698585321</v>
      </c>
      <c r="T56" s="93">
        <f t="shared" ref="T56" ca="1" si="230">_xlfn.STDEV.P(H33:H38)</f>
        <v>13.598406769422169</v>
      </c>
      <c r="U56" s="93"/>
      <c r="V56" s="93">
        <f t="shared" ref="V56" ca="1" si="231">_xlfn.STDEV.P(J33:J38)</f>
        <v>47.600478522337944</v>
      </c>
      <c r="W56" s="93">
        <f t="shared" ref="W56" ca="1" si="232">_xlfn.STDEV.P(K33:K38)</f>
        <v>22.088835792469162</v>
      </c>
      <c r="Y56" s="87" t="str">
        <f t="shared" ref="Y56" si="233">M56</f>
        <v>Sprint_2_3u4 - Sprint_3_1u2</v>
      </c>
      <c r="Z56" s="93">
        <f t="shared" ref="Z56" ca="1" si="234">AVEDEV(B33:B38)</f>
        <v>25.166666666666668</v>
      </c>
      <c r="AA56" s="93">
        <f t="shared" ref="AA56" ca="1" si="235">AVEDEV(C33:C38)</f>
        <v>6.666666666666667</v>
      </c>
      <c r="AB56" s="93">
        <f t="shared" ref="AB56" ca="1" si="236">AVEDEV(D33:D38)</f>
        <v>28.111111111111111</v>
      </c>
      <c r="AC56" s="93">
        <f t="shared" ref="AC56" ca="1" si="237">AVEDEV(E33:E38)</f>
        <v>22.833333333333332</v>
      </c>
      <c r="AD56" s="93">
        <f t="shared" ref="AD56" ca="1" si="238">AVEDEV(F33:F38)</f>
        <v>14.666666666666666</v>
      </c>
      <c r="AE56" s="93">
        <f t="shared" ref="AE56" ca="1" si="239">AVEDEV(G33:G38)</f>
        <v>15.888888888888888</v>
      </c>
      <c r="AF56" s="93">
        <f t="shared" ref="AF56" ca="1" si="240">AVEDEV(H33:H38)</f>
        <v>13.166666666666666</v>
      </c>
      <c r="AG56" s="93"/>
      <c r="AH56" s="93">
        <f t="shared" ref="AH56" ca="1" si="241">AVEDEV(J33:J38)</f>
        <v>37.888888888888893</v>
      </c>
      <c r="AI56" s="93">
        <f t="shared" ref="AI56" ca="1" si="242">AVEDEV(K33:K38)</f>
        <v>18</v>
      </c>
    </row>
    <row r="57" spans="1:35">
      <c r="A57" s="94" t="str">
        <f t="shared" si="164"/>
        <v>Sprint_2_5u6 - Sprint_3_3u4</v>
      </c>
      <c r="B57" s="90"/>
      <c r="C57" s="90"/>
      <c r="D57" s="90"/>
      <c r="E57" s="90"/>
      <c r="F57" s="90"/>
      <c r="G57" s="90"/>
      <c r="H57" s="90"/>
      <c r="I57" s="90"/>
      <c r="J57" s="90"/>
      <c r="K57" s="90"/>
      <c r="M57" s="87" t="str">
        <f t="shared" si="179"/>
        <v>Sprint_2_5u6 - Sprint_3_3u4</v>
      </c>
      <c r="Y57" s="87" t="str">
        <f t="shared" si="166"/>
        <v>Sprint_2_5u6 - Sprint_3_3u4</v>
      </c>
      <c r="Z57" s="93"/>
      <c r="AA57" s="93"/>
      <c r="AB57" s="93"/>
      <c r="AC57" s="93"/>
      <c r="AD57" s="93"/>
      <c r="AE57" s="93"/>
      <c r="AF57" s="93"/>
      <c r="AG57" s="93"/>
      <c r="AH57" s="93"/>
      <c r="AI57" s="93"/>
    </row>
    <row r="58" spans="1:35">
      <c r="A58" s="94" t="str">
        <f t="shared" si="164"/>
        <v>Sprint_3_1u2 - Sprint_3_5u6</v>
      </c>
      <c r="B58" s="90"/>
      <c r="C58" s="90"/>
      <c r="D58" s="90"/>
      <c r="E58" s="90"/>
      <c r="F58" s="90"/>
      <c r="G58" s="90"/>
      <c r="H58" s="90"/>
      <c r="I58" s="90"/>
      <c r="J58" s="90"/>
      <c r="K58" s="90"/>
      <c r="M58" s="87" t="str">
        <f t="shared" ref="M58" si="243">A58</f>
        <v>Sprint_3_1u2 - Sprint_3_5u6</v>
      </c>
      <c r="Y58" s="87" t="str">
        <f t="shared" ref="Y58" si="244">M58</f>
        <v>Sprint_3_1u2 - Sprint_3_5u6</v>
      </c>
      <c r="Z58" s="93"/>
      <c r="AA58" s="93"/>
      <c r="AB58" s="93"/>
      <c r="AC58" s="93"/>
      <c r="AD58" s="93"/>
      <c r="AE58" s="93"/>
      <c r="AF58" s="93"/>
      <c r="AG58" s="93"/>
      <c r="AH58" s="93"/>
      <c r="AI58" s="93"/>
    </row>
    <row r="59" spans="1:35">
      <c r="B59" s="91"/>
      <c r="C59" s="91"/>
      <c r="D59" s="91"/>
      <c r="E59" s="91"/>
      <c r="F59" s="91"/>
      <c r="G59" s="91"/>
      <c r="H59" s="91"/>
      <c r="I59" s="91"/>
      <c r="J59" s="91"/>
    </row>
    <row r="60" spans="1:35">
      <c r="B60" s="410" t="s">
        <v>131</v>
      </c>
      <c r="C60" s="410"/>
      <c r="D60" s="410"/>
      <c r="E60" s="410"/>
      <c r="F60" s="410"/>
      <c r="G60" s="410"/>
      <c r="H60" s="410"/>
      <c r="I60" s="410"/>
      <c r="J60" s="410"/>
      <c r="K60" s="410"/>
      <c r="N60" s="410" t="s">
        <v>132</v>
      </c>
      <c r="O60" s="410"/>
      <c r="P60" s="410"/>
      <c r="Q60" s="410"/>
      <c r="R60" s="410"/>
      <c r="S60" s="410"/>
      <c r="T60" s="410"/>
      <c r="U60" s="410"/>
      <c r="V60" s="410"/>
      <c r="W60" s="410"/>
    </row>
    <row r="61" spans="1:35">
      <c r="B61" s="90" t="str">
        <f>B43</f>
        <v>Engineering</v>
      </c>
      <c r="C61" s="90" t="str">
        <f t="shared" ref="C61:K61" si="245">C43</f>
        <v>Payment</v>
      </c>
      <c r="D61" s="90" t="str">
        <f t="shared" si="245"/>
        <v>Sales</v>
      </c>
      <c r="E61" s="90" t="str">
        <f t="shared" si="245"/>
        <v>Vlinder</v>
      </c>
      <c r="F61" s="90" t="str">
        <f t="shared" si="245"/>
        <v>TTT</v>
      </c>
      <c r="G61" s="90" t="str">
        <f t="shared" si="245"/>
        <v>TNT</v>
      </c>
      <c r="H61" s="90" t="str">
        <f t="shared" si="245"/>
        <v>TFS</v>
      </c>
      <c r="I61" s="90" t="str">
        <f t="shared" si="245"/>
        <v>0-Noise</v>
      </c>
      <c r="J61" s="90" t="str">
        <f t="shared" si="245"/>
        <v>Synergy</v>
      </c>
      <c r="K61" s="90" t="str">
        <f t="shared" si="245"/>
        <v>Papillon</v>
      </c>
      <c r="N61" s="90" t="str">
        <f>B61</f>
        <v>Engineering</v>
      </c>
      <c r="O61" s="90" t="str">
        <f t="shared" ref="O61" si="246">C61</f>
        <v>Payment</v>
      </c>
      <c r="P61" s="90" t="str">
        <f t="shared" ref="P61" si="247">D61</f>
        <v>Sales</v>
      </c>
      <c r="Q61" s="90" t="str">
        <f t="shared" ref="Q61" si="248">E61</f>
        <v>Vlinder</v>
      </c>
      <c r="R61" s="90" t="str">
        <f t="shared" ref="R61" si="249">F61</f>
        <v>TTT</v>
      </c>
      <c r="S61" s="90" t="str">
        <f t="shared" ref="S61" si="250">G61</f>
        <v>TNT</v>
      </c>
      <c r="T61" s="90" t="str">
        <f t="shared" ref="T61" si="251">H61</f>
        <v>TFS</v>
      </c>
      <c r="U61" s="90" t="str">
        <f t="shared" ref="U61" si="252">I61</f>
        <v>0-Noise</v>
      </c>
      <c r="V61" s="90" t="str">
        <f t="shared" ref="V61" si="253">J61</f>
        <v>Synergy</v>
      </c>
      <c r="W61" s="90" t="str">
        <f t="shared" ref="W61" si="254">K61</f>
        <v>Papillon</v>
      </c>
    </row>
    <row r="62" spans="1:35">
      <c r="A62" s="87" t="str">
        <f t="shared" ref="A62:A78" si="255">A4</f>
        <v>Sprint_4_4</v>
      </c>
      <c r="B62" s="36">
        <f t="shared" ref="B62:I65" ca="1" si="256">N62+N4</f>
        <v>83</v>
      </c>
      <c r="C62" s="36">
        <f t="shared" ca="1" si="256"/>
        <v>19</v>
      </c>
      <c r="D62" s="36">
        <f t="shared" ca="1" si="256"/>
        <v>61</v>
      </c>
      <c r="E62" s="36">
        <f t="shared" ca="1" si="256"/>
        <v>60</v>
      </c>
      <c r="F62" s="36">
        <f t="shared" ca="1" si="256"/>
        <v>62</v>
      </c>
      <c r="G62" s="36">
        <f t="shared" ca="1" si="256"/>
        <v>60</v>
      </c>
      <c r="H62" s="36">
        <f t="shared" ca="1" si="256"/>
        <v>47</v>
      </c>
      <c r="I62" s="36">
        <f t="shared" ca="1" si="256"/>
        <v>43</v>
      </c>
      <c r="K62" s="36">
        <f t="shared" ref="K62:K71" ca="1" si="257">W62+W4</f>
        <v>23</v>
      </c>
      <c r="M62" s="87" t="str">
        <f>A62</f>
        <v>Sprint_4_4</v>
      </c>
      <c r="N62" s="36">
        <f t="shared" ref="N62:U65" ca="1" si="258">B4-N24</f>
        <v>77</v>
      </c>
      <c r="O62" s="36">
        <f t="shared" ca="1" si="258"/>
        <v>18</v>
      </c>
      <c r="P62" s="36">
        <f t="shared" ca="1" si="258"/>
        <v>56</v>
      </c>
      <c r="Q62" s="36">
        <f t="shared" ca="1" si="258"/>
        <v>59</v>
      </c>
      <c r="R62" s="36">
        <f t="shared" ca="1" si="258"/>
        <v>56</v>
      </c>
      <c r="S62" s="36">
        <f t="shared" ca="1" si="258"/>
        <v>50</v>
      </c>
      <c r="T62" s="36">
        <f t="shared" ca="1" si="258"/>
        <v>40</v>
      </c>
      <c r="U62" s="36">
        <f t="shared" ca="1" si="258"/>
        <v>38</v>
      </c>
      <c r="W62" s="36">
        <f t="shared" ref="W62:W71" ca="1" si="259">K4-W24</f>
        <v>21</v>
      </c>
    </row>
    <row r="63" spans="1:35">
      <c r="A63" s="87" t="str">
        <f t="shared" si="255"/>
        <v>Sprint_4_5</v>
      </c>
      <c r="B63" s="36">
        <f t="shared" ca="1" si="256"/>
        <v>63</v>
      </c>
      <c r="C63" s="36">
        <f t="shared" ca="1" si="256"/>
        <v>24</v>
      </c>
      <c r="D63" s="36">
        <f t="shared" ca="1" si="256"/>
        <v>58</v>
      </c>
      <c r="E63" s="36">
        <f t="shared" ca="1" si="256"/>
        <v>51</v>
      </c>
      <c r="F63" s="36">
        <f t="shared" ca="1" si="256"/>
        <v>76</v>
      </c>
      <c r="G63" s="36">
        <f t="shared" ca="1" si="256"/>
        <v>48</v>
      </c>
      <c r="H63" s="36">
        <f t="shared" ca="1" si="256"/>
        <v>54</v>
      </c>
      <c r="I63" s="36">
        <f t="shared" ca="1" si="256"/>
        <v>42</v>
      </c>
      <c r="J63" s="36">
        <f t="shared" ref="J63:J71" ca="1" si="260">V63+V5</f>
        <v>35</v>
      </c>
      <c r="K63" s="36">
        <f t="shared" ca="1" si="257"/>
        <v>30</v>
      </c>
      <c r="M63" s="87" t="str">
        <f t="shared" ref="M63:M71" si="261">A63</f>
        <v>Sprint_4_5</v>
      </c>
      <c r="N63" s="36">
        <f t="shared" ca="1" si="258"/>
        <v>57</v>
      </c>
      <c r="O63" s="36">
        <f t="shared" ca="1" si="258"/>
        <v>13</v>
      </c>
      <c r="P63" s="36">
        <f t="shared" ca="1" si="258"/>
        <v>39</v>
      </c>
      <c r="Q63" s="36">
        <f t="shared" ca="1" si="258"/>
        <v>51</v>
      </c>
      <c r="R63" s="36">
        <f t="shared" ca="1" si="258"/>
        <v>73</v>
      </c>
      <c r="S63" s="36">
        <f t="shared" ca="1" si="258"/>
        <v>37</v>
      </c>
      <c r="T63" s="36">
        <f t="shared" ca="1" si="258"/>
        <v>46</v>
      </c>
      <c r="U63" s="36">
        <f t="shared" ca="1" si="258"/>
        <v>34</v>
      </c>
      <c r="V63" s="36">
        <f t="shared" ref="V63:V71" ca="1" si="262">J5-V25</f>
        <v>29</v>
      </c>
      <c r="W63" s="36">
        <f t="shared" ca="1" si="259"/>
        <v>28</v>
      </c>
    </row>
    <row r="64" spans="1:35">
      <c r="A64" s="87" t="str">
        <f t="shared" si="255"/>
        <v>Sprint_4_6</v>
      </c>
      <c r="B64" s="36">
        <f t="shared" ca="1" si="256"/>
        <v>65</v>
      </c>
      <c r="C64" s="36">
        <f t="shared" ca="1" si="256"/>
        <v>20</v>
      </c>
      <c r="D64" s="36">
        <f t="shared" ca="1" si="256"/>
        <v>41</v>
      </c>
      <c r="E64" s="36">
        <f t="shared" ca="1" si="256"/>
        <v>43</v>
      </c>
      <c r="F64" s="36">
        <f t="shared" ca="1" si="256"/>
        <v>77</v>
      </c>
      <c r="G64" s="36">
        <f t="shared" ca="1" si="256"/>
        <v>63</v>
      </c>
      <c r="H64" s="36">
        <f t="shared" ca="1" si="256"/>
        <v>38</v>
      </c>
      <c r="I64" s="36">
        <f t="shared" ca="1" si="256"/>
        <v>53</v>
      </c>
      <c r="J64" s="36">
        <f t="shared" ca="1" si="260"/>
        <v>73</v>
      </c>
      <c r="K64" s="36">
        <f t="shared" ca="1" si="257"/>
        <v>55</v>
      </c>
      <c r="M64" s="87" t="str">
        <f t="shared" si="261"/>
        <v>Sprint_4_6</v>
      </c>
      <c r="N64" s="36">
        <f t="shared" ca="1" si="258"/>
        <v>46</v>
      </c>
      <c r="O64" s="36">
        <f t="shared" ca="1" si="258"/>
        <v>17</v>
      </c>
      <c r="P64" s="36">
        <f t="shared" ca="1" si="258"/>
        <v>26</v>
      </c>
      <c r="Q64" s="36">
        <f t="shared" ca="1" si="258"/>
        <v>39</v>
      </c>
      <c r="R64" s="36">
        <f t="shared" ca="1" si="258"/>
        <v>63</v>
      </c>
      <c r="S64" s="36">
        <f t="shared" ca="1" si="258"/>
        <v>47</v>
      </c>
      <c r="T64" s="36">
        <f t="shared" ca="1" si="258"/>
        <v>27</v>
      </c>
      <c r="U64" s="36">
        <f t="shared" ca="1" si="258"/>
        <v>29</v>
      </c>
      <c r="V64" s="36">
        <f t="shared" ca="1" si="262"/>
        <v>71</v>
      </c>
      <c r="W64" s="36">
        <f t="shared" ca="1" si="259"/>
        <v>23.5</v>
      </c>
    </row>
    <row r="65" spans="1:35">
      <c r="A65" s="87" t="str">
        <f t="shared" si="255"/>
        <v>Sprint_4_8</v>
      </c>
      <c r="B65" s="36">
        <f t="shared" ca="1" si="256"/>
        <v>102</v>
      </c>
      <c r="C65" s="36">
        <f t="shared" ca="1" si="256"/>
        <v>20</v>
      </c>
      <c r="D65" s="36">
        <f t="shared" ca="1" si="256"/>
        <v>32</v>
      </c>
      <c r="E65" s="36">
        <f t="shared" ca="1" si="256"/>
        <v>48</v>
      </c>
      <c r="F65" s="36">
        <f t="shared" ca="1" si="256"/>
        <v>49</v>
      </c>
      <c r="G65" s="36">
        <f t="shared" ca="1" si="256"/>
        <v>57</v>
      </c>
      <c r="H65" s="36">
        <f t="shared" ca="1" si="256"/>
        <v>26</v>
      </c>
      <c r="I65" s="36">
        <f t="shared" ca="1" si="256"/>
        <v>27</v>
      </c>
      <c r="J65" s="36">
        <f t="shared" ca="1" si="260"/>
        <v>54</v>
      </c>
      <c r="K65" s="36">
        <f t="shared" ca="1" si="257"/>
        <v>34</v>
      </c>
      <c r="M65" s="87" t="str">
        <f t="shared" si="261"/>
        <v>Sprint_4_8</v>
      </c>
      <c r="N65" s="36">
        <f t="shared" ca="1" si="258"/>
        <v>65</v>
      </c>
      <c r="O65" s="36">
        <f t="shared" ca="1" si="258"/>
        <v>17</v>
      </c>
      <c r="P65" s="36">
        <f t="shared" ca="1" si="258"/>
        <v>29</v>
      </c>
      <c r="Q65" s="36">
        <f t="shared" ca="1" si="258"/>
        <v>34</v>
      </c>
      <c r="R65" s="36">
        <f t="shared" ca="1" si="258"/>
        <v>49</v>
      </c>
      <c r="S65" s="36">
        <f t="shared" ca="1" si="258"/>
        <v>42</v>
      </c>
      <c r="T65" s="36">
        <f t="shared" ca="1" si="258"/>
        <v>22</v>
      </c>
      <c r="U65" s="36">
        <f t="shared" ca="1" si="258"/>
        <v>27</v>
      </c>
      <c r="V65" s="36">
        <f t="shared" ca="1" si="262"/>
        <v>53</v>
      </c>
      <c r="W65" s="36">
        <f t="shared" ca="1" si="259"/>
        <v>27</v>
      </c>
    </row>
    <row r="66" spans="1:35">
      <c r="A66" s="87" t="str">
        <f t="shared" si="255"/>
        <v>Sprint_1_1</v>
      </c>
      <c r="B66" s="36">
        <f t="shared" ref="B66:H71" ca="1" si="263">N66+N8</f>
        <v>91</v>
      </c>
      <c r="C66" s="36">
        <f t="shared" ca="1" si="263"/>
        <v>36</v>
      </c>
      <c r="D66" s="36">
        <f t="shared" ca="1" si="263"/>
        <v>54</v>
      </c>
      <c r="E66" s="36">
        <f t="shared" ca="1" si="263"/>
        <v>49</v>
      </c>
      <c r="F66" s="36">
        <f t="shared" ca="1" si="263"/>
        <v>32</v>
      </c>
      <c r="G66" s="36">
        <f t="shared" ca="1" si="263"/>
        <v>56</v>
      </c>
      <c r="H66" s="36">
        <f t="shared" ca="1" si="263"/>
        <v>33</v>
      </c>
      <c r="J66" s="36">
        <f t="shared" ca="1" si="260"/>
        <v>30</v>
      </c>
      <c r="K66" s="36">
        <f t="shared" ca="1" si="257"/>
        <v>45</v>
      </c>
      <c r="M66" s="87" t="str">
        <f t="shared" si="261"/>
        <v>Sprint_1_1</v>
      </c>
      <c r="N66" s="36">
        <f t="shared" ref="N66:T71" ca="1" si="264">B8-N28</f>
        <v>53</v>
      </c>
      <c r="O66" s="36">
        <f t="shared" ca="1" si="264"/>
        <v>27</v>
      </c>
      <c r="P66" s="36">
        <f t="shared" ca="1" si="264"/>
        <v>34</v>
      </c>
      <c r="Q66" s="36">
        <f t="shared" ca="1" si="264"/>
        <v>49</v>
      </c>
      <c r="R66" s="36">
        <f t="shared" ca="1" si="264"/>
        <v>27</v>
      </c>
      <c r="S66" s="36">
        <f t="shared" ca="1" si="264"/>
        <v>48</v>
      </c>
      <c r="T66" s="36">
        <f t="shared" ca="1" si="264"/>
        <v>23</v>
      </c>
      <c r="V66" s="36">
        <f t="shared" ca="1" si="262"/>
        <v>26</v>
      </c>
      <c r="W66" s="36">
        <f t="shared" ca="1" si="259"/>
        <v>33</v>
      </c>
    </row>
    <row r="67" spans="1:35">
      <c r="A67" s="87" t="str">
        <f t="shared" si="255"/>
        <v>Sprint_1_2</v>
      </c>
      <c r="B67" s="36">
        <f t="shared" ca="1" si="263"/>
        <v>53</v>
      </c>
      <c r="C67" s="36">
        <f t="shared" ca="1" si="263"/>
        <v>42</v>
      </c>
      <c r="D67" s="36">
        <f t="shared" ca="1" si="263"/>
        <v>53</v>
      </c>
      <c r="E67" s="36">
        <f t="shared" ca="1" si="263"/>
        <v>43</v>
      </c>
      <c r="F67" s="36">
        <f t="shared" ca="1" si="263"/>
        <v>41</v>
      </c>
      <c r="G67" s="36">
        <f t="shared" ca="1" si="263"/>
        <v>50</v>
      </c>
      <c r="H67" s="36">
        <f t="shared" ca="1" si="263"/>
        <v>40</v>
      </c>
      <c r="J67" s="36">
        <f t="shared" ca="1" si="260"/>
        <v>40</v>
      </c>
      <c r="K67" s="36">
        <f t="shared" ca="1" si="257"/>
        <v>55.5</v>
      </c>
      <c r="M67" s="87" t="str">
        <f t="shared" si="261"/>
        <v>Sprint_1_2</v>
      </c>
      <c r="N67" s="36">
        <f t="shared" ca="1" si="264"/>
        <v>48</v>
      </c>
      <c r="O67" s="36">
        <f t="shared" ca="1" si="264"/>
        <v>23</v>
      </c>
      <c r="P67" s="36">
        <f t="shared" ca="1" si="264"/>
        <v>49</v>
      </c>
      <c r="Q67" s="36">
        <f t="shared" ca="1" si="264"/>
        <v>38</v>
      </c>
      <c r="R67" s="36">
        <f t="shared" ca="1" si="264"/>
        <v>35</v>
      </c>
      <c r="S67" s="36">
        <f t="shared" ca="1" si="264"/>
        <v>45</v>
      </c>
      <c r="T67" s="36">
        <f t="shared" ca="1" si="264"/>
        <v>40</v>
      </c>
      <c r="V67" s="36">
        <f t="shared" ca="1" si="262"/>
        <v>31</v>
      </c>
      <c r="W67" s="36">
        <f t="shared" ca="1" si="259"/>
        <v>36</v>
      </c>
    </row>
    <row r="68" spans="1:35">
      <c r="A68" s="87" t="str">
        <f t="shared" si="255"/>
        <v>Sprint_1_3</v>
      </c>
      <c r="B68" s="36">
        <f t="shared" ca="1" si="263"/>
        <v>78</v>
      </c>
      <c r="C68" s="36">
        <f t="shared" ca="1" si="263"/>
        <v>37</v>
      </c>
      <c r="D68" s="36">
        <f t="shared" ca="1" si="263"/>
        <v>55</v>
      </c>
      <c r="E68" s="36">
        <f t="shared" ca="1" si="263"/>
        <v>44</v>
      </c>
      <c r="F68" s="36">
        <f t="shared" ca="1" si="263"/>
        <v>41</v>
      </c>
      <c r="G68" s="36">
        <f t="shared" ca="1" si="263"/>
        <v>49</v>
      </c>
      <c r="H68" s="36">
        <f t="shared" ca="1" si="263"/>
        <v>33</v>
      </c>
      <c r="J68" s="36">
        <f t="shared" ca="1" si="260"/>
        <v>27</v>
      </c>
      <c r="K68" s="36">
        <f t="shared" ca="1" si="257"/>
        <v>86</v>
      </c>
      <c r="M68" s="87" t="str">
        <f t="shared" si="261"/>
        <v>Sprint_1_3</v>
      </c>
      <c r="N68" s="36">
        <f t="shared" ca="1" si="264"/>
        <v>68</v>
      </c>
      <c r="O68" s="36">
        <f t="shared" ca="1" si="264"/>
        <v>34</v>
      </c>
      <c r="P68" s="36">
        <f t="shared" ca="1" si="264"/>
        <v>37</v>
      </c>
      <c r="Q68" s="36">
        <f t="shared" ca="1" si="264"/>
        <v>44</v>
      </c>
      <c r="R68" s="36">
        <f t="shared" ca="1" si="264"/>
        <v>41</v>
      </c>
      <c r="S68" s="36">
        <f t="shared" ca="1" si="264"/>
        <v>36</v>
      </c>
      <c r="T68" s="36">
        <f t="shared" ca="1" si="264"/>
        <v>25</v>
      </c>
      <c r="V68" s="36">
        <f t="shared" ca="1" si="262"/>
        <v>19</v>
      </c>
      <c r="W68" s="36">
        <f t="shared" ca="1" si="259"/>
        <v>34</v>
      </c>
    </row>
    <row r="69" spans="1:35">
      <c r="A69" s="87" t="str">
        <f t="shared" si="255"/>
        <v>Sprint_1_4</v>
      </c>
      <c r="B69" s="36">
        <f t="shared" ca="1" si="263"/>
        <v>64</v>
      </c>
      <c r="C69" s="36">
        <f t="shared" ca="1" si="263"/>
        <v>29</v>
      </c>
      <c r="D69" s="36">
        <f t="shared" ca="1" si="263"/>
        <v>56</v>
      </c>
      <c r="E69" s="36">
        <f t="shared" ca="1" si="263"/>
        <v>57</v>
      </c>
      <c r="F69" s="36">
        <f t="shared" ca="1" si="263"/>
        <v>42</v>
      </c>
      <c r="G69" s="36">
        <f t="shared" ca="1" si="263"/>
        <v>39</v>
      </c>
      <c r="H69" s="36">
        <f t="shared" ca="1" si="263"/>
        <v>42</v>
      </c>
      <c r="J69" s="36">
        <f t="shared" ca="1" si="260"/>
        <v>40</v>
      </c>
      <c r="K69" s="36">
        <f t="shared" ca="1" si="257"/>
        <v>64.5</v>
      </c>
      <c r="M69" s="87" t="str">
        <f t="shared" si="261"/>
        <v>Sprint_1_4</v>
      </c>
      <c r="N69" s="36">
        <f t="shared" ca="1" si="264"/>
        <v>58</v>
      </c>
      <c r="O69" s="36">
        <f t="shared" ca="1" si="264"/>
        <v>18</v>
      </c>
      <c r="P69" s="36">
        <f t="shared" ca="1" si="264"/>
        <v>52</v>
      </c>
      <c r="Q69" s="36">
        <f t="shared" ca="1" si="264"/>
        <v>36</v>
      </c>
      <c r="R69" s="36">
        <f t="shared" ca="1" si="264"/>
        <v>36</v>
      </c>
      <c r="S69" s="36">
        <f t="shared" ca="1" si="264"/>
        <v>35</v>
      </c>
      <c r="T69" s="36">
        <f t="shared" ca="1" si="264"/>
        <v>34</v>
      </c>
      <c r="V69" s="36">
        <f t="shared" ca="1" si="262"/>
        <v>32</v>
      </c>
      <c r="W69" s="36">
        <f t="shared" ca="1" si="259"/>
        <v>37</v>
      </c>
    </row>
    <row r="70" spans="1:35">
      <c r="A70" s="87" t="str">
        <f t="shared" si="255"/>
        <v>Sprint_1_5</v>
      </c>
      <c r="B70" s="36">
        <f t="shared" ca="1" si="263"/>
        <v>83</v>
      </c>
      <c r="C70" s="36">
        <f t="shared" ca="1" si="263"/>
        <v>30</v>
      </c>
      <c r="D70" s="36">
        <f t="shared" ca="1" si="263"/>
        <v>36</v>
      </c>
      <c r="E70" s="36">
        <f t="shared" ca="1" si="263"/>
        <v>53</v>
      </c>
      <c r="F70" s="36">
        <f t="shared" ca="1" si="263"/>
        <v>40</v>
      </c>
      <c r="G70" s="36">
        <f t="shared" ca="1" si="263"/>
        <v>48</v>
      </c>
      <c r="H70" s="36">
        <f t="shared" ca="1" si="263"/>
        <v>38</v>
      </c>
      <c r="J70" s="36">
        <f t="shared" ca="1" si="260"/>
        <v>41</v>
      </c>
      <c r="K70" s="36">
        <f t="shared" ca="1" si="257"/>
        <v>83</v>
      </c>
      <c r="M70" s="87" t="str">
        <f t="shared" si="261"/>
        <v>Sprint_1_5</v>
      </c>
      <c r="N70" s="36">
        <f t="shared" ca="1" si="264"/>
        <v>77</v>
      </c>
      <c r="O70" s="36">
        <f t="shared" ca="1" si="264"/>
        <v>24</v>
      </c>
      <c r="P70" s="36">
        <f t="shared" ca="1" si="264"/>
        <v>29</v>
      </c>
      <c r="Q70" s="36">
        <f t="shared" ca="1" si="264"/>
        <v>50</v>
      </c>
      <c r="R70" s="36">
        <f t="shared" ca="1" si="264"/>
        <v>38</v>
      </c>
      <c r="S70" s="36">
        <f t="shared" ca="1" si="264"/>
        <v>35</v>
      </c>
      <c r="T70" s="36">
        <f t="shared" ca="1" si="264"/>
        <v>32</v>
      </c>
      <c r="V70" s="36">
        <f t="shared" ca="1" si="262"/>
        <v>28</v>
      </c>
      <c r="W70" s="36">
        <f t="shared" ca="1" si="259"/>
        <v>45</v>
      </c>
    </row>
    <row r="71" spans="1:35">
      <c r="A71" s="87" t="str">
        <f t="shared" si="255"/>
        <v>Sprint_1_6</v>
      </c>
      <c r="B71" s="36">
        <f t="shared" ca="1" si="263"/>
        <v>82</v>
      </c>
      <c r="C71" s="36">
        <f t="shared" ca="1" si="263"/>
        <v>45</v>
      </c>
      <c r="D71" s="36">
        <f t="shared" ca="1" si="263"/>
        <v>56</v>
      </c>
      <c r="E71" s="36">
        <f t="shared" ca="1" si="263"/>
        <v>46</v>
      </c>
      <c r="F71" s="36">
        <f t="shared" ca="1" si="263"/>
        <v>52</v>
      </c>
      <c r="G71" s="36">
        <f t="shared" ca="1" si="263"/>
        <v>56</v>
      </c>
      <c r="H71" s="36">
        <f t="shared" ca="1" si="263"/>
        <v>26</v>
      </c>
      <c r="J71" s="36">
        <f t="shared" ca="1" si="260"/>
        <v>42</v>
      </c>
      <c r="K71" s="36">
        <f t="shared" ca="1" si="257"/>
        <v>59.5</v>
      </c>
      <c r="M71" s="87" t="str">
        <f t="shared" si="261"/>
        <v>Sprint_1_6</v>
      </c>
      <c r="N71" s="36">
        <f t="shared" ca="1" si="264"/>
        <v>66</v>
      </c>
      <c r="O71" s="36">
        <f t="shared" ca="1" si="264"/>
        <v>36</v>
      </c>
      <c r="P71" s="36">
        <f t="shared" ca="1" si="264"/>
        <v>37</v>
      </c>
      <c r="Q71" s="36">
        <f t="shared" ca="1" si="264"/>
        <v>40</v>
      </c>
      <c r="R71" s="36">
        <f t="shared" ca="1" si="264"/>
        <v>46</v>
      </c>
      <c r="S71" s="36">
        <f t="shared" ca="1" si="264"/>
        <v>36</v>
      </c>
      <c r="T71" s="36">
        <f t="shared" ca="1" si="264"/>
        <v>23</v>
      </c>
      <c r="V71" s="36">
        <f t="shared" ca="1" si="262"/>
        <v>37</v>
      </c>
      <c r="W71" s="36">
        <f t="shared" ca="1" si="259"/>
        <v>31</v>
      </c>
    </row>
    <row r="72" spans="1:35">
      <c r="A72" s="87" t="str">
        <f t="shared" si="255"/>
        <v>Sprint_2_1</v>
      </c>
      <c r="B72" s="36">
        <f t="shared" ref="B72" ca="1" si="265">N72+N14</f>
        <v>52</v>
      </c>
      <c r="C72" s="36">
        <f t="shared" ref="C72" ca="1" si="266">O72+O14</f>
        <v>20</v>
      </c>
      <c r="D72" s="36">
        <f t="shared" ref="D72" ca="1" si="267">P72+P14</f>
        <v>47</v>
      </c>
      <c r="E72" s="36">
        <f t="shared" ref="E72" ca="1" si="268">Q72+Q14</f>
        <v>62</v>
      </c>
      <c r="F72" s="36">
        <f t="shared" ref="F72" ca="1" si="269">R72+R14</f>
        <v>34</v>
      </c>
      <c r="G72" s="36">
        <f t="shared" ref="G72" ca="1" si="270">S72+S14</f>
        <v>40</v>
      </c>
      <c r="H72" s="36">
        <f t="shared" ref="H72" ca="1" si="271">T72+T14</f>
        <v>33</v>
      </c>
      <c r="J72" s="36">
        <f t="shared" ref="J72" ca="1" si="272">V72+V14</f>
        <v>47</v>
      </c>
      <c r="K72" s="36">
        <f t="shared" ref="K72" ca="1" si="273">W72+W14</f>
        <v>63</v>
      </c>
      <c r="M72" s="87" t="str">
        <f t="shared" ref="M72:M77" si="274">A72</f>
        <v>Sprint_2_1</v>
      </c>
      <c r="N72" s="36">
        <f t="shared" ref="N72" ca="1" si="275">B14-N34</f>
        <v>38</v>
      </c>
      <c r="O72" s="36">
        <f t="shared" ref="O72" ca="1" si="276">C14-O34</f>
        <v>15</v>
      </c>
      <c r="P72" s="36">
        <f t="shared" ref="P72" ca="1" si="277">D14-P34</f>
        <v>39</v>
      </c>
      <c r="Q72" s="36">
        <f t="shared" ref="Q72" ca="1" si="278">E14-Q34</f>
        <v>47</v>
      </c>
      <c r="R72" s="36">
        <f t="shared" ref="R72" ca="1" si="279">F14-R34</f>
        <v>26</v>
      </c>
      <c r="S72" s="36">
        <f t="shared" ref="S72" ca="1" si="280">G14-S34</f>
        <v>33</v>
      </c>
      <c r="T72" s="36">
        <f t="shared" ref="T72" ca="1" si="281">H14-T34</f>
        <v>26</v>
      </c>
      <c r="V72" s="36">
        <f t="shared" ref="V72" ca="1" si="282">J14-V34</f>
        <v>47</v>
      </c>
      <c r="W72" s="36">
        <f t="shared" ref="W72" ca="1" si="283">K14-W34</f>
        <v>48</v>
      </c>
    </row>
    <row r="73" spans="1:35">
      <c r="A73" s="87" t="str">
        <f t="shared" si="255"/>
        <v>Sprint_2_2</v>
      </c>
      <c r="B73" s="36">
        <f t="shared" ref="B73" ca="1" si="284">N73+N15</f>
        <v>43</v>
      </c>
      <c r="C73" s="36">
        <f ca="1">O73+O15</f>
        <v>26</v>
      </c>
      <c r="D73" s="36">
        <f t="shared" ref="D73" ca="1" si="285">P73+P15</f>
        <v>49</v>
      </c>
      <c r="E73" s="36">
        <f t="shared" ref="E73" ca="1" si="286">Q73+Q15</f>
        <v>48</v>
      </c>
      <c r="F73" s="36">
        <f t="shared" ref="F73" ca="1" si="287">R73+R15</f>
        <v>37</v>
      </c>
      <c r="G73" s="36">
        <f t="shared" ref="G73" ca="1" si="288">S73+S15</f>
        <v>44</v>
      </c>
      <c r="H73" s="36">
        <f t="shared" ref="H73" ca="1" si="289">T73+T15</f>
        <v>23</v>
      </c>
      <c r="J73" s="36">
        <f t="shared" ref="J73" ca="1" si="290">V73+V15</f>
        <v>59</v>
      </c>
      <c r="K73" s="36">
        <f t="shared" ref="K73" ca="1" si="291">W73+W15</f>
        <v>76</v>
      </c>
      <c r="M73" s="87" t="str">
        <f t="shared" ref="M73" si="292">A73</f>
        <v>Sprint_2_2</v>
      </c>
      <c r="N73" s="36">
        <f t="shared" ref="N73" ca="1" si="293">B15-N35</f>
        <v>41</v>
      </c>
      <c r="O73" s="36">
        <f ca="1">C15-O35</f>
        <v>13</v>
      </c>
      <c r="P73" s="36">
        <f t="shared" ref="P73" ca="1" si="294">D15-P35</f>
        <v>38</v>
      </c>
      <c r="Q73" s="36">
        <f t="shared" ref="Q73" ca="1" si="295">E15-Q35</f>
        <v>39</v>
      </c>
      <c r="R73" s="36">
        <f t="shared" ref="R73" ca="1" si="296">F15-R35</f>
        <v>36</v>
      </c>
      <c r="S73" s="36">
        <f t="shared" ref="S73" ca="1" si="297">G15-S35</f>
        <v>36</v>
      </c>
      <c r="T73" s="36">
        <f t="shared" ref="T73" ca="1" si="298">H15-T35</f>
        <v>21</v>
      </c>
      <c r="V73" s="36">
        <f t="shared" ref="V73" ca="1" si="299">J15-V35</f>
        <v>50</v>
      </c>
      <c r="W73" s="36">
        <f t="shared" ref="W73" ca="1" si="300">K15-W35</f>
        <v>60</v>
      </c>
    </row>
    <row r="74" spans="1:35">
      <c r="A74" s="87" t="str">
        <f t="shared" si="255"/>
        <v>Sprint_2_3u4</v>
      </c>
      <c r="B74" s="36">
        <f t="shared" ref="B74" ca="1" si="301">N74+N16</f>
        <v>106</v>
      </c>
      <c r="C74" s="36">
        <f ca="1">O74+O16</f>
        <v>30</v>
      </c>
      <c r="D74" s="36">
        <f t="shared" ref="D74" ca="1" si="302">P74+P16</f>
        <v>78</v>
      </c>
      <c r="E74" s="36">
        <f t="shared" ref="E74" ca="1" si="303">Q74+Q16</f>
        <v>113</v>
      </c>
      <c r="F74" s="36">
        <f t="shared" ref="F74" ca="1" si="304">R74+R16</f>
        <v>58</v>
      </c>
      <c r="G74" s="36">
        <f t="shared" ref="G74" ca="1" si="305">S74+S16</f>
        <v>75</v>
      </c>
      <c r="H74" s="36">
        <f t="shared" ref="H74" ca="1" si="306">T74+T16</f>
        <v>45</v>
      </c>
      <c r="J74" s="36">
        <f t="shared" ref="J74" ca="1" si="307">V74+V16</f>
        <v>98</v>
      </c>
      <c r="K74" s="36">
        <f t="shared" ref="K74" ca="1" si="308">W74+W16</f>
        <v>103</v>
      </c>
      <c r="M74" s="87" t="str">
        <f t="shared" si="274"/>
        <v>Sprint_2_3u4</v>
      </c>
      <c r="N74" s="36">
        <f t="shared" ref="N74" ca="1" si="309">B16-N36</f>
        <v>96</v>
      </c>
      <c r="O74" s="36">
        <f ca="1">C16-O36</f>
        <v>20</v>
      </c>
      <c r="P74" s="36">
        <f t="shared" ref="P74" ca="1" si="310">D16-P36</f>
        <v>36</v>
      </c>
      <c r="Q74" s="36">
        <f t="shared" ref="Q74" ca="1" si="311">E16-Q36</f>
        <v>22</v>
      </c>
      <c r="R74" s="36">
        <f t="shared" ref="R74" ca="1" si="312">F16-R36</f>
        <v>38</v>
      </c>
      <c r="S74" s="36">
        <f t="shared" ref="S74" ca="1" si="313">G16-S36</f>
        <v>33</v>
      </c>
      <c r="T74" s="36">
        <f t="shared" ref="T74" ca="1" si="314">H16-T36</f>
        <v>45</v>
      </c>
      <c r="V74" s="36">
        <f t="shared" ref="V74" ca="1" si="315">J16-V36</f>
        <v>98</v>
      </c>
      <c r="W74" s="36">
        <f t="shared" ref="W74" ca="1" si="316">K16-W36</f>
        <v>58</v>
      </c>
    </row>
    <row r="75" spans="1:35">
      <c r="A75" s="87" t="str">
        <f t="shared" si="255"/>
        <v>Sprint_2_5u6</v>
      </c>
      <c r="B75" s="36">
        <f t="shared" ref="B75" ca="1" si="317">N75+N17</f>
        <v>124</v>
      </c>
      <c r="C75" s="36">
        <f ca="1">O75+O17</f>
        <v>28</v>
      </c>
      <c r="D75" s="36">
        <f t="shared" ref="D75" ca="1" si="318">P75+P17</f>
        <v>124</v>
      </c>
      <c r="E75" s="36">
        <f t="shared" ref="E75" ca="1" si="319">Q75+Q17</f>
        <v>76</v>
      </c>
      <c r="F75" s="36">
        <f t="shared" ref="F75" ca="1" si="320">R75+R17</f>
        <v>71</v>
      </c>
      <c r="G75" s="36">
        <f t="shared" ref="G75" ca="1" si="321">S75+S17</f>
        <v>87</v>
      </c>
      <c r="H75" s="36">
        <f t="shared" ref="H75" ca="1" si="322">T75+T17</f>
        <v>62</v>
      </c>
      <c r="J75" s="36">
        <f t="shared" ref="J75" ca="1" si="323">V75+V17</f>
        <v>172</v>
      </c>
      <c r="K75" s="36">
        <f t="shared" ref="K75" ca="1" si="324">W75+W17</f>
        <v>110</v>
      </c>
      <c r="M75" s="87" t="str">
        <f t="shared" ref="M75" si="325">A75</f>
        <v>Sprint_2_5u6</v>
      </c>
      <c r="N75" s="36">
        <f t="shared" ref="N75" ca="1" si="326">B17-N37</f>
        <v>104</v>
      </c>
      <c r="O75" s="36">
        <f ca="1">C17-O37</f>
        <v>18</v>
      </c>
      <c r="P75" s="36">
        <f t="shared" ref="P75" ca="1" si="327">D17-P37</f>
        <v>68</v>
      </c>
      <c r="Q75" s="36">
        <f t="shared" ref="Q75" ca="1" si="328">E17-Q37</f>
        <v>52</v>
      </c>
      <c r="R75" s="36">
        <f t="shared" ref="R75" ca="1" si="329">F17-R37</f>
        <v>52</v>
      </c>
      <c r="S75" s="36">
        <f t="shared" ref="S75" ca="1" si="330">G17-S37</f>
        <v>59</v>
      </c>
      <c r="T75" s="36">
        <f t="shared" ref="T75" ca="1" si="331">H17-T37</f>
        <v>43</v>
      </c>
      <c r="V75" s="36">
        <f t="shared" ref="V75" ca="1" si="332">J17-V37</f>
        <v>81</v>
      </c>
      <c r="W75" s="36">
        <f t="shared" ref="W75" ca="1" si="333">K17-W37</f>
        <v>77</v>
      </c>
    </row>
    <row r="76" spans="1:35">
      <c r="A76" s="87" t="str">
        <f t="shared" si="255"/>
        <v>Sprint_3_1u2</v>
      </c>
      <c r="B76" s="36">
        <f t="shared" ref="B76" ca="1" si="334">N76+N18</f>
        <v>0</v>
      </c>
      <c r="C76" s="36">
        <f ca="1">O76+O18</f>
        <v>45</v>
      </c>
      <c r="D76" s="36">
        <f t="shared" ref="D76" ca="1" si="335">P76+P18</f>
        <v>151</v>
      </c>
      <c r="E76" s="36">
        <f t="shared" ref="E76" ca="1" si="336">Q76+Q18</f>
        <v>0</v>
      </c>
      <c r="F76" s="36">
        <f t="shared" ref="F76" ca="1" si="337">R76+R18</f>
        <v>80</v>
      </c>
      <c r="G76" s="36">
        <f t="shared" ref="G76" ca="1" si="338">S76+S18</f>
        <v>0</v>
      </c>
      <c r="H76" s="36">
        <f t="shared" ref="H76" ca="1" si="339">T76+T18</f>
        <v>72</v>
      </c>
      <c r="J76" s="36">
        <f t="shared" ref="J76" ca="1" si="340">V76+V18</f>
        <v>0</v>
      </c>
      <c r="K76" s="36">
        <f t="shared" ref="K76" ca="1" si="341">W76+W18</f>
        <v>0</v>
      </c>
      <c r="M76" s="87" t="str">
        <f t="shared" ref="M76" si="342">A76</f>
        <v>Sprint_3_1u2</v>
      </c>
      <c r="N76" s="36">
        <f t="shared" ref="N76" ca="1" si="343">B18-N38</f>
        <v>0</v>
      </c>
      <c r="O76" s="36">
        <f ca="1">C18-O38</f>
        <v>34</v>
      </c>
      <c r="P76" s="36">
        <f t="shared" ref="P76" ca="1" si="344">D18-P38</f>
        <v>78</v>
      </c>
      <c r="Q76" s="36">
        <f t="shared" ref="Q76" ca="1" si="345">E18-Q38</f>
        <v>0</v>
      </c>
      <c r="R76" s="36">
        <f t="shared" ref="R76" ca="1" si="346">F18-R38</f>
        <v>47</v>
      </c>
      <c r="S76" s="36">
        <f t="shared" ref="S76" ca="1" si="347">G18-S38</f>
        <v>0</v>
      </c>
      <c r="T76" s="36">
        <f t="shared" ref="T76" ca="1" si="348">H18-T38</f>
        <v>72</v>
      </c>
      <c r="V76" s="36">
        <f t="shared" ref="V76" ca="1" si="349">J18-V38</f>
        <v>0</v>
      </c>
      <c r="W76" s="36">
        <f t="shared" ref="W76" ca="1" si="350">K18-W38</f>
        <v>0</v>
      </c>
    </row>
    <row r="77" spans="1:35">
      <c r="A77" s="87" t="str">
        <f t="shared" si="255"/>
        <v>Sprint_3_3u4</v>
      </c>
      <c r="M77" s="87" t="str">
        <f t="shared" si="274"/>
        <v>Sprint_3_3u4</v>
      </c>
    </row>
    <row r="78" spans="1:35">
      <c r="A78" s="87" t="str">
        <f t="shared" si="255"/>
        <v>Sprint_3_5u6</v>
      </c>
      <c r="M78" s="87" t="str">
        <f t="shared" ref="M78" si="351">A78</f>
        <v>Sprint_3_5u6</v>
      </c>
    </row>
    <row r="80" spans="1:35">
      <c r="B80" s="410" t="s">
        <v>133</v>
      </c>
      <c r="C80" s="410"/>
      <c r="D80" s="410"/>
      <c r="E80" s="410"/>
      <c r="F80" s="410"/>
      <c r="G80" s="410"/>
      <c r="H80" s="410"/>
      <c r="I80" s="410"/>
      <c r="J80" s="410"/>
      <c r="K80" s="410"/>
      <c r="N80" s="410" t="s">
        <v>129</v>
      </c>
      <c r="O80" s="410"/>
      <c r="P80" s="410"/>
      <c r="Q80" s="410"/>
      <c r="R80" s="410"/>
      <c r="S80" s="410"/>
      <c r="T80" s="410"/>
      <c r="U80" s="410"/>
      <c r="V80" s="410"/>
      <c r="W80" s="410"/>
      <c r="Y80" s="94"/>
      <c r="Z80" s="411" t="s">
        <v>43</v>
      </c>
      <c r="AA80" s="411"/>
      <c r="AB80" s="411"/>
      <c r="AC80" s="411"/>
      <c r="AD80" s="411"/>
      <c r="AE80" s="411"/>
      <c r="AF80" s="411"/>
      <c r="AG80" s="411"/>
      <c r="AH80" s="411"/>
      <c r="AI80" s="411"/>
    </row>
    <row r="81" spans="1:47">
      <c r="B81" s="90" t="str">
        <f>B61</f>
        <v>Engineering</v>
      </c>
      <c r="C81" s="90" t="str">
        <f t="shared" ref="C81:K81" si="352">C61</f>
        <v>Payment</v>
      </c>
      <c r="D81" s="90" t="str">
        <f t="shared" si="352"/>
        <v>Sales</v>
      </c>
      <c r="E81" s="90" t="str">
        <f t="shared" si="352"/>
        <v>Vlinder</v>
      </c>
      <c r="F81" s="90" t="str">
        <f t="shared" si="352"/>
        <v>TTT</v>
      </c>
      <c r="G81" s="90" t="str">
        <f t="shared" si="352"/>
        <v>TNT</v>
      </c>
      <c r="H81" s="90" t="str">
        <f t="shared" si="352"/>
        <v>TFS</v>
      </c>
      <c r="I81" s="90" t="str">
        <f t="shared" si="352"/>
        <v>0-Noise</v>
      </c>
      <c r="J81" s="90" t="str">
        <f t="shared" si="352"/>
        <v>Synergy</v>
      </c>
      <c r="K81" s="90" t="str">
        <f t="shared" si="352"/>
        <v>Papillon</v>
      </c>
      <c r="N81" s="90" t="str">
        <f>B81</f>
        <v>Engineering</v>
      </c>
      <c r="O81" s="90" t="str">
        <f t="shared" ref="O81" si="353">C81</f>
        <v>Payment</v>
      </c>
      <c r="P81" s="90" t="str">
        <f t="shared" ref="P81" si="354">D81</f>
        <v>Sales</v>
      </c>
      <c r="Q81" s="90" t="str">
        <f t="shared" ref="Q81" si="355">E81</f>
        <v>Vlinder</v>
      </c>
      <c r="R81" s="90" t="str">
        <f t="shared" ref="R81" si="356">F81</f>
        <v>TTT</v>
      </c>
      <c r="S81" s="90" t="str">
        <f t="shared" ref="S81" si="357">G81</f>
        <v>TNT</v>
      </c>
      <c r="T81" s="90" t="str">
        <f t="shared" ref="T81" si="358">H81</f>
        <v>TFS</v>
      </c>
      <c r="U81" s="90" t="str">
        <f t="shared" ref="U81" si="359">I81</f>
        <v>0-Noise</v>
      </c>
      <c r="V81" s="90" t="str">
        <f t="shared" ref="V81" si="360">J81</f>
        <v>Synergy</v>
      </c>
      <c r="W81" s="90" t="str">
        <f t="shared" ref="W81" si="361">K81</f>
        <v>Papillon</v>
      </c>
      <c r="Z81" s="90" t="str">
        <f>N81</f>
        <v>Engineering</v>
      </c>
      <c r="AA81" s="90" t="str">
        <f t="shared" ref="AA81" si="362">O81</f>
        <v>Payment</v>
      </c>
      <c r="AB81" s="90" t="str">
        <f t="shared" ref="AB81" si="363">P81</f>
        <v>Sales</v>
      </c>
      <c r="AC81" s="90" t="str">
        <f t="shared" ref="AC81" si="364">Q81</f>
        <v>Vlinder</v>
      </c>
      <c r="AD81" s="90" t="str">
        <f t="shared" ref="AD81" si="365">R81</f>
        <v>TTT</v>
      </c>
      <c r="AE81" s="90" t="str">
        <f t="shared" ref="AE81" si="366">S81</f>
        <v>TNT</v>
      </c>
      <c r="AF81" s="90" t="str">
        <f t="shared" ref="AF81" si="367">T81</f>
        <v>TFS</v>
      </c>
      <c r="AG81" s="90" t="str">
        <f t="shared" ref="AG81" si="368">U81</f>
        <v>0-Noise</v>
      </c>
      <c r="AH81" s="90" t="str">
        <f t="shared" ref="AH81" si="369">V81</f>
        <v>Synergy</v>
      </c>
      <c r="AI81" s="90" t="str">
        <f t="shared" ref="AI81" si="370">W81</f>
        <v>Papillon</v>
      </c>
    </row>
    <row r="82" spans="1:47">
      <c r="A82" s="87" t="s">
        <v>134</v>
      </c>
      <c r="B82" s="36">
        <f t="shared" ref="B82:I82" ca="1" si="371">B24+B25</f>
        <v>129</v>
      </c>
      <c r="C82" s="36">
        <f t="shared" ca="1" si="371"/>
        <v>17</v>
      </c>
      <c r="D82" s="36">
        <f t="shared" ca="1" si="371"/>
        <v>73</v>
      </c>
      <c r="E82" s="36">
        <f t="shared" ca="1" si="371"/>
        <v>73</v>
      </c>
      <c r="F82" s="36">
        <f t="shared" ca="1" si="371"/>
        <v>65</v>
      </c>
      <c r="G82" s="36">
        <f t="shared" ca="1" si="371"/>
        <v>76</v>
      </c>
      <c r="H82" s="36">
        <f t="shared" ca="1" si="371"/>
        <v>46</v>
      </c>
      <c r="I82" s="36">
        <f t="shared" ca="1" si="371"/>
        <v>33</v>
      </c>
      <c r="J82" s="288">
        <f ca="1">2*J25</f>
        <v>46</v>
      </c>
      <c r="K82" s="36">
        <f ca="1">K24+K25</f>
        <v>30</v>
      </c>
      <c r="M82" s="94" t="str">
        <f>A82</f>
        <v>Sprint 2024-4-4+5</v>
      </c>
      <c r="N82" s="93">
        <f ca="1">AVERAGE(B$82:B82)</f>
        <v>129</v>
      </c>
      <c r="O82" s="93">
        <f ca="1">AVERAGE(C$82:C82)</f>
        <v>17</v>
      </c>
      <c r="P82" s="93">
        <f ca="1">AVERAGE(D$82:D82)</f>
        <v>73</v>
      </c>
      <c r="Q82" s="93">
        <f ca="1">AVERAGE(E$82:E82)</f>
        <v>73</v>
      </c>
      <c r="R82" s="93">
        <f ca="1">AVERAGE(F$82:F82)</f>
        <v>65</v>
      </c>
      <c r="S82" s="93">
        <f ca="1">AVERAGE(G$82:G82)</f>
        <v>76</v>
      </c>
      <c r="T82" s="93">
        <f ca="1">AVERAGE(H$82:H82)</f>
        <v>46</v>
      </c>
      <c r="U82" s="93">
        <f ca="1">AVERAGE(I$82:I82)</f>
        <v>33</v>
      </c>
      <c r="V82" s="93">
        <f ca="1">AVERAGE(J$82:J82)</f>
        <v>46</v>
      </c>
      <c r="W82" s="93">
        <f ca="1">AVERAGE(K$82:K82)</f>
        <v>30</v>
      </c>
      <c r="Y82" s="94" t="str">
        <f>M82</f>
        <v>Sprint 2024-4-4+5</v>
      </c>
      <c r="Z82" s="93">
        <f ca="1">_xlfn.STDEV.P(B$82:B82)</f>
        <v>0</v>
      </c>
      <c r="AA82" s="93">
        <f ca="1">_xlfn.STDEV.P(C$82:C82)</f>
        <v>0</v>
      </c>
      <c r="AB82" s="93">
        <f ca="1">_xlfn.STDEV.P(D$82:D82)</f>
        <v>0</v>
      </c>
      <c r="AC82" s="93">
        <f ca="1">_xlfn.STDEV.P(E$82:E82)</f>
        <v>0</v>
      </c>
      <c r="AD82" s="93">
        <f ca="1">_xlfn.STDEV.P(F$82:F82)</f>
        <v>0</v>
      </c>
      <c r="AE82" s="93">
        <f ca="1">_xlfn.STDEV.P(G$82:G82)</f>
        <v>0</v>
      </c>
      <c r="AF82" s="93">
        <f ca="1">_xlfn.STDEV.P(H$82:H82)</f>
        <v>0</v>
      </c>
      <c r="AG82" s="93">
        <f ca="1">_xlfn.STDEV.P(I$82:I82)</f>
        <v>0</v>
      </c>
      <c r="AH82" s="93">
        <f ca="1">_xlfn.STDEV.P(J$82:J82)</f>
        <v>0</v>
      </c>
      <c r="AI82" s="93">
        <f ca="1">_xlfn.STDEV.P(K$82:K82)</f>
        <v>0</v>
      </c>
    </row>
    <row r="83" spans="1:47">
      <c r="A83" s="87" t="s">
        <v>135</v>
      </c>
      <c r="B83" s="36">
        <f t="shared" ref="B83:K83" ca="1" si="372">B26+B27</f>
        <v>111</v>
      </c>
      <c r="C83" s="36">
        <f t="shared" ca="1" si="372"/>
        <v>29</v>
      </c>
      <c r="D83" s="36">
        <f t="shared" ca="1" si="372"/>
        <v>57</v>
      </c>
      <c r="E83" s="36">
        <f t="shared" ca="1" si="372"/>
        <v>47</v>
      </c>
      <c r="F83" s="36">
        <f t="shared" ca="1" si="372"/>
        <v>89</v>
      </c>
      <c r="G83" s="36">
        <f t="shared" ca="1" si="372"/>
        <v>90</v>
      </c>
      <c r="H83" s="36">
        <f t="shared" ca="1" si="372"/>
        <v>48</v>
      </c>
      <c r="I83" s="36">
        <f t="shared" ca="1" si="372"/>
        <v>43</v>
      </c>
      <c r="J83" s="36">
        <f t="shared" ca="1" si="372"/>
        <v>53</v>
      </c>
      <c r="K83" s="36">
        <f t="shared" ca="1" si="372"/>
        <v>61</v>
      </c>
      <c r="M83" s="94" t="str">
        <f t="shared" ref="M83:M92" si="373">A83</f>
        <v>Sprint 2024-4-6/7+8</v>
      </c>
      <c r="N83" s="93">
        <f ca="1">AVERAGE(B$82:B83)</f>
        <v>120</v>
      </c>
      <c r="O83" s="93">
        <f ca="1">AVERAGE(C$82:C83)</f>
        <v>23</v>
      </c>
      <c r="P83" s="93">
        <f ca="1">AVERAGE(D$82:D83)</f>
        <v>65</v>
      </c>
      <c r="Q83" s="93">
        <f ca="1">AVERAGE(E$82:E83)</f>
        <v>60</v>
      </c>
      <c r="R83" s="93">
        <f ca="1">AVERAGE(F$82:F83)</f>
        <v>77</v>
      </c>
      <c r="S83" s="93">
        <f ca="1">AVERAGE(G$82:G83)</f>
        <v>83</v>
      </c>
      <c r="T83" s="93">
        <f ca="1">AVERAGE(H$82:H83)</f>
        <v>47</v>
      </c>
      <c r="U83" s="93">
        <f ca="1">AVERAGE(I$82:I83)</f>
        <v>38</v>
      </c>
      <c r="V83" s="93">
        <f ca="1">AVERAGE(J$82:J83)</f>
        <v>49.5</v>
      </c>
      <c r="W83" s="93">
        <f ca="1">AVERAGE(K$82:K83)</f>
        <v>45.5</v>
      </c>
      <c r="Y83" s="94" t="str">
        <f t="shared" ref="Y83:Y92" si="374">M83</f>
        <v>Sprint 2024-4-6/7+8</v>
      </c>
      <c r="Z83" s="93">
        <f ca="1">_xlfn.STDEV.P(B$82:B83)</f>
        <v>9</v>
      </c>
      <c r="AA83" s="93">
        <f ca="1">_xlfn.STDEV.P(C$82:C83)</f>
        <v>6</v>
      </c>
      <c r="AB83" s="93">
        <f ca="1">_xlfn.STDEV.P(D$82:D83)</f>
        <v>8</v>
      </c>
      <c r="AC83" s="93">
        <f ca="1">_xlfn.STDEV.P(E$82:E83)</f>
        <v>13</v>
      </c>
      <c r="AD83" s="93">
        <f ca="1">_xlfn.STDEV.P(F$82:F83)</f>
        <v>12</v>
      </c>
      <c r="AE83" s="93">
        <f ca="1">_xlfn.STDEV.P(G$82:G83)</f>
        <v>7</v>
      </c>
      <c r="AF83" s="93">
        <f ca="1">_xlfn.STDEV.P(H$82:H83)</f>
        <v>1</v>
      </c>
      <c r="AG83" s="93">
        <f ca="1">_xlfn.STDEV.P(I$82:I83)</f>
        <v>5</v>
      </c>
      <c r="AH83" s="93">
        <f ca="1">_xlfn.STDEV.P(J$82:J83)</f>
        <v>3.5</v>
      </c>
      <c r="AI83" s="93">
        <f ca="1">_xlfn.STDEV.P(K$82:K83)</f>
        <v>15.5</v>
      </c>
    </row>
    <row r="84" spans="1:47">
      <c r="A84" s="87" t="s">
        <v>136</v>
      </c>
      <c r="B84" s="36">
        <f t="shared" ref="B84:H84" ca="1" si="375">B28+B29</f>
        <v>113</v>
      </c>
      <c r="C84" s="36">
        <f t="shared" ca="1" si="375"/>
        <v>40</v>
      </c>
      <c r="D84" s="36">
        <f t="shared" ca="1" si="375"/>
        <v>82</v>
      </c>
      <c r="E84" s="36">
        <f t="shared" ca="1" si="375"/>
        <v>62</v>
      </c>
      <c r="F84" s="36">
        <f t="shared" ca="1" si="375"/>
        <v>55</v>
      </c>
      <c r="G84" s="36">
        <f t="shared" ca="1" si="375"/>
        <v>84</v>
      </c>
      <c r="H84" s="36">
        <f t="shared" ca="1" si="375"/>
        <v>51</v>
      </c>
      <c r="J84" s="36">
        <f ca="1">J28+J29</f>
        <v>46</v>
      </c>
      <c r="K84" s="36">
        <f ca="1">K28+K29</f>
        <v>64.5</v>
      </c>
      <c r="M84" s="94" t="str">
        <f t="shared" si="373"/>
        <v>Sprint 2025-1-1+2</v>
      </c>
      <c r="N84" s="93">
        <f ca="1">AVERAGE(B$82:B84)</f>
        <v>117.66666666666667</v>
      </c>
      <c r="O84" s="93">
        <f ca="1">AVERAGE(C$82:C84)</f>
        <v>28.666666666666668</v>
      </c>
      <c r="P84" s="93">
        <f ca="1">AVERAGE(D$82:D84)</f>
        <v>70.666666666666671</v>
      </c>
      <c r="Q84" s="93">
        <f ca="1">AVERAGE(E$82:E84)</f>
        <v>60.666666666666664</v>
      </c>
      <c r="R84" s="93">
        <f ca="1">AVERAGE(F$82:F84)</f>
        <v>69.666666666666671</v>
      </c>
      <c r="S84" s="93">
        <f ca="1">AVERAGE(G$82:G84)</f>
        <v>83.333333333333329</v>
      </c>
      <c r="T84" s="93">
        <f ca="1">AVERAGE(H$82:H84)</f>
        <v>48.333333333333336</v>
      </c>
      <c r="U84" s="93"/>
      <c r="V84" s="93">
        <f ca="1">AVERAGE(J$82:J84)</f>
        <v>48.333333333333336</v>
      </c>
      <c r="W84" s="93">
        <f ca="1">AVERAGE(K$82:K84)</f>
        <v>51.833333333333336</v>
      </c>
      <c r="Y84" s="94" t="str">
        <f t="shared" si="374"/>
        <v>Sprint 2025-1-1+2</v>
      </c>
      <c r="Z84" s="93">
        <f ca="1">_xlfn.STDEV.P(B$82:B84)</f>
        <v>8.0553639823963827</v>
      </c>
      <c r="AA84" s="93">
        <f ca="1">_xlfn.STDEV.P(C$82:C84)</f>
        <v>9.3926685357369148</v>
      </c>
      <c r="AB84" s="93">
        <f ca="1">_xlfn.STDEV.P(D$82:D84)</f>
        <v>10.338708279513881</v>
      </c>
      <c r="AC84" s="93">
        <f ca="1">_xlfn.STDEV.P(E$82:E84)</f>
        <v>10.656244908763854</v>
      </c>
      <c r="AD84" s="93">
        <f ca="1">_xlfn.STDEV.P(F$82:F84)</f>
        <v>14.267289706021797</v>
      </c>
      <c r="AE84" s="93">
        <f ca="1">_xlfn.STDEV.P(G$82:G84)</f>
        <v>5.7348835113617511</v>
      </c>
      <c r="AF84" s="93">
        <f ca="1">_xlfn.STDEV.P(H$82:H84)</f>
        <v>2.0548046676563256</v>
      </c>
      <c r="AG84" s="93"/>
      <c r="AH84" s="93">
        <f ca="1">_xlfn.STDEV.P(J$82:J84)</f>
        <v>3.2998316455372221</v>
      </c>
      <c r="AI84" s="93">
        <f ca="1">_xlfn.STDEV.P(K$82:K84)</f>
        <v>15.504479639410311</v>
      </c>
    </row>
    <row r="85" spans="1:47">
      <c r="A85" s="87" t="s">
        <v>137</v>
      </c>
      <c r="B85" s="36">
        <f t="shared" ref="B85:H85" ca="1" si="376">B30+B31</f>
        <v>81</v>
      </c>
      <c r="C85" s="36">
        <f t="shared" ca="1" si="376"/>
        <v>29</v>
      </c>
      <c r="D85" s="36">
        <f t="shared" ca="1" si="376"/>
        <v>90</v>
      </c>
      <c r="E85" s="36">
        <f t="shared" ca="1" si="376"/>
        <v>64</v>
      </c>
      <c r="F85" s="36">
        <f t="shared" ca="1" si="376"/>
        <v>62</v>
      </c>
      <c r="G85" s="36">
        <f t="shared" ca="1" si="376"/>
        <v>50</v>
      </c>
      <c r="H85" s="36">
        <f t="shared" ca="1" si="376"/>
        <v>59</v>
      </c>
      <c r="J85" s="36">
        <f ca="1">J30+J31</f>
        <v>45</v>
      </c>
      <c r="K85" s="36">
        <f ca="1">K30+K31</f>
        <v>105.5</v>
      </c>
      <c r="M85" s="94" t="str">
        <f t="shared" si="373"/>
        <v>Sprint 2025-1-3+4</v>
      </c>
      <c r="N85" s="93">
        <f ca="1">AVERAGE(B$82:B85)</f>
        <v>108.5</v>
      </c>
      <c r="O85" s="93">
        <f ca="1">AVERAGE(C$82:C85)</f>
        <v>28.75</v>
      </c>
      <c r="P85" s="93">
        <f ca="1">AVERAGE(D$82:D85)</f>
        <v>75.5</v>
      </c>
      <c r="Q85" s="93">
        <f ca="1">AVERAGE(E$82:E85)</f>
        <v>61.5</v>
      </c>
      <c r="R85" s="93">
        <f ca="1">AVERAGE(F$82:F85)</f>
        <v>67.75</v>
      </c>
      <c r="S85" s="93">
        <f ca="1">AVERAGE(G$82:G85)</f>
        <v>75</v>
      </c>
      <c r="T85" s="93">
        <f ca="1">AVERAGE(H$82:H85)</f>
        <v>51</v>
      </c>
      <c r="U85" s="93"/>
      <c r="V85" s="93">
        <f ca="1">AVERAGE(J$82:J85)</f>
        <v>47.5</v>
      </c>
      <c r="W85" s="93">
        <f ca="1">AVERAGE(K$82:K85)</f>
        <v>65.25</v>
      </c>
      <c r="Y85" s="94" t="str">
        <f t="shared" si="374"/>
        <v>Sprint 2025-1-3+4</v>
      </c>
      <c r="Z85" s="93">
        <f ca="1">_xlfn.STDEV.P(B$82:B85)</f>
        <v>17.342145196024624</v>
      </c>
      <c r="AA85" s="93">
        <f ca="1">_xlfn.STDEV.P(C$82:C85)</f>
        <v>8.1355700476364898</v>
      </c>
      <c r="AB85" s="93">
        <f ca="1">_xlfn.STDEV.P(D$82:D85)</f>
        <v>12.257650672131263</v>
      </c>
      <c r="AC85" s="93">
        <f ca="1">_xlfn.STDEV.P(E$82:E85)</f>
        <v>9.3407708461347028</v>
      </c>
      <c r="AD85" s="93">
        <f ca="1">_xlfn.STDEV.P(F$82:F85)</f>
        <v>12.794041581923986</v>
      </c>
      <c r="AE85" s="93">
        <f ca="1">_xlfn.STDEV.P(G$82:G85)</f>
        <v>15.264337522473747</v>
      </c>
      <c r="AF85" s="93">
        <f ca="1">_xlfn.STDEV.P(H$82:H85)</f>
        <v>4.9497474683058327</v>
      </c>
      <c r="AG85" s="93"/>
      <c r="AH85" s="93">
        <f ca="1">_xlfn.STDEV.P(J$82:J85)</f>
        <v>3.2015621187164243</v>
      </c>
      <c r="AI85" s="93">
        <f ca="1">_xlfn.STDEV.P(K$82:K85)</f>
        <v>26.838638191979861</v>
      </c>
    </row>
    <row r="86" spans="1:47">
      <c r="A86" s="87" t="s">
        <v>138</v>
      </c>
      <c r="B86" s="36">
        <f t="shared" ref="B86:H86" ca="1" si="377">B32+B33</f>
        <v>140</v>
      </c>
      <c r="C86" s="36">
        <f t="shared" ca="1" si="377"/>
        <v>52</v>
      </c>
      <c r="D86" s="36">
        <f t="shared" ca="1" si="377"/>
        <v>79</v>
      </c>
      <c r="E86" s="36">
        <f t="shared" ca="1" si="377"/>
        <v>69</v>
      </c>
      <c r="F86" s="36">
        <f t="shared" ca="1" si="377"/>
        <v>54</v>
      </c>
      <c r="G86" s="36">
        <f t="shared" ca="1" si="377"/>
        <v>77</v>
      </c>
      <c r="H86" s="36">
        <f t="shared" ca="1" si="377"/>
        <v>53</v>
      </c>
      <c r="J86" s="36">
        <f ca="1">J32+J33</f>
        <v>72</v>
      </c>
      <c r="K86" s="36">
        <f ca="1">K32+K33</f>
        <v>106.5</v>
      </c>
      <c r="M86" s="94" t="str">
        <f t="shared" si="373"/>
        <v>Sprint 2025-1-5+6</v>
      </c>
      <c r="N86" s="93">
        <f ca="1">AVERAGE(B$82:B86)</f>
        <v>114.8</v>
      </c>
      <c r="O86" s="93">
        <f ca="1">AVERAGE(C$82:C86)</f>
        <v>33.4</v>
      </c>
      <c r="P86" s="93">
        <f ca="1">AVERAGE(D$82:D86)</f>
        <v>76.2</v>
      </c>
      <c r="Q86" s="93">
        <f ca="1">AVERAGE(E$82:E86)</f>
        <v>63</v>
      </c>
      <c r="R86" s="93">
        <f ca="1">AVERAGE(F$82:F86)</f>
        <v>65</v>
      </c>
      <c r="S86" s="93">
        <f ca="1">AVERAGE(G$82:G86)</f>
        <v>75.400000000000006</v>
      </c>
      <c r="T86" s="93">
        <f ca="1">AVERAGE(H$82:H86)</f>
        <v>51.4</v>
      </c>
      <c r="U86" s="93"/>
      <c r="V86" s="93">
        <f ca="1">AVERAGE(J$82:J86)</f>
        <v>52.4</v>
      </c>
      <c r="W86" s="93">
        <f ca="1">AVERAGE(K$82:K86)</f>
        <v>73.5</v>
      </c>
      <c r="Y86" s="94" t="str">
        <f t="shared" si="374"/>
        <v>Sprint 2025-1-5+6</v>
      </c>
      <c r="Z86" s="93">
        <f ca="1">_xlfn.STDEV.P(B$82:B86)</f>
        <v>19.983993594874875</v>
      </c>
      <c r="AA86" s="93">
        <f ca="1">_xlfn.STDEV.P(C$82:C86)</f>
        <v>11.808471535300409</v>
      </c>
      <c r="AB86" s="93">
        <f ca="1">_xlfn.STDEV.P(D$82:D86)</f>
        <v>11.052601503718479</v>
      </c>
      <c r="AC86" s="93">
        <f ca="1">_xlfn.STDEV.P(E$82:E86)</f>
        <v>8.8769364084688593</v>
      </c>
      <c r="AD86" s="93">
        <f ca="1">_xlfn.STDEV.P(F$82:F86)</f>
        <v>12.696456198483101</v>
      </c>
      <c r="AE86" s="93">
        <f ca="1">_xlfn.STDEV.P(G$82:G86)</f>
        <v>13.676256797823006</v>
      </c>
      <c r="AF86" s="93">
        <f ca="1">_xlfn.STDEV.P(H$82:H86)</f>
        <v>4.4988887516807967</v>
      </c>
      <c r="AG86" s="93"/>
      <c r="AH86" s="93">
        <f ca="1">_xlfn.STDEV.P(J$82:J86)</f>
        <v>10.209799214480174</v>
      </c>
      <c r="AI86" s="93">
        <f ca="1">_xlfn.STDEV.P(K$82:K86)</f>
        <v>29.129023327259016</v>
      </c>
    </row>
    <row r="87" spans="1:47" s="289" customFormat="1">
      <c r="A87" s="256" t="s">
        <v>139</v>
      </c>
      <c r="B87" s="288">
        <f t="shared" ref="B87:H87" ca="1" si="378">B34+B35</f>
        <v>61</v>
      </c>
      <c r="C87" s="288">
        <f t="shared" ca="1" si="378"/>
        <v>31</v>
      </c>
      <c r="D87" s="288">
        <f t="shared" ca="1" si="378"/>
        <v>65</v>
      </c>
      <c r="E87" s="288">
        <f t="shared" ca="1" si="378"/>
        <v>65</v>
      </c>
      <c r="F87" s="288">
        <f t="shared" ca="1" si="378"/>
        <v>50</v>
      </c>
      <c r="G87" s="288">
        <f t="shared" ca="1" si="378"/>
        <v>62</v>
      </c>
      <c r="H87" s="288">
        <f t="shared" ca="1" si="378"/>
        <v>37</v>
      </c>
      <c r="I87" s="288"/>
      <c r="J87" s="288">
        <f ca="1">J34+J35</f>
        <v>83</v>
      </c>
      <c r="K87" s="288">
        <f ca="1">K34+K35</f>
        <v>72</v>
      </c>
      <c r="L87" s="274"/>
      <c r="M87" s="257" t="str">
        <f t="shared" si="373"/>
        <v>Sprint 2025-2-1+2</v>
      </c>
      <c r="N87" s="196">
        <f ca="1">AVERAGE(B82:B87)</f>
        <v>105.83333333333333</v>
      </c>
      <c r="O87" s="196">
        <f t="shared" ref="O87:W87" ca="1" si="379">AVERAGE(C82:C87)</f>
        <v>33</v>
      </c>
      <c r="P87" s="196">
        <f t="shared" ca="1" si="379"/>
        <v>74.333333333333329</v>
      </c>
      <c r="Q87" s="196">
        <f t="shared" ca="1" si="379"/>
        <v>63.333333333333336</v>
      </c>
      <c r="R87" s="196">
        <f t="shared" ca="1" si="379"/>
        <v>62.5</v>
      </c>
      <c r="S87" s="196">
        <f t="shared" ca="1" si="379"/>
        <v>73.166666666666671</v>
      </c>
      <c r="T87" s="196">
        <f t="shared" ca="1" si="379"/>
        <v>49</v>
      </c>
      <c r="U87" s="196"/>
      <c r="V87" s="196">
        <f t="shared" ca="1" si="379"/>
        <v>57.5</v>
      </c>
      <c r="W87" s="196">
        <f t="shared" ca="1" si="379"/>
        <v>73.25</v>
      </c>
      <c r="X87" s="274"/>
      <c r="Y87" s="257" t="str">
        <f t="shared" si="374"/>
        <v>Sprint 2025-2-1+2</v>
      </c>
      <c r="Z87" s="196">
        <f ca="1">_xlfn.STDEV.P(B82:B87)</f>
        <v>27.107297090553967</v>
      </c>
      <c r="AA87" s="196">
        <f t="shared" ref="AA87:AI87" ca="1" si="380">_xlfn.STDEV.P(C82:C87)</f>
        <v>10.816653826391969</v>
      </c>
      <c r="AB87" s="196">
        <f t="shared" ca="1" si="380"/>
        <v>10.9188929027728</v>
      </c>
      <c r="AC87" s="196">
        <f t="shared" ca="1" si="380"/>
        <v>8.1377037438224686</v>
      </c>
      <c r="AD87" s="196">
        <f t="shared" ca="1" si="380"/>
        <v>12.867918764638411</v>
      </c>
      <c r="AE87" s="196">
        <f t="shared" ca="1" si="380"/>
        <v>13.446395634353301</v>
      </c>
      <c r="AF87" s="196">
        <f t="shared" ca="1" si="380"/>
        <v>6.757711644237764</v>
      </c>
      <c r="AG87" s="196"/>
      <c r="AH87" s="196">
        <f t="shared" ca="1" si="380"/>
        <v>14.728091073410249</v>
      </c>
      <c r="AI87" s="196">
        <f t="shared" ca="1" si="380"/>
        <v>26.59691398138764</v>
      </c>
      <c r="AJ87" s="274"/>
    </row>
    <row r="88" spans="1:47">
      <c r="A88" s="87" t="s">
        <v>140</v>
      </c>
      <c r="B88" s="36">
        <f t="shared" ref="B88:C90" ca="1" si="381">B36</f>
        <v>61</v>
      </c>
      <c r="C88" s="36">
        <f t="shared" ca="1" si="381"/>
        <v>21</v>
      </c>
      <c r="D88" s="36">
        <f t="shared" ref="D88:K90" ca="1" si="382">D36</f>
        <v>60</v>
      </c>
      <c r="E88" s="36">
        <f t="shared" ca="1" si="382"/>
        <v>94</v>
      </c>
      <c r="F88" s="36">
        <f t="shared" ca="1" si="382"/>
        <v>51</v>
      </c>
      <c r="G88" s="36">
        <f t="shared" ca="1" si="382"/>
        <v>55</v>
      </c>
      <c r="H88" s="36">
        <f t="shared" ca="1" si="382"/>
        <v>40</v>
      </c>
      <c r="J88" s="36">
        <f t="shared" ca="1" si="382"/>
        <v>79</v>
      </c>
      <c r="K88" s="36">
        <f t="shared" ca="1" si="382"/>
        <v>67</v>
      </c>
      <c r="M88" s="94" t="str">
        <f t="shared" si="373"/>
        <v>Sprint 2025-2-3/4</v>
      </c>
      <c r="N88" s="93">
        <f ca="1">AVERAGE(B83:B88)</f>
        <v>94.5</v>
      </c>
      <c r="O88" s="93">
        <f t="shared" ref="O88" ca="1" si="383">AVERAGE(C83:C88)</f>
        <v>33.666666666666664</v>
      </c>
      <c r="P88" s="93">
        <f t="shared" ref="P88" ca="1" si="384">AVERAGE(D83:D88)</f>
        <v>72.166666666666671</v>
      </c>
      <c r="Q88" s="93">
        <f t="shared" ref="Q88" ca="1" si="385">AVERAGE(E83:E88)</f>
        <v>66.833333333333329</v>
      </c>
      <c r="R88" s="93">
        <f t="shared" ref="R88" ca="1" si="386">AVERAGE(F83:F88)</f>
        <v>60.166666666666664</v>
      </c>
      <c r="S88" s="93">
        <f t="shared" ref="S88" ca="1" si="387">AVERAGE(G83:G88)</f>
        <v>69.666666666666671</v>
      </c>
      <c r="T88" s="93">
        <f t="shared" ref="T88" ca="1" si="388">AVERAGE(H83:H88)</f>
        <v>48</v>
      </c>
      <c r="U88" s="93"/>
      <c r="V88" s="93">
        <f t="shared" ref="V88" ca="1" si="389">AVERAGE(J83:J88)</f>
        <v>63</v>
      </c>
      <c r="W88" s="93">
        <f t="shared" ref="W88" ca="1" si="390">AVERAGE(K83:K88)</f>
        <v>79.416666666666671</v>
      </c>
      <c r="Y88" s="94" t="str">
        <f t="shared" si="374"/>
        <v>Sprint 2025-2-3/4</v>
      </c>
      <c r="Z88" s="93">
        <f ca="1">_xlfn.STDEV.P(B83:B88)</f>
        <v>29.187611527267293</v>
      </c>
      <c r="AA88" s="93">
        <f t="shared" ref="AA88" ca="1" si="391">_xlfn.STDEV.P(C83:C88)</f>
        <v>9.8938813864372204</v>
      </c>
      <c r="AB88" s="93">
        <f t="shared" ref="AB88" ca="1" si="392">_xlfn.STDEV.P(D83:D88)</f>
        <v>12.184917817622827</v>
      </c>
      <c r="AC88" s="93">
        <f t="shared" ref="AC88" ca="1" si="393">_xlfn.STDEV.P(E83:E88)</f>
        <v>13.969212178533509</v>
      </c>
      <c r="AD88" s="93">
        <f t="shared" ref="AD88" ca="1" si="394">_xlfn.STDEV.P(F83:F88)</f>
        <v>13.45878482214828</v>
      </c>
      <c r="AE88" s="93">
        <f t="shared" ref="AE88" ca="1" si="395">_xlfn.STDEV.P(G83:G88)</f>
        <v>14.907119849998598</v>
      </c>
      <c r="AF88" s="93">
        <f t="shared" ref="AF88" ca="1" si="396">_xlfn.STDEV.P(H83:H88)</f>
        <v>7.5277265270908096</v>
      </c>
      <c r="AG88" s="93"/>
      <c r="AH88" s="93">
        <f t="shared" ref="AH88" ca="1" si="397">_xlfn.STDEV.P(J83:J88)</f>
        <v>15.545631755148024</v>
      </c>
      <c r="AI88" s="93">
        <f t="shared" ref="AI88" ca="1" si="398">_xlfn.STDEV.P(K83:K88)</f>
        <v>19.081877673739434</v>
      </c>
    </row>
    <row r="89" spans="1:47">
      <c r="A89" s="87" t="s">
        <v>141</v>
      </c>
      <c r="B89" s="36">
        <f t="shared" ca="1" si="381"/>
        <v>83</v>
      </c>
      <c r="C89" s="36">
        <f t="shared" ca="1" si="381"/>
        <v>25</v>
      </c>
      <c r="D89" s="36">
        <f t="shared" ca="1" si="382"/>
        <v>81</v>
      </c>
      <c r="E89" s="36">
        <f t="shared" ca="1" si="382"/>
        <v>52</v>
      </c>
      <c r="F89" s="36">
        <f t="shared" ca="1" si="382"/>
        <v>47</v>
      </c>
      <c r="G89" s="36">
        <f t="shared" ca="1" si="382"/>
        <v>63</v>
      </c>
      <c r="H89" s="36">
        <f t="shared" ca="1" si="382"/>
        <v>43</v>
      </c>
      <c r="J89" s="36">
        <f t="shared" ca="1" si="382"/>
        <v>151</v>
      </c>
      <c r="K89" s="36">
        <f t="shared" ca="1" si="382"/>
        <v>59</v>
      </c>
      <c r="M89" s="94" t="str">
        <f t="shared" si="373"/>
        <v>Sprint 2025-2-5/6</v>
      </c>
      <c r="N89" s="93">
        <f ca="1">AVERAGE(B84:B89)</f>
        <v>89.833333333333329</v>
      </c>
      <c r="O89" s="93">
        <f t="shared" ref="O89" ca="1" si="399">AVERAGE(C84:C89)</f>
        <v>33</v>
      </c>
      <c r="P89" s="93">
        <f t="shared" ref="P89" ca="1" si="400">AVERAGE(D84:D89)</f>
        <v>76.166666666666671</v>
      </c>
      <c r="Q89" s="93">
        <f t="shared" ref="Q89" ca="1" si="401">AVERAGE(E84:E89)</f>
        <v>67.666666666666671</v>
      </c>
      <c r="R89" s="93">
        <f t="shared" ref="R89" ca="1" si="402">AVERAGE(F84:F89)</f>
        <v>53.166666666666664</v>
      </c>
      <c r="S89" s="93">
        <f t="shared" ref="S89" ca="1" si="403">AVERAGE(G84:G89)</f>
        <v>65.166666666666671</v>
      </c>
      <c r="T89" s="93">
        <f t="shared" ref="T89" ca="1" si="404">AVERAGE(H84:H89)</f>
        <v>47.166666666666664</v>
      </c>
      <c r="U89" s="93"/>
      <c r="V89" s="93">
        <f t="shared" ref="V89" ca="1" si="405">AVERAGE(J84:J89)</f>
        <v>79.333333333333329</v>
      </c>
      <c r="W89" s="93">
        <f t="shared" ref="W89" ca="1" si="406">AVERAGE(K84:K89)</f>
        <v>79.083333333333329</v>
      </c>
      <c r="Y89" s="94" t="str">
        <f t="shared" si="374"/>
        <v>Sprint 2025-2-5/6</v>
      </c>
      <c r="Z89" s="93">
        <f ca="1">_xlfn.STDEV.P(B84:B89)</f>
        <v>28.404322832195025</v>
      </c>
      <c r="AA89" s="93">
        <f t="shared" ref="AA89" ca="1" si="407">_xlfn.STDEV.P(C84:C89)</f>
        <v>10.311805532172013</v>
      </c>
      <c r="AB89" s="93">
        <f t="shared" ref="AB89" ca="1" si="408">_xlfn.STDEV.P(D84:D89)</f>
        <v>10.350791703482825</v>
      </c>
      <c r="AC89" s="93">
        <f t="shared" ref="AC89" ca="1" si="409">_xlfn.STDEV.P(E84:E89)</f>
        <v>12.866839377079188</v>
      </c>
      <c r="AD89" s="93">
        <f t="shared" ref="AD89" ca="1" si="410">_xlfn.STDEV.P(F84:F89)</f>
        <v>4.7404875511092968</v>
      </c>
      <c r="AE89" s="93">
        <f t="shared" ref="AE89" ca="1" si="411">_xlfn.STDEV.P(G84:G89)</f>
        <v>11.852097798374018</v>
      </c>
      <c r="AF89" s="93">
        <f t="shared" ref="AF89" ca="1" si="412">_xlfn.STDEV.P(H84:H89)</f>
        <v>7.7549267494212275</v>
      </c>
      <c r="AG89" s="93"/>
      <c r="AH89" s="93">
        <f t="shared" ref="AH89" ca="1" si="413">_xlfn.STDEV.P(J84:J89)</f>
        <v>35.339622081862856</v>
      </c>
      <c r="AI89" s="93">
        <f t="shared" ref="AI89" ca="1" si="414">_xlfn.STDEV.P(K84:K89)</f>
        <v>19.415235998794579</v>
      </c>
    </row>
    <row r="90" spans="1:47">
      <c r="A90" s="87" t="s">
        <v>142</v>
      </c>
      <c r="B90" s="36">
        <f t="shared" ca="1" si="381"/>
        <v>0</v>
      </c>
      <c r="C90" s="36">
        <f t="shared" ca="1" si="381"/>
        <v>28</v>
      </c>
      <c r="D90" s="36">
        <f t="shared" ca="1" si="382"/>
        <v>132</v>
      </c>
      <c r="E90" s="36">
        <f t="shared" ca="1" si="382"/>
        <v>0</v>
      </c>
      <c r="F90" s="36">
        <f t="shared" ca="1" si="382"/>
        <v>66</v>
      </c>
      <c r="G90" s="36">
        <f t="shared" ca="1" si="382"/>
        <v>0</v>
      </c>
      <c r="H90" s="36">
        <f t="shared" ca="1" si="382"/>
        <v>51</v>
      </c>
      <c r="J90" s="36">
        <f t="shared" ca="1" si="382"/>
        <v>0</v>
      </c>
      <c r="K90" s="36">
        <f t="shared" ca="1" si="382"/>
        <v>0</v>
      </c>
      <c r="M90" s="94" t="str">
        <f t="shared" ref="M90" si="415">A90</f>
        <v>Sprint 2025-3-1/2</v>
      </c>
      <c r="N90" s="93">
        <f ca="1">AVERAGE(B85:B90)</f>
        <v>71</v>
      </c>
      <c r="O90" s="93">
        <f t="shared" ref="O90" ca="1" si="416">AVERAGE(C85:C90)</f>
        <v>31</v>
      </c>
      <c r="P90" s="93">
        <f t="shared" ref="P90" ca="1" si="417">AVERAGE(D85:D90)</f>
        <v>84.5</v>
      </c>
      <c r="Q90" s="93">
        <f t="shared" ref="Q90" ca="1" si="418">AVERAGE(E85:E90)</f>
        <v>57.333333333333336</v>
      </c>
      <c r="R90" s="93">
        <f t="shared" ref="R90" ca="1" si="419">AVERAGE(F85:F90)</f>
        <v>55</v>
      </c>
      <c r="S90" s="93">
        <f t="shared" ref="S90" ca="1" si="420">AVERAGE(G85:G90)</f>
        <v>51.166666666666664</v>
      </c>
      <c r="T90" s="93">
        <f t="shared" ref="T90" ca="1" si="421">AVERAGE(H85:H90)</f>
        <v>47.166666666666664</v>
      </c>
      <c r="U90" s="93"/>
      <c r="V90" s="93">
        <f t="shared" ref="V90" ca="1" si="422">AVERAGE(J85:J90)</f>
        <v>71.666666666666671</v>
      </c>
      <c r="W90" s="93">
        <f t="shared" ref="W90" ca="1" si="423">AVERAGE(K85:K90)</f>
        <v>68.333333333333329</v>
      </c>
      <c r="Y90" s="94" t="str">
        <f t="shared" ref="Y90" si="424">M90</f>
        <v>Sprint 2025-3-1/2</v>
      </c>
      <c r="Z90" s="93">
        <f ca="1">_xlfn.STDEV.P(B85:B90)</f>
        <v>41.323923660110822</v>
      </c>
      <c r="AA90" s="93">
        <f t="shared" ref="AA90" ca="1" si="425">_xlfn.STDEV.P(C85:C90)</f>
        <v>9.9163165204290102</v>
      </c>
      <c r="AB90" s="93">
        <f t="shared" ref="AB90" ca="1" si="426">_xlfn.STDEV.P(D85:D90)</f>
        <v>23.485811319461234</v>
      </c>
      <c r="AC90" s="93">
        <f t="shared" ref="AC90" ca="1" si="427">_xlfn.STDEV.P(E85:E90)</f>
        <v>28.575436226863722</v>
      </c>
      <c r="AD90" s="93">
        <f t="shared" ref="AD90" ca="1" si="428">_xlfn.STDEV.P(F85:F90)</f>
        <v>6.7823299831252681</v>
      </c>
      <c r="AE90" s="93">
        <f t="shared" ref="AE90" ca="1" si="429">_xlfn.STDEV.P(G85:G90)</f>
        <v>24.354442898347909</v>
      </c>
      <c r="AF90" s="93">
        <f t="shared" ref="AF90" ca="1" si="430">_xlfn.STDEV.P(H85:H90)</f>
        <v>7.7549267494212275</v>
      </c>
      <c r="AG90" s="93"/>
      <c r="AH90" s="93">
        <f t="shared" ref="AH90" ca="1" si="431">_xlfn.STDEV.P(J85:J90)</f>
        <v>45.319850936304817</v>
      </c>
      <c r="AI90" s="93">
        <f t="shared" ref="AI90" ca="1" si="432">_xlfn.STDEV.P(K85:K90)</f>
        <v>35.613277798534014</v>
      </c>
    </row>
    <row r="91" spans="1:47">
      <c r="A91" s="87" t="s">
        <v>143</v>
      </c>
      <c r="B91" s="290">
        <f t="shared" ref="B91:B92" ca="1" si="433">AVERAGE(B85:B90)</f>
        <v>71</v>
      </c>
      <c r="C91" s="290">
        <f t="shared" ref="C91:H92" ca="1" si="434">AVERAGE(C85:C90)</f>
        <v>31</v>
      </c>
      <c r="D91" s="290">
        <f t="shared" ca="1" si="434"/>
        <v>84.5</v>
      </c>
      <c r="E91" s="290">
        <f t="shared" ca="1" si="434"/>
        <v>57.333333333333336</v>
      </c>
      <c r="F91" s="290">
        <f t="shared" ca="1" si="434"/>
        <v>55</v>
      </c>
      <c r="G91" s="290">
        <f t="shared" ca="1" si="434"/>
        <v>51.166666666666664</v>
      </c>
      <c r="H91" s="290">
        <f t="shared" ca="1" si="434"/>
        <v>47.166666666666664</v>
      </c>
      <c r="I91" s="297"/>
      <c r="J91" s="290">
        <f t="shared" ref="J91:J92" ca="1" si="435">AVERAGE(J85:J90)</f>
        <v>71.666666666666671</v>
      </c>
      <c r="K91" s="290">
        <f t="shared" ref="K91:K92" ca="1" si="436">AVERAGE(K85:K90)</f>
        <v>68.333333333333329</v>
      </c>
      <c r="M91" s="94" t="str">
        <f t="shared" si="373"/>
        <v>Sprint 2025-3-3/4</v>
      </c>
      <c r="N91" s="291">
        <f t="shared" ref="N91:N92" ca="1" si="437">AVERAGE(N85:N90)</f>
        <v>97.411111111111111</v>
      </c>
      <c r="O91" s="291">
        <f t="shared" ref="O91:O92" ca="1" si="438">AVERAGE(O85:O90)</f>
        <v>32.136111111111113</v>
      </c>
      <c r="P91" s="291">
        <f t="shared" ref="P91:P92" ca="1" si="439">AVERAGE(P85:P90)</f>
        <v>76.477777777777774</v>
      </c>
      <c r="Q91" s="291">
        <f t="shared" ref="Q91:Q92" ca="1" si="440">AVERAGE(Q85:Q90)</f>
        <v>63.277777777777779</v>
      </c>
      <c r="R91" s="291">
        <f t="shared" ref="R91:R92" ca="1" si="441">AVERAGE(R85:R90)</f>
        <v>60.597222222222221</v>
      </c>
      <c r="S91" s="291">
        <f t="shared" ref="S91:S92" ca="1" si="442">AVERAGE(S85:S90)</f>
        <v>68.26111111111112</v>
      </c>
      <c r="T91" s="291">
        <f t="shared" ref="T91:T92" ca="1" si="443">AVERAGE(T85:T90)</f>
        <v>48.955555555555556</v>
      </c>
      <c r="U91" s="93"/>
      <c r="V91" s="291">
        <f t="shared" ref="V91:V92" ca="1" si="444">AVERAGE(V85:V90)</f>
        <v>61.900000000000006</v>
      </c>
      <c r="W91" s="291">
        <f t="shared" ref="W91:W92" ca="1" si="445">AVERAGE(W85:W90)</f>
        <v>73.138888888888886</v>
      </c>
      <c r="Y91" s="94" t="str">
        <f t="shared" si="374"/>
        <v>Sprint 2025-3-3/4</v>
      </c>
      <c r="Z91" s="291">
        <f t="shared" ref="Z91:AA92" ca="1" si="446">AVERAGE(Z85:Z90)</f>
        <v>27.224882316837768</v>
      </c>
      <c r="AA91" s="291">
        <f t="shared" ca="1" si="446"/>
        <v>10.147116474727852</v>
      </c>
      <c r="AB91" s="291">
        <f t="shared" ref="AB91:AB92" ca="1" si="447">AVERAGE(AB85:AB90)</f>
        <v>13.375110986531572</v>
      </c>
      <c r="AC91" s="291">
        <f t="shared" ref="AC91:AC92" ca="1" si="448">AVERAGE(AC85:AC90)</f>
        <v>13.627816463483741</v>
      </c>
      <c r="AD91" s="291">
        <f t="shared" ref="AD91:AD92" ca="1" si="449">AVERAGE(AD85:AD90)</f>
        <v>10.556669816904725</v>
      </c>
      <c r="AE91" s="291">
        <f t="shared" ref="AE91:AE92" ca="1" si="450">AVERAGE(AE85:AE90)</f>
        <v>15.583441750228431</v>
      </c>
      <c r="AF91" s="291">
        <f t="shared" ref="AF91:AF92" ca="1" si="451">AVERAGE(AF85:AF90)</f>
        <v>6.5406546483596095</v>
      </c>
      <c r="AG91" s="93"/>
      <c r="AH91" s="291">
        <f t="shared" ref="AH91:AH92" ca="1" si="452">AVERAGE(AH85:AH90)</f>
        <v>20.724092863320426</v>
      </c>
      <c r="AI91" s="291">
        <f t="shared" ref="AI91:AI92" ca="1" si="453">AVERAGE(AI85:AI90)</f>
        <v>26.112494495282419</v>
      </c>
    </row>
    <row r="92" spans="1:47">
      <c r="A92" s="87" t="s">
        <v>144</v>
      </c>
      <c r="B92" s="290">
        <f t="shared" ca="1" si="433"/>
        <v>69.333333333333329</v>
      </c>
      <c r="C92" s="290">
        <f t="shared" ca="1" si="434"/>
        <v>31.333333333333332</v>
      </c>
      <c r="D92" s="290">
        <f t="shared" ca="1" si="434"/>
        <v>83.583333333333329</v>
      </c>
      <c r="E92" s="290">
        <f t="shared" ca="1" si="434"/>
        <v>56.222222222222221</v>
      </c>
      <c r="F92" s="290">
        <f t="shared" ca="1" si="434"/>
        <v>53.833333333333336</v>
      </c>
      <c r="G92" s="290">
        <f t="shared" ca="1" si="434"/>
        <v>51.361111111111114</v>
      </c>
      <c r="H92" s="290">
        <f t="shared" ca="1" si="434"/>
        <v>45.19444444444445</v>
      </c>
      <c r="I92" s="297"/>
      <c r="J92" s="290">
        <f t="shared" ca="1" si="435"/>
        <v>76.111111111111114</v>
      </c>
      <c r="K92" s="290">
        <f t="shared" ca="1" si="436"/>
        <v>62.138888888888886</v>
      </c>
      <c r="M92" s="94" t="str">
        <f t="shared" si="373"/>
        <v>Sprint 2025-3-5/6</v>
      </c>
      <c r="N92" s="291">
        <f t="shared" ca="1" si="437"/>
        <v>95.562962962962956</v>
      </c>
      <c r="O92" s="291">
        <f t="shared" ca="1" si="438"/>
        <v>32.700462962962966</v>
      </c>
      <c r="P92" s="291">
        <f t="shared" ca="1" si="439"/>
        <v>76.640740740740739</v>
      </c>
      <c r="Q92" s="291">
        <f t="shared" ca="1" si="440"/>
        <v>63.574074074074076</v>
      </c>
      <c r="R92" s="291">
        <f t="shared" ca="1" si="441"/>
        <v>59.405092592592588</v>
      </c>
      <c r="S92" s="291">
        <f t="shared" ca="1" si="442"/>
        <v>67.137962962962973</v>
      </c>
      <c r="T92" s="291">
        <f t="shared" ca="1" si="443"/>
        <v>48.614814814814814</v>
      </c>
      <c r="U92" s="93"/>
      <c r="V92" s="291">
        <f t="shared" ca="1" si="444"/>
        <v>64.300000000000011</v>
      </c>
      <c r="W92" s="291">
        <f t="shared" ca="1" si="445"/>
        <v>74.453703703703695</v>
      </c>
      <c r="Y92" s="94" t="str">
        <f t="shared" si="374"/>
        <v>Sprint 2025-3-5/6</v>
      </c>
      <c r="Z92" s="291">
        <f t="shared" ca="1" si="446"/>
        <v>28.872005170306625</v>
      </c>
      <c r="AA92" s="291">
        <f t="shared" ca="1" si="446"/>
        <v>10.482374212576412</v>
      </c>
      <c r="AB92" s="291">
        <f t="shared" ca="1" si="447"/>
        <v>13.561354372264956</v>
      </c>
      <c r="AC92" s="291">
        <f t="shared" ca="1" si="448"/>
        <v>14.342324066375248</v>
      </c>
      <c r="AD92" s="291">
        <f t="shared" ca="1" si="449"/>
        <v>10.183774522734845</v>
      </c>
      <c r="AE92" s="291">
        <f t="shared" ca="1" si="450"/>
        <v>15.636625788187544</v>
      </c>
      <c r="AF92" s="291">
        <f t="shared" ca="1" si="451"/>
        <v>6.8058058450352403</v>
      </c>
      <c r="AG92" s="93"/>
      <c r="AH92" s="291">
        <f t="shared" ca="1" si="452"/>
        <v>23.644514654087757</v>
      </c>
      <c r="AI92" s="291">
        <f t="shared" ca="1" si="453"/>
        <v>25.991470545832851</v>
      </c>
    </row>
    <row r="94" spans="1:47">
      <c r="B94" s="410" t="s">
        <v>145</v>
      </c>
      <c r="C94" s="410"/>
      <c r="D94" s="410"/>
      <c r="E94" s="410"/>
      <c r="F94" s="410"/>
      <c r="G94" s="410"/>
      <c r="H94" s="410"/>
      <c r="I94" s="410"/>
      <c r="J94" s="410"/>
      <c r="K94" s="410"/>
      <c r="N94" s="410" t="s">
        <v>129</v>
      </c>
      <c r="O94" s="410"/>
      <c r="P94" s="410"/>
      <c r="Q94" s="410"/>
      <c r="R94" s="410"/>
      <c r="S94" s="410"/>
      <c r="T94" s="410"/>
      <c r="U94" s="410"/>
      <c r="V94" s="410"/>
      <c r="W94" s="410"/>
      <c r="Y94" s="94"/>
      <c r="Z94" s="411" t="s">
        <v>43</v>
      </c>
      <c r="AA94" s="411"/>
      <c r="AB94" s="411"/>
      <c r="AC94" s="411"/>
      <c r="AD94" s="411"/>
      <c r="AE94" s="411"/>
      <c r="AF94" s="411"/>
      <c r="AG94" s="411"/>
      <c r="AH94" s="411"/>
      <c r="AI94" s="411"/>
      <c r="AK94" s="94"/>
      <c r="AL94" s="411" t="s">
        <v>146</v>
      </c>
      <c r="AM94" s="411"/>
      <c r="AN94" s="411"/>
      <c r="AO94" s="411"/>
      <c r="AP94" s="411"/>
      <c r="AQ94" s="411"/>
      <c r="AR94" s="411"/>
      <c r="AS94" s="411"/>
      <c r="AT94" s="411"/>
      <c r="AU94" s="411"/>
    </row>
    <row r="95" spans="1:47">
      <c r="B95" s="90" t="str">
        <f>B81</f>
        <v>Engineering</v>
      </c>
      <c r="C95" s="90" t="str">
        <f t="shared" ref="C95:K95" si="454">C81</f>
        <v>Payment</v>
      </c>
      <c r="D95" s="90" t="str">
        <f t="shared" si="454"/>
        <v>Sales</v>
      </c>
      <c r="E95" s="90" t="str">
        <f t="shared" si="454"/>
        <v>Vlinder</v>
      </c>
      <c r="F95" s="90" t="str">
        <f t="shared" si="454"/>
        <v>TTT</v>
      </c>
      <c r="G95" s="90" t="str">
        <f t="shared" si="454"/>
        <v>TNT</v>
      </c>
      <c r="H95" s="90" t="str">
        <f t="shared" si="454"/>
        <v>TFS</v>
      </c>
      <c r="I95" s="90" t="str">
        <f t="shared" si="454"/>
        <v>0-Noise</v>
      </c>
      <c r="J95" s="90" t="str">
        <f t="shared" si="454"/>
        <v>Synergy</v>
      </c>
      <c r="K95" s="90" t="str">
        <f t="shared" si="454"/>
        <v>Papillon</v>
      </c>
      <c r="N95" s="90" t="str">
        <f>B95</f>
        <v>Engineering</v>
      </c>
      <c r="O95" s="90" t="str">
        <f t="shared" ref="O95" si="455">C95</f>
        <v>Payment</v>
      </c>
      <c r="P95" s="90" t="str">
        <f t="shared" ref="P95" si="456">D95</f>
        <v>Sales</v>
      </c>
      <c r="Q95" s="90" t="str">
        <f t="shared" ref="Q95" si="457">E95</f>
        <v>Vlinder</v>
      </c>
      <c r="R95" s="90" t="str">
        <f t="shared" ref="R95" si="458">F95</f>
        <v>TTT</v>
      </c>
      <c r="S95" s="90" t="str">
        <f t="shared" ref="S95" si="459">G95</f>
        <v>TNT</v>
      </c>
      <c r="T95" s="90" t="str">
        <f t="shared" ref="T95" si="460">H95</f>
        <v>TFS</v>
      </c>
      <c r="U95" s="90" t="str">
        <f t="shared" ref="U95" si="461">I95</f>
        <v>0-Noise</v>
      </c>
      <c r="V95" s="90" t="str">
        <f t="shared" ref="V95" si="462">J95</f>
        <v>Synergy</v>
      </c>
      <c r="W95" s="90" t="str">
        <f t="shared" ref="W95" si="463">K95</f>
        <v>Papillon</v>
      </c>
      <c r="Z95" s="90" t="str">
        <f>N95</f>
        <v>Engineering</v>
      </c>
      <c r="AA95" s="90" t="str">
        <f t="shared" ref="AA95" si="464">O95</f>
        <v>Payment</v>
      </c>
      <c r="AB95" s="90" t="str">
        <f t="shared" ref="AB95" si="465">P95</f>
        <v>Sales</v>
      </c>
      <c r="AC95" s="90" t="str">
        <f t="shared" ref="AC95" si="466">Q95</f>
        <v>Vlinder</v>
      </c>
      <c r="AD95" s="90" t="str">
        <f t="shared" ref="AD95" si="467">R95</f>
        <v>TTT</v>
      </c>
      <c r="AE95" s="90" t="str">
        <f t="shared" ref="AE95" si="468">S95</f>
        <v>TNT</v>
      </c>
      <c r="AF95" s="90" t="str">
        <f t="shared" ref="AF95" si="469">T95</f>
        <v>TFS</v>
      </c>
      <c r="AG95" s="90" t="str">
        <f t="shared" ref="AG95" si="470">U95</f>
        <v>0-Noise</v>
      </c>
      <c r="AH95" s="90" t="str">
        <f t="shared" ref="AH95" si="471">V95</f>
        <v>Synergy</v>
      </c>
      <c r="AI95" s="90" t="str">
        <f t="shared" ref="AI95" si="472">W95</f>
        <v>Papillon</v>
      </c>
      <c r="AK95" s="87"/>
      <c r="AL95" s="90" t="str">
        <f>Z95</f>
        <v>Engineering</v>
      </c>
      <c r="AM95" s="90" t="str">
        <f t="shared" ref="AM95" si="473">AA95</f>
        <v>Payment</v>
      </c>
      <c r="AN95" s="90" t="str">
        <f t="shared" ref="AN95" si="474">AB95</f>
        <v>Sales</v>
      </c>
      <c r="AO95" s="90" t="str">
        <f t="shared" ref="AO95" si="475">AC95</f>
        <v>Vlinder</v>
      </c>
      <c r="AP95" s="90" t="str">
        <f t="shared" ref="AP95" si="476">AD95</f>
        <v>TTT</v>
      </c>
      <c r="AQ95" s="90" t="str">
        <f t="shared" ref="AQ95" si="477">AE95</f>
        <v>TNT</v>
      </c>
      <c r="AR95" s="90" t="str">
        <f t="shared" ref="AR95" si="478">AF95</f>
        <v>TFS</v>
      </c>
      <c r="AS95" s="90" t="str">
        <f t="shared" ref="AS95" si="479">AG95</f>
        <v>0-Noise</v>
      </c>
      <c r="AT95" s="90" t="str">
        <f t="shared" ref="AT95" si="480">AH95</f>
        <v>Synergy</v>
      </c>
      <c r="AU95" s="90" t="str">
        <f t="shared" ref="AU95" si="481">AI95</f>
        <v>Papillon</v>
      </c>
    </row>
    <row r="96" spans="1:47">
      <c r="A96" s="87" t="str">
        <f>A82</f>
        <v>Sprint 2024-4-4+5</v>
      </c>
      <c r="B96" s="36">
        <f ca="1">AL25+AL24</f>
        <v>39</v>
      </c>
      <c r="C96" s="36">
        <f t="shared" ref="C96:K96" ca="1" si="482">AM25+AM24</f>
        <v>8</v>
      </c>
      <c r="D96" s="36">
        <f t="shared" ca="1" si="482"/>
        <v>16</v>
      </c>
      <c r="E96" s="36">
        <f t="shared" ca="1" si="482"/>
        <v>16</v>
      </c>
      <c r="F96" s="36">
        <f t="shared" ca="1" si="482"/>
        <v>20</v>
      </c>
      <c r="G96" s="36">
        <f t="shared" ca="1" si="482"/>
        <v>28</v>
      </c>
      <c r="H96" s="36">
        <f t="shared" ca="1" si="482"/>
        <v>14</v>
      </c>
      <c r="J96" s="36">
        <f t="shared" ca="1" si="482"/>
        <v>9</v>
      </c>
      <c r="K96" s="36">
        <f t="shared" ca="1" si="482"/>
        <v>12</v>
      </c>
      <c r="M96" s="94" t="str">
        <f>A96</f>
        <v>Sprint 2024-4-4+5</v>
      </c>
      <c r="N96" s="93">
        <f ca="1">AVERAGE(B$96:B96)</f>
        <v>39</v>
      </c>
      <c r="O96" s="93">
        <f ca="1">AVERAGE(C$96:C96)</f>
        <v>8</v>
      </c>
      <c r="P96" s="93">
        <f ca="1">AVERAGE(D$96:D96)</f>
        <v>16</v>
      </c>
      <c r="Q96" s="93">
        <f ca="1">AVERAGE(E$96:E96)</f>
        <v>16</v>
      </c>
      <c r="R96" s="93">
        <f ca="1">AVERAGE(F$96:F96)</f>
        <v>20</v>
      </c>
      <c r="S96" s="93">
        <f ca="1">AVERAGE(G$96:G96)</f>
        <v>28</v>
      </c>
      <c r="T96" s="93">
        <f ca="1">AVERAGE(H$96:H96)</f>
        <v>14</v>
      </c>
      <c r="U96" s="93"/>
      <c r="V96" s="93">
        <f ca="1">AVERAGE(J$96:J96)</f>
        <v>9</v>
      </c>
      <c r="W96" s="93">
        <f ca="1">AVERAGE(K$96:K96)</f>
        <v>12</v>
      </c>
      <c r="Y96" s="94" t="str">
        <f>M96</f>
        <v>Sprint 2024-4-4+5</v>
      </c>
      <c r="Z96" s="93">
        <f ca="1">_xlfn.STDEV.P(B$96:B96)</f>
        <v>0</v>
      </c>
      <c r="AA96" s="93">
        <f ca="1">_xlfn.STDEV.P(C$96:C96)</f>
        <v>0</v>
      </c>
      <c r="AB96" s="93">
        <f ca="1">_xlfn.STDEV.P(D$96:D96)</f>
        <v>0</v>
      </c>
      <c r="AC96" s="93">
        <f ca="1">_xlfn.STDEV.P(E$96:E96)</f>
        <v>0</v>
      </c>
      <c r="AD96" s="93">
        <f ca="1">_xlfn.STDEV.P(F$96:F96)</f>
        <v>0</v>
      </c>
      <c r="AE96" s="93">
        <f ca="1">_xlfn.STDEV.P(G$96:G96)</f>
        <v>0</v>
      </c>
      <c r="AF96" s="93">
        <f ca="1">_xlfn.STDEV.P(H$96:H96)</f>
        <v>0</v>
      </c>
      <c r="AG96" s="93"/>
      <c r="AH96" s="93">
        <f ca="1">_xlfn.STDEV.P(J$96:J96)</f>
        <v>0</v>
      </c>
      <c r="AI96" s="93">
        <f ca="1">_xlfn.STDEV.P(K$96:K96)</f>
        <v>0</v>
      </c>
      <c r="AK96" s="94" t="str">
        <f>Y96</f>
        <v>Sprint 2024-4-4+5</v>
      </c>
      <c r="AL96" s="93">
        <f ca="1">B82/B96</f>
        <v>3.3076923076923075</v>
      </c>
      <c r="AM96" s="93">
        <f t="shared" ref="AM96:AU96" ca="1" si="483">C82/C96</f>
        <v>2.125</v>
      </c>
      <c r="AN96" s="93">
        <f t="shared" ca="1" si="483"/>
        <v>4.5625</v>
      </c>
      <c r="AO96" s="93">
        <f t="shared" ca="1" si="483"/>
        <v>4.5625</v>
      </c>
      <c r="AP96" s="93">
        <f t="shared" ca="1" si="483"/>
        <v>3.25</v>
      </c>
      <c r="AQ96" s="93">
        <f t="shared" ca="1" si="483"/>
        <v>2.7142857142857144</v>
      </c>
      <c r="AR96" s="93">
        <f t="shared" ca="1" si="483"/>
        <v>3.2857142857142856</v>
      </c>
      <c r="AS96" s="93"/>
      <c r="AT96" s="93">
        <f t="shared" ca="1" si="483"/>
        <v>5.1111111111111107</v>
      </c>
      <c r="AU96" s="93">
        <f t="shared" ca="1" si="483"/>
        <v>2.5</v>
      </c>
    </row>
    <row r="97" spans="1:47">
      <c r="A97" s="87" t="str">
        <f t="shared" ref="A97:A106" si="484">A83</f>
        <v>Sprint 2024-4-6/7+8</v>
      </c>
      <c r="B97" s="36">
        <f ca="1">AL27+AL26</f>
        <v>37</v>
      </c>
      <c r="C97" s="36">
        <f t="shared" ref="C97:K97" ca="1" si="485">AM27+AM26</f>
        <v>14</v>
      </c>
      <c r="D97" s="36">
        <f t="shared" ca="1" si="485"/>
        <v>18</v>
      </c>
      <c r="E97" s="36">
        <f t="shared" ca="1" si="485"/>
        <v>12</v>
      </c>
      <c r="F97" s="36">
        <f t="shared" ca="1" si="485"/>
        <v>28</v>
      </c>
      <c r="G97" s="36">
        <f t="shared" ca="1" si="485"/>
        <v>29</v>
      </c>
      <c r="H97" s="36">
        <f t="shared" ca="1" si="485"/>
        <v>23</v>
      </c>
      <c r="J97" s="36">
        <f t="shared" ca="1" si="485"/>
        <v>15</v>
      </c>
      <c r="K97" s="36">
        <f t="shared" ca="1" si="485"/>
        <v>25</v>
      </c>
      <c r="M97" s="94" t="str">
        <f t="shared" ref="M97:M106" si="486">A97</f>
        <v>Sprint 2024-4-6/7+8</v>
      </c>
      <c r="N97" s="93">
        <f ca="1">AVERAGE(B$96:B97)</f>
        <v>38</v>
      </c>
      <c r="O97" s="93">
        <f ca="1">AVERAGE(C$96:C97)</f>
        <v>11</v>
      </c>
      <c r="P97" s="93">
        <f ca="1">AVERAGE(D$96:D97)</f>
        <v>17</v>
      </c>
      <c r="Q97" s="93">
        <f ca="1">AVERAGE(E$96:E97)</f>
        <v>14</v>
      </c>
      <c r="R97" s="93">
        <f ca="1">AVERAGE(F$96:F97)</f>
        <v>24</v>
      </c>
      <c r="S97" s="93">
        <f ca="1">AVERAGE(G$96:G97)</f>
        <v>28.5</v>
      </c>
      <c r="T97" s="93">
        <f ca="1">AVERAGE(H$96:H97)</f>
        <v>18.5</v>
      </c>
      <c r="U97" s="93"/>
      <c r="V97" s="93">
        <f ca="1">AVERAGE(J$96:J97)</f>
        <v>12</v>
      </c>
      <c r="W97" s="93">
        <f ca="1">AVERAGE(K$96:K97)</f>
        <v>18.5</v>
      </c>
      <c r="Y97" s="94" t="str">
        <f t="shared" ref="Y97:Y106" si="487">M97</f>
        <v>Sprint 2024-4-6/7+8</v>
      </c>
      <c r="Z97" s="93">
        <f ca="1">_xlfn.STDEV.P(B$96:B97)</f>
        <v>1</v>
      </c>
      <c r="AA97" s="93">
        <f ca="1">_xlfn.STDEV.P(C$96:C97)</f>
        <v>3</v>
      </c>
      <c r="AB97" s="93">
        <f ca="1">_xlfn.STDEV.P(D$96:D97)</f>
        <v>1</v>
      </c>
      <c r="AC97" s="93">
        <f ca="1">_xlfn.STDEV.P(E$96:E97)</f>
        <v>2</v>
      </c>
      <c r="AD97" s="93">
        <f ca="1">_xlfn.STDEV.P(F$96:F97)</f>
        <v>4</v>
      </c>
      <c r="AE97" s="93">
        <f ca="1">_xlfn.STDEV.P(G$96:G97)</f>
        <v>0.5</v>
      </c>
      <c r="AF97" s="93">
        <f ca="1">_xlfn.STDEV.P(H$96:H97)</f>
        <v>4.5</v>
      </c>
      <c r="AG97" s="93"/>
      <c r="AH97" s="93">
        <f ca="1">_xlfn.STDEV.P(J$96:J97)</f>
        <v>3</v>
      </c>
      <c r="AI97" s="93">
        <f ca="1">_xlfn.STDEV.P(K$96:K97)</f>
        <v>6.5</v>
      </c>
      <c r="AK97" s="94" t="str">
        <f t="shared" ref="AK97:AK106" si="488">Y97</f>
        <v>Sprint 2024-4-6/7+8</v>
      </c>
      <c r="AL97" s="93">
        <f t="shared" ref="AL97:AL101" ca="1" si="489">B83/B97</f>
        <v>3</v>
      </c>
      <c r="AM97" s="93">
        <f t="shared" ref="AM97:AM101" ca="1" si="490">C83/C97</f>
        <v>2.0714285714285716</v>
      </c>
      <c r="AN97" s="93">
        <f t="shared" ref="AN97:AN101" ca="1" si="491">D83/D97</f>
        <v>3.1666666666666665</v>
      </c>
      <c r="AO97" s="93">
        <f t="shared" ref="AO97:AO101" ca="1" si="492">E83/E97</f>
        <v>3.9166666666666665</v>
      </c>
      <c r="AP97" s="93">
        <f t="shared" ref="AP97:AP101" ca="1" si="493">F83/F97</f>
        <v>3.1785714285714284</v>
      </c>
      <c r="AQ97" s="93">
        <f t="shared" ref="AQ97:AQ101" ca="1" si="494">G83/G97</f>
        <v>3.103448275862069</v>
      </c>
      <c r="AR97" s="93">
        <f t="shared" ref="AR97:AR101" ca="1" si="495">H83/H97</f>
        <v>2.0869565217391304</v>
      </c>
      <c r="AS97" s="93"/>
      <c r="AT97" s="93">
        <f t="shared" ref="AT97:AT101" ca="1" si="496">J83/J97</f>
        <v>3.5333333333333332</v>
      </c>
      <c r="AU97" s="93">
        <f t="shared" ref="AU97:AU101" ca="1" si="497">K83/K97</f>
        <v>2.44</v>
      </c>
    </row>
    <row r="98" spans="1:47">
      <c r="A98" s="87" t="str">
        <f t="shared" si="484"/>
        <v>Sprint 2025-1-1+2</v>
      </c>
      <c r="B98" s="36">
        <f ca="1">AL29+AL28</f>
        <v>45</v>
      </c>
      <c r="C98" s="36">
        <f t="shared" ref="C98:K98" ca="1" si="498">AM29+AM28</f>
        <v>21</v>
      </c>
      <c r="D98" s="36">
        <f t="shared" ca="1" si="498"/>
        <v>20</v>
      </c>
      <c r="E98" s="36">
        <f t="shared" ca="1" si="498"/>
        <v>16</v>
      </c>
      <c r="F98" s="36">
        <f t="shared" ca="1" si="498"/>
        <v>20</v>
      </c>
      <c r="G98" s="36">
        <f t="shared" ca="1" si="498"/>
        <v>31</v>
      </c>
      <c r="H98" s="36">
        <f t="shared" ca="1" si="498"/>
        <v>16</v>
      </c>
      <c r="J98" s="36">
        <f t="shared" ca="1" si="498"/>
        <v>12</v>
      </c>
      <c r="K98" s="36">
        <f t="shared" ca="1" si="498"/>
        <v>22</v>
      </c>
      <c r="M98" s="94" t="str">
        <f t="shared" si="486"/>
        <v>Sprint 2025-1-1+2</v>
      </c>
      <c r="N98" s="93">
        <f ca="1">AVERAGE(B$96:B98)</f>
        <v>40.333333333333336</v>
      </c>
      <c r="O98" s="93">
        <f ca="1">AVERAGE(C$96:C98)</f>
        <v>14.333333333333334</v>
      </c>
      <c r="P98" s="93">
        <f ca="1">AVERAGE(D$96:D98)</f>
        <v>18</v>
      </c>
      <c r="Q98" s="93">
        <f ca="1">AVERAGE(E$96:E98)</f>
        <v>14.666666666666666</v>
      </c>
      <c r="R98" s="93">
        <f ca="1">AVERAGE(F$96:F98)</f>
        <v>22.666666666666668</v>
      </c>
      <c r="S98" s="93">
        <f ca="1">AVERAGE(G$96:G98)</f>
        <v>29.333333333333332</v>
      </c>
      <c r="T98" s="93">
        <f ca="1">AVERAGE(H$96:H98)</f>
        <v>17.666666666666668</v>
      </c>
      <c r="U98" s="93"/>
      <c r="V98" s="93">
        <f ca="1">AVERAGE(J$96:J98)</f>
        <v>12</v>
      </c>
      <c r="W98" s="93">
        <f ca="1">AVERAGE(K$96:K98)</f>
        <v>19.666666666666668</v>
      </c>
      <c r="Y98" s="94" t="str">
        <f t="shared" si="487"/>
        <v>Sprint 2025-1-1+2</v>
      </c>
      <c r="Z98" s="93">
        <f ca="1">_xlfn.STDEV.P(B$96:B98)</f>
        <v>3.39934634239519</v>
      </c>
      <c r="AA98" s="93">
        <f ca="1">_xlfn.STDEV.P(C$96:C98)</f>
        <v>5.312459150169742</v>
      </c>
      <c r="AB98" s="93">
        <f ca="1">_xlfn.STDEV.P(D$96:D98)</f>
        <v>1.6329931618554521</v>
      </c>
      <c r="AC98" s="93">
        <f ca="1">_xlfn.STDEV.P(E$96:E98)</f>
        <v>1.8856180831641267</v>
      </c>
      <c r="AD98" s="93">
        <f ca="1">_xlfn.STDEV.P(F$96:F98)</f>
        <v>3.7712361663282534</v>
      </c>
      <c r="AE98" s="93">
        <f ca="1">_xlfn.STDEV.P(G$96:G98)</f>
        <v>1.247219128924647</v>
      </c>
      <c r="AF98" s="93">
        <f ca="1">_xlfn.STDEV.P(H$96:H98)</f>
        <v>3.858612300930075</v>
      </c>
      <c r="AG98" s="93"/>
      <c r="AH98" s="93">
        <f ca="1">_xlfn.STDEV.P(J$96:J98)</f>
        <v>2.4494897427831779</v>
      </c>
      <c r="AI98" s="93">
        <f ca="1">_xlfn.STDEV.P(K$96:K98)</f>
        <v>5.5577773335110221</v>
      </c>
      <c r="AK98" s="94" t="str">
        <f t="shared" si="488"/>
        <v>Sprint 2025-1-1+2</v>
      </c>
      <c r="AL98" s="93">
        <f t="shared" ca="1" si="489"/>
        <v>2.5111111111111111</v>
      </c>
      <c r="AM98" s="93">
        <f t="shared" ca="1" si="490"/>
        <v>1.9047619047619047</v>
      </c>
      <c r="AN98" s="93">
        <f t="shared" ca="1" si="491"/>
        <v>4.0999999999999996</v>
      </c>
      <c r="AO98" s="93">
        <f t="shared" ca="1" si="492"/>
        <v>3.875</v>
      </c>
      <c r="AP98" s="93">
        <f t="shared" ca="1" si="493"/>
        <v>2.75</v>
      </c>
      <c r="AQ98" s="93">
        <f t="shared" ca="1" si="494"/>
        <v>2.7096774193548385</v>
      </c>
      <c r="AR98" s="93">
        <f t="shared" ca="1" si="495"/>
        <v>3.1875</v>
      </c>
      <c r="AS98" s="93"/>
      <c r="AT98" s="93">
        <f t="shared" ca="1" si="496"/>
        <v>3.8333333333333335</v>
      </c>
      <c r="AU98" s="93">
        <f t="shared" ca="1" si="497"/>
        <v>2.9318181818181817</v>
      </c>
    </row>
    <row r="99" spans="1:47">
      <c r="A99" s="87" t="str">
        <f t="shared" si="484"/>
        <v>Sprint 2025-1-3+4</v>
      </c>
      <c r="B99" s="36">
        <f ca="1">AL31+AL30</f>
        <v>28</v>
      </c>
      <c r="C99" s="36">
        <f t="shared" ref="C99:K99" ca="1" si="499">AM31+AM30</f>
        <v>13</v>
      </c>
      <c r="D99" s="36">
        <f t="shared" ca="1" si="499"/>
        <v>21</v>
      </c>
      <c r="E99" s="36">
        <f t="shared" ca="1" si="499"/>
        <v>15</v>
      </c>
      <c r="F99" s="36">
        <f t="shared" ca="1" si="499"/>
        <v>20</v>
      </c>
      <c r="G99" s="36">
        <f t="shared" ca="1" si="499"/>
        <v>19</v>
      </c>
      <c r="H99" s="36">
        <f t="shared" ca="1" si="499"/>
        <v>19</v>
      </c>
      <c r="J99" s="36">
        <f t="shared" ca="1" si="499"/>
        <v>11</v>
      </c>
      <c r="K99" s="36">
        <f t="shared" ca="1" si="499"/>
        <v>40</v>
      </c>
      <c r="M99" s="94" t="str">
        <f t="shared" si="486"/>
        <v>Sprint 2025-1-3+4</v>
      </c>
      <c r="N99" s="93">
        <f ca="1">AVERAGE(B$96:B99)</f>
        <v>37.25</v>
      </c>
      <c r="O99" s="93">
        <f ca="1">AVERAGE(C$96:C99)</f>
        <v>14</v>
      </c>
      <c r="P99" s="93">
        <f ca="1">AVERAGE(D$96:D99)</f>
        <v>18.75</v>
      </c>
      <c r="Q99" s="93">
        <f ca="1">AVERAGE(E$96:E99)</f>
        <v>14.75</v>
      </c>
      <c r="R99" s="93">
        <f ca="1">AVERAGE(F$96:F99)</f>
        <v>22</v>
      </c>
      <c r="S99" s="93">
        <f ca="1">AVERAGE(G$96:G99)</f>
        <v>26.75</v>
      </c>
      <c r="T99" s="93">
        <f ca="1">AVERAGE(H$96:H99)</f>
        <v>18</v>
      </c>
      <c r="U99" s="93"/>
      <c r="V99" s="93">
        <f ca="1">AVERAGE(J$96:J99)</f>
        <v>11.75</v>
      </c>
      <c r="W99" s="93">
        <f ca="1">AVERAGE(K$96:K99)</f>
        <v>24.75</v>
      </c>
      <c r="Y99" s="94" t="str">
        <f t="shared" si="487"/>
        <v>Sprint 2025-1-3+4</v>
      </c>
      <c r="Z99" s="93">
        <f ca="1">_xlfn.STDEV.P(B$96:B99)</f>
        <v>6.098155458825234</v>
      </c>
      <c r="AA99" s="93">
        <f ca="1">_xlfn.STDEV.P(C$96:C99)</f>
        <v>4.636809247747852</v>
      </c>
      <c r="AB99" s="93">
        <f ca="1">_xlfn.STDEV.P(D$96:D99)</f>
        <v>1.920286436967152</v>
      </c>
      <c r="AC99" s="93">
        <f ca="1">_xlfn.STDEV.P(E$96:E99)</f>
        <v>1.6393596310755001</v>
      </c>
      <c r="AD99" s="93">
        <f ca="1">_xlfn.STDEV.P(F$96:F99)</f>
        <v>3.4641016151377544</v>
      </c>
      <c r="AE99" s="93">
        <f ca="1">_xlfn.STDEV.P(G$96:G99)</f>
        <v>4.6029881598804918</v>
      </c>
      <c r="AF99" s="93">
        <f ca="1">_xlfn.STDEV.P(H$96:H99)</f>
        <v>3.3911649915626341</v>
      </c>
      <c r="AG99" s="93"/>
      <c r="AH99" s="93">
        <f ca="1">_xlfn.STDEV.P(J$96:J99)</f>
        <v>2.1650635094610968</v>
      </c>
      <c r="AI99" s="93">
        <f ca="1">_xlfn.STDEV.P(K$96:K99)</f>
        <v>10.034316120194738</v>
      </c>
      <c r="AK99" s="94" t="str">
        <f t="shared" si="488"/>
        <v>Sprint 2025-1-3+4</v>
      </c>
      <c r="AL99" s="93">
        <f t="shared" ca="1" si="489"/>
        <v>2.8928571428571428</v>
      </c>
      <c r="AM99" s="93">
        <f t="shared" ca="1" si="490"/>
        <v>2.2307692307692308</v>
      </c>
      <c r="AN99" s="93">
        <f t="shared" ca="1" si="491"/>
        <v>4.2857142857142856</v>
      </c>
      <c r="AO99" s="93">
        <f t="shared" ca="1" si="492"/>
        <v>4.2666666666666666</v>
      </c>
      <c r="AP99" s="93">
        <f t="shared" ca="1" si="493"/>
        <v>3.1</v>
      </c>
      <c r="AQ99" s="93">
        <f t="shared" ca="1" si="494"/>
        <v>2.6315789473684212</v>
      </c>
      <c r="AR99" s="93">
        <f t="shared" ca="1" si="495"/>
        <v>3.1052631578947367</v>
      </c>
      <c r="AS99" s="93"/>
      <c r="AT99" s="93">
        <f t="shared" ca="1" si="496"/>
        <v>4.0909090909090908</v>
      </c>
      <c r="AU99" s="93">
        <f t="shared" ca="1" si="497"/>
        <v>2.6375000000000002</v>
      </c>
    </row>
    <row r="100" spans="1:47">
      <c r="A100" s="87" t="str">
        <f t="shared" si="484"/>
        <v>Sprint 2025-1-5+6</v>
      </c>
      <c r="B100" s="36">
        <f ca="1">AL33+AL32</f>
        <v>34</v>
      </c>
      <c r="C100" s="36">
        <f t="shared" ref="C100:K100" ca="1" si="500">AM33+AM32</f>
        <v>17</v>
      </c>
      <c r="D100" s="36">
        <f t="shared" ca="1" si="500"/>
        <v>23</v>
      </c>
      <c r="E100" s="36">
        <f t="shared" ca="1" si="500"/>
        <v>20</v>
      </c>
      <c r="F100" s="36">
        <f t="shared" ca="1" si="500"/>
        <v>19</v>
      </c>
      <c r="G100" s="36">
        <f t="shared" ca="1" si="500"/>
        <v>22</v>
      </c>
      <c r="H100" s="36">
        <f t="shared" ca="1" si="500"/>
        <v>19</v>
      </c>
      <c r="J100" s="36">
        <f t="shared" ca="1" si="500"/>
        <v>24</v>
      </c>
      <c r="K100" s="36">
        <f t="shared" ca="1" si="500"/>
        <v>33</v>
      </c>
      <c r="M100" s="94" t="str">
        <f t="shared" si="486"/>
        <v>Sprint 2025-1-5+6</v>
      </c>
      <c r="N100" s="93">
        <f ca="1">AVERAGE(B$96:B100)</f>
        <v>36.6</v>
      </c>
      <c r="O100" s="93">
        <f ca="1">AVERAGE(C$96:C100)</f>
        <v>14.6</v>
      </c>
      <c r="P100" s="93">
        <f ca="1">AVERAGE(D$96:D100)</f>
        <v>19.600000000000001</v>
      </c>
      <c r="Q100" s="93">
        <f ca="1">AVERAGE(E$96:E100)</f>
        <v>15.8</v>
      </c>
      <c r="R100" s="93">
        <f ca="1">AVERAGE(F$96:F100)</f>
        <v>21.4</v>
      </c>
      <c r="S100" s="93">
        <f ca="1">AVERAGE(G$96:G100)</f>
        <v>25.8</v>
      </c>
      <c r="T100" s="93">
        <f ca="1">AVERAGE(H$96:H100)</f>
        <v>18.2</v>
      </c>
      <c r="U100" s="93"/>
      <c r="V100" s="93">
        <f ca="1">AVERAGE(J$96:J100)</f>
        <v>14.2</v>
      </c>
      <c r="W100" s="93">
        <f ca="1">AVERAGE(K$96:K100)</f>
        <v>26.4</v>
      </c>
      <c r="Y100" s="94" t="str">
        <f t="shared" si="487"/>
        <v>Sprint 2025-1-5+6</v>
      </c>
      <c r="Z100" s="93">
        <f ca="1">_xlfn.STDEV.P(B$96:B100)</f>
        <v>5.6071383075504748</v>
      </c>
      <c r="AA100" s="93">
        <f ca="1">_xlfn.STDEV.P(C$96:C100)</f>
        <v>4.3174066289845809</v>
      </c>
      <c r="AB100" s="93">
        <f ca="1">_xlfn.STDEV.P(D$96:D100)</f>
        <v>2.4166091947189146</v>
      </c>
      <c r="AC100" s="93">
        <f ca="1">_xlfn.STDEV.P(E$96:E100)</f>
        <v>2.5612496949731396</v>
      </c>
      <c r="AD100" s="93">
        <f ca="1">_xlfn.STDEV.P(F$96:F100)</f>
        <v>3.3226495451672298</v>
      </c>
      <c r="AE100" s="93">
        <f ca="1">_xlfn.STDEV.P(G$96:G100)</f>
        <v>4.5343136195018534</v>
      </c>
      <c r="AF100" s="93">
        <f ca="1">_xlfn.STDEV.P(H$96:H100)</f>
        <v>3.0594117081556709</v>
      </c>
      <c r="AG100" s="93"/>
      <c r="AH100" s="93">
        <f ca="1">_xlfn.STDEV.P(J$96:J100)</f>
        <v>5.2687759489277965</v>
      </c>
      <c r="AI100" s="93">
        <f ca="1">_xlfn.STDEV.P(K$96:K100)</f>
        <v>9.5624264703055371</v>
      </c>
      <c r="AK100" s="94" t="str">
        <f t="shared" si="488"/>
        <v>Sprint 2025-1-5+6</v>
      </c>
      <c r="AL100" s="93">
        <f t="shared" ca="1" si="489"/>
        <v>4.117647058823529</v>
      </c>
      <c r="AM100" s="93">
        <f t="shared" ca="1" si="490"/>
        <v>3.0588235294117645</v>
      </c>
      <c r="AN100" s="93">
        <f t="shared" ca="1" si="491"/>
        <v>3.4347826086956523</v>
      </c>
      <c r="AO100" s="93">
        <f t="shared" ca="1" si="492"/>
        <v>3.45</v>
      </c>
      <c r="AP100" s="93">
        <f t="shared" ca="1" si="493"/>
        <v>2.8421052631578947</v>
      </c>
      <c r="AQ100" s="93">
        <f t="shared" ca="1" si="494"/>
        <v>3.5</v>
      </c>
      <c r="AR100" s="93">
        <f t="shared" ca="1" si="495"/>
        <v>2.7894736842105261</v>
      </c>
      <c r="AS100" s="93"/>
      <c r="AT100" s="93">
        <f t="shared" ca="1" si="496"/>
        <v>3</v>
      </c>
      <c r="AU100" s="93">
        <f t="shared" ca="1" si="497"/>
        <v>3.2272727272727271</v>
      </c>
    </row>
    <row r="101" spans="1:47" s="289" customFormat="1">
      <c r="A101" s="256" t="str">
        <f t="shared" si="484"/>
        <v>Sprint 2025-2-1+2</v>
      </c>
      <c r="B101" s="288">
        <f ca="1">AL35+AL34</f>
        <v>25</v>
      </c>
      <c r="C101" s="288">
        <f t="shared" ref="C101:K101" ca="1" si="501">AM35+AM34</f>
        <v>15</v>
      </c>
      <c r="D101" s="288">
        <f t="shared" ca="1" si="501"/>
        <v>18</v>
      </c>
      <c r="E101" s="288">
        <f t="shared" ca="1" si="501"/>
        <v>17</v>
      </c>
      <c r="F101" s="288">
        <f t="shared" ca="1" si="501"/>
        <v>17</v>
      </c>
      <c r="G101" s="288">
        <f t="shared" ca="1" si="501"/>
        <v>18</v>
      </c>
      <c r="H101" s="288">
        <f t="shared" ca="1" si="501"/>
        <v>13</v>
      </c>
      <c r="I101" s="288"/>
      <c r="J101" s="288">
        <f t="shared" ca="1" si="501"/>
        <v>29</v>
      </c>
      <c r="K101" s="288">
        <f t="shared" ca="1" si="501"/>
        <v>26</v>
      </c>
      <c r="L101" s="274"/>
      <c r="M101" s="257" t="str">
        <f t="shared" si="486"/>
        <v>Sprint 2025-2-1+2</v>
      </c>
      <c r="N101" s="196">
        <f ca="1">AVERAGE(B96:B101)</f>
        <v>34.666666666666664</v>
      </c>
      <c r="O101" s="196">
        <f t="shared" ref="O101:W101" ca="1" si="502">AVERAGE(C96:C101)</f>
        <v>14.666666666666666</v>
      </c>
      <c r="P101" s="196">
        <f t="shared" ca="1" si="502"/>
        <v>19.333333333333332</v>
      </c>
      <c r="Q101" s="196">
        <f t="shared" ca="1" si="502"/>
        <v>16</v>
      </c>
      <c r="R101" s="196">
        <f t="shared" ca="1" si="502"/>
        <v>20.666666666666668</v>
      </c>
      <c r="S101" s="196">
        <f t="shared" ca="1" si="502"/>
        <v>24.5</v>
      </c>
      <c r="T101" s="196">
        <f t="shared" ca="1" si="502"/>
        <v>17.333333333333332</v>
      </c>
      <c r="U101" s="196"/>
      <c r="V101" s="196">
        <f t="shared" ca="1" si="502"/>
        <v>16.666666666666668</v>
      </c>
      <c r="W101" s="196">
        <f t="shared" ca="1" si="502"/>
        <v>26.333333333333332</v>
      </c>
      <c r="X101" s="274"/>
      <c r="Y101" s="257" t="str">
        <f t="shared" si="487"/>
        <v>Sprint 2025-2-1+2</v>
      </c>
      <c r="Z101" s="196">
        <f ca="1">_xlfn.STDEV.P(B96:B101)</f>
        <v>6.6999170807472597</v>
      </c>
      <c r="AA101" s="196">
        <f t="shared" ref="AA101:AI101" ca="1" si="503">_xlfn.STDEV.P(C96:C101)</f>
        <v>3.9440531887330774</v>
      </c>
      <c r="AB101" s="196">
        <f t="shared" ca="1" si="503"/>
        <v>2.2852182001336816</v>
      </c>
      <c r="AC101" s="196">
        <f t="shared" ca="1" si="503"/>
        <v>2.3804761428476167</v>
      </c>
      <c r="AD101" s="196">
        <f t="shared" ca="1" si="503"/>
        <v>3.4480268109295333</v>
      </c>
      <c r="AE101" s="196">
        <f t="shared" ca="1" si="503"/>
        <v>5.0579969684978394</v>
      </c>
      <c r="AF101" s="196">
        <f t="shared" ca="1" si="503"/>
        <v>3.39934634239519</v>
      </c>
      <c r="AG101" s="196"/>
      <c r="AH101" s="196">
        <f t="shared" ca="1" si="503"/>
        <v>7.3181661333667165</v>
      </c>
      <c r="AI101" s="196">
        <f t="shared" ca="1" si="503"/>
        <v>8.7305339024725299</v>
      </c>
      <c r="AJ101" s="274"/>
      <c r="AK101" s="257" t="str">
        <f t="shared" si="488"/>
        <v>Sprint 2025-2-1+2</v>
      </c>
      <c r="AL101" s="196">
        <f t="shared" ca="1" si="489"/>
        <v>2.44</v>
      </c>
      <c r="AM101" s="196">
        <f t="shared" ca="1" si="490"/>
        <v>2.0666666666666669</v>
      </c>
      <c r="AN101" s="196">
        <f t="shared" ca="1" si="491"/>
        <v>3.6111111111111112</v>
      </c>
      <c r="AO101" s="196">
        <f t="shared" ca="1" si="492"/>
        <v>3.8235294117647061</v>
      </c>
      <c r="AP101" s="196">
        <f t="shared" ca="1" si="493"/>
        <v>2.9411764705882355</v>
      </c>
      <c r="AQ101" s="196">
        <f t="shared" ca="1" si="494"/>
        <v>3.4444444444444446</v>
      </c>
      <c r="AR101" s="196">
        <f t="shared" ca="1" si="495"/>
        <v>2.8461538461538463</v>
      </c>
      <c r="AS101" s="196"/>
      <c r="AT101" s="196">
        <f t="shared" ca="1" si="496"/>
        <v>2.8620689655172415</v>
      </c>
      <c r="AU101" s="196">
        <f t="shared" ca="1" si="497"/>
        <v>2.7692307692307692</v>
      </c>
    </row>
    <row r="102" spans="1:47">
      <c r="A102" s="87" t="str">
        <f t="shared" si="484"/>
        <v>Sprint 2025-2-3/4</v>
      </c>
      <c r="B102" s="36">
        <f t="shared" ref="B102:C104" ca="1" si="504">AL36</f>
        <v>21</v>
      </c>
      <c r="C102" s="36">
        <f t="shared" ca="1" si="504"/>
        <v>11</v>
      </c>
      <c r="D102" s="36">
        <f t="shared" ref="D102:K102" ca="1" si="505">AN36</f>
        <v>20</v>
      </c>
      <c r="E102" s="36">
        <f t="shared" ca="1" si="505"/>
        <v>19</v>
      </c>
      <c r="F102" s="36">
        <f t="shared" ca="1" si="505"/>
        <v>15</v>
      </c>
      <c r="G102" s="36">
        <f t="shared" ca="1" si="505"/>
        <v>18</v>
      </c>
      <c r="H102" s="36">
        <f t="shared" ca="1" si="505"/>
        <v>14</v>
      </c>
      <c r="J102" s="36">
        <f t="shared" ca="1" si="505"/>
        <v>24</v>
      </c>
      <c r="K102" s="36">
        <f t="shared" ca="1" si="505"/>
        <v>18</v>
      </c>
      <c r="M102" s="94" t="str">
        <f t="shared" si="486"/>
        <v>Sprint 2025-2-3/4</v>
      </c>
      <c r="N102" s="93">
        <f ca="1">AVERAGE(B97:B102)</f>
        <v>31.666666666666668</v>
      </c>
      <c r="O102" s="93">
        <f t="shared" ref="O102" ca="1" si="506">AVERAGE(C97:C102)</f>
        <v>15.166666666666666</v>
      </c>
      <c r="P102" s="93">
        <f t="shared" ref="P102" ca="1" si="507">AVERAGE(D97:D102)</f>
        <v>20</v>
      </c>
      <c r="Q102" s="93">
        <f t="shared" ref="Q102" ca="1" si="508">AVERAGE(E97:E102)</f>
        <v>16.5</v>
      </c>
      <c r="R102" s="93">
        <f t="shared" ref="R102" ca="1" si="509">AVERAGE(F97:F102)</f>
        <v>19.833333333333332</v>
      </c>
      <c r="S102" s="93">
        <f t="shared" ref="S102" ca="1" si="510">AVERAGE(G97:G102)</f>
        <v>22.833333333333332</v>
      </c>
      <c r="T102" s="93">
        <f t="shared" ref="T102" ca="1" si="511">AVERAGE(H97:H102)</f>
        <v>17.333333333333332</v>
      </c>
      <c r="U102" s="93"/>
      <c r="V102" s="93">
        <f t="shared" ref="V102" ca="1" si="512">AVERAGE(J97:J102)</f>
        <v>19.166666666666668</v>
      </c>
      <c r="W102" s="93">
        <f t="shared" ref="W102" ca="1" si="513">AVERAGE(K97:K102)</f>
        <v>27.333333333333332</v>
      </c>
      <c r="Y102" s="94" t="str">
        <f t="shared" si="487"/>
        <v>Sprint 2025-2-3/4</v>
      </c>
      <c r="Z102" s="93">
        <f ca="1">_xlfn.STDEV.P(B97:B102)</f>
        <v>7.9930525388545322</v>
      </c>
      <c r="AA102" s="93">
        <f ca="1">_xlfn.STDEV.P(C97:C102)</f>
        <v>3.1841621957571333</v>
      </c>
      <c r="AB102" s="93">
        <f t="shared" ref="AB102" ca="1" si="514">_xlfn.STDEV.P(D97:D102)</f>
        <v>1.7320508075688772</v>
      </c>
      <c r="AC102" s="93">
        <f t="shared" ref="AC102" ca="1" si="515">_xlfn.STDEV.P(E97:E102)</f>
        <v>2.6299556396765835</v>
      </c>
      <c r="AD102" s="93">
        <f t="shared" ref="AD102" ca="1" si="516">_xlfn.STDEV.P(F97:F102)</f>
        <v>4.0585985539619731</v>
      </c>
      <c r="AE102" s="93">
        <f t="shared" ref="AE102" ca="1" si="517">_xlfn.STDEV.P(G97:G102)</f>
        <v>5.273097339852125</v>
      </c>
      <c r="AF102" s="93">
        <f t="shared" ref="AF102" ca="1" si="518">_xlfn.STDEV.P(H97:H102)</f>
        <v>3.39934634239519</v>
      </c>
      <c r="AG102" s="93"/>
      <c r="AH102" s="93">
        <f t="shared" ref="AH102" ca="1" si="519">_xlfn.STDEV.P(J97:J102)</f>
        <v>6.8170537787391865</v>
      </c>
      <c r="AI102" s="93">
        <f t="shared" ref="AI102" ca="1" si="520">_xlfn.STDEV.P(K97:K102)</f>
        <v>7.2495210569771817</v>
      </c>
      <c r="AK102" s="94" t="str">
        <f t="shared" ref="AK102" si="521">Y102</f>
        <v>Sprint 2025-2-3/4</v>
      </c>
      <c r="AL102" s="93">
        <f t="shared" ref="AL102" ca="1" si="522">B88/B102</f>
        <v>2.9047619047619047</v>
      </c>
      <c r="AM102" s="93">
        <f t="shared" ref="AM102" ca="1" si="523">C88/C102</f>
        <v>1.9090909090909092</v>
      </c>
      <c r="AN102" s="93">
        <f t="shared" ref="AN102" ca="1" si="524">D88/D102</f>
        <v>3</v>
      </c>
      <c r="AO102" s="93">
        <f t="shared" ref="AO102" ca="1" si="525">E88/E102</f>
        <v>4.9473684210526319</v>
      </c>
      <c r="AP102" s="93">
        <f t="shared" ref="AP102" ca="1" si="526">F88/F102</f>
        <v>3.4</v>
      </c>
      <c r="AQ102" s="93">
        <f t="shared" ref="AQ102" ca="1" si="527">G88/G102</f>
        <v>3.0555555555555554</v>
      </c>
      <c r="AR102" s="93">
        <f t="shared" ref="AR102" ca="1" si="528">H88/H102</f>
        <v>2.8571428571428572</v>
      </c>
      <c r="AS102" s="93"/>
      <c r="AT102" s="93">
        <f t="shared" ref="AT102" ca="1" si="529">J88/J102</f>
        <v>3.2916666666666665</v>
      </c>
      <c r="AU102" s="93">
        <f t="shared" ref="AU102" ca="1" si="530">K88/K102</f>
        <v>3.7222222222222223</v>
      </c>
    </row>
    <row r="103" spans="1:47">
      <c r="A103" s="87" t="str">
        <f t="shared" si="484"/>
        <v>Sprint 2025-2-5/6</v>
      </c>
      <c r="B103" s="36">
        <f t="shared" ca="1" si="504"/>
        <v>23</v>
      </c>
      <c r="C103" s="36">
        <f t="shared" ca="1" si="504"/>
        <v>11</v>
      </c>
      <c r="D103" s="36">
        <f t="shared" ref="D103" ca="1" si="531">AN37</f>
        <v>27</v>
      </c>
      <c r="E103" s="36">
        <f t="shared" ref="E103" ca="1" si="532">AO37</f>
        <v>13</v>
      </c>
      <c r="F103" s="36">
        <f t="shared" ref="F103" ca="1" si="533">AP37</f>
        <v>17</v>
      </c>
      <c r="G103" s="36">
        <f t="shared" ref="G103" ca="1" si="534">AQ37</f>
        <v>20</v>
      </c>
      <c r="H103" s="36">
        <f t="shared" ref="H103" ca="1" si="535">AR37</f>
        <v>20</v>
      </c>
      <c r="J103" s="36">
        <f t="shared" ref="J103" ca="1" si="536">AT37</f>
        <v>79</v>
      </c>
      <c r="K103" s="36">
        <f t="shared" ref="K103" ca="1" si="537">AU37</f>
        <v>17</v>
      </c>
      <c r="M103" s="94" t="str">
        <f t="shared" si="486"/>
        <v>Sprint 2025-2-5/6</v>
      </c>
      <c r="N103" s="93">
        <f ca="1">AVERAGE(B98:B103)</f>
        <v>29.333333333333332</v>
      </c>
      <c r="O103" s="93">
        <f t="shared" ref="O103" ca="1" si="538">AVERAGE(C98:C103)</f>
        <v>14.666666666666666</v>
      </c>
      <c r="P103" s="93">
        <f t="shared" ref="P103" ca="1" si="539">AVERAGE(D98:D103)</f>
        <v>21.5</v>
      </c>
      <c r="Q103" s="93">
        <f t="shared" ref="Q103" ca="1" si="540">AVERAGE(E98:E103)</f>
        <v>16.666666666666668</v>
      </c>
      <c r="R103" s="93">
        <f t="shared" ref="R103" ca="1" si="541">AVERAGE(F98:F103)</f>
        <v>18</v>
      </c>
      <c r="S103" s="93">
        <f t="shared" ref="S103" ca="1" si="542">AVERAGE(G98:G103)</f>
        <v>21.333333333333332</v>
      </c>
      <c r="T103" s="93">
        <f t="shared" ref="T103" ca="1" si="543">AVERAGE(H98:H103)</f>
        <v>16.833333333333332</v>
      </c>
      <c r="U103" s="93"/>
      <c r="V103" s="93">
        <f t="shared" ref="V103" ca="1" si="544">AVERAGE(J98:J103)</f>
        <v>29.833333333333332</v>
      </c>
      <c r="W103" s="93">
        <f t="shared" ref="W103" ca="1" si="545">AVERAGE(K98:K103)</f>
        <v>26</v>
      </c>
      <c r="Y103" s="94" t="str">
        <f t="shared" si="487"/>
        <v>Sprint 2025-2-5/6</v>
      </c>
      <c r="Z103" s="93">
        <f ca="1">_xlfn.STDEV.P(B98:B103)</f>
        <v>8.1377037438224686</v>
      </c>
      <c r="AA103" s="93">
        <f ca="1">_xlfn.STDEV.P(C98:C103)</f>
        <v>3.5433819375782165</v>
      </c>
      <c r="AB103" s="93">
        <f t="shared" ref="AB103" ca="1" si="546">_xlfn.STDEV.P(D98:D103)</f>
        <v>2.8722813232690143</v>
      </c>
      <c r="AC103" s="93">
        <f t="shared" ref="AC103" ca="1" si="547">_xlfn.STDEV.P(E98:E103)</f>
        <v>2.3570226039551585</v>
      </c>
      <c r="AD103" s="93">
        <f t="shared" ref="AD103" ca="1" si="548">_xlfn.STDEV.P(F98:F103)</f>
        <v>1.8257418583505538</v>
      </c>
      <c r="AE103" s="93">
        <f t="shared" ref="AE103" ca="1" si="549">_xlfn.STDEV.P(G98:G103)</f>
        <v>4.5338235029118144</v>
      </c>
      <c r="AF103" s="93">
        <f t="shared" ref="AF103" ca="1" si="550">_xlfn.STDEV.P(H98:H103)</f>
        <v>2.6718699236468995</v>
      </c>
      <c r="AG103" s="93"/>
      <c r="AH103" s="93">
        <f t="shared" ref="AH103" ca="1" si="551">_xlfn.STDEV.P(J98:J103)</f>
        <v>22.944982506470172</v>
      </c>
      <c r="AI103" s="93">
        <f t="shared" ref="AI103" ca="1" si="552">_xlfn.STDEV.P(K98:K103)</f>
        <v>8.2259751195020439</v>
      </c>
      <c r="AK103" s="94" t="str">
        <f t="shared" ref="AK103" si="553">Y103</f>
        <v>Sprint 2025-2-5/6</v>
      </c>
      <c r="AL103" s="93">
        <f t="shared" ref="AL103" ca="1" si="554">B89/B103</f>
        <v>3.6086956521739131</v>
      </c>
      <c r="AM103" s="93">
        <f t="shared" ref="AM103" ca="1" si="555">C89/C103</f>
        <v>2.2727272727272729</v>
      </c>
      <c r="AN103" s="93">
        <f t="shared" ref="AN103" ca="1" si="556">D89/D103</f>
        <v>3</v>
      </c>
      <c r="AO103" s="93">
        <f t="shared" ref="AO103" ca="1" si="557">E89/E103</f>
        <v>4</v>
      </c>
      <c r="AP103" s="93">
        <f t="shared" ref="AP103" ca="1" si="558">F89/F103</f>
        <v>2.7647058823529411</v>
      </c>
      <c r="AQ103" s="93">
        <f t="shared" ref="AQ103" ca="1" si="559">G89/G103</f>
        <v>3.15</v>
      </c>
      <c r="AR103" s="93">
        <f t="shared" ref="AR103" ca="1" si="560">H89/H103</f>
        <v>2.15</v>
      </c>
      <c r="AS103" s="93"/>
      <c r="AT103" s="93">
        <f t="shared" ref="AT103" ca="1" si="561">J89/J103</f>
        <v>1.9113924050632911</v>
      </c>
      <c r="AU103" s="93">
        <f t="shared" ref="AU103" ca="1" si="562">K89/K103</f>
        <v>3.4705882352941178</v>
      </c>
    </row>
    <row r="104" spans="1:47">
      <c r="A104" s="87" t="str">
        <f t="shared" si="484"/>
        <v>Sprint 2025-3-1/2</v>
      </c>
      <c r="B104" s="36">
        <f t="shared" ca="1" si="504"/>
        <v>0</v>
      </c>
      <c r="C104" s="36">
        <f t="shared" ca="1" si="504"/>
        <v>9</v>
      </c>
      <c r="D104" s="36">
        <f t="shared" ref="D104" ca="1" si="563">AN38</f>
        <v>39</v>
      </c>
      <c r="E104" s="36">
        <f t="shared" ref="E104" ca="1" si="564">AO38</f>
        <v>0</v>
      </c>
      <c r="F104" s="36">
        <f t="shared" ref="F104" ca="1" si="565">AP38</f>
        <v>19</v>
      </c>
      <c r="G104" s="36">
        <f t="shared" ref="G104" ca="1" si="566">AQ38</f>
        <v>0</v>
      </c>
      <c r="H104" s="36">
        <f t="shared" ref="H104" ca="1" si="567">AR38</f>
        <v>13</v>
      </c>
      <c r="J104" s="36">
        <f t="shared" ref="J104" ca="1" si="568">AT38</f>
        <v>0</v>
      </c>
      <c r="K104" s="36">
        <f t="shared" ref="K104" ca="1" si="569">AU38</f>
        <v>0</v>
      </c>
      <c r="M104" s="94" t="str">
        <f t="shared" ref="M104" si="570">A104</f>
        <v>Sprint 2025-3-1/2</v>
      </c>
      <c r="N104" s="93">
        <f ca="1">AVERAGE(B99:B104)</f>
        <v>21.833333333333332</v>
      </c>
      <c r="O104" s="93">
        <f t="shared" ref="O104" ca="1" si="571">AVERAGE(C99:C104)</f>
        <v>12.666666666666666</v>
      </c>
      <c r="P104" s="93">
        <f t="shared" ref="P104" ca="1" si="572">AVERAGE(D99:D104)</f>
        <v>24.666666666666668</v>
      </c>
      <c r="Q104" s="93">
        <f t="shared" ref="Q104" ca="1" si="573">AVERAGE(E99:E104)</f>
        <v>14</v>
      </c>
      <c r="R104" s="93">
        <f t="shared" ref="R104" ca="1" si="574">AVERAGE(F99:F104)</f>
        <v>17.833333333333332</v>
      </c>
      <c r="S104" s="93">
        <f t="shared" ref="S104" ca="1" si="575">AVERAGE(G99:G104)</f>
        <v>16.166666666666668</v>
      </c>
      <c r="T104" s="93">
        <f t="shared" ref="T104" ca="1" si="576">AVERAGE(H99:H104)</f>
        <v>16.333333333333332</v>
      </c>
      <c r="U104" s="93"/>
      <c r="V104" s="93">
        <f t="shared" ref="V104" ca="1" si="577">AVERAGE(J99:J104)</f>
        <v>27.833333333333332</v>
      </c>
      <c r="W104" s="93">
        <f t="shared" ref="W104" ca="1" si="578">AVERAGE(K99:K104)</f>
        <v>22.333333333333332</v>
      </c>
      <c r="Y104" s="94" t="str">
        <f t="shared" ref="Y104" si="579">M104</f>
        <v>Sprint 2025-3-1/2</v>
      </c>
      <c r="Z104" s="93">
        <f ca="1">_xlfn.STDEV.P(B99:B104)</f>
        <v>10.605292179955356</v>
      </c>
      <c r="AA104" s="93">
        <f ca="1">_xlfn.STDEV.P(C99:C104)</f>
        <v>2.6874192494328497</v>
      </c>
      <c r="AB104" s="93">
        <f t="shared" ref="AB104" ca="1" si="580">_xlfn.STDEV.P(D99:D104)</f>
        <v>6.99205898780101</v>
      </c>
      <c r="AC104" s="93">
        <f t="shared" ref="AC104" ca="1" si="581">_xlfn.STDEV.P(E99:E104)</f>
        <v>6.6833125519211407</v>
      </c>
      <c r="AD104" s="93">
        <f t="shared" ref="AD104" ca="1" si="582">_xlfn.STDEV.P(F99:F104)</f>
        <v>1.6749792701868151</v>
      </c>
      <c r="AE104" s="93">
        <f t="shared" ref="AE104" ca="1" si="583">_xlfn.STDEV.P(G99:G104)</f>
        <v>7.3579133515480386</v>
      </c>
      <c r="AF104" s="93">
        <f t="shared" ref="AF104" ca="1" si="584">_xlfn.STDEV.P(H99:H104)</f>
        <v>3.0368111930480994</v>
      </c>
      <c r="AG104" s="93"/>
      <c r="AH104" s="93">
        <f t="shared" ref="AH104" ca="1" si="585">_xlfn.STDEV.P(J99:J104)</f>
        <v>24.855694630316723</v>
      </c>
      <c r="AI104" s="93">
        <f t="shared" ref="AI104" ca="1" si="586">_xlfn.STDEV.P(K99:K104)</f>
        <v>12.814921857827391</v>
      </c>
      <c r="AK104" s="94" t="str">
        <f t="shared" ref="AK104" si="587">Y104</f>
        <v>Sprint 2025-3-1/2</v>
      </c>
      <c r="AL104" s="93" t="e">
        <f t="shared" ref="AL104" ca="1" si="588">B90/B104</f>
        <v>#DIV/0!</v>
      </c>
      <c r="AM104" s="93">
        <f t="shared" ref="AM104" ca="1" si="589">C90/C104</f>
        <v>3.1111111111111112</v>
      </c>
      <c r="AN104" s="93">
        <f t="shared" ref="AN104" ca="1" si="590">D90/D104</f>
        <v>3.3846153846153846</v>
      </c>
      <c r="AO104" s="93" t="e">
        <f t="shared" ref="AO104" ca="1" si="591">E90/E104</f>
        <v>#DIV/0!</v>
      </c>
      <c r="AP104" s="93">
        <f t="shared" ref="AP104" ca="1" si="592">F90/F104</f>
        <v>3.4736842105263159</v>
      </c>
      <c r="AQ104" s="93" t="e">
        <f t="shared" ref="AQ104" ca="1" si="593">G90/G104</f>
        <v>#DIV/0!</v>
      </c>
      <c r="AR104" s="93">
        <f t="shared" ref="AR104" ca="1" si="594">H90/H104</f>
        <v>3.9230769230769229</v>
      </c>
      <c r="AS104" s="93"/>
      <c r="AT104" s="93" t="e">
        <f t="shared" ref="AT104" ca="1" si="595">J90/J104</f>
        <v>#DIV/0!</v>
      </c>
      <c r="AU104" s="93" t="e">
        <f t="shared" ref="AU104" ca="1" si="596">K90/K104</f>
        <v>#DIV/0!</v>
      </c>
    </row>
    <row r="105" spans="1:47">
      <c r="A105" s="87" t="str">
        <f t="shared" si="484"/>
        <v>Sprint 2025-3-3/4</v>
      </c>
      <c r="B105" s="290">
        <f t="shared" ref="B105:C106" ca="1" si="597">AVERAGE(B99:B104)</f>
        <v>21.833333333333332</v>
      </c>
      <c r="C105" s="290">
        <f t="shared" ca="1" si="597"/>
        <v>12.666666666666666</v>
      </c>
      <c r="D105" s="290">
        <f t="shared" ref="D105:H106" ca="1" si="598">AVERAGE(D99:D104)</f>
        <v>24.666666666666668</v>
      </c>
      <c r="E105" s="290">
        <f t="shared" ca="1" si="598"/>
        <v>14</v>
      </c>
      <c r="F105" s="290">
        <f t="shared" ca="1" si="598"/>
        <v>17.833333333333332</v>
      </c>
      <c r="G105" s="290">
        <f t="shared" ca="1" si="598"/>
        <v>16.166666666666668</v>
      </c>
      <c r="H105" s="290">
        <f t="shared" ca="1" si="598"/>
        <v>16.333333333333332</v>
      </c>
      <c r="J105" s="290">
        <f t="shared" ref="J105:K106" ca="1" si="599">AVERAGE(J99:J104)</f>
        <v>27.833333333333332</v>
      </c>
      <c r="K105" s="290">
        <f t="shared" ca="1" si="599"/>
        <v>22.333333333333332</v>
      </c>
      <c r="M105" s="94" t="str">
        <f t="shared" si="486"/>
        <v>Sprint 2025-3-3/4</v>
      </c>
      <c r="N105" s="290">
        <f t="shared" ref="N105:O106" ca="1" si="600">AVERAGE(N99:N104)</f>
        <v>31.891666666666666</v>
      </c>
      <c r="O105" s="290">
        <f t="shared" ca="1" si="600"/>
        <v>14.294444444444444</v>
      </c>
      <c r="P105" s="290">
        <f t="shared" ref="P105:T106" ca="1" si="601">AVERAGE(P99:P104)</f>
        <v>20.641666666666669</v>
      </c>
      <c r="Q105" s="290">
        <f t="shared" ca="1" si="601"/>
        <v>15.619444444444445</v>
      </c>
      <c r="R105" s="290">
        <f t="shared" ca="1" si="601"/>
        <v>19.955555555555552</v>
      </c>
      <c r="S105" s="290">
        <f t="shared" ca="1" si="601"/>
        <v>22.897222222222222</v>
      </c>
      <c r="T105" s="290">
        <f t="shared" ca="1" si="601"/>
        <v>17.338888888888885</v>
      </c>
      <c r="V105" s="290">
        <f t="shared" ref="V105:W106" ca="1" si="602">AVERAGE(V99:V104)</f>
        <v>19.908333333333331</v>
      </c>
      <c r="W105" s="290">
        <f t="shared" ca="1" si="602"/>
        <v>25.525000000000002</v>
      </c>
      <c r="Y105" s="94" t="str">
        <f t="shared" si="487"/>
        <v>Sprint 2025-3-3/4</v>
      </c>
      <c r="Z105" s="290">
        <f t="shared" ref="Z105:AA106" ca="1" si="603">AVERAGE(Z99:Z104)</f>
        <v>7.5235432182925548</v>
      </c>
      <c r="AA105" s="290">
        <f t="shared" ca="1" si="603"/>
        <v>3.7188720747056188</v>
      </c>
      <c r="AB105" s="290">
        <f t="shared" ref="AB105:AF106" ca="1" si="604">AVERAGE(AB99:AB104)</f>
        <v>3.0364174917431082</v>
      </c>
      <c r="AC105" s="290">
        <f t="shared" ca="1" si="604"/>
        <v>3.0418960440748566</v>
      </c>
      <c r="AD105" s="290">
        <f t="shared" ca="1" si="604"/>
        <v>2.9656829422889763</v>
      </c>
      <c r="AE105" s="290">
        <f t="shared" ca="1" si="604"/>
        <v>5.2266888236986935</v>
      </c>
      <c r="AF105" s="290">
        <f t="shared" ca="1" si="604"/>
        <v>3.1596584168672806</v>
      </c>
      <c r="AH105" s="290">
        <f t="shared" ref="AH105:AI106" ca="1" si="605">AVERAGE(AH99:AH104)</f>
        <v>11.561622751213614</v>
      </c>
      <c r="AI105" s="290">
        <f t="shared" ca="1" si="605"/>
        <v>9.436282421213237</v>
      </c>
      <c r="AK105" s="94" t="str">
        <f t="shared" si="488"/>
        <v>Sprint 2025-3-3/4</v>
      </c>
      <c r="AL105" s="291">
        <f t="shared" ref="AL105:AL106" ca="1" si="606">B91/B105</f>
        <v>3.2519083969465652</v>
      </c>
      <c r="AM105" s="291">
        <f t="shared" ref="AM105:AM106" ca="1" si="607">C91/C105</f>
        <v>2.4473684210526319</v>
      </c>
      <c r="AN105" s="291">
        <f t="shared" ref="AN105:AN106" ca="1" si="608">D91/D105</f>
        <v>3.4256756756756754</v>
      </c>
      <c r="AO105" s="291">
        <f t="shared" ref="AO105:AO106" ca="1" si="609">E91/E105</f>
        <v>4.0952380952380958</v>
      </c>
      <c r="AP105" s="291">
        <f t="shared" ref="AP105:AP106" ca="1" si="610">F91/F105</f>
        <v>3.0841121495327104</v>
      </c>
      <c r="AQ105" s="291">
        <f t="shared" ref="AQ105:AQ106" ca="1" si="611">G91/G105</f>
        <v>3.1649484536082468</v>
      </c>
      <c r="AR105" s="291">
        <f t="shared" ref="AR105:AR106" ca="1" si="612">H91/H105</f>
        <v>2.8877551020408165</v>
      </c>
      <c r="AS105" s="93"/>
      <c r="AT105" s="291">
        <f t="shared" ref="AT105:AT106" ca="1" si="613">J91/J105</f>
        <v>2.5748502994011977</v>
      </c>
      <c r="AU105" s="291">
        <f t="shared" ref="AU105:AU106" ca="1" si="614">K91/K105</f>
        <v>3.0597014925373132</v>
      </c>
    </row>
    <row r="106" spans="1:47">
      <c r="A106" s="87" t="str">
        <f t="shared" si="484"/>
        <v>Sprint 2025-3-5/6</v>
      </c>
      <c r="B106" s="290">
        <f t="shared" ca="1" si="597"/>
        <v>20.805555555555554</v>
      </c>
      <c r="C106" s="290">
        <f t="shared" ca="1" si="597"/>
        <v>12.611111111111112</v>
      </c>
      <c r="D106" s="290">
        <f t="shared" ca="1" si="598"/>
        <v>25.277777777777775</v>
      </c>
      <c r="E106" s="290">
        <f t="shared" ca="1" si="598"/>
        <v>13.833333333333334</v>
      </c>
      <c r="F106" s="290">
        <f t="shared" ca="1" si="598"/>
        <v>17.472222222222221</v>
      </c>
      <c r="G106" s="290">
        <f t="shared" ca="1" si="598"/>
        <v>15.694444444444445</v>
      </c>
      <c r="H106" s="290">
        <f t="shared" ca="1" si="598"/>
        <v>15.888888888888888</v>
      </c>
      <c r="J106" s="290">
        <f t="shared" ca="1" si="599"/>
        <v>30.638888888888889</v>
      </c>
      <c r="K106" s="290">
        <f t="shared" ca="1" si="599"/>
        <v>19.388888888888889</v>
      </c>
      <c r="M106" s="94" t="str">
        <f t="shared" si="486"/>
        <v>Sprint 2025-3-5/6</v>
      </c>
      <c r="N106" s="290">
        <f t="shared" ca="1" si="600"/>
        <v>30.998611111111114</v>
      </c>
      <c r="O106" s="290">
        <f t="shared" ca="1" si="600"/>
        <v>14.343518518518517</v>
      </c>
      <c r="P106" s="290">
        <f t="shared" ca="1" si="601"/>
        <v>20.956944444444446</v>
      </c>
      <c r="Q106" s="290">
        <f t="shared" ca="1" si="601"/>
        <v>15.764351851851851</v>
      </c>
      <c r="R106" s="290">
        <f t="shared" ca="1" si="601"/>
        <v>19.61481481481481</v>
      </c>
      <c r="S106" s="290">
        <f t="shared" ca="1" si="601"/>
        <v>22.25509259259259</v>
      </c>
      <c r="T106" s="290">
        <f t="shared" ca="1" si="601"/>
        <v>17.228703703703701</v>
      </c>
      <c r="V106" s="290">
        <f t="shared" ca="1" si="602"/>
        <v>21.268055555555552</v>
      </c>
      <c r="W106" s="290">
        <f t="shared" ca="1" si="602"/>
        <v>25.654166666666669</v>
      </c>
      <c r="Y106" s="94" t="str">
        <f t="shared" si="487"/>
        <v>Sprint 2025-3-5/6</v>
      </c>
      <c r="Z106" s="290">
        <f t="shared" ca="1" si="603"/>
        <v>7.7611078448704403</v>
      </c>
      <c r="AA106" s="290">
        <f t="shared" ca="1" si="603"/>
        <v>3.5658825458652461</v>
      </c>
      <c r="AB106" s="290">
        <f t="shared" ca="1" si="604"/>
        <v>3.222439334205768</v>
      </c>
      <c r="AC106" s="290">
        <f t="shared" ca="1" si="604"/>
        <v>3.2756521129080824</v>
      </c>
      <c r="AD106" s="290">
        <f t="shared" ca="1" si="604"/>
        <v>2.8826131634808472</v>
      </c>
      <c r="AE106" s="290">
        <f t="shared" ca="1" si="604"/>
        <v>5.3306389343350604</v>
      </c>
      <c r="AF106" s="290">
        <f t="shared" ca="1" si="604"/>
        <v>3.1210739877513878</v>
      </c>
      <c r="AH106" s="290">
        <f t="shared" ca="1" si="605"/>
        <v>13.127715958172368</v>
      </c>
      <c r="AI106" s="290">
        <f t="shared" ca="1" si="605"/>
        <v>9.3366101380496538</v>
      </c>
      <c r="AK106" s="94" t="str">
        <f t="shared" si="488"/>
        <v>Sprint 2025-3-5/6</v>
      </c>
      <c r="AL106" s="291">
        <f t="shared" ca="1" si="606"/>
        <v>3.3324432576769025</v>
      </c>
      <c r="AM106" s="291">
        <f t="shared" ca="1" si="607"/>
        <v>2.4845814977973566</v>
      </c>
      <c r="AN106" s="291">
        <f t="shared" ca="1" si="608"/>
        <v>3.3065934065934068</v>
      </c>
      <c r="AO106" s="291">
        <f t="shared" ca="1" si="609"/>
        <v>4.0642570281124497</v>
      </c>
      <c r="AP106" s="291">
        <f t="shared" ca="1" si="610"/>
        <v>3.0810810810810811</v>
      </c>
      <c r="AQ106" s="291">
        <f t="shared" ca="1" si="611"/>
        <v>3.2725663716814162</v>
      </c>
      <c r="AR106" s="291">
        <f t="shared" ca="1" si="612"/>
        <v>2.844405594405595</v>
      </c>
      <c r="AS106" s="93"/>
      <c r="AT106" s="291">
        <f t="shared" ca="1" si="613"/>
        <v>2.4841341795104261</v>
      </c>
      <c r="AU106" s="291">
        <f t="shared" ca="1" si="614"/>
        <v>3.2048710601719197</v>
      </c>
    </row>
    <row r="110" spans="1:47" s="249" customFormat="1" ht="15.75" thickBot="1">
      <c r="A110" s="245"/>
      <c r="B110" s="248"/>
      <c r="C110" s="248"/>
      <c r="D110" s="248"/>
      <c r="E110" s="248"/>
      <c r="F110" s="248"/>
      <c r="G110" s="248"/>
      <c r="H110" s="248"/>
      <c r="I110" s="248"/>
      <c r="J110" s="248"/>
      <c r="K110" s="248"/>
      <c r="L110" s="247"/>
      <c r="M110" s="245"/>
      <c r="N110" s="248"/>
      <c r="O110" s="248"/>
      <c r="P110" s="248"/>
      <c r="Q110" s="248"/>
      <c r="R110" s="248"/>
      <c r="S110" s="248"/>
      <c r="T110" s="248"/>
      <c r="U110" s="248"/>
      <c r="V110" s="248"/>
      <c r="W110" s="248"/>
      <c r="X110" s="247"/>
      <c r="Y110" s="245"/>
      <c r="AJ110" s="247"/>
    </row>
    <row r="113" spans="1:36">
      <c r="A113" s="94"/>
      <c r="B113" s="412" t="s">
        <v>147</v>
      </c>
      <c r="C113" s="412"/>
      <c r="D113" s="412"/>
      <c r="E113" s="412"/>
      <c r="F113" s="412"/>
      <c r="G113" s="412"/>
      <c r="H113" s="412"/>
      <c r="I113" s="412"/>
      <c r="J113" s="412"/>
      <c r="K113" s="412"/>
      <c r="M113" s="94"/>
      <c r="N113" s="412" t="s">
        <v>148</v>
      </c>
      <c r="O113" s="412"/>
      <c r="P113" s="412"/>
      <c r="Q113" s="412"/>
      <c r="R113" s="412"/>
      <c r="S113" s="412"/>
      <c r="T113" s="412"/>
      <c r="U113" s="412"/>
      <c r="V113" s="412"/>
      <c r="W113" s="412"/>
      <c r="Y113" s="94"/>
      <c r="Z113" s="412" t="s">
        <v>149</v>
      </c>
      <c r="AA113" s="412"/>
      <c r="AB113" s="412"/>
      <c r="AC113" s="412"/>
      <c r="AD113" s="412"/>
      <c r="AE113" s="412"/>
      <c r="AF113" s="412"/>
      <c r="AG113" s="412"/>
      <c r="AH113" s="412"/>
      <c r="AI113" s="412"/>
    </row>
    <row r="114" spans="1:36">
      <c r="A114" s="94"/>
      <c r="B114" s="90" t="str">
        <f>B81</f>
        <v>Engineering</v>
      </c>
      <c r="C114" s="90" t="str">
        <f t="shared" ref="C114:K114" si="615">C81</f>
        <v>Payment</v>
      </c>
      <c r="D114" s="90" t="str">
        <f t="shared" si="615"/>
        <v>Sales</v>
      </c>
      <c r="E114" s="90" t="str">
        <f t="shared" si="615"/>
        <v>Vlinder</v>
      </c>
      <c r="F114" s="90" t="str">
        <f t="shared" si="615"/>
        <v>TTT</v>
      </c>
      <c r="G114" s="90" t="str">
        <f t="shared" si="615"/>
        <v>TNT</v>
      </c>
      <c r="H114" s="90" t="str">
        <f t="shared" si="615"/>
        <v>TFS</v>
      </c>
      <c r="I114" s="90" t="str">
        <f t="shared" si="615"/>
        <v>0-Noise</v>
      </c>
      <c r="J114" s="90" t="str">
        <f t="shared" si="615"/>
        <v>Synergy</v>
      </c>
      <c r="K114" s="90" t="str">
        <f t="shared" si="615"/>
        <v>Papillon</v>
      </c>
      <c r="M114" s="94"/>
      <c r="N114" s="90" t="str">
        <f>B114</f>
        <v>Engineering</v>
      </c>
      <c r="O114" s="90" t="str">
        <f t="shared" ref="O114" si="616">C114</f>
        <v>Payment</v>
      </c>
      <c r="P114" s="90" t="str">
        <f t="shared" ref="P114" si="617">D114</f>
        <v>Sales</v>
      </c>
      <c r="Q114" s="90" t="str">
        <f t="shared" ref="Q114" si="618">E114</f>
        <v>Vlinder</v>
      </c>
      <c r="R114" s="90" t="str">
        <f t="shared" ref="R114" si="619">F114</f>
        <v>TTT</v>
      </c>
      <c r="S114" s="90" t="str">
        <f t="shared" ref="S114" si="620">G114</f>
        <v>TNT</v>
      </c>
      <c r="T114" s="90" t="str">
        <f t="shared" ref="T114" si="621">H114</f>
        <v>TFS</v>
      </c>
      <c r="U114" s="90" t="str">
        <f t="shared" ref="U114" si="622">I114</f>
        <v>0-Noise</v>
      </c>
      <c r="V114" s="90" t="str">
        <f t="shared" ref="V114" si="623">J114</f>
        <v>Synergy</v>
      </c>
      <c r="W114" s="90" t="str">
        <f t="shared" ref="W114" si="624">K114</f>
        <v>Papillon</v>
      </c>
      <c r="Y114" s="94"/>
      <c r="Z114" s="90" t="str">
        <f>N114</f>
        <v>Engineering</v>
      </c>
      <c r="AA114" s="90" t="str">
        <f t="shared" ref="AA114" si="625">O114</f>
        <v>Payment</v>
      </c>
      <c r="AB114" s="90" t="str">
        <f t="shared" ref="AB114" si="626">P114</f>
        <v>Sales</v>
      </c>
      <c r="AC114" s="90" t="str">
        <f t="shared" ref="AC114" si="627">Q114</f>
        <v>Vlinder</v>
      </c>
      <c r="AD114" s="90" t="str">
        <f t="shared" ref="AD114" si="628">R114</f>
        <v>TTT</v>
      </c>
      <c r="AE114" s="90" t="str">
        <f t="shared" ref="AE114" si="629">S114</f>
        <v>TNT</v>
      </c>
      <c r="AF114" s="90" t="str">
        <f t="shared" ref="AF114" si="630">T114</f>
        <v>TFS</v>
      </c>
      <c r="AG114" s="90" t="str">
        <f t="shared" ref="AG114" si="631">U114</f>
        <v>0-Noise</v>
      </c>
      <c r="AH114" s="90" t="str">
        <f t="shared" ref="AH114" si="632">V114</f>
        <v>Synergy</v>
      </c>
      <c r="AI114" s="90" t="str">
        <f t="shared" ref="AI114" si="633">W114</f>
        <v>Papillon</v>
      </c>
    </row>
    <row r="115" spans="1:36">
      <c r="A115" s="97" t="str">
        <f t="shared" ref="A115:A125" si="634">A82</f>
        <v>Sprint 2024-4-4+5</v>
      </c>
      <c r="B115" s="255">
        <f ca="1">((N82-Z82)/N82)^(1/2)*N82</f>
        <v>129</v>
      </c>
      <c r="C115" s="255">
        <f t="shared" ref="C115:K115" ca="1" si="635">((O82-AA82)/O82)^(1/2)*O82</f>
        <v>17</v>
      </c>
      <c r="D115" s="255">
        <f t="shared" ca="1" si="635"/>
        <v>73</v>
      </c>
      <c r="E115" s="255">
        <f t="shared" ca="1" si="635"/>
        <v>73</v>
      </c>
      <c r="F115" s="255">
        <f t="shared" ca="1" si="635"/>
        <v>65</v>
      </c>
      <c r="G115" s="255">
        <f t="shared" ca="1" si="635"/>
        <v>76</v>
      </c>
      <c r="H115" s="255">
        <f t="shared" ca="1" si="635"/>
        <v>46</v>
      </c>
      <c r="I115" s="255"/>
      <c r="J115" s="255">
        <f t="shared" ca="1" si="635"/>
        <v>46</v>
      </c>
      <c r="K115" s="255">
        <f t="shared" ca="1" si="635"/>
        <v>30</v>
      </c>
      <c r="M115" s="94" t="str">
        <f t="shared" ref="M115:M125" si="636">A115</f>
        <v>Sprint 2024-4-4+5</v>
      </c>
      <c r="N115" s="255">
        <f ca="1">((N96-Z96)/N96)^(1/2)*N96</f>
        <v>39</v>
      </c>
      <c r="O115" s="255">
        <f t="shared" ref="O115:W115" ca="1" si="637">((O96-AA96)/O96)^(1/2)*O96</f>
        <v>8</v>
      </c>
      <c r="P115" s="255">
        <f t="shared" ca="1" si="637"/>
        <v>16</v>
      </c>
      <c r="Q115" s="255">
        <f t="shared" ca="1" si="637"/>
        <v>16</v>
      </c>
      <c r="R115" s="255">
        <f t="shared" ca="1" si="637"/>
        <v>20</v>
      </c>
      <c r="S115" s="255">
        <f t="shared" ca="1" si="637"/>
        <v>28</v>
      </c>
      <c r="T115" s="255">
        <f t="shared" ca="1" si="637"/>
        <v>14</v>
      </c>
      <c r="U115" s="255"/>
      <c r="V115" s="255">
        <f t="shared" ca="1" si="637"/>
        <v>9</v>
      </c>
      <c r="W115" s="255">
        <f t="shared" ca="1" si="637"/>
        <v>12</v>
      </c>
      <c r="Y115" s="94" t="str">
        <f t="shared" ref="Y115:Y125" si="638">M115</f>
        <v>Sprint 2024-4-4+5</v>
      </c>
      <c r="Z115" s="255"/>
      <c r="AA115" s="255"/>
      <c r="AB115" s="255"/>
      <c r="AC115" s="255"/>
      <c r="AD115" s="255"/>
      <c r="AE115" s="255"/>
      <c r="AF115" s="255"/>
      <c r="AG115" s="255"/>
      <c r="AH115" s="255"/>
      <c r="AI115" s="255"/>
    </row>
    <row r="116" spans="1:36">
      <c r="A116" s="97" t="str">
        <f t="shared" si="634"/>
        <v>Sprint 2024-4-6/7+8</v>
      </c>
      <c r="B116" s="255">
        <f t="shared" ref="B116:B119" ca="1" si="639">((N83-Z83)/N83)^(1/2)*N83</f>
        <v>115.41230437002807</v>
      </c>
      <c r="C116" s="255">
        <f t="shared" ref="C116:C119" ca="1" si="640">((O83-AA83)/O83)^(1/2)*O83</f>
        <v>19.773719933285186</v>
      </c>
      <c r="D116" s="255">
        <f t="shared" ref="D116:D119" ca="1" si="641">((P83-AB83)/P83)^(1/2)*P83</f>
        <v>60.868711174132812</v>
      </c>
      <c r="E116" s="255">
        <f t="shared" ref="E116:E119" ca="1" si="642">((Q83-AC83)/Q83)^(1/2)*Q83</f>
        <v>53.103672189407014</v>
      </c>
      <c r="F116" s="255">
        <f t="shared" ref="F116:F119" ca="1" si="643">((R83-AD83)/R83)^(1/2)*R83</f>
        <v>70.746024623295966</v>
      </c>
      <c r="G116" s="255">
        <f t="shared" ref="G116:G119" ca="1" si="644">((S83-AE83)/S83)^(1/2)*S83</f>
        <v>79.422918606659124</v>
      </c>
      <c r="H116" s="255">
        <f t="shared" ref="H116:H119" ca="1" si="645">((T83-AF83)/T83)^(1/2)*T83</f>
        <v>46.497311750250681</v>
      </c>
      <c r="I116" s="255"/>
      <c r="J116" s="255">
        <f t="shared" ref="J116:J119" ca="1" si="646">((V83-AH83)/V83)^(1/2)*V83</f>
        <v>47.7179211617606</v>
      </c>
      <c r="K116" s="255">
        <f t="shared" ref="K116:K119" ca="1" si="647">((W83-AI83)/W83)^(1/2)*W83</f>
        <v>36.945906403822327</v>
      </c>
      <c r="M116" s="94" t="str">
        <f t="shared" si="636"/>
        <v>Sprint 2024-4-6/7+8</v>
      </c>
      <c r="N116" s="255">
        <f t="shared" ref="N116:N119" ca="1" si="648">((N97-Z97)/N97)^(1/2)*N97</f>
        <v>37.49666651850535</v>
      </c>
      <c r="O116" s="255">
        <f t="shared" ref="O116:O119" ca="1" si="649">((O97-AA97)/O97)^(1/2)*O97</f>
        <v>9.3808315196468595</v>
      </c>
      <c r="P116" s="255">
        <f t="shared" ref="P116:P119" ca="1" si="650">((P97-AB97)/P97)^(1/2)*P97</f>
        <v>16.492422502470642</v>
      </c>
      <c r="Q116" s="255">
        <f t="shared" ref="Q116:Q119" ca="1" si="651">((Q97-AC97)/Q97)^(1/2)*Q97</f>
        <v>12.961481396815721</v>
      </c>
      <c r="R116" s="255">
        <f t="shared" ref="R116:R119" ca="1" si="652">((R97-AD97)/R97)^(1/2)*R97</f>
        <v>21.908902300206645</v>
      </c>
      <c r="S116" s="255">
        <f t="shared" ref="S116:S119" ca="1" si="653">((S97-AE97)/S97)^(1/2)*S97</f>
        <v>28.248893783651067</v>
      </c>
      <c r="T116" s="255">
        <f t="shared" ref="T116:T119" ca="1" si="654">((T97-AF97)/T97)^(1/2)*T97</f>
        <v>16.093476939431081</v>
      </c>
      <c r="U116" s="255"/>
      <c r="V116" s="255">
        <f t="shared" ref="V116:V119" ca="1" si="655">((V97-AH97)/V97)^(1/2)*V97</f>
        <v>10.392304845413264</v>
      </c>
      <c r="W116" s="255">
        <f t="shared" ref="W116:W119" ca="1" si="656">((W97-AI97)/W97)^(1/2)*W97</f>
        <v>14.899664425751341</v>
      </c>
      <c r="Y116" s="94" t="str">
        <f t="shared" si="638"/>
        <v>Sprint 2024-4-6/7+8</v>
      </c>
      <c r="Z116" s="303">
        <f ca="1">PEARSON(B$115:B116,N$115:N116)</f>
        <v>1</v>
      </c>
      <c r="AA116" s="303">
        <f ca="1">PEARSON(C$115:C116,O$115:O116)</f>
        <v>1</v>
      </c>
      <c r="AB116" s="303">
        <f ca="1">PEARSON(D$115:D116,P$115:P116)</f>
        <v>-1</v>
      </c>
      <c r="AC116" s="303">
        <f ca="1">PEARSON(E$115:E116,Q$115:Q116)</f>
        <v>1</v>
      </c>
      <c r="AD116" s="303">
        <f ca="1">PEARSON(F$115:F116,R$115:R116)</f>
        <v>0.99999999999999989</v>
      </c>
      <c r="AE116" s="303">
        <f ca="1">PEARSON(G$115:G116,S$115:S116)</f>
        <v>1.0000000000000002</v>
      </c>
      <c r="AF116" s="303">
        <f ca="1">PEARSON(H$115:H116,T$115:T116)</f>
        <v>1</v>
      </c>
      <c r="AG116" s="303"/>
      <c r="AH116" s="303">
        <f ca="1">PEARSON(J$115:J116,V$115:V116)</f>
        <v>1</v>
      </c>
      <c r="AI116" s="303">
        <f ca="1">PEARSON(K$115:K116,W$115:W116)</f>
        <v>1</v>
      </c>
    </row>
    <row r="117" spans="1:36">
      <c r="A117" s="97" t="str">
        <f t="shared" si="634"/>
        <v>Sprint 2025-1-1+2</v>
      </c>
      <c r="B117" s="255">
        <f t="shared" ca="1" si="639"/>
        <v>113.5675861143889</v>
      </c>
      <c r="C117" s="255">
        <f t="shared" ca="1" si="640"/>
        <v>23.505771200990612</v>
      </c>
      <c r="D117" s="255">
        <f t="shared" ca="1" si="641"/>
        <v>65.292999058286981</v>
      </c>
      <c r="E117" s="255">
        <f t="shared" ca="1" si="642"/>
        <v>55.081445030482847</v>
      </c>
      <c r="F117" s="255">
        <f t="shared" ca="1" si="643"/>
        <v>62.124793184832896</v>
      </c>
      <c r="G117" s="255">
        <f t="shared" ca="1" si="644"/>
        <v>80.41478399625467</v>
      </c>
      <c r="H117" s="255">
        <f t="shared" ca="1" si="645"/>
        <v>47.294772989986839</v>
      </c>
      <c r="I117" s="255"/>
      <c r="J117" s="255">
        <f t="shared" ca="1" si="646"/>
        <v>46.654252198952655</v>
      </c>
      <c r="K117" s="255">
        <f t="shared" ca="1" si="647"/>
        <v>43.394073133724262</v>
      </c>
      <c r="M117" s="94" t="str">
        <f t="shared" si="636"/>
        <v>Sprint 2025-1-1+2</v>
      </c>
      <c r="N117" s="255">
        <f t="shared" ca="1" si="648"/>
        <v>38.596253816070096</v>
      </c>
      <c r="O117" s="255">
        <f t="shared" ca="1" si="649"/>
        <v>11.37098046016019</v>
      </c>
      <c r="P117" s="255">
        <f t="shared" ca="1" si="650"/>
        <v>17.164094007159303</v>
      </c>
      <c r="Q117" s="255">
        <f t="shared" ca="1" si="651"/>
        <v>13.691434520338031</v>
      </c>
      <c r="R117" s="255">
        <f t="shared" ca="1" si="652"/>
        <v>20.695323739297663</v>
      </c>
      <c r="S117" s="255">
        <f t="shared" ca="1" si="653"/>
        <v>28.702950196730441</v>
      </c>
      <c r="T117" s="255">
        <f t="shared" ca="1" si="654"/>
        <v>15.618652111967915</v>
      </c>
      <c r="U117" s="255"/>
      <c r="V117" s="255">
        <f t="shared" ca="1" si="655"/>
        <v>10.705424937227006</v>
      </c>
      <c r="W117" s="255">
        <f t="shared" ca="1" si="656"/>
        <v>16.657575560448798</v>
      </c>
      <c r="Y117" s="94" t="str">
        <f t="shared" si="638"/>
        <v>Sprint 2025-1-1+2</v>
      </c>
      <c r="Z117" s="303">
        <f ca="1">PEARSON(B$115:B117,N$115:N117)</f>
        <v>0.62599341339229908</v>
      </c>
      <c r="AA117" s="303">
        <f ca="1">PEARSON(C$115:C117,O$115:O117)</f>
        <v>0.99981684454381359</v>
      </c>
      <c r="AB117" s="303">
        <f ca="1">PEARSON(D$115:D117,P$115:P117)</f>
        <v>-0.55628468264114361</v>
      </c>
      <c r="AC117" s="303">
        <f ca="1">PEARSON(E$115:E117,Q$115:Q117)</f>
        <v>0.98995712433666283</v>
      </c>
      <c r="AD117" s="303">
        <f ca="1">PEARSON(F$115:F117,R$115:R117)</f>
        <v>0.76369483579102226</v>
      </c>
      <c r="AE117" s="303">
        <f ca="1">PEARSON(G$115:G117,S$115:S117)</f>
        <v>0.88940417044997255</v>
      </c>
      <c r="AF117" s="303">
        <f ca="1">PEARSON(H$115:H117,T$115:T117)</f>
        <v>0.64124612147482041</v>
      </c>
      <c r="AG117" s="303"/>
      <c r="AH117" s="303">
        <f ca="1">PEARSON(J$115:J117,V$115:V117)</f>
        <v>0.67217422345438549</v>
      </c>
      <c r="AI117" s="303">
        <f ca="1">PEARSON(K$115:K117,W$115:W117)</f>
        <v>0.99291056576591907</v>
      </c>
    </row>
    <row r="118" spans="1:36">
      <c r="A118" s="97" t="str">
        <f t="shared" si="634"/>
        <v>Sprint 2025-1-3+4</v>
      </c>
      <c r="B118" s="255">
        <f t="shared" ca="1" si="639"/>
        <v>99.451632697665289</v>
      </c>
      <c r="C118" s="255">
        <f t="shared" ca="1" si="640"/>
        <v>24.344709099318703</v>
      </c>
      <c r="D118" s="255">
        <f t="shared" ca="1" si="641"/>
        <v>69.099908641430844</v>
      </c>
      <c r="E118" s="255">
        <f t="shared" ca="1" si="642"/>
        <v>56.637378055156432</v>
      </c>
      <c r="F118" s="255">
        <f t="shared" ca="1" si="643"/>
        <v>61.018572441713594</v>
      </c>
      <c r="G118" s="255">
        <f t="shared" ca="1" si="644"/>
        <v>66.934107044275038</v>
      </c>
      <c r="H118" s="255">
        <f t="shared" ca="1" si="645"/>
        <v>48.46197353716007</v>
      </c>
      <c r="I118" s="255"/>
      <c r="J118" s="255">
        <f t="shared" ca="1" si="646"/>
        <v>45.871296028790923</v>
      </c>
      <c r="K118" s="255">
        <f t="shared" ca="1" si="647"/>
        <v>50.06337341783226</v>
      </c>
      <c r="M118" s="94" t="str">
        <f t="shared" si="636"/>
        <v>Sprint 2025-1-3+4</v>
      </c>
      <c r="N118" s="255">
        <f t="shared" ca="1" si="648"/>
        <v>34.064735565666147</v>
      </c>
      <c r="O118" s="255">
        <f t="shared" ca="1" si="649"/>
        <v>11.449221394118032</v>
      </c>
      <c r="P118" s="255">
        <f t="shared" ca="1" si="650"/>
        <v>17.763927755619417</v>
      </c>
      <c r="Q118" s="255">
        <f t="shared" ca="1" si="651"/>
        <v>13.906183712350286</v>
      </c>
      <c r="R118" s="255">
        <f t="shared" ca="1" si="652"/>
        <v>20.193805101242546</v>
      </c>
      <c r="S118" s="255">
        <f t="shared" ca="1" si="653"/>
        <v>24.339937689386076</v>
      </c>
      <c r="T118" s="255">
        <f t="shared" ca="1" si="654"/>
        <v>16.216011536499121</v>
      </c>
      <c r="U118" s="255"/>
      <c r="V118" s="255">
        <f t="shared" ca="1" si="655"/>
        <v>10.612398586739573</v>
      </c>
      <c r="W118" s="255">
        <f t="shared" ca="1" si="656"/>
        <v>19.08436994048219</v>
      </c>
      <c r="Y118" s="94" t="str">
        <f t="shared" si="638"/>
        <v>Sprint 2025-1-3+4</v>
      </c>
      <c r="Z118" s="303">
        <f ca="1">PEARSON(B$115:B118,N$115:N118)</f>
        <v>0.88941977259510419</v>
      </c>
      <c r="AA118" s="303">
        <f ca="1">PEARSON(C$115:C118,O$115:O118)</f>
        <v>0.9966728715684614</v>
      </c>
      <c r="AB118" s="303">
        <f ca="1">PEARSON(D$115:D118,P$115:P118)</f>
        <v>-0.12701096655763472</v>
      </c>
      <c r="AC118" s="303">
        <f ca="1">PEARSON(E$115:E118,Q$115:Q118)</f>
        <v>0.98643701810675766</v>
      </c>
      <c r="AD118" s="303">
        <f ca="1">PEARSON(F$115:F118,R$115:R118)</f>
        <v>0.80125475777785593</v>
      </c>
      <c r="AE118" s="303">
        <f ca="1">PEARSON(G$115:G118,S$115:S118)</f>
        <v>0.98100169808381787</v>
      </c>
      <c r="AF118" s="303">
        <f ca="1">PEARSON(H$115:H118,T$115:T118)</f>
        <v>0.69543266105087442</v>
      </c>
      <c r="AG118" s="303"/>
      <c r="AH118" s="303">
        <f ca="1">PEARSON(J$115:J118,V$115:V118)</f>
        <v>0.32664483951335821</v>
      </c>
      <c r="AI118" s="303">
        <f ca="1">PEARSON(K$115:K118,W$115:W118)</f>
        <v>0.99704334559697372</v>
      </c>
    </row>
    <row r="119" spans="1:36">
      <c r="A119" s="97" t="str">
        <f t="shared" si="634"/>
        <v>Sprint 2025-1-5+6</v>
      </c>
      <c r="B119" s="255">
        <f t="shared" ca="1" si="639"/>
        <v>104.33061648101369</v>
      </c>
      <c r="C119" s="255">
        <f t="shared" ca="1" si="640"/>
        <v>26.854367442205117</v>
      </c>
      <c r="D119" s="255">
        <f t="shared" ca="1" si="641"/>
        <v>70.45730455684955</v>
      </c>
      <c r="E119" s="255">
        <f t="shared" ca="1" si="642"/>
        <v>58.39309039832078</v>
      </c>
      <c r="F119" s="255">
        <f t="shared" ca="1" si="643"/>
        <v>58.307206648051647</v>
      </c>
      <c r="G119" s="255">
        <f t="shared" ca="1" si="644"/>
        <v>68.220013467047522</v>
      </c>
      <c r="H119" s="255">
        <f t="shared" ca="1" si="645"/>
        <v>49.099054147341853</v>
      </c>
      <c r="I119" s="255"/>
      <c r="J119" s="255">
        <f t="shared" ca="1" si="646"/>
        <v>47.018789022700687</v>
      </c>
      <c r="K119" s="255">
        <f t="shared" ca="1" si="647"/>
        <v>57.107502006710661</v>
      </c>
      <c r="M119" s="94" t="str">
        <f t="shared" si="636"/>
        <v>Sprint 2025-1-5+6</v>
      </c>
      <c r="N119" s="255">
        <f t="shared" ca="1" si="648"/>
        <v>33.679945634511533</v>
      </c>
      <c r="O119" s="255">
        <f t="shared" ca="1" si="649"/>
        <v>12.252585980797079</v>
      </c>
      <c r="P119" s="255">
        <f t="shared" ca="1" si="650"/>
        <v>18.351960652298416</v>
      </c>
      <c r="Q119" s="255">
        <f t="shared" ca="1" si="651"/>
        <v>14.462788625276401</v>
      </c>
      <c r="R119" s="255">
        <f t="shared" ca="1" si="652"/>
        <v>19.668637465097099</v>
      </c>
      <c r="S119" s="255">
        <f t="shared" ca="1" si="653"/>
        <v>23.423379530222622</v>
      </c>
      <c r="T119" s="255">
        <f t="shared" ca="1" si="654"/>
        <v>16.599961051507524</v>
      </c>
      <c r="U119" s="255"/>
      <c r="V119" s="255">
        <f t="shared" ca="1" si="655"/>
        <v>11.261588765588328</v>
      </c>
      <c r="W119" s="255">
        <f t="shared" ca="1" si="656"/>
        <v>21.083451832751052</v>
      </c>
      <c r="X119" s="274"/>
      <c r="Y119" s="257" t="str">
        <f t="shared" si="638"/>
        <v>Sprint 2025-1-5+6</v>
      </c>
      <c r="Z119" s="304">
        <f ca="1">PEARSON(B$115:B119,N$115:N119)</f>
        <v>0.88039573793997161</v>
      </c>
      <c r="AA119" s="304">
        <f ca="1">PEARSON(C$115:C119,O$115:O119)</f>
        <v>0.991450764748109</v>
      </c>
      <c r="AB119" s="304">
        <f ca="1">PEARSON(D$115:D119,P$115:P119)</f>
        <v>0.14125718001511317</v>
      </c>
      <c r="AC119" s="304">
        <f ca="1">PEARSON(E$115:E119,Q$115:Q119)</f>
        <v>0.96911542678735174</v>
      </c>
      <c r="AD119" s="304">
        <f ca="1">PEARSON(F$115:F119,R$115:R119)</f>
        <v>0.86109635362824954</v>
      </c>
      <c r="AE119" s="304">
        <f ca="1">PEARSON(G$115:G119,S$115:S119)</f>
        <v>0.96341230028668123</v>
      </c>
      <c r="AF119" s="304">
        <f ca="1">PEARSON(H$115:H119,T$115:T119)</f>
        <v>0.7768984549186152</v>
      </c>
      <c r="AG119" s="304"/>
      <c r="AH119" s="304">
        <f ca="1">PEARSON(J$115:J119,V$115:V119)</f>
        <v>0.41246199719384952</v>
      </c>
      <c r="AI119" s="304">
        <f ca="1">PEARSON(K$115:K119,W$115:W119)</f>
        <v>0.99761734944388836</v>
      </c>
    </row>
    <row r="120" spans="1:36" s="289" customFormat="1">
      <c r="A120" s="306" t="str">
        <f t="shared" si="634"/>
        <v>Sprint 2025-2-1+2</v>
      </c>
      <c r="B120" s="307">
        <f t="shared" ref="B120:B125" ca="1" si="657">((N87-Z87)/N87)^(1/2)*N87</f>
        <v>91.278906849798261</v>
      </c>
      <c r="C120" s="307">
        <f t="shared" ref="C120:C125" ca="1" si="658">((O87-AA87)/O87)^(1/2)*O87</f>
        <v>27.056430358217344</v>
      </c>
      <c r="D120" s="307">
        <f t="shared" ref="D120:D125" ca="1" si="659">((P87-AB87)/P87)^(1/2)*P87</f>
        <v>68.6571681521432</v>
      </c>
      <c r="E120" s="307">
        <f t="shared" ref="E120:E125" ca="1" si="660">((Q87-AC87)/Q87)^(1/2)*Q87</f>
        <v>59.124641287162902</v>
      </c>
      <c r="F120" s="307">
        <f t="shared" ref="F120:F125" ca="1" si="661">((R87-AD87)/R87)^(1/2)*R87</f>
        <v>55.695646842550438</v>
      </c>
      <c r="G120" s="307">
        <f t="shared" ref="G120:G125" ca="1" si="662">((S87-AE87)/S87)^(1/2)*S87</f>
        <v>66.102444462094311</v>
      </c>
      <c r="H120" s="307">
        <f t="shared" ref="H120:H125" ca="1" si="663">((T87-AF87)/T87)^(1/2)*T87</f>
        <v>45.495847386682989</v>
      </c>
      <c r="I120" s="307"/>
      <c r="J120" s="307">
        <f t="shared" ref="J120:J125" ca="1" si="664">((V87-AH87)/V87)^(1/2)*V87</f>
        <v>49.592184497951997</v>
      </c>
      <c r="K120" s="307">
        <f t="shared" ref="K120:K125" ca="1" si="665">((W87-AI87)/W87)^(1/2)*W87</f>
        <v>58.45800673015934</v>
      </c>
      <c r="L120" s="274"/>
      <c r="M120" s="257" t="str">
        <f t="shared" si="636"/>
        <v>Sprint 2025-2-1+2</v>
      </c>
      <c r="N120" s="307">
        <f t="shared" ref="N120:N125" ca="1" si="666">((N101-Z101)/N101)^(1/2)*N101</f>
        <v>31.137019536962846</v>
      </c>
      <c r="O120" s="307">
        <f t="shared" ref="O120:O125" ca="1" si="667">((O101-AA101)/O101)^(1/2)*O101</f>
        <v>12.540534186244193</v>
      </c>
      <c r="P120" s="307">
        <f t="shared" ref="P120:P125" ca="1" si="668">((P101-AB101)/P101)^(1/2)*P101</f>
        <v>18.154803567518798</v>
      </c>
      <c r="Q120" s="307">
        <f t="shared" ref="Q120:Q125" ca="1" si="669">((Q101-AC101)/Q101)^(1/2)*Q101</f>
        <v>14.761855632488693</v>
      </c>
      <c r="R120" s="307">
        <f t="shared" ref="R120:R125" ca="1" si="670">((R101-AD101)/R101)^(1/2)*R101</f>
        <v>18.864036957976435</v>
      </c>
      <c r="S120" s="307">
        <f t="shared" ref="S120:S125" ca="1" si="671">((S101-AE101)/S101)^(1/2)*S101</f>
        <v>21.824964473551908</v>
      </c>
      <c r="T120" s="307">
        <f t="shared" ref="T120:T125" ca="1" si="672">((T101-AF101)/T101)^(1/2)*T101</f>
        <v>15.540992284158083</v>
      </c>
      <c r="U120" s="307"/>
      <c r="V120" s="307">
        <f t="shared" ref="V120:V125" ca="1" si="673">((V101-AH101)/V101)^(1/2)*V101</f>
        <v>12.482321187249823</v>
      </c>
      <c r="W120" s="307">
        <f t="shared" ref="W120:W125" ca="1" si="674">((W101-AI101)/W101)^(1/2)*W101</f>
        <v>21.529988040235132</v>
      </c>
      <c r="X120" s="274"/>
      <c r="Y120" s="257" t="str">
        <f t="shared" si="638"/>
        <v>Sprint 2025-2-1+2</v>
      </c>
      <c r="Z120" s="304">
        <f ca="1">PEARSON(B115:B120,N115:N120)</f>
        <v>0.93199910372005379</v>
      </c>
      <c r="AA120" s="304">
        <f t="shared" ref="AA120:AI125" ca="1" si="675">PEARSON(C115:C120,O115:O120)</f>
        <v>0.99326949471631643</v>
      </c>
      <c r="AB120" s="304">
        <f t="shared" ca="1" si="675"/>
        <v>0.16476467233515496</v>
      </c>
      <c r="AC120" s="304">
        <f t="shared" ca="1" si="675"/>
        <v>0.94428704637188154</v>
      </c>
      <c r="AD120" s="304">
        <f t="shared" ca="1" si="675"/>
        <v>0.91316605117094507</v>
      </c>
      <c r="AE120" s="304">
        <f t="shared" ca="1" si="675"/>
        <v>0.95894910775313769</v>
      </c>
      <c r="AF120" s="304">
        <f t="shared" ca="1" si="675"/>
        <v>0.67894680998193269</v>
      </c>
      <c r="AG120" s="304"/>
      <c r="AH120" s="304">
        <f t="shared" ca="1" si="675"/>
        <v>0.78655362689253672</v>
      </c>
      <c r="AI120" s="304">
        <f t="shared" ca="1" si="675"/>
        <v>0.9981349146400974</v>
      </c>
      <c r="AJ120" s="274"/>
    </row>
    <row r="121" spans="1:36">
      <c r="A121" s="97" t="str">
        <f t="shared" si="634"/>
        <v>Sprint 2025-2-3/4</v>
      </c>
      <c r="B121" s="255">
        <f t="shared" ref="B121" ca="1" si="676">((N88-Z88)/N88)^(1/2)*N88</f>
        <v>78.56220917637971</v>
      </c>
      <c r="C121" s="255">
        <f t="shared" ref="C121" ca="1" si="677">((O88-AA88)/O88)^(1/2)*O88</f>
        <v>28.290465492241808</v>
      </c>
      <c r="D121" s="255">
        <f t="shared" ref="D121" ca="1" si="678">((P88-AB88)/P88)^(1/2)*P88</f>
        <v>65.792726613757736</v>
      </c>
      <c r="E121" s="255">
        <f t="shared" ref="E121" ca="1" si="679">((Q88-AC88)/Q88)^(1/2)*Q88</f>
        <v>59.439763042196375</v>
      </c>
      <c r="F121" s="255">
        <f t="shared" ref="F121" ca="1" si="680">((R88-AD88)/R88)^(1/2)*R88</f>
        <v>53.011862423849905</v>
      </c>
      <c r="G121" s="255">
        <f t="shared" ref="G121" ca="1" si="681">((S88-AE88)/S88)^(1/2)*S88</f>
        <v>61.764998946770355</v>
      </c>
      <c r="H121" s="255">
        <f t="shared" ref="H121" ca="1" si="682">((T88-AF88)/T88)^(1/2)*T88</f>
        <v>44.075720376411795</v>
      </c>
      <c r="I121" s="255"/>
      <c r="J121" s="255">
        <f t="shared" ref="J121" ca="1" si="683">((V88-AH88)/V88)^(1/2)*V88</f>
        <v>54.677465188372388</v>
      </c>
      <c r="K121" s="255">
        <f t="shared" ref="K121" ca="1" si="684">((W88-AI88)/W88)^(1/2)*W88</f>
        <v>69.221296042872325</v>
      </c>
      <c r="M121" s="94" t="str">
        <f t="shared" ref="M121" si="685">A121</f>
        <v>Sprint 2025-2-3/4</v>
      </c>
      <c r="N121" s="255">
        <f t="shared" ref="N121" ca="1" si="686">((N102-Z102)/N102)^(1/2)*N102</f>
        <v>27.380000865243186</v>
      </c>
      <c r="O121" s="255">
        <f t="shared" ref="O121" ca="1" si="687">((O102-AA102)/O102)^(1/2)*O102</f>
        <v>13.480899493065285</v>
      </c>
      <c r="P121" s="255">
        <f t="shared" ref="P121" ca="1" si="688">((P102-AB102)/P102)^(1/2)*P102</f>
        <v>19.114365902342207</v>
      </c>
      <c r="Q121" s="255">
        <f t="shared" ref="Q121" ca="1" si="689">((Q102-AC102)/Q102)^(1/2)*Q102</f>
        <v>15.127978448733206</v>
      </c>
      <c r="R121" s="255">
        <f t="shared" ref="R121" ca="1" si="690">((R102-AD102)/R102)^(1/2)*R102</f>
        <v>17.688006476824871</v>
      </c>
      <c r="S121" s="255">
        <f t="shared" ref="S121" ca="1" si="691">((S102-AE102)/S102)^(1/2)*S102</f>
        <v>20.023953701783128</v>
      </c>
      <c r="T121" s="255">
        <f t="shared" ref="T121" ca="1" si="692">((T102-AF102)/T102)^(1/2)*T102</f>
        <v>15.540992284158083</v>
      </c>
      <c r="U121" s="255"/>
      <c r="V121" s="255">
        <f t="shared" ref="V121" ca="1" si="693">((V102-AH102)/V102)^(1/2)*V102</f>
        <v>15.385087379838852</v>
      </c>
      <c r="W121" s="255">
        <f t="shared" ref="W121" ca="1" si="694">((W102-AI102)/W102)^(1/2)*W102</f>
        <v>23.429842840995214</v>
      </c>
      <c r="Y121" s="94" t="str">
        <f t="shared" ref="Y121" si="695">M121</f>
        <v>Sprint 2025-2-3/4</v>
      </c>
      <c r="Z121" s="303">
        <f ca="1">PEARSON(B116:B121,N116:N121)</f>
        <v>0.98081374015000444</v>
      </c>
      <c r="AA121" s="303">
        <f t="shared" ref="AA121" ca="1" si="696">PEARSON(C116:C121,O116:O121)</f>
        <v>0.98583891620780528</v>
      </c>
      <c r="AB121" s="303">
        <f t="shared" ref="AB121" ca="1" si="697">PEARSON(D116:D121,P116:P121)</f>
        <v>0.62317539244953268</v>
      </c>
      <c r="AC121" s="303">
        <f t="shared" ref="AC121" ca="1" si="698">PEARSON(E116:E121,Q116:Q121)</f>
        <v>0.98369581498911163</v>
      </c>
      <c r="AD121" s="303">
        <f t="shared" ref="AD121" ca="1" si="699">PEARSON(F116:F121,R116:R121)</f>
        <v>0.96946259247929789</v>
      </c>
      <c r="AE121" s="303">
        <f t="shared" ref="AE121" ca="1" si="700">PEARSON(G116:G121,S116:S121)</f>
        <v>0.97496176672637946</v>
      </c>
      <c r="AF121" s="303">
        <f t="shared" ref="AF121" ca="1" si="701">PEARSON(H116:H121,T116:T121)</f>
        <v>0.8255561624611566</v>
      </c>
      <c r="AG121" s="303"/>
      <c r="AH121" s="303">
        <f t="shared" ref="AH121" ca="1" si="702">PEARSON(J116:J121,V116:V121)</f>
        <v>0.96893149060351402</v>
      </c>
      <c r="AI121" s="303">
        <f t="shared" ref="AI121" ca="1" si="703">PEARSON(K116:K121,W116:W121)</f>
        <v>0.99061776994175432</v>
      </c>
    </row>
    <row r="122" spans="1:36">
      <c r="A122" s="97" t="str">
        <f t="shared" si="634"/>
        <v>Sprint 2025-2-5/6</v>
      </c>
      <c r="B122" s="255">
        <f t="shared" ref="B122" ca="1" si="704">((N89-Z89)/N89)^(1/2)*N89</f>
        <v>74.285750832078079</v>
      </c>
      <c r="C122" s="255">
        <f t="shared" ref="C122" ca="1" si="705">((O89-AA89)/O89)^(1/2)*O89</f>
        <v>27.362573297084534</v>
      </c>
      <c r="D122" s="255">
        <f t="shared" ref="D122" ca="1" si="706">((P89-AB89)/P89)^(1/2)*P89</f>
        <v>70.802371497682458</v>
      </c>
      <c r="E122" s="255">
        <f t="shared" ref="E122" ca="1" si="707">((Q89-AC89)/Q89)^(1/2)*Q89</f>
        <v>60.894348231961722</v>
      </c>
      <c r="F122" s="255">
        <f t="shared" ref="F122" ca="1" si="708">((R89-AD89)/R89)^(1/2)*R89</f>
        <v>50.74109304081982</v>
      </c>
      <c r="G122" s="255">
        <f t="shared" ref="G122" ca="1" si="709">((S89-AE89)/S89)^(1/2)*S89</f>
        <v>58.943470697924397</v>
      </c>
      <c r="H122" s="255">
        <f t="shared" ref="H122" ca="1" si="710">((T89-AF89)/T89)^(1/2)*T89</f>
        <v>43.115199169551289</v>
      </c>
      <c r="I122" s="255"/>
      <c r="J122" s="255">
        <f t="shared" ref="J122" ca="1" si="711">((V89-AH89)/V89)^(1/2)*V89</f>
        <v>59.077641788440779</v>
      </c>
      <c r="K122" s="255">
        <f t="shared" ref="K122" ca="1" si="712">((W89-AI89)/W89)^(1/2)*W89</f>
        <v>68.693173102376818</v>
      </c>
      <c r="M122" s="94" t="str">
        <f t="shared" ref="M122" si="713">A122</f>
        <v>Sprint 2025-2-5/6</v>
      </c>
      <c r="N122" s="255">
        <f t="shared" ref="N122" ca="1" si="714">((N103-Z103)/N103)^(1/2)*N103</f>
        <v>24.934684035675794</v>
      </c>
      <c r="O122" s="255">
        <f t="shared" ref="O122" ca="1" si="715">((O103-AA103)/O103)^(1/2)*O103</f>
        <v>12.772686066758389</v>
      </c>
      <c r="P122" s="255">
        <f t="shared" ref="P122" ca="1" si="716">((P103-AB103)/P103)^(1/2)*P103</f>
        <v>20.012394947874586</v>
      </c>
      <c r="Q122" s="255">
        <f t="shared" ref="Q122" ca="1" si="717">((Q103-AC103)/Q103)^(1/2)*Q103</f>
        <v>15.443253145366056</v>
      </c>
      <c r="R122" s="255">
        <f t="shared" ref="R122" ca="1" si="718">((R103-AD103)/R103)^(1/2)*R103</f>
        <v>17.062726820461318</v>
      </c>
      <c r="S122" s="255">
        <f t="shared" ref="S122" ca="1" si="719">((S103-AE103)/S103)^(1/2)*S103</f>
        <v>18.931179124634376</v>
      </c>
      <c r="T122" s="255">
        <f t="shared" ref="T122" ca="1" si="720">((T103-AF103)/T103)^(1/2)*T103</f>
        <v>15.43970964957097</v>
      </c>
      <c r="U122" s="255"/>
      <c r="V122" s="255">
        <f t="shared" ref="V122" ca="1" si="721">((V103-AH103)/V103)^(1/2)*V103</f>
        <v>14.335357209876248</v>
      </c>
      <c r="W122" s="255">
        <f t="shared" ref="W122" ca="1" si="722">((W103-AI103)/W103)^(1/2)*W103</f>
        <v>21.497084613801633</v>
      </c>
      <c r="Y122" s="94" t="str">
        <f t="shared" ref="Y122" si="723">M122</f>
        <v>Sprint 2025-2-5/6</v>
      </c>
      <c r="Z122" s="303">
        <f ca="1">PEARSON(B117:B122,N117:N122)</f>
        <v>0.98675109491934165</v>
      </c>
      <c r="AA122" s="303">
        <f t="shared" ref="AA122" ca="1" si="724">PEARSON(C117:C122,O117:O122)</f>
        <v>0.96008036876549885</v>
      </c>
      <c r="AB122" s="303">
        <f t="shared" ref="AB122" ca="1" si="725">PEARSON(D117:D122,P117:P122)</f>
        <v>0.44757697138762847</v>
      </c>
      <c r="AC122" s="303">
        <f t="shared" ref="AC122" ca="1" si="726">PEARSON(E117:E122,Q117:Q122)</f>
        <v>0.9776767661636464</v>
      </c>
      <c r="AD122" s="303">
        <f t="shared" ref="AD122" ca="1" si="727">PEARSON(F117:F122,R117:R122)</f>
        <v>0.99450208248776961</v>
      </c>
      <c r="AE122" s="303">
        <f t="shared" ref="AE122" ca="1" si="728">PEARSON(G117:G122,S117:S122)</f>
        <v>0.97512326088730228</v>
      </c>
      <c r="AF122" s="303">
        <f t="shared" ref="AF122" ca="1" si="729">PEARSON(H117:H122,T117:T122)</f>
        <v>0.86137430790387759</v>
      </c>
      <c r="AG122" s="303"/>
      <c r="AH122" s="303">
        <f t="shared" ref="AH122" ca="1" si="730">PEARSON(J117:J122,V117:V122)</f>
        <v>0.90189730417994651</v>
      </c>
      <c r="AI122" s="303">
        <f t="shared" ref="AI122" ca="1" si="731">PEARSON(K117:K122,W117:W122)</f>
        <v>0.92575614962117447</v>
      </c>
    </row>
    <row r="123" spans="1:36">
      <c r="A123" s="97" t="str">
        <f t="shared" si="634"/>
        <v>Sprint 2025-3-1/2</v>
      </c>
      <c r="B123" s="255">
        <f t="shared" ref="B123" ca="1" si="732">((N90-Z90)/N90)^(1/2)*N90</f>
        <v>45.902085139262809</v>
      </c>
      <c r="C123" s="255">
        <f t="shared" ref="C123" ca="1" si="733">((O90-AA90)/O90)^(1/2)*O90</f>
        <v>25.565488218821493</v>
      </c>
      <c r="D123" s="255">
        <f t="shared" ref="D123" ca="1" si="734">((P90-AB90)/P90)^(1/2)*P90</f>
        <v>71.803195914287315</v>
      </c>
      <c r="E123" s="255">
        <f t="shared" ref="E123" ca="1" si="735">((Q90-AC90)/Q90)^(1/2)*Q90</f>
        <v>40.60524720736133</v>
      </c>
      <c r="F123" s="255">
        <f t="shared" ref="F123" ca="1" si="736">((R90-AD90)/R90)^(1/2)*R90</f>
        <v>51.497299452768495</v>
      </c>
      <c r="G123" s="255">
        <f t="shared" ref="G123" ca="1" si="737">((S90-AE90)/S90)^(1/2)*S90</f>
        <v>37.039062031126583</v>
      </c>
      <c r="H123" s="255">
        <f t="shared" ref="H123" ca="1" si="738">((T90-AF90)/T90)^(1/2)*T90</f>
        <v>43.115199169551289</v>
      </c>
      <c r="I123" s="255"/>
      <c r="J123" s="255">
        <f t="shared" ref="J123" ca="1" si="739">((V90-AH90)/V90)^(1/2)*V90</f>
        <v>43.453290562118916</v>
      </c>
      <c r="K123" s="255">
        <f t="shared" ref="K123" ca="1" si="740">((W90-AI90)/W90)^(1/2)*W90</f>
        <v>47.284991927086331</v>
      </c>
      <c r="M123" s="94" t="str">
        <f t="shared" ref="M123" si="741">A123</f>
        <v>Sprint 2025-3-1/2</v>
      </c>
      <c r="N123" s="255">
        <f t="shared" ref="N123" ca="1" si="742">((N104-Z104)/N104)^(1/2)*N104</f>
        <v>15.657125061200917</v>
      </c>
      <c r="O123" s="255">
        <f t="shared" ref="O123" ca="1" si="743">((O104-AA104)/O104)^(1/2)*O104</f>
        <v>11.242944481686948</v>
      </c>
      <c r="P123" s="255">
        <f t="shared" ref="P123" ca="1" si="744">((P104-AB104)/P104)^(1/2)*P104</f>
        <v>20.879982185784694</v>
      </c>
      <c r="Q123" s="255">
        <f t="shared" ref="Q123" ca="1" si="745">((Q104-AC104)/Q104)^(1/2)*Q104</f>
        <v>10.12094977129637</v>
      </c>
      <c r="R123" s="255">
        <f t="shared" ref="R123" ca="1" si="746">((R104-AD104)/R104)^(1/2)*R104</f>
        <v>16.97519702760804</v>
      </c>
      <c r="S123" s="255">
        <f t="shared" ref="S123" ca="1" si="747">((S104-AE104)/S104)^(1/2)*S104</f>
        <v>11.933489791105444</v>
      </c>
      <c r="T123" s="255">
        <f t="shared" ref="T123" ca="1" si="748">((T104-AF104)/T104)^(1/2)*T104</f>
        <v>14.736910405214706</v>
      </c>
      <c r="U123" s="255"/>
      <c r="V123" s="255">
        <f t="shared" ref="V123" ca="1" si="749">((V104-AH104)/V104)^(1/2)*V104</f>
        <v>9.1037141083898057</v>
      </c>
      <c r="W123" s="255">
        <f t="shared" ref="W123" ca="1" si="750">((W104-AI104)/W104)^(1/2)*W104</f>
        <v>14.580049941145584</v>
      </c>
      <c r="Y123" s="94" t="str">
        <f t="shared" ref="Y123" si="751">M123</f>
        <v>Sprint 2025-3-1/2</v>
      </c>
      <c r="Z123" s="303">
        <f ca="1">PEARSON(B118:B123,N118:N123)</f>
        <v>0.99357078719363112</v>
      </c>
      <c r="AA123" s="303">
        <f t="shared" ref="AA123" ca="1" si="752">PEARSON(C118:C123,O118:O123)</f>
        <v>0.92761259091812809</v>
      </c>
      <c r="AB123" s="303">
        <f t="shared" ref="AB123" ca="1" si="753">PEARSON(D118:D123,P118:P123)</f>
        <v>0.45720802589076553</v>
      </c>
      <c r="AC123" s="303">
        <f t="shared" ref="AC123" ca="1" si="754">PEARSON(E118:E123,Q118:Q123)</f>
        <v>0.99502487333315381</v>
      </c>
      <c r="AD123" s="303">
        <f t="shared" ref="AD123" ca="1" si="755">PEARSON(F118:F123,R118:R123)</f>
        <v>0.98917563026100364</v>
      </c>
      <c r="AE123" s="303">
        <f t="shared" ref="AE123" ca="1" si="756">PEARSON(G118:G123,S118:S123)</f>
        <v>0.97781072059897944</v>
      </c>
      <c r="AF123" s="303">
        <f t="shared" ref="AF123" ca="1" si="757">PEARSON(H118:H123,T118:T123)</f>
        <v>0.91811147326925335</v>
      </c>
      <c r="AG123" s="303"/>
      <c r="AH123" s="303">
        <f t="shared" ref="AH123" ca="1" si="758">PEARSON(J118:J123,V118:V123)</f>
        <v>0.91967140180564189</v>
      </c>
      <c r="AI123" s="303">
        <f t="shared" ref="AI123" ca="1" si="759">PEARSON(K118:K123,W118:W123)</f>
        <v>0.8448859353321041</v>
      </c>
    </row>
    <row r="124" spans="1:36">
      <c r="A124" s="97" t="str">
        <f t="shared" si="634"/>
        <v>Sprint 2025-3-3/4</v>
      </c>
      <c r="B124" s="290">
        <f t="shared" ca="1" si="657"/>
        <v>82.685660979088908</v>
      </c>
      <c r="C124" s="290">
        <f t="shared" ca="1" si="658"/>
        <v>26.582715716352961</v>
      </c>
      <c r="D124" s="290">
        <f t="shared" ca="1" si="659"/>
        <v>69.469070297838911</v>
      </c>
      <c r="E124" s="290">
        <f t="shared" ca="1" si="660"/>
        <v>56.051219600657767</v>
      </c>
      <c r="F124" s="290">
        <f t="shared" ca="1" si="661"/>
        <v>55.066491392023345</v>
      </c>
      <c r="G124" s="290">
        <f t="shared" ca="1" si="662"/>
        <v>59.965291972253311</v>
      </c>
      <c r="H124" s="290">
        <f t="shared" ca="1" si="663"/>
        <v>45.568026485087266</v>
      </c>
      <c r="I124" s="290"/>
      <c r="J124" s="290">
        <f t="shared" ca="1" si="664"/>
        <v>50.485529132222304</v>
      </c>
      <c r="K124" s="290">
        <f t="shared" ca="1" si="665"/>
        <v>58.646894499189393</v>
      </c>
      <c r="M124" s="94" t="str">
        <f t="shared" si="636"/>
        <v>Sprint 2025-3-3/4</v>
      </c>
      <c r="N124" s="290">
        <f t="shared" ca="1" si="666"/>
        <v>27.877232113460099</v>
      </c>
      <c r="O124" s="290">
        <f t="shared" ca="1" si="667"/>
        <v>12.295199539146704</v>
      </c>
      <c r="P124" s="290">
        <f t="shared" ca="1" si="668"/>
        <v>19.063097467420675</v>
      </c>
      <c r="Q124" s="290">
        <f t="shared" ca="1" si="669"/>
        <v>14.016216268554215</v>
      </c>
      <c r="R124" s="290">
        <f t="shared" ca="1" si="670"/>
        <v>18.413102585274785</v>
      </c>
      <c r="S124" s="290">
        <f t="shared" ca="1" si="671"/>
        <v>20.1148236385804</v>
      </c>
      <c r="T124" s="290">
        <f t="shared" ca="1" si="672"/>
        <v>15.679671606393104</v>
      </c>
      <c r="U124" s="290"/>
      <c r="V124" s="290">
        <f t="shared" ca="1" si="673"/>
        <v>12.890659273508863</v>
      </c>
      <c r="W124" s="290">
        <f t="shared" ca="1" si="674"/>
        <v>20.264859145785646</v>
      </c>
      <c r="Y124" s="94" t="str">
        <f t="shared" si="638"/>
        <v>Sprint 2025-3-3/4</v>
      </c>
      <c r="Z124" s="305">
        <f t="shared" ref="Z124:Z125" ca="1" si="760">PEARSON(B119:B124,N119:N124)</f>
        <v>0.9938246067644243</v>
      </c>
      <c r="AA124" s="305">
        <f t="shared" ca="1" si="675"/>
        <v>0.99205067263443603</v>
      </c>
      <c r="AB124" s="305">
        <f t="shared" ca="1" si="675"/>
        <v>0.48866234948672721</v>
      </c>
      <c r="AC124" s="305">
        <f t="shared" ca="1" si="675"/>
        <v>0.99718279110782093</v>
      </c>
      <c r="AD124" s="305">
        <f t="shared" ca="1" si="675"/>
        <v>0.99150503144791391</v>
      </c>
      <c r="AE124" s="305">
        <f t="shared" ca="1" si="675"/>
        <v>0.99303909490078668</v>
      </c>
      <c r="AF124" s="305">
        <f t="shared" ca="1" si="675"/>
        <v>0.90875649669756353</v>
      </c>
      <c r="AG124" s="303"/>
      <c r="AH124" s="305">
        <f t="shared" ca="1" si="675"/>
        <v>0.9058469891801233</v>
      </c>
      <c r="AI124" s="305">
        <f t="shared" ca="1" si="675"/>
        <v>0.86961862435187232</v>
      </c>
    </row>
    <row r="125" spans="1:36">
      <c r="A125" s="97" t="str">
        <f t="shared" si="634"/>
        <v>Sprint 2025-3-5/6</v>
      </c>
      <c r="B125" s="290">
        <f t="shared" ca="1" si="657"/>
        <v>79.832233649724103</v>
      </c>
      <c r="C125" s="290">
        <f t="shared" ca="1" si="658"/>
        <v>26.954439120297785</v>
      </c>
      <c r="D125" s="290">
        <f t="shared" ca="1" si="659"/>
        <v>69.530215710519471</v>
      </c>
      <c r="E125" s="290">
        <f t="shared" ca="1" si="660"/>
        <v>55.945177824239174</v>
      </c>
      <c r="F125" s="290">
        <f t="shared" ca="1" si="661"/>
        <v>54.073995205360497</v>
      </c>
      <c r="G125" s="290">
        <f t="shared" ca="1" si="662"/>
        <v>58.802167203115403</v>
      </c>
      <c r="H125" s="290">
        <f t="shared" ca="1" si="663"/>
        <v>45.083669201350126</v>
      </c>
      <c r="I125" s="290"/>
      <c r="J125" s="290">
        <f t="shared" ca="1" si="664"/>
        <v>51.128736613984096</v>
      </c>
      <c r="K125" s="290">
        <f t="shared" ca="1" si="665"/>
        <v>60.068234103858259</v>
      </c>
      <c r="M125" s="94" t="str">
        <f t="shared" si="636"/>
        <v>Sprint 2025-3-5/6</v>
      </c>
      <c r="N125" s="290">
        <f t="shared" ca="1" si="666"/>
        <v>26.838970303336321</v>
      </c>
      <c r="O125" s="290">
        <f t="shared" ca="1" si="667"/>
        <v>12.433391378043382</v>
      </c>
      <c r="P125" s="290">
        <f t="shared" ca="1" si="668"/>
        <v>19.278512347818442</v>
      </c>
      <c r="Q125" s="290">
        <f t="shared" ca="1" si="669"/>
        <v>14.031259988213458</v>
      </c>
      <c r="R125" s="290">
        <f t="shared" ca="1" si="670"/>
        <v>18.116264428271471</v>
      </c>
      <c r="S125" s="290">
        <f t="shared" ca="1" si="671"/>
        <v>19.407608900726636</v>
      </c>
      <c r="T125" s="290">
        <f t="shared" ca="1" si="672"/>
        <v>15.590258892581227</v>
      </c>
      <c r="U125" s="290"/>
      <c r="V125" s="290">
        <f t="shared" ca="1" si="673"/>
        <v>13.15785677069918</v>
      </c>
      <c r="W125" s="290">
        <f t="shared" ca="1" si="674"/>
        <v>20.46004190557526</v>
      </c>
      <c r="Y125" s="94" t="str">
        <f t="shared" si="638"/>
        <v>Sprint 2025-3-5/6</v>
      </c>
      <c r="Z125" s="305">
        <f t="shared" ca="1" si="760"/>
        <v>0.99745126220851954</v>
      </c>
      <c r="AA125" s="305">
        <f t="shared" ca="1" si="675"/>
        <v>0.99412262716973476</v>
      </c>
      <c r="AB125" s="305">
        <f t="shared" ca="1" si="675"/>
        <v>0.66026221612041247</v>
      </c>
      <c r="AC125" s="305">
        <f t="shared" ca="1" si="675"/>
        <v>0.99848001171160183</v>
      </c>
      <c r="AD125" s="305">
        <f t="shared" ca="1" si="675"/>
        <v>0.98312412441524966</v>
      </c>
      <c r="AE125" s="305">
        <f t="shared" ca="1" si="675"/>
        <v>0.99630932289144991</v>
      </c>
      <c r="AF125" s="305">
        <f t="shared" ca="1" si="675"/>
        <v>0.69890171066685569</v>
      </c>
      <c r="AG125" s="303"/>
      <c r="AH125" s="305">
        <f t="shared" ca="1" si="675"/>
        <v>0.89332296558030266</v>
      </c>
      <c r="AI125" s="305">
        <f t="shared" ca="1" si="675"/>
        <v>0.90537694490670162</v>
      </c>
    </row>
    <row r="126" spans="1:36">
      <c r="Z126" s="255"/>
    </row>
  </sheetData>
  <dataConsolidate/>
  <mergeCells count="21">
    <mergeCell ref="AL22:AU22"/>
    <mergeCell ref="B94:K94"/>
    <mergeCell ref="N94:W94"/>
    <mergeCell ref="Z94:AI94"/>
    <mergeCell ref="N113:W113"/>
    <mergeCell ref="AL94:AU94"/>
    <mergeCell ref="Z22:AI22"/>
    <mergeCell ref="B42:K42"/>
    <mergeCell ref="N42:W42"/>
    <mergeCell ref="B80:K80"/>
    <mergeCell ref="Z42:AI42"/>
    <mergeCell ref="N80:W80"/>
    <mergeCell ref="Z80:AI80"/>
    <mergeCell ref="B113:K113"/>
    <mergeCell ref="Z113:AI113"/>
    <mergeCell ref="B2:K2"/>
    <mergeCell ref="N2:W2"/>
    <mergeCell ref="B22:K22"/>
    <mergeCell ref="N22:W22"/>
    <mergeCell ref="N60:W60"/>
    <mergeCell ref="B60:K60"/>
  </mergeCells>
  <phoneticPr fontId="12" type="noConversion"/>
  <pageMargins left="0.7" right="0.7" top="0.75" bottom="0.75" header="0.3" footer="0.3"/>
  <pageSetup paperSize="9" orientation="portrait" r:id="rId1"/>
  <ignoredErrors>
    <ignoredError sqref="J82 B110:K113 B93:K93 G91:AL91 L88:M88 X88:Y88 AJ88:AL88 L102:M102 X102:Y102 L89:M89 X89:Y89 AJ89:AL89 L103:M103 X103:Y103 AJ90:AL90"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A027C-94FA-4E71-B864-53BEB818805F}">
  <dimension ref="A2:BH153"/>
  <sheetViews>
    <sheetView zoomScale="60" zoomScaleNormal="60" workbookViewId="0"/>
  </sheetViews>
  <sheetFormatPr baseColWidth="10" defaultColWidth="8.42578125" defaultRowHeight="15"/>
  <cols>
    <col min="1" max="1" width="24.28515625" style="87" bestFit="1" customWidth="1"/>
    <col min="2" max="11" width="11.42578125" style="36" customWidth="1"/>
    <col min="12" max="12" width="11.42578125" style="194" customWidth="1"/>
    <col min="13" max="13" width="24.28515625" style="87" bestFit="1" customWidth="1"/>
    <col min="14" max="23" width="11.42578125" style="36" customWidth="1"/>
    <col min="24" max="24" width="11.42578125" style="194" customWidth="1"/>
    <col min="25" max="25" width="24.28515625" bestFit="1" customWidth="1"/>
    <col min="26" max="35" width="11.42578125" customWidth="1"/>
    <col min="36" max="36" width="7.42578125" bestFit="1" customWidth="1"/>
    <col min="37" max="37" width="11.7109375" bestFit="1" customWidth="1"/>
    <col min="38" max="47" width="11.42578125" customWidth="1"/>
    <col min="49" max="49" width="9.85546875" bestFit="1" customWidth="1"/>
    <col min="50" max="59" width="11.42578125" customWidth="1"/>
    <col min="60" max="60" width="9.140625" bestFit="1" customWidth="1"/>
  </cols>
  <sheetData>
    <row r="2" spans="1:23">
      <c r="B2" s="408" t="s">
        <v>105</v>
      </c>
      <c r="C2" s="408"/>
      <c r="D2" s="408"/>
      <c r="E2" s="408"/>
      <c r="F2" s="408"/>
      <c r="G2" s="408"/>
      <c r="H2" s="408"/>
      <c r="I2" s="408"/>
      <c r="J2" s="408"/>
      <c r="K2" s="408"/>
      <c r="N2" s="408" t="s">
        <v>106</v>
      </c>
      <c r="O2" s="408"/>
      <c r="P2" s="408"/>
      <c r="Q2" s="408"/>
      <c r="R2" s="408"/>
      <c r="S2" s="408"/>
      <c r="T2" s="408"/>
      <c r="U2" s="408"/>
      <c r="V2" s="408"/>
      <c r="W2" s="408"/>
    </row>
    <row r="3" spans="1:23">
      <c r="B3" s="90" t="s">
        <v>35</v>
      </c>
      <c r="C3" s="90" t="s">
        <v>12</v>
      </c>
      <c r="D3" s="90" t="s">
        <v>27</v>
      </c>
      <c r="E3" s="90" t="s">
        <v>5</v>
      </c>
      <c r="F3" s="90" t="s">
        <v>32</v>
      </c>
      <c r="G3" s="90" t="s">
        <v>24</v>
      </c>
      <c r="H3" s="90" t="s">
        <v>17</v>
      </c>
      <c r="I3" s="90" t="s">
        <v>107</v>
      </c>
      <c r="J3" s="90" t="s">
        <v>21</v>
      </c>
      <c r="K3" s="90" t="s">
        <v>9</v>
      </c>
      <c r="N3" s="90" t="str">
        <f>B3</f>
        <v>Engineering</v>
      </c>
      <c r="O3" s="90" t="str">
        <f t="shared" ref="O3:W3" si="0">C3</f>
        <v>Payment</v>
      </c>
      <c r="P3" s="90" t="str">
        <f t="shared" si="0"/>
        <v>Sales</v>
      </c>
      <c r="Q3" s="90" t="str">
        <f t="shared" si="0"/>
        <v>Vlinder</v>
      </c>
      <c r="R3" s="90" t="str">
        <f t="shared" si="0"/>
        <v>TTT</v>
      </c>
      <c r="S3" s="90" t="str">
        <f t="shared" si="0"/>
        <v>TNT</v>
      </c>
      <c r="T3" s="90" t="str">
        <f t="shared" si="0"/>
        <v>TFS</v>
      </c>
      <c r="U3" s="90" t="str">
        <f t="shared" si="0"/>
        <v>0-Noise</v>
      </c>
      <c r="V3" s="90" t="str">
        <f t="shared" si="0"/>
        <v>Synergy</v>
      </c>
      <c r="W3" s="90" t="str">
        <f t="shared" si="0"/>
        <v>Papillon</v>
      </c>
    </row>
    <row r="4" spans="1:23">
      <c r="A4" s="87" t="s">
        <v>108</v>
      </c>
      <c r="B4" s="90">
        <f ca="1">INDIRECT($A4 &amp;"!L6")</f>
        <v>79</v>
      </c>
      <c r="C4" s="90">
        <f ca="1">INDIRECT($A4 &amp;"!L7")</f>
        <v>13</v>
      </c>
      <c r="D4" s="90">
        <f ca="1">INDIRECT($A4 &amp;"!L8")</f>
        <v>56</v>
      </c>
      <c r="E4" s="90">
        <f ca="1">INDIRECT($A4 &amp;"!L9")</f>
        <v>59</v>
      </c>
      <c r="F4" s="90">
        <f ca="1">INDIRECT($A4 &amp;"!L10")</f>
        <v>56</v>
      </c>
      <c r="G4" s="90">
        <f ca="1">INDIRECT($A4 &amp;"!L11")</f>
        <v>50</v>
      </c>
      <c r="H4" s="90">
        <f ca="1">INDIRECT($A4 &amp;"!L12")</f>
        <v>40</v>
      </c>
      <c r="I4" s="90">
        <f ca="1">INDIRECT($A4 &amp;"!L13")</f>
        <v>38</v>
      </c>
      <c r="J4" s="90"/>
      <c r="K4" s="90">
        <f ca="1">INDIRECT($A4 &amp;"!L15")</f>
        <v>21</v>
      </c>
      <c r="M4" s="87" t="str">
        <f t="shared" ref="M4:M20" si="1">A4</f>
        <v>Sprint_4_4</v>
      </c>
      <c r="N4" s="90">
        <f ca="1">INDIRECT($A4 &amp;"!M$6")</f>
        <v>6</v>
      </c>
      <c r="O4" s="90">
        <f ca="1">INDIRECT($A4 &amp;"!M$7")</f>
        <v>1</v>
      </c>
      <c r="P4" s="90">
        <f ca="1">INDIRECT($A4 &amp;"!M$8")</f>
        <v>5</v>
      </c>
      <c r="Q4" s="90">
        <f ca="1">INDIRECT($A4 &amp;"!M$9")</f>
        <v>1</v>
      </c>
      <c r="R4" s="90">
        <f ca="1">INDIRECT($A4 &amp;"!M$10")</f>
        <v>6</v>
      </c>
      <c r="S4" s="90">
        <f ca="1">INDIRECT($A4 &amp;"!M$11")</f>
        <v>10</v>
      </c>
      <c r="T4" s="90">
        <f ca="1">INDIRECT($A4 &amp;"!M$12")</f>
        <v>7</v>
      </c>
      <c r="U4" s="90">
        <f ca="1">INDIRECT($A4 &amp;"!M$13")</f>
        <v>5</v>
      </c>
      <c r="V4" s="90"/>
      <c r="W4" s="90">
        <f ca="1">INDIRECT($A4 &amp;"!M$15")</f>
        <v>2</v>
      </c>
    </row>
    <row r="5" spans="1:23">
      <c r="A5" s="87" t="s">
        <v>109</v>
      </c>
      <c r="B5" s="90">
        <f ca="1">INDIRECT($A5 &amp;"!L6")</f>
        <v>57</v>
      </c>
      <c r="C5" s="90">
        <f ca="1">INDIRECT($A5 &amp;"!L7")</f>
        <v>10</v>
      </c>
      <c r="D5" s="90">
        <f ca="1">INDIRECT($A5 &amp;"!L8")</f>
        <v>39</v>
      </c>
      <c r="E5" s="90">
        <f ca="1">INDIRECT($A5 &amp;"!L9")</f>
        <v>40</v>
      </c>
      <c r="F5" s="90">
        <f ca="1">INDIRECT($A5 &amp;"!L10")</f>
        <v>76</v>
      </c>
      <c r="G5" s="90">
        <f ca="1">INDIRECT($A5 &amp;"!L11")</f>
        <v>40</v>
      </c>
      <c r="H5" s="90">
        <f ca="1">INDIRECT($A5 &amp;"!L12")</f>
        <v>46</v>
      </c>
      <c r="I5" s="90">
        <f ca="1">INDIRECT($A5 &amp;"!L13")</f>
        <v>6</v>
      </c>
      <c r="J5" s="90">
        <f ca="1">INDIRECT($A5 &amp;"!L14")</f>
        <v>29</v>
      </c>
      <c r="K5" s="90">
        <f ca="1">INDIRECT($A5 &amp;"!L15")</f>
        <v>22</v>
      </c>
      <c r="M5" s="87" t="str">
        <f t="shared" si="1"/>
        <v>Sprint_4_5</v>
      </c>
      <c r="N5" s="90">
        <f ca="1">INDIRECT($A5 &amp;"!M$6")</f>
        <v>6</v>
      </c>
      <c r="O5" s="90">
        <f ca="1">INDIRECT($A5 &amp;"!M$7")</f>
        <v>10</v>
      </c>
      <c r="P5" s="90">
        <f ca="1">INDIRECT($A5 &amp;"!M$8")</f>
        <v>19</v>
      </c>
      <c r="Q5" s="90">
        <f ca="1">INDIRECT($A5 &amp;"!M$9")</f>
        <v>0</v>
      </c>
      <c r="R5" s="90">
        <f ca="1">INDIRECT($A5 &amp;"!M$10")</f>
        <v>3</v>
      </c>
      <c r="S5" s="90">
        <f ca="1">INDIRECT($A5 &amp;"!M$11")</f>
        <v>11</v>
      </c>
      <c r="T5" s="90">
        <f ca="1">INDIRECT($A5 &amp;"!M$12")</f>
        <v>8</v>
      </c>
      <c r="U5" s="90">
        <f ca="1">INDIRECT($A5 &amp;"!M$13")</f>
        <v>8</v>
      </c>
      <c r="V5" s="90">
        <f ca="1">INDIRECT($A5 &amp;"!M$14")</f>
        <v>6</v>
      </c>
      <c r="W5" s="90">
        <f ca="1">INDIRECT($A5 &amp;"!M$15")</f>
        <v>2</v>
      </c>
    </row>
    <row r="6" spans="1:23">
      <c r="A6" s="87" t="s">
        <v>110</v>
      </c>
      <c r="B6" s="90">
        <f ca="1">INDIRECT($A6 &amp;"!L6")</f>
        <v>46</v>
      </c>
      <c r="C6" s="90">
        <f ca="1">INDIRECT($A6 &amp;"!L7")</f>
        <v>11</v>
      </c>
      <c r="D6" s="90">
        <f ca="1">INDIRECT($A6 &amp;"!L8")</f>
        <v>22</v>
      </c>
      <c r="E6" s="90">
        <f ca="1">INDIRECT($A6 &amp;"!L9")</f>
        <v>31</v>
      </c>
      <c r="F6" s="90">
        <f ca="1">INDIRECT($A6 &amp;"!L10")</f>
        <v>50</v>
      </c>
      <c r="G6" s="90">
        <f ca="1">INDIRECT($A6 &amp;"!L11")</f>
        <v>47</v>
      </c>
      <c r="H6" s="90">
        <f ca="1">INDIRECT($A6 &amp;"!L12")</f>
        <v>27</v>
      </c>
      <c r="I6" s="90">
        <f ca="1">INDIRECT($A6 &amp;"!L13")</f>
        <v>29</v>
      </c>
      <c r="J6" s="90">
        <f ca="1">INDIRECT($A6 &amp;"!L14")</f>
        <v>71</v>
      </c>
      <c r="K6" s="90">
        <f ca="1">INDIRECT($A6 &amp;"!L15")</f>
        <v>20.5</v>
      </c>
      <c r="M6" s="87" t="str">
        <f t="shared" si="1"/>
        <v>Sprint_4_6</v>
      </c>
      <c r="N6" s="90">
        <f ca="1">INDIRECT($A6 &amp;"!M$6")</f>
        <v>19</v>
      </c>
      <c r="O6" s="90">
        <f ca="1">INDIRECT($A6 &amp;"!M$7")</f>
        <v>3</v>
      </c>
      <c r="P6" s="90">
        <f ca="1">INDIRECT($A6 &amp;"!M$8")</f>
        <v>15</v>
      </c>
      <c r="Q6" s="90">
        <f ca="1">INDIRECT($A6 &amp;"!M$9")</f>
        <v>4</v>
      </c>
      <c r="R6" s="90">
        <f ca="1">INDIRECT($A6 &amp;"!M$10")</f>
        <v>9</v>
      </c>
      <c r="S6" s="90">
        <f ca="1">INDIRECT($A6 &amp;"!M$11")</f>
        <v>16</v>
      </c>
      <c r="T6" s="90">
        <f ca="1">INDIRECT($A6 &amp;"!M$12")</f>
        <v>11</v>
      </c>
      <c r="U6" s="90">
        <f ca="1">INDIRECT($A6 &amp;"!M$13")</f>
        <v>24</v>
      </c>
      <c r="V6" s="90">
        <f ca="1">INDIRECT($A6 &amp;"!M$14")</f>
        <v>2</v>
      </c>
      <c r="W6" s="90">
        <f ca="1">INDIRECT($A6 &amp;"!M$15")</f>
        <v>31.5</v>
      </c>
    </row>
    <row r="7" spans="1:23">
      <c r="A7" s="95" t="s">
        <v>111</v>
      </c>
      <c r="B7" s="90">
        <f ca="1">INDIRECT($A7 &amp;"!L6")</f>
        <v>65</v>
      </c>
      <c r="C7" s="90">
        <f ca="1">INDIRECT($A7 &amp;"!L7")</f>
        <v>17</v>
      </c>
      <c r="D7" s="90">
        <f ca="1">INDIRECT($A7 &amp;"!L8")</f>
        <v>29</v>
      </c>
      <c r="E7" s="90">
        <f ca="1">INDIRECT($A7 &amp;"!L9")</f>
        <v>28</v>
      </c>
      <c r="F7" s="90">
        <f ca="1">INDIRECT($A7 &amp;"!L10")</f>
        <v>42</v>
      </c>
      <c r="G7" s="90">
        <f ca="1">INDIRECT($A7 &amp;"!L11")</f>
        <v>42</v>
      </c>
      <c r="H7" s="90">
        <f ca="1">INDIRECT($A7 &amp;"!L12")</f>
        <v>17</v>
      </c>
      <c r="I7" s="90">
        <f ca="1">INDIRECT($A7 &amp;"!L13")</f>
        <v>27</v>
      </c>
      <c r="J7" s="90">
        <f ca="1">INDIRECT($A7 &amp;"!L14")</f>
        <v>53</v>
      </c>
      <c r="K7" s="90">
        <f ca="1">INDIRECT($A7 &amp;"!L15")</f>
        <v>28</v>
      </c>
      <c r="M7" s="87" t="str">
        <f t="shared" si="1"/>
        <v>Sprint_4_8</v>
      </c>
      <c r="N7" s="90">
        <f ca="1">INDIRECT($A7 &amp;"!M$6")</f>
        <v>37</v>
      </c>
      <c r="O7" s="90">
        <f ca="1">INDIRECT($A7 &amp;"!M$7")</f>
        <v>3</v>
      </c>
      <c r="P7" s="90">
        <f ca="1">INDIRECT($A7 &amp;"!M$8")</f>
        <v>3</v>
      </c>
      <c r="Q7" s="90">
        <f ca="1">INDIRECT($A7 &amp;"!M$9")</f>
        <v>14</v>
      </c>
      <c r="R7" s="90">
        <f ca="1">INDIRECT($A7 &amp;"!M$10")</f>
        <v>0</v>
      </c>
      <c r="S7" s="90">
        <f ca="1">INDIRECT($A7 &amp;"!M$11")</f>
        <v>15</v>
      </c>
      <c r="T7" s="90">
        <f ca="1">INDIRECT($A7 &amp;"!M$12")</f>
        <v>4</v>
      </c>
      <c r="U7" s="90">
        <f ca="1">INDIRECT($A7 &amp;"!M$13")</f>
        <v>0</v>
      </c>
      <c r="V7" s="90">
        <f ca="1">INDIRECT($A7 &amp;"!M$14")</f>
        <v>1</v>
      </c>
      <c r="W7" s="90">
        <f ca="1">INDIRECT($A7 &amp;"!M$15")</f>
        <v>7</v>
      </c>
    </row>
    <row r="8" spans="1:23">
      <c r="A8" s="87" t="s">
        <v>112</v>
      </c>
      <c r="B8" s="90">
        <f ca="1">INDIRECT($A8 &amp;"!L6")</f>
        <v>53</v>
      </c>
      <c r="C8" s="90">
        <f ca="1">INDIRECT($A8 &amp;"!L7")</f>
        <v>11</v>
      </c>
      <c r="D8" s="90">
        <f ca="1">INDIRECT($A8 &amp;"!L8")</f>
        <v>34</v>
      </c>
      <c r="E8" s="90">
        <f ca="1">INDIRECT($A8 &amp;"!L9")</f>
        <v>38</v>
      </c>
      <c r="F8" s="90">
        <f ca="1">INDIRECT($A8 &amp;"!L10")</f>
        <v>32</v>
      </c>
      <c r="G8" s="90">
        <f ca="1">INDIRECT($A8 &amp;"!L11")</f>
        <v>48</v>
      </c>
      <c r="H8" s="90">
        <f ca="1">INDIRECT($A8 &amp;"!L12")</f>
        <v>18</v>
      </c>
      <c r="I8" s="90"/>
      <c r="J8" s="90">
        <f ca="1">INDIRECT($A8 &amp;"!L14")</f>
        <v>32</v>
      </c>
      <c r="K8" s="90">
        <f ca="1">INDIRECT($A8 &amp;"!L15")</f>
        <v>36</v>
      </c>
      <c r="M8" s="87" t="str">
        <f t="shared" si="1"/>
        <v>Sprint_1_1</v>
      </c>
      <c r="N8" s="90">
        <f ca="1">INDIRECT($A8 &amp;"!M$6")</f>
        <v>38</v>
      </c>
      <c r="O8" s="90">
        <f ca="1">INDIRECT($A8 &amp;"!M$7")</f>
        <v>9</v>
      </c>
      <c r="P8" s="90">
        <f ca="1">INDIRECT($A8 &amp;"!M$8")</f>
        <v>20</v>
      </c>
      <c r="Q8" s="90">
        <f ca="1">INDIRECT($A8 &amp;"!M$9")</f>
        <v>0</v>
      </c>
      <c r="R8" s="90">
        <f ca="1">INDIRECT($A8 &amp;"!M$10")</f>
        <v>5</v>
      </c>
      <c r="S8" s="90">
        <f ca="1">INDIRECT($A8 &amp;"!M$11")</f>
        <v>8</v>
      </c>
      <c r="T8" s="90">
        <f ca="1">INDIRECT($A8 &amp;"!M$12")</f>
        <v>10</v>
      </c>
      <c r="U8" s="90"/>
      <c r="V8" s="90">
        <f ca="1">INDIRECT($A8 &amp;"!M$14")</f>
        <v>4</v>
      </c>
      <c r="W8" s="90">
        <f ca="1">INDIRECT($A8 &amp;"!M$15")</f>
        <v>12</v>
      </c>
    </row>
    <row r="9" spans="1:23">
      <c r="A9" s="87" t="s">
        <v>113</v>
      </c>
      <c r="B9" s="90">
        <f t="shared" ref="B9:B18" ca="1" si="2">INDIRECT($A9 &amp;"!M6")</f>
        <v>48</v>
      </c>
      <c r="C9" s="90">
        <f t="shared" ref="C9:C18" ca="1" si="3">INDIRECT($A9 &amp;"!M7")</f>
        <v>13</v>
      </c>
      <c r="D9" s="90">
        <f t="shared" ref="D9:D18" ca="1" si="4">INDIRECT($A9 &amp;"!M8")</f>
        <v>54</v>
      </c>
      <c r="E9" s="90">
        <f t="shared" ref="E9:E18" ca="1" si="5">INDIRECT($A9 &amp;"!M9")</f>
        <v>26</v>
      </c>
      <c r="F9" s="90">
        <f t="shared" ref="F9:F18" ca="1" si="6">INDIRECT($A9 &amp;"!M10")</f>
        <v>35</v>
      </c>
      <c r="G9" s="90">
        <f t="shared" ref="G9:G18" ca="1" si="7">INDIRECT($A9 &amp;"!M11")</f>
        <v>45</v>
      </c>
      <c r="H9" s="90">
        <f t="shared" ref="H9:H18" ca="1" si="8">INDIRECT($A9 &amp;"!M12")</f>
        <v>27</v>
      </c>
      <c r="I9" s="90"/>
      <c r="J9" s="90">
        <f t="shared" ref="J9:J18" ca="1" si="9">INDIRECT($A9 &amp;"!M14")</f>
        <v>31</v>
      </c>
      <c r="K9" s="90">
        <f t="shared" ref="K9:K18" ca="1" si="10">INDIRECT($A9 &amp;"!M15")</f>
        <v>37</v>
      </c>
      <c r="M9" s="87" t="str">
        <f t="shared" si="1"/>
        <v>Sprint_1_2</v>
      </c>
      <c r="N9" s="90">
        <f t="shared" ref="N9:N18" ca="1" si="11">INDIRECT($A9 &amp;"!N$6")</f>
        <v>5</v>
      </c>
      <c r="O9" s="90">
        <f t="shared" ref="O9:O18" ca="1" si="12">INDIRECT($A9 &amp;"!N$7")</f>
        <v>19</v>
      </c>
      <c r="P9" s="90">
        <f t="shared" ref="P9:P18" ca="1" si="13">INDIRECT($A9 &amp;"!N$8")</f>
        <v>4</v>
      </c>
      <c r="Q9" s="90">
        <f t="shared" ref="Q9:Q18" ca="1" si="14">INDIRECT($A9 &amp;"!N$9")</f>
        <v>5</v>
      </c>
      <c r="R9" s="90">
        <f t="shared" ref="R9:R18" ca="1" si="15">INDIRECT($A9 &amp;"!N$10")</f>
        <v>6</v>
      </c>
      <c r="S9" s="90">
        <f t="shared" ref="S9:S18" ca="1" si="16">INDIRECT($A9 &amp;"!N$11")</f>
        <v>5</v>
      </c>
      <c r="T9" s="90">
        <f t="shared" ref="T9:T18" ca="1" si="17">INDIRECT($A9 &amp;"!N$12")</f>
        <v>0</v>
      </c>
      <c r="U9" s="90"/>
      <c r="V9" s="90">
        <f t="shared" ref="V9:V18" ca="1" si="18">INDIRECT($A9 &amp;"!N$14")</f>
        <v>9</v>
      </c>
      <c r="W9" s="90">
        <f t="shared" ref="W9:W18" ca="1" si="19">INDIRECT($A9 &amp;"!N$15")</f>
        <v>19.5</v>
      </c>
    </row>
    <row r="10" spans="1:23">
      <c r="A10" s="87" t="s">
        <v>114</v>
      </c>
      <c r="B10" s="90">
        <f t="shared" ca="1" si="2"/>
        <v>74</v>
      </c>
      <c r="C10" s="90">
        <f t="shared" ca="1" si="3"/>
        <v>21</v>
      </c>
      <c r="D10" s="90">
        <f t="shared" ca="1" si="4"/>
        <v>37</v>
      </c>
      <c r="E10" s="90">
        <f t="shared" ca="1" si="5"/>
        <v>41</v>
      </c>
      <c r="F10" s="90">
        <f t="shared" ca="1" si="6"/>
        <v>41</v>
      </c>
      <c r="G10" s="90">
        <f t="shared" ca="1" si="7"/>
        <v>36</v>
      </c>
      <c r="H10" s="90">
        <f t="shared" ca="1" si="8"/>
        <v>23</v>
      </c>
      <c r="I10" s="90"/>
      <c r="J10" s="90">
        <f t="shared" ca="1" si="9"/>
        <v>19</v>
      </c>
      <c r="K10" s="90">
        <f t="shared" ca="1" si="10"/>
        <v>35</v>
      </c>
      <c r="M10" s="87" t="str">
        <f t="shared" si="1"/>
        <v>Sprint_1_3</v>
      </c>
      <c r="N10" s="90">
        <f t="shared" ca="1" si="11"/>
        <v>10</v>
      </c>
      <c r="O10" s="90">
        <f t="shared" ca="1" si="12"/>
        <v>3</v>
      </c>
      <c r="P10" s="90">
        <f t="shared" ca="1" si="13"/>
        <v>18</v>
      </c>
      <c r="Q10" s="90">
        <f t="shared" ca="1" si="14"/>
        <v>0</v>
      </c>
      <c r="R10" s="90">
        <f t="shared" ca="1" si="15"/>
        <v>0</v>
      </c>
      <c r="S10" s="90">
        <f t="shared" ca="1" si="16"/>
        <v>13</v>
      </c>
      <c r="T10" s="90">
        <f t="shared" ca="1" si="17"/>
        <v>8</v>
      </c>
      <c r="U10" s="90"/>
      <c r="V10" s="90">
        <f t="shared" ca="1" si="18"/>
        <v>8</v>
      </c>
      <c r="W10" s="90">
        <f t="shared" ca="1" si="19"/>
        <v>52</v>
      </c>
    </row>
    <row r="11" spans="1:23">
      <c r="A11" s="87" t="s">
        <v>115</v>
      </c>
      <c r="B11" s="90">
        <f t="shared" ca="1" si="2"/>
        <v>58</v>
      </c>
      <c r="C11" s="90">
        <f t="shared" ca="1" si="3"/>
        <v>16</v>
      </c>
      <c r="D11" s="90">
        <f t="shared" ca="1" si="4"/>
        <v>52</v>
      </c>
      <c r="E11" s="90">
        <f t="shared" ca="1" si="5"/>
        <v>26</v>
      </c>
      <c r="F11" s="90">
        <f t="shared" ca="1" si="6"/>
        <v>36</v>
      </c>
      <c r="G11" s="90">
        <f t="shared" ca="1" si="7"/>
        <v>29</v>
      </c>
      <c r="H11" s="90">
        <f t="shared" ca="1" si="8"/>
        <v>30</v>
      </c>
      <c r="I11" s="90"/>
      <c r="J11" s="90">
        <f t="shared" ca="1" si="9"/>
        <v>27</v>
      </c>
      <c r="K11" s="90">
        <f t="shared" ca="1" si="10"/>
        <v>38</v>
      </c>
      <c r="M11" s="87" t="str">
        <f t="shared" si="1"/>
        <v>Sprint_1_4</v>
      </c>
      <c r="N11" s="90">
        <f t="shared" ca="1" si="11"/>
        <v>6</v>
      </c>
      <c r="O11" s="90">
        <f t="shared" ca="1" si="12"/>
        <v>11</v>
      </c>
      <c r="P11" s="90">
        <f t="shared" ca="1" si="13"/>
        <v>4</v>
      </c>
      <c r="Q11" s="90">
        <f t="shared" ca="1" si="14"/>
        <v>21</v>
      </c>
      <c r="R11" s="90">
        <f t="shared" ca="1" si="15"/>
        <v>6</v>
      </c>
      <c r="S11" s="90">
        <f t="shared" ca="1" si="16"/>
        <v>4</v>
      </c>
      <c r="T11" s="90">
        <f t="shared" ca="1" si="17"/>
        <v>8</v>
      </c>
      <c r="U11" s="90"/>
      <c r="V11" s="90">
        <f t="shared" ca="1" si="18"/>
        <v>8</v>
      </c>
      <c r="W11" s="90">
        <f t="shared" ca="1" si="19"/>
        <v>27.5</v>
      </c>
    </row>
    <row r="12" spans="1:23">
      <c r="A12" s="87" t="s">
        <v>116</v>
      </c>
      <c r="B12" s="90">
        <f t="shared" ca="1" si="2"/>
        <v>77</v>
      </c>
      <c r="C12" s="90">
        <f t="shared" ca="1" si="3"/>
        <v>13</v>
      </c>
      <c r="D12" s="90">
        <f t="shared" ca="1" si="4"/>
        <v>29</v>
      </c>
      <c r="E12" s="90">
        <f t="shared" ca="1" si="5"/>
        <v>44</v>
      </c>
      <c r="F12" s="90">
        <f t="shared" ca="1" si="6"/>
        <v>38</v>
      </c>
      <c r="G12" s="90">
        <f t="shared" ca="1" si="7"/>
        <v>27</v>
      </c>
      <c r="H12" s="90">
        <f t="shared" ca="1" si="8"/>
        <v>29</v>
      </c>
      <c r="I12" s="90"/>
      <c r="J12" s="90">
        <f t="shared" ca="1" si="9"/>
        <v>26</v>
      </c>
      <c r="K12" s="90">
        <f t="shared" ca="1" si="10"/>
        <v>28</v>
      </c>
      <c r="M12" s="87" t="str">
        <f t="shared" si="1"/>
        <v>Sprint_1_5</v>
      </c>
      <c r="N12" s="90">
        <f t="shared" ca="1" si="11"/>
        <v>6</v>
      </c>
      <c r="O12" s="90">
        <f t="shared" ca="1" si="12"/>
        <v>6</v>
      </c>
      <c r="P12" s="90">
        <f t="shared" ca="1" si="13"/>
        <v>7</v>
      </c>
      <c r="Q12" s="90">
        <f t="shared" ca="1" si="14"/>
        <v>3</v>
      </c>
      <c r="R12" s="90">
        <f t="shared" ca="1" si="15"/>
        <v>2</v>
      </c>
      <c r="S12" s="90">
        <f t="shared" ca="1" si="16"/>
        <v>9</v>
      </c>
      <c r="T12" s="90">
        <f t="shared" ca="1" si="17"/>
        <v>6</v>
      </c>
      <c r="U12" s="90"/>
      <c r="V12" s="90">
        <f t="shared" ca="1" si="18"/>
        <v>13</v>
      </c>
      <c r="W12" s="90">
        <f t="shared" ca="1" si="19"/>
        <v>38</v>
      </c>
    </row>
    <row r="13" spans="1:23">
      <c r="A13" s="87" t="s">
        <v>117</v>
      </c>
      <c r="B13" s="90">
        <f t="shared" ca="1" si="2"/>
        <v>66</v>
      </c>
      <c r="C13" s="90">
        <f t="shared" ca="1" si="3"/>
        <v>15</v>
      </c>
      <c r="D13" s="90">
        <f t="shared" ca="1" si="4"/>
        <v>33</v>
      </c>
      <c r="E13" s="90">
        <f t="shared" ca="1" si="5"/>
        <v>29</v>
      </c>
      <c r="F13" s="90">
        <f t="shared" ca="1" si="6"/>
        <v>31</v>
      </c>
      <c r="G13" s="90">
        <f t="shared" ca="1" si="7"/>
        <v>36</v>
      </c>
      <c r="H13" s="90">
        <f t="shared" ca="1" si="8"/>
        <v>21</v>
      </c>
      <c r="I13" s="90"/>
      <c r="J13" s="90">
        <f t="shared" ca="1" si="9"/>
        <v>36</v>
      </c>
      <c r="K13" s="90">
        <f t="shared" ca="1" si="10"/>
        <v>21</v>
      </c>
      <c r="M13" s="87" t="str">
        <f t="shared" si="1"/>
        <v>Sprint_1_6</v>
      </c>
      <c r="N13" s="90">
        <f t="shared" ca="1" si="11"/>
        <v>16</v>
      </c>
      <c r="O13" s="90">
        <f t="shared" ca="1" si="12"/>
        <v>9</v>
      </c>
      <c r="P13" s="90">
        <f t="shared" ca="1" si="13"/>
        <v>19</v>
      </c>
      <c r="Q13" s="90">
        <f t="shared" ca="1" si="14"/>
        <v>6</v>
      </c>
      <c r="R13" s="90">
        <f t="shared" ca="1" si="15"/>
        <v>6</v>
      </c>
      <c r="S13" s="90">
        <f t="shared" ca="1" si="16"/>
        <v>20</v>
      </c>
      <c r="T13" s="90">
        <f t="shared" ca="1" si="17"/>
        <v>3</v>
      </c>
      <c r="U13" s="90"/>
      <c r="V13" s="90">
        <f t="shared" ca="1" si="18"/>
        <v>5</v>
      </c>
      <c r="W13" s="90">
        <f t="shared" ca="1" si="19"/>
        <v>46</v>
      </c>
    </row>
    <row r="14" spans="1:23">
      <c r="A14" s="87" t="s">
        <v>118</v>
      </c>
      <c r="B14" s="90">
        <f t="shared" ca="1" si="2"/>
        <v>38</v>
      </c>
      <c r="C14" s="90">
        <f t="shared" ca="1" si="3"/>
        <v>15</v>
      </c>
      <c r="D14" s="90">
        <f t="shared" ca="1" si="4"/>
        <v>39</v>
      </c>
      <c r="E14" s="90">
        <f t="shared" ca="1" si="5"/>
        <v>36</v>
      </c>
      <c r="F14" s="90">
        <f t="shared" ca="1" si="6"/>
        <v>15</v>
      </c>
      <c r="G14" s="90">
        <f t="shared" ca="1" si="7"/>
        <v>27</v>
      </c>
      <c r="H14" s="90">
        <f t="shared" ca="1" si="8"/>
        <v>24</v>
      </c>
      <c r="I14" s="90"/>
      <c r="J14" s="90">
        <f t="shared" ca="1" si="9"/>
        <v>47</v>
      </c>
      <c r="K14" s="90">
        <f t="shared" ca="1" si="10"/>
        <v>41</v>
      </c>
      <c r="M14" s="87" t="str">
        <f t="shared" si="1"/>
        <v>Sprint_2_1</v>
      </c>
      <c r="N14" s="90">
        <f t="shared" ca="1" si="11"/>
        <v>14</v>
      </c>
      <c r="O14" s="90">
        <f t="shared" ca="1" si="12"/>
        <v>5</v>
      </c>
      <c r="P14" s="90">
        <f t="shared" ca="1" si="13"/>
        <v>8</v>
      </c>
      <c r="Q14" s="90">
        <f t="shared" ca="1" si="14"/>
        <v>15</v>
      </c>
      <c r="R14" s="90">
        <f t="shared" ca="1" si="15"/>
        <v>8</v>
      </c>
      <c r="S14" s="90">
        <f t="shared" ca="1" si="16"/>
        <v>7</v>
      </c>
      <c r="T14" s="90">
        <f t="shared" ca="1" si="17"/>
        <v>7</v>
      </c>
      <c r="U14" s="90"/>
      <c r="V14" s="90">
        <f t="shared" ca="1" si="18"/>
        <v>0</v>
      </c>
      <c r="W14" s="90">
        <f t="shared" ca="1" si="19"/>
        <v>15</v>
      </c>
    </row>
    <row r="15" spans="1:23">
      <c r="A15" s="87" t="s">
        <v>119</v>
      </c>
      <c r="B15" s="90">
        <f t="shared" ca="1" si="2"/>
        <v>41</v>
      </c>
      <c r="C15" s="90">
        <f t="shared" ca="1" si="3"/>
        <v>13</v>
      </c>
      <c r="D15" s="90">
        <f t="shared" ca="1" si="4"/>
        <v>46</v>
      </c>
      <c r="E15" s="90">
        <f t="shared" ca="1" si="5"/>
        <v>25</v>
      </c>
      <c r="F15" s="90">
        <f t="shared" ca="1" si="6"/>
        <v>33</v>
      </c>
      <c r="G15" s="90">
        <f t="shared" ca="1" si="7"/>
        <v>34</v>
      </c>
      <c r="H15" s="90">
        <f t="shared" ca="1" si="8"/>
        <v>21</v>
      </c>
      <c r="I15" s="90"/>
      <c r="J15" s="90">
        <f t="shared" ca="1" si="9"/>
        <v>50</v>
      </c>
      <c r="K15" s="90">
        <f t="shared" ca="1" si="10"/>
        <v>43</v>
      </c>
      <c r="M15" s="87" t="str">
        <f t="shared" si="1"/>
        <v>Sprint_2_2</v>
      </c>
      <c r="N15" s="90">
        <f t="shared" ca="1" si="11"/>
        <v>2</v>
      </c>
      <c r="O15" s="90">
        <f t="shared" ca="1" si="12"/>
        <v>13</v>
      </c>
      <c r="P15" s="90">
        <f t="shared" ca="1" si="13"/>
        <v>11</v>
      </c>
      <c r="Q15" s="90">
        <f t="shared" ca="1" si="14"/>
        <v>5</v>
      </c>
      <c r="R15" s="90">
        <f t="shared" ca="1" si="15"/>
        <v>1</v>
      </c>
      <c r="S15" s="90">
        <f t="shared" ca="1" si="16"/>
        <v>8</v>
      </c>
      <c r="T15" s="90">
        <f t="shared" ca="1" si="17"/>
        <v>2</v>
      </c>
      <c r="U15" s="90"/>
      <c r="V15" s="90">
        <f t="shared" ca="1" si="18"/>
        <v>9</v>
      </c>
      <c r="W15" s="90">
        <f t="shared" ca="1" si="19"/>
        <v>16</v>
      </c>
    </row>
    <row r="16" spans="1:23">
      <c r="A16" s="87" t="s">
        <v>120</v>
      </c>
      <c r="B16" s="90">
        <f t="shared" ca="1" si="2"/>
        <v>96</v>
      </c>
      <c r="C16" s="90">
        <f t="shared" ca="1" si="3"/>
        <v>18</v>
      </c>
      <c r="D16" s="90">
        <f t="shared" ca="1" si="4"/>
        <v>36</v>
      </c>
      <c r="E16" s="90">
        <f t="shared" ca="1" si="5"/>
        <v>22</v>
      </c>
      <c r="F16" s="90">
        <f t="shared" ca="1" si="6"/>
        <v>33</v>
      </c>
      <c r="G16" s="90">
        <f t="shared" ca="1" si="7"/>
        <v>33</v>
      </c>
      <c r="H16" s="90">
        <f t="shared" ca="1" si="8"/>
        <v>45</v>
      </c>
      <c r="I16" s="90"/>
      <c r="J16" s="90">
        <f t="shared" ca="1" si="9"/>
        <v>98</v>
      </c>
      <c r="K16" s="90">
        <f t="shared" ca="1" si="10"/>
        <v>58</v>
      </c>
      <c r="M16" s="87" t="str">
        <f t="shared" si="1"/>
        <v>Sprint_2_3u4</v>
      </c>
      <c r="N16" s="90">
        <f t="shared" ca="1" si="11"/>
        <v>10</v>
      </c>
      <c r="O16" s="90">
        <f t="shared" ca="1" si="12"/>
        <v>12</v>
      </c>
      <c r="P16" s="90">
        <f t="shared" ca="1" si="13"/>
        <v>42</v>
      </c>
      <c r="Q16" s="90">
        <f t="shared" ca="1" si="14"/>
        <v>78</v>
      </c>
      <c r="R16" s="90">
        <f t="shared" ca="1" si="15"/>
        <v>20</v>
      </c>
      <c r="S16" s="90">
        <f t="shared" ca="1" si="16"/>
        <v>42</v>
      </c>
      <c r="T16" s="90">
        <f t="shared" ca="1" si="17"/>
        <v>0</v>
      </c>
      <c r="U16" s="90"/>
      <c r="V16" s="90">
        <f t="shared" ca="1" si="18"/>
        <v>0</v>
      </c>
      <c r="W16" s="90">
        <f t="shared" ca="1" si="19"/>
        <v>45</v>
      </c>
    </row>
    <row r="17" spans="1:35">
      <c r="A17" s="87" t="s">
        <v>121</v>
      </c>
      <c r="B17" s="90">
        <f t="shared" ca="1" si="2"/>
        <v>104</v>
      </c>
      <c r="C17" s="90">
        <f t="shared" ca="1" si="3"/>
        <v>18</v>
      </c>
      <c r="D17" s="90">
        <f t="shared" ca="1" si="4"/>
        <v>57</v>
      </c>
      <c r="E17" s="90">
        <f t="shared" ca="1" si="5"/>
        <v>52</v>
      </c>
      <c r="F17" s="90">
        <f t="shared" ca="1" si="6"/>
        <v>45</v>
      </c>
      <c r="G17" s="90">
        <f t="shared" ca="1" si="7"/>
        <v>59</v>
      </c>
      <c r="H17" s="90">
        <f t="shared" ca="1" si="8"/>
        <v>43</v>
      </c>
      <c r="I17" s="90"/>
      <c r="J17" s="90">
        <f t="shared" ca="1" si="9"/>
        <v>81</v>
      </c>
      <c r="K17" s="90">
        <f t="shared" ca="1" si="10"/>
        <v>77</v>
      </c>
      <c r="M17" s="87" t="str">
        <f t="shared" ref="M17" si="20">A17</f>
        <v>Sprint_2_5u6</v>
      </c>
      <c r="N17" s="90">
        <f t="shared" ca="1" si="11"/>
        <v>20</v>
      </c>
      <c r="O17" s="90">
        <f t="shared" ca="1" si="12"/>
        <v>12</v>
      </c>
      <c r="P17" s="90">
        <f t="shared" ca="1" si="13"/>
        <v>56</v>
      </c>
      <c r="Q17" s="90">
        <f t="shared" ca="1" si="14"/>
        <v>24</v>
      </c>
      <c r="R17" s="90">
        <f t="shared" ca="1" si="15"/>
        <v>19</v>
      </c>
      <c r="S17" s="90">
        <f t="shared" ca="1" si="16"/>
        <v>29</v>
      </c>
      <c r="T17" s="90">
        <f t="shared" ca="1" si="17"/>
        <v>19</v>
      </c>
      <c r="U17" s="90"/>
      <c r="V17" s="90">
        <f t="shared" ca="1" si="18"/>
        <v>91</v>
      </c>
      <c r="W17" s="90">
        <f t="shared" ca="1" si="19"/>
        <v>33</v>
      </c>
    </row>
    <row r="18" spans="1:35">
      <c r="A18" s="87" t="s">
        <v>122</v>
      </c>
      <c r="B18" s="90">
        <f t="shared" ca="1" si="2"/>
        <v>0</v>
      </c>
      <c r="C18" s="90">
        <f t="shared" ca="1" si="3"/>
        <v>38</v>
      </c>
      <c r="D18" s="90">
        <f t="shared" ca="1" si="4"/>
        <v>78</v>
      </c>
      <c r="E18" s="90">
        <f t="shared" ca="1" si="5"/>
        <v>0</v>
      </c>
      <c r="F18" s="90">
        <f t="shared" ca="1" si="6"/>
        <v>37</v>
      </c>
      <c r="G18" s="90">
        <f t="shared" ca="1" si="7"/>
        <v>0</v>
      </c>
      <c r="H18" s="90">
        <f t="shared" ca="1" si="8"/>
        <v>62</v>
      </c>
      <c r="I18" s="90"/>
      <c r="J18" s="90">
        <f t="shared" ca="1" si="9"/>
        <v>0</v>
      </c>
      <c r="K18" s="90">
        <f t="shared" ca="1" si="10"/>
        <v>0</v>
      </c>
      <c r="M18" s="87" t="str">
        <f t="shared" ref="M18" si="21">A18</f>
        <v>Sprint_3_1u2</v>
      </c>
      <c r="N18" s="90">
        <f t="shared" ca="1" si="11"/>
        <v>0</v>
      </c>
      <c r="O18" s="90">
        <f t="shared" ca="1" si="12"/>
        <v>11</v>
      </c>
      <c r="P18" s="90">
        <f t="shared" ca="1" si="13"/>
        <v>73</v>
      </c>
      <c r="Q18" s="90">
        <f t="shared" ca="1" si="14"/>
        <v>0</v>
      </c>
      <c r="R18" s="90">
        <f t="shared" ca="1" si="15"/>
        <v>33</v>
      </c>
      <c r="S18" s="90">
        <f t="shared" ca="1" si="16"/>
        <v>0</v>
      </c>
      <c r="T18" s="90">
        <f t="shared" ca="1" si="17"/>
        <v>0</v>
      </c>
      <c r="U18" s="90"/>
      <c r="V18" s="90">
        <f t="shared" ca="1" si="18"/>
        <v>0</v>
      </c>
      <c r="W18" s="90">
        <f t="shared" ca="1" si="19"/>
        <v>0</v>
      </c>
    </row>
    <row r="19" spans="1:35">
      <c r="A19" s="87" t="s">
        <v>123</v>
      </c>
      <c r="B19" s="90"/>
      <c r="C19" s="90"/>
      <c r="D19" s="90"/>
      <c r="E19" s="90"/>
      <c r="F19" s="90"/>
      <c r="G19" s="90"/>
      <c r="H19" s="90"/>
      <c r="I19" s="90"/>
      <c r="J19" s="90"/>
      <c r="K19" s="90"/>
      <c r="M19" s="87" t="str">
        <f t="shared" si="1"/>
        <v>Sprint_3_3u4</v>
      </c>
      <c r="N19" s="90"/>
      <c r="O19" s="90"/>
      <c r="P19" s="90"/>
      <c r="Q19" s="90"/>
      <c r="R19" s="90"/>
      <c r="S19" s="90"/>
      <c r="T19" s="90"/>
      <c r="U19" s="90"/>
      <c r="V19" s="90"/>
      <c r="W19" s="90"/>
    </row>
    <row r="20" spans="1:35">
      <c r="A20" s="87" t="s">
        <v>124</v>
      </c>
      <c r="B20" s="90"/>
      <c r="C20" s="90"/>
      <c r="D20" s="90"/>
      <c r="E20" s="90"/>
      <c r="F20" s="90"/>
      <c r="G20" s="90"/>
      <c r="H20" s="90"/>
      <c r="I20" s="90"/>
      <c r="J20" s="90"/>
      <c r="K20" s="90"/>
      <c r="M20" s="87" t="str">
        <f t="shared" si="1"/>
        <v>Sprint_3_5u6</v>
      </c>
      <c r="N20" s="90"/>
      <c r="O20" s="90"/>
      <c r="P20" s="90"/>
      <c r="Q20" s="90"/>
      <c r="R20" s="90"/>
      <c r="S20" s="90"/>
      <c r="T20" s="90"/>
      <c r="U20" s="90"/>
      <c r="V20" s="90"/>
      <c r="W20" s="90"/>
    </row>
    <row r="21" spans="1:35">
      <c r="B21" s="91"/>
      <c r="C21" s="91"/>
      <c r="D21" s="91"/>
      <c r="E21" s="91"/>
      <c r="F21" s="91"/>
      <c r="G21" s="91"/>
      <c r="H21" s="91"/>
      <c r="I21" s="91"/>
      <c r="J21" s="91"/>
    </row>
    <row r="22" spans="1:35">
      <c r="B22" s="409" t="s">
        <v>125</v>
      </c>
      <c r="C22" s="409"/>
      <c r="D22" s="409"/>
      <c r="E22" s="409"/>
      <c r="F22" s="409"/>
      <c r="G22" s="409"/>
      <c r="H22" s="409"/>
      <c r="I22" s="409"/>
      <c r="J22" s="409"/>
      <c r="K22" s="409"/>
      <c r="N22" s="409" t="s">
        <v>126</v>
      </c>
      <c r="O22" s="409"/>
      <c r="P22" s="409"/>
      <c r="Q22" s="409"/>
      <c r="R22" s="409"/>
      <c r="S22" s="409"/>
      <c r="T22" s="409"/>
      <c r="U22" s="409"/>
      <c r="V22" s="409"/>
      <c r="W22" s="409"/>
      <c r="Y22" s="87"/>
      <c r="Z22" s="409" t="s">
        <v>127</v>
      </c>
      <c r="AA22" s="409"/>
      <c r="AB22" s="409"/>
      <c r="AC22" s="409"/>
      <c r="AD22" s="409"/>
      <c r="AE22" s="409"/>
      <c r="AF22" s="409"/>
      <c r="AG22" s="409"/>
      <c r="AH22" s="409"/>
      <c r="AI22" s="409"/>
    </row>
    <row r="23" spans="1:35">
      <c r="B23" s="90" t="str">
        <f>B$3</f>
        <v>Engineering</v>
      </c>
      <c r="C23" s="90" t="str">
        <f t="shared" ref="C23:K23" si="22">C$3</f>
        <v>Payment</v>
      </c>
      <c r="D23" s="90" t="str">
        <f t="shared" si="22"/>
        <v>Sales</v>
      </c>
      <c r="E23" s="90" t="str">
        <f t="shared" si="22"/>
        <v>Vlinder</v>
      </c>
      <c r="F23" s="90" t="str">
        <f t="shared" si="22"/>
        <v>TTT</v>
      </c>
      <c r="G23" s="90" t="str">
        <f t="shared" si="22"/>
        <v>TNT</v>
      </c>
      <c r="H23" s="90" t="str">
        <f t="shared" si="22"/>
        <v>TFS</v>
      </c>
      <c r="I23" s="90" t="str">
        <f t="shared" si="22"/>
        <v>0-Noise</v>
      </c>
      <c r="J23" s="90" t="str">
        <f t="shared" si="22"/>
        <v>Synergy</v>
      </c>
      <c r="K23" s="90" t="str">
        <f t="shared" si="22"/>
        <v>Papillon</v>
      </c>
      <c r="N23" s="90" t="str">
        <f>B23</f>
        <v>Engineering</v>
      </c>
      <c r="O23" s="90" t="str">
        <f t="shared" ref="O23" si="23">C23</f>
        <v>Payment</v>
      </c>
      <c r="P23" s="90" t="str">
        <f t="shared" ref="P23" si="24">D23</f>
        <v>Sales</v>
      </c>
      <c r="Q23" s="90" t="str">
        <f t="shared" ref="Q23" si="25">E23</f>
        <v>Vlinder</v>
      </c>
      <c r="R23" s="90" t="str">
        <f t="shared" ref="R23" si="26">F23</f>
        <v>TTT</v>
      </c>
      <c r="S23" s="90" t="str">
        <f t="shared" ref="S23" si="27">G23</f>
        <v>TNT</v>
      </c>
      <c r="T23" s="90" t="str">
        <f t="shared" ref="T23" si="28">H23</f>
        <v>TFS</v>
      </c>
      <c r="U23" s="90" t="str">
        <f t="shared" ref="U23" si="29">I23</f>
        <v>0-Noise</v>
      </c>
      <c r="V23" s="90" t="str">
        <f t="shared" ref="V23" si="30">J23</f>
        <v>Synergy</v>
      </c>
      <c r="W23" s="90" t="str">
        <f t="shared" ref="W23" si="31">K23</f>
        <v>Papillon</v>
      </c>
      <c r="Y23" s="87"/>
      <c r="Z23" s="90" t="str">
        <f>N23</f>
        <v>Engineering</v>
      </c>
      <c r="AA23" s="90" t="str">
        <f t="shared" ref="AA23" si="32">O23</f>
        <v>Payment</v>
      </c>
      <c r="AB23" s="90" t="str">
        <f t="shared" ref="AB23" si="33">P23</f>
        <v>Sales</v>
      </c>
      <c r="AC23" s="90" t="str">
        <f t="shared" ref="AC23" si="34">Q23</f>
        <v>Vlinder</v>
      </c>
      <c r="AD23" s="90" t="str">
        <f t="shared" ref="AD23" si="35">R23</f>
        <v>TTT</v>
      </c>
      <c r="AE23" s="90" t="str">
        <f t="shared" ref="AE23" si="36">S23</f>
        <v>TNT</v>
      </c>
      <c r="AF23" s="90" t="str">
        <f t="shared" ref="AF23" si="37">T23</f>
        <v>TFS</v>
      </c>
      <c r="AG23" s="90" t="str">
        <f t="shared" ref="AG23" si="38">U23</f>
        <v>0-Noise</v>
      </c>
      <c r="AH23" s="90" t="str">
        <f t="shared" ref="AH23" si="39">V23</f>
        <v>Synergy</v>
      </c>
      <c r="AI23" s="90" t="str">
        <f t="shared" ref="AI23" si="40">W23</f>
        <v>Papillon</v>
      </c>
    </row>
    <row r="24" spans="1:35">
      <c r="A24" s="87" t="str">
        <f t="shared" ref="A24:A40" si="41">A4</f>
        <v>Sprint_4_4</v>
      </c>
      <c r="B24" s="90">
        <f ca="1">INDIRECT($A4 &amp;"!N$6")</f>
        <v>70</v>
      </c>
      <c r="C24" s="90">
        <f ca="1">INDIRECT($A4 &amp;"!N$7")</f>
        <v>7</v>
      </c>
      <c r="D24" s="90">
        <f ca="1">INDIRECT($A4 &amp;"!N$8")</f>
        <v>23</v>
      </c>
      <c r="E24" s="90">
        <f ca="1">INDIRECT($A4 &amp;"!N$9")</f>
        <v>50</v>
      </c>
      <c r="F24" s="90">
        <f ca="1">INDIRECT($A4 &amp;"!N$10")</f>
        <v>29</v>
      </c>
      <c r="G24" s="90">
        <f ca="1">INDIRECT($A4 &amp;"!N$11")</f>
        <v>41</v>
      </c>
      <c r="H24" s="90">
        <f ca="1">INDIRECT($A4 &amp;"!N$12")</f>
        <v>16</v>
      </c>
      <c r="I24" s="90">
        <f ca="1">INDIRECT($A4 &amp;"!N$13")</f>
        <v>17</v>
      </c>
      <c r="J24" s="90"/>
      <c r="K24" s="90">
        <f ca="1">INDIRECT($A4 &amp;"!N$15")</f>
        <v>16</v>
      </c>
      <c r="M24" s="87" t="str">
        <f t="shared" ref="M24:M40" si="42">A24</f>
        <v>Sprint_4_4</v>
      </c>
      <c r="N24" s="90">
        <f ca="1">INDIRECT($A4 &amp;"!O$6")</f>
        <v>2</v>
      </c>
      <c r="O24" s="90">
        <f ca="1">INDIRECT($A4 &amp;"!O$7")</f>
        <v>3</v>
      </c>
      <c r="P24" s="90">
        <f ca="1">INDIRECT($A4 &amp;"!O$8")</f>
        <v>0</v>
      </c>
      <c r="Q24" s="90">
        <f ca="1">INDIRECT($A4 &amp;"!O$9")</f>
        <v>0</v>
      </c>
      <c r="R24" s="90">
        <f ca="1">INDIRECT($A4 &amp;"!O$10")</f>
        <v>0</v>
      </c>
      <c r="S24" s="90">
        <f ca="1">INDIRECT($A4 &amp;"!O$11")</f>
        <v>0</v>
      </c>
      <c r="T24" s="90">
        <f ca="1">INDIRECT($A4 &amp;"!O$12")</f>
        <v>0</v>
      </c>
      <c r="U24" s="90">
        <f ca="1">INDIRECT($A4 &amp;"!O$13")</f>
        <v>0</v>
      </c>
      <c r="V24" s="90"/>
      <c r="W24" s="90">
        <f ca="1">INDIRECT($A4 &amp;"!O$15")</f>
        <v>0</v>
      </c>
      <c r="Y24" s="87" t="str">
        <f t="shared" ref="Y24:Y40" si="43">M24</f>
        <v>Sprint_4_4</v>
      </c>
      <c r="Z24" s="90">
        <f ca="1">INDIRECT($A4 &amp;"!P$6")</f>
        <v>13</v>
      </c>
      <c r="AA24" s="90">
        <f ca="1">INDIRECT($A4 &amp;"!P$7")</f>
        <v>4</v>
      </c>
      <c r="AB24" s="90">
        <f ca="1">INDIRECT($A4 &amp;"!P$8")</f>
        <v>38</v>
      </c>
      <c r="AC24" s="90">
        <f ca="1">INDIRECT($A4 &amp;"!P$9")</f>
        <v>10</v>
      </c>
      <c r="AD24" s="90">
        <f ca="1">INDIRECT($A4 &amp;"!P$10")</f>
        <v>33</v>
      </c>
      <c r="AE24" s="90">
        <f ca="1">INDIRECT($A4 &amp;"!P$11")</f>
        <v>19</v>
      </c>
      <c r="AF24" s="90">
        <f ca="1">INDIRECT($A4 &amp;"!P$12")</f>
        <v>31</v>
      </c>
      <c r="AG24" s="90">
        <f ca="1">INDIRECT($A4 &amp;"!P$13")</f>
        <v>26</v>
      </c>
      <c r="AH24" s="90"/>
      <c r="AI24" s="90">
        <f ca="1">INDIRECT($A4 &amp;"!P$15")</f>
        <v>7</v>
      </c>
    </row>
    <row r="25" spans="1:35">
      <c r="A25" s="87" t="str">
        <f t="shared" si="41"/>
        <v>Sprint_4_5</v>
      </c>
      <c r="B25" s="90">
        <f ca="1">INDIRECT($A5 &amp;"!N$6")</f>
        <v>59</v>
      </c>
      <c r="C25" s="90">
        <f ca="1">INDIRECT($A5 &amp;"!N$7")</f>
        <v>11</v>
      </c>
      <c r="D25" s="90">
        <f ca="1">INDIRECT($A5 &amp;"!N$8")</f>
        <v>50</v>
      </c>
      <c r="E25" s="90">
        <f ca="1">INDIRECT($A5 &amp;"!N$9")</f>
        <v>29</v>
      </c>
      <c r="F25" s="90">
        <f ca="1">INDIRECT($A5 &amp;"!N$10")</f>
        <v>36</v>
      </c>
      <c r="G25" s="90">
        <f ca="1">INDIRECT($A5 &amp;"!N$11")</f>
        <v>34</v>
      </c>
      <c r="H25" s="90">
        <f ca="1">INDIRECT($A5 &amp;"!N$12")</f>
        <v>30</v>
      </c>
      <c r="I25" s="90">
        <f ca="1">INDIRECT($A5 &amp;"!N$13")</f>
        <v>11</v>
      </c>
      <c r="J25" s="90">
        <f ca="1">INDIRECT($A5 &amp;"!N$14")</f>
        <v>24</v>
      </c>
      <c r="K25" s="90">
        <f ca="1">INDIRECT($A5 &amp;"!N$15")</f>
        <v>19</v>
      </c>
      <c r="M25" s="87" t="str">
        <f t="shared" si="42"/>
        <v>Sprint_4_5</v>
      </c>
      <c r="N25" s="90">
        <f ca="1">INDIRECT($A5 &amp;"!O$6")</f>
        <v>0</v>
      </c>
      <c r="O25" s="90">
        <f ca="1">INDIRECT($A5 &amp;"!O$7")</f>
        <v>0</v>
      </c>
      <c r="P25" s="90">
        <f ca="1">INDIRECT($A5 &amp;"!O$8")</f>
        <v>0</v>
      </c>
      <c r="Q25" s="90">
        <f ca="1">INDIRECT($A5 &amp;"!O$9")</f>
        <v>0</v>
      </c>
      <c r="R25" s="90">
        <f ca="1">INDIRECT($A5 &amp;"!O$10")</f>
        <v>3</v>
      </c>
      <c r="S25" s="90">
        <f ca="1">INDIRECT($A5 &amp;"!O$11")</f>
        <v>3</v>
      </c>
      <c r="T25" s="90">
        <f ca="1">INDIRECT($A5 &amp;"!O$12")</f>
        <v>0</v>
      </c>
      <c r="U25" s="90">
        <f ca="1">INDIRECT($A5 &amp;"!O$13")</f>
        <v>0</v>
      </c>
      <c r="V25" s="90">
        <f ca="1">INDIRECT($A5 &amp;"!O$14")</f>
        <v>0</v>
      </c>
      <c r="W25" s="90">
        <f ca="1">INDIRECT($A5 &amp;"!O$15")</f>
        <v>0</v>
      </c>
      <c r="Y25" s="87" t="str">
        <f t="shared" si="43"/>
        <v>Sprint_4_5</v>
      </c>
      <c r="Z25" s="90">
        <f ca="1">INDIRECT($A5 &amp;"!P$6")</f>
        <v>4</v>
      </c>
      <c r="AA25" s="90">
        <f ca="1">INDIRECT($A5 &amp;"!P$7")</f>
        <v>9</v>
      </c>
      <c r="AB25" s="90">
        <f ca="1">INDIRECT($A5 &amp;"!P$8")</f>
        <v>8</v>
      </c>
      <c r="AC25" s="90">
        <f ca="1">INDIRECT($A5 &amp;"!P$9")</f>
        <v>11</v>
      </c>
      <c r="AD25" s="90">
        <f ca="1">INDIRECT($A5 &amp;"!P$10")</f>
        <v>40</v>
      </c>
      <c r="AE25" s="90">
        <f ca="1">INDIRECT($A5 &amp;"!P$11")</f>
        <v>14</v>
      </c>
      <c r="AF25" s="90">
        <f ca="1">INDIRECT($A5 &amp;"!P$12")</f>
        <v>24</v>
      </c>
      <c r="AG25" s="90">
        <f ca="1">INDIRECT($A5 &amp;"!P$13")</f>
        <v>3</v>
      </c>
      <c r="AH25" s="90">
        <f ca="1">INDIRECT($A5 &amp;"!P$14")</f>
        <v>11</v>
      </c>
      <c r="AI25" s="90">
        <f ca="1">INDIRECT($A5 &amp;"!P$15")</f>
        <v>5</v>
      </c>
    </row>
    <row r="26" spans="1:35">
      <c r="A26" s="87" t="str">
        <f t="shared" si="41"/>
        <v>Sprint_4_6</v>
      </c>
      <c r="B26" s="90">
        <f ca="1">INDIRECT($A6 &amp;"!N$6")</f>
        <v>37</v>
      </c>
      <c r="C26" s="90">
        <f ca="1">INDIRECT($A6 &amp;"!N$7")</f>
        <v>14</v>
      </c>
      <c r="D26" s="90">
        <f ca="1">INDIRECT($A6 &amp;"!N$8")</f>
        <v>34</v>
      </c>
      <c r="E26" s="90">
        <f ca="1">INDIRECT($A6 &amp;"!N$9")</f>
        <v>18</v>
      </c>
      <c r="F26" s="90">
        <f ca="1">INDIRECT($A6 &amp;"!N$10")</f>
        <v>56</v>
      </c>
      <c r="G26" s="90">
        <f ca="1">INDIRECT($A6 &amp;"!N$11")</f>
        <v>38</v>
      </c>
      <c r="H26" s="90">
        <f ca="1">INDIRECT($A6 &amp;"!N$12")</f>
        <v>32</v>
      </c>
      <c r="I26" s="90">
        <f ca="1">INDIRECT($A6 &amp;"!N$13")</f>
        <v>37</v>
      </c>
      <c r="J26" s="90">
        <f ca="1">INDIRECT($A6 &amp;"!N$14")</f>
        <v>58</v>
      </c>
      <c r="K26" s="90">
        <f ca="1">INDIRECT($A6 &amp;"!N$15")</f>
        <v>37</v>
      </c>
      <c r="M26" s="87" t="str">
        <f t="shared" si="42"/>
        <v>Sprint_4_6</v>
      </c>
      <c r="N26" s="90">
        <f ca="1">INDIRECT($A6 &amp;"!O$6")</f>
        <v>0</v>
      </c>
      <c r="O26" s="90">
        <f ca="1">INDIRECT($A6 &amp;"!O$7")</f>
        <v>0</v>
      </c>
      <c r="P26" s="90">
        <f ca="1">INDIRECT($A6 &amp;"!O$8")</f>
        <v>0</v>
      </c>
      <c r="Q26" s="90">
        <f ca="1">INDIRECT($A6 &amp;"!O$9")</f>
        <v>0</v>
      </c>
      <c r="R26" s="90">
        <f ca="1">INDIRECT($A6 &amp;"!O$10")</f>
        <v>0</v>
      </c>
      <c r="S26" s="90">
        <f ca="1">INDIRECT($A6 &amp;"!O$11")</f>
        <v>0</v>
      </c>
      <c r="T26" s="90">
        <f ca="1">INDIRECT($A6 &amp;"!O$12")</f>
        <v>0</v>
      </c>
      <c r="U26" s="90">
        <f ca="1">INDIRECT($A6 &amp;"!O$13")</f>
        <v>0</v>
      </c>
      <c r="V26" s="90">
        <f ca="1">INDIRECT($A6 &amp;"!O$14")</f>
        <v>0</v>
      </c>
      <c r="W26" s="90">
        <f ca="1">INDIRECT($A6 &amp;"!O$15")</f>
        <v>2</v>
      </c>
      <c r="Y26" s="87" t="str">
        <f t="shared" si="43"/>
        <v>Sprint_4_6</v>
      </c>
      <c r="Z26" s="90">
        <f ca="1">INDIRECT($A6 &amp;"!P$6")</f>
        <v>28</v>
      </c>
      <c r="AA26" s="90">
        <f ca="1">INDIRECT($A6 &amp;"!P$7")</f>
        <v>0</v>
      </c>
      <c r="AB26" s="90">
        <f ca="1">INDIRECT($A6 &amp;"!P$8")</f>
        <v>3</v>
      </c>
      <c r="AC26" s="90">
        <f ca="1">INDIRECT($A6 &amp;"!P$9")</f>
        <v>17</v>
      </c>
      <c r="AD26" s="90">
        <f ca="1">INDIRECT($A6 &amp;"!P$10")</f>
        <v>3</v>
      </c>
      <c r="AE26" s="90">
        <f ca="1">INDIRECT($A6 &amp;"!P$11")</f>
        <v>25</v>
      </c>
      <c r="AF26" s="90">
        <f ca="1">INDIRECT($A6 &amp;"!P$12")</f>
        <v>6</v>
      </c>
      <c r="AG26" s="90">
        <f ca="1">INDIRECT($A6 &amp;"!P$13")</f>
        <v>16</v>
      </c>
      <c r="AH26" s="90">
        <f ca="1">INDIRECT($A6 &amp;"!P$14")</f>
        <v>15</v>
      </c>
      <c r="AI26" s="90">
        <f ca="1">INDIRECT($A6 &amp;"!P$15")</f>
        <v>13</v>
      </c>
    </row>
    <row r="27" spans="1:35">
      <c r="A27" s="87" t="str">
        <f t="shared" si="41"/>
        <v>Sprint_4_8</v>
      </c>
      <c r="B27" s="90">
        <f ca="1">INDIRECT($A7 &amp;"!N$6")</f>
        <v>74</v>
      </c>
      <c r="C27" s="90">
        <f ca="1">INDIRECT($A7 &amp;"!N$7")</f>
        <v>9</v>
      </c>
      <c r="D27" s="90">
        <f ca="1">INDIRECT($A7 &amp;"!N$8")</f>
        <v>24</v>
      </c>
      <c r="E27" s="90">
        <f ca="1">INDIRECT($A7 &amp;"!N$9")</f>
        <v>34</v>
      </c>
      <c r="F27" s="90">
        <f ca="1">INDIRECT($A7 &amp;"!N$10")</f>
        <v>40</v>
      </c>
      <c r="G27" s="90">
        <f ca="1">INDIRECT($A7 &amp;"!N$11")</f>
        <v>52</v>
      </c>
      <c r="H27" s="90">
        <f ca="1">INDIRECT($A7 &amp;"!N$12")</f>
        <v>18</v>
      </c>
      <c r="I27" s="90">
        <f ca="1">INDIRECT($A7 &amp;"!N$13")</f>
        <v>11</v>
      </c>
      <c r="J27" s="90">
        <f ca="1">INDIRECT($A7 &amp;"!N$14")</f>
        <v>34</v>
      </c>
      <c r="K27" s="90">
        <f ca="1">INDIRECT($A7 &amp;"!N$15")</f>
        <v>32</v>
      </c>
      <c r="M27" s="87" t="str">
        <f t="shared" si="42"/>
        <v>Sprint_4_8</v>
      </c>
      <c r="N27" s="90">
        <f ca="1">INDIRECT($A7 &amp;"!O$6")</f>
        <v>0</v>
      </c>
      <c r="O27" s="90">
        <f ca="1">INDIRECT($A7 &amp;"!O$7")</f>
        <v>0</v>
      </c>
      <c r="P27" s="90">
        <f ca="1">INDIRECT($A7 &amp;"!O$8")</f>
        <v>0</v>
      </c>
      <c r="Q27" s="90">
        <f ca="1">INDIRECT($A7 &amp;"!O$9")</f>
        <v>0</v>
      </c>
      <c r="R27" s="90">
        <f ca="1">INDIRECT($A7 &amp;"!O$10")</f>
        <v>0</v>
      </c>
      <c r="S27" s="90">
        <f ca="1">INDIRECT($A7 &amp;"!O$11")</f>
        <v>0</v>
      </c>
      <c r="T27" s="90">
        <f ca="1">INDIRECT($A7 &amp;"!O$12")</f>
        <v>0</v>
      </c>
      <c r="U27" s="90">
        <f ca="1">INDIRECT($A7 &amp;"!O$13")</f>
        <v>0</v>
      </c>
      <c r="V27" s="90">
        <f ca="1">INDIRECT($A7 &amp;"!O$14")</f>
        <v>0</v>
      </c>
      <c r="W27" s="90">
        <f ca="1">INDIRECT($A7 &amp;"!O$15")</f>
        <v>0</v>
      </c>
      <c r="Y27" s="87" t="str">
        <f t="shared" si="43"/>
        <v>Sprint_4_8</v>
      </c>
      <c r="Z27" s="90">
        <f ca="1">INDIRECT($A7 &amp;"!P$6")</f>
        <v>28</v>
      </c>
      <c r="AA27" s="90">
        <f ca="1">INDIRECT($A7 &amp;"!P$7")</f>
        <v>11</v>
      </c>
      <c r="AB27" s="90">
        <f ca="1">INDIRECT($A7 &amp;"!P$8")</f>
        <v>8</v>
      </c>
      <c r="AC27" s="90">
        <f ca="1">INDIRECT($A7 &amp;"!P$9")</f>
        <v>8</v>
      </c>
      <c r="AD27" s="90">
        <f ca="1">INDIRECT($A7 &amp;"!P$10")</f>
        <v>2</v>
      </c>
      <c r="AE27" s="90">
        <f ca="1">INDIRECT($A7 &amp;"!P$11")</f>
        <v>5</v>
      </c>
      <c r="AF27" s="90">
        <f ca="1">INDIRECT($A7 &amp;"!P$12")</f>
        <v>3</v>
      </c>
      <c r="AG27" s="90">
        <f ca="1">INDIRECT($A7 &amp;"!P$13")</f>
        <v>16</v>
      </c>
      <c r="AH27" s="90">
        <f ca="1">INDIRECT($A7 &amp;"!P$14")</f>
        <v>20</v>
      </c>
      <c r="AI27" s="90">
        <f ca="1">INDIRECT($A7 &amp;"!P$15")</f>
        <v>3</v>
      </c>
    </row>
    <row r="28" spans="1:35">
      <c r="A28" s="87" t="str">
        <f t="shared" si="41"/>
        <v>Sprint_1_1</v>
      </c>
      <c r="B28" s="90">
        <f ca="1">INDIRECT($A8 &amp;"!N$6")</f>
        <v>75</v>
      </c>
      <c r="C28" s="90">
        <f ca="1">INDIRECT($A8 &amp;"!N$7")</f>
        <v>9</v>
      </c>
      <c r="D28" s="90">
        <f ca="1">INDIRECT($A8 &amp;"!N$8")</f>
        <v>37</v>
      </c>
      <c r="E28" s="90">
        <f ca="1">INDIRECT($A8 &amp;"!N$9")</f>
        <v>28</v>
      </c>
      <c r="F28" s="90">
        <f ca="1">INDIRECT($A8 &amp;"!N$10")</f>
        <v>29</v>
      </c>
      <c r="G28" s="90">
        <f ca="1">INDIRECT($A8 &amp;"!N$11")</f>
        <v>39</v>
      </c>
      <c r="H28" s="90">
        <f ca="1">INDIRECT($A8 &amp;"!N$12")</f>
        <v>25</v>
      </c>
      <c r="I28" s="90"/>
      <c r="J28" s="90">
        <f ca="1">INDIRECT($A8 &amp;"!N$14")</f>
        <v>24</v>
      </c>
      <c r="K28" s="90">
        <f ca="1">INDIRECT($A8 &amp;"!N$15")</f>
        <v>23</v>
      </c>
      <c r="M28" s="87" t="str">
        <f t="shared" si="42"/>
        <v>Sprint_1_1</v>
      </c>
      <c r="N28" s="90">
        <f ca="1">INDIRECT($A8 &amp;"!O$6")</f>
        <v>0</v>
      </c>
      <c r="O28" s="90">
        <f ca="1">INDIRECT($A8 &amp;"!O$7")</f>
        <v>0</v>
      </c>
      <c r="P28" s="90">
        <f ca="1">INDIRECT($A8 &amp;"!O$8")</f>
        <v>0</v>
      </c>
      <c r="Q28" s="90">
        <f ca="1">INDIRECT($A8 &amp;"!O$9")</f>
        <v>0</v>
      </c>
      <c r="R28" s="90">
        <f ca="1">INDIRECT($A8 &amp;"!O$10")</f>
        <v>5</v>
      </c>
      <c r="S28" s="90">
        <f ca="1">INDIRECT($A8 &amp;"!O$11")</f>
        <v>0</v>
      </c>
      <c r="T28" s="90">
        <f ca="1">INDIRECT($A8 &amp;"!O$12")</f>
        <v>0</v>
      </c>
      <c r="U28" s="90"/>
      <c r="V28" s="90">
        <f ca="1">INDIRECT($A8 &amp;"!O$14")</f>
        <v>6</v>
      </c>
      <c r="W28" s="90">
        <f ca="1">INDIRECT($A8 &amp;"!O$15")</f>
        <v>3</v>
      </c>
      <c r="Y28" s="87" t="str">
        <f t="shared" si="43"/>
        <v>Sprint_1_1</v>
      </c>
      <c r="Z28" s="90">
        <f ca="1">INDIRECT($A8 &amp;"!P$6")</f>
        <v>16</v>
      </c>
      <c r="AA28" s="90">
        <f ca="1">INDIRECT($A8 &amp;"!P$7")</f>
        <v>11</v>
      </c>
      <c r="AB28" s="90">
        <f ca="1">INDIRECT($A8 &amp;"!P$8")</f>
        <v>17</v>
      </c>
      <c r="AC28" s="90">
        <f ca="1">INDIRECT($A8 &amp;"!P$9")</f>
        <v>10</v>
      </c>
      <c r="AD28" s="90">
        <f ca="1">INDIRECT($A8 &amp;"!P$10")</f>
        <v>3</v>
      </c>
      <c r="AE28" s="90">
        <f ca="1">INDIRECT($A8 &amp;"!P$11")</f>
        <v>17</v>
      </c>
      <c r="AF28" s="90">
        <f ca="1">INDIRECT($A8 &amp;"!P$12")</f>
        <v>3</v>
      </c>
      <c r="AG28" s="90"/>
      <c r="AH28" s="90">
        <f ca="1">INDIRECT($A8 &amp;"!P$14")</f>
        <v>6</v>
      </c>
      <c r="AI28" s="90">
        <f ca="1">INDIRECT($A8 &amp;"!P$15")</f>
        <v>22</v>
      </c>
    </row>
    <row r="29" spans="1:35">
      <c r="A29" s="87" t="str">
        <f t="shared" si="41"/>
        <v>Sprint_1_2</v>
      </c>
      <c r="B29" s="90">
        <f t="shared" ref="B29:B38" ca="1" si="44">INDIRECT($A9 &amp;"!O$6")</f>
        <v>38</v>
      </c>
      <c r="C29" s="90">
        <f t="shared" ref="C29:C38" ca="1" si="45">INDIRECT($A9 &amp;"!O$7")</f>
        <v>21</v>
      </c>
      <c r="D29" s="90">
        <f t="shared" ref="D29:D38" ca="1" si="46">INDIRECT($A9 &amp;"!O$8")</f>
        <v>45</v>
      </c>
      <c r="E29" s="90">
        <f t="shared" ref="E29:E38" ca="1" si="47">INDIRECT($A9 &amp;"!O$9")</f>
        <v>26</v>
      </c>
      <c r="F29" s="90">
        <f t="shared" ref="F29:F38" ca="1" si="48">INDIRECT($A9 &amp;"!O$10")</f>
        <v>26</v>
      </c>
      <c r="G29" s="90">
        <f t="shared" ref="G29:G38" ca="1" si="49">INDIRECT($A9 &amp;"!O$11")</f>
        <v>49</v>
      </c>
      <c r="H29" s="90">
        <f t="shared" ref="H29:H38" ca="1" si="50">INDIRECT($A9 &amp;"!O$12")</f>
        <v>16</v>
      </c>
      <c r="I29" s="90"/>
      <c r="J29" s="90">
        <f t="shared" ref="J29:J38" ca="1" si="51">INDIRECT($A9 &amp;"!O$14")</f>
        <v>31</v>
      </c>
      <c r="K29" s="90">
        <f t="shared" ref="K29:K38" ca="1" si="52">INDIRECT($A9 &amp;"!O$15")</f>
        <v>41.5</v>
      </c>
      <c r="M29" s="87" t="str">
        <f t="shared" si="42"/>
        <v>Sprint_1_2</v>
      </c>
      <c r="N29" s="90">
        <f t="shared" ref="N29:N38" ca="1" si="53">INDIRECT($A9 &amp;"!P$6")</f>
        <v>0</v>
      </c>
      <c r="O29" s="90">
        <f t="shared" ref="O29:O38" ca="1" si="54">INDIRECT($A9 &amp;"!P$7")</f>
        <v>5</v>
      </c>
      <c r="P29" s="90">
        <f t="shared" ref="P29:P38" ca="1" si="55">INDIRECT($A9 &amp;"!P$8")</f>
        <v>5</v>
      </c>
      <c r="Q29" s="90">
        <f t="shared" ref="Q29:Q38" ca="1" si="56">INDIRECT($A9 &amp;"!P$9")</f>
        <v>0</v>
      </c>
      <c r="R29" s="90">
        <f t="shared" ref="R29:R38" ca="1" si="57">INDIRECT($A9 &amp;"!P$10")</f>
        <v>0</v>
      </c>
      <c r="S29" s="90">
        <f t="shared" ref="S29:S38" ca="1" si="58">INDIRECT($A9 &amp;"!P$11")</f>
        <v>0</v>
      </c>
      <c r="T29" s="90">
        <f t="shared" ref="T29:T38" ca="1" si="59">INDIRECT($A9 &amp;"!P$12")</f>
        <v>0</v>
      </c>
      <c r="U29" s="90"/>
      <c r="V29" s="90">
        <f t="shared" ref="V29:V38" ca="1" si="60">INDIRECT($A9 &amp;"!P$14")</f>
        <v>0</v>
      </c>
      <c r="W29" s="90">
        <f t="shared" ref="W29:W38" ca="1" si="61">INDIRECT($A9 &amp;"!P$15")</f>
        <v>0</v>
      </c>
      <c r="Y29" s="87" t="str">
        <f t="shared" si="43"/>
        <v>Sprint_1_2</v>
      </c>
      <c r="Z29" s="90">
        <f t="shared" ref="Z29:Z38" ca="1" si="62">INDIRECT($A9 &amp;"!Q$6")</f>
        <v>15</v>
      </c>
      <c r="AA29" s="90">
        <f t="shared" ref="AA29:AA38" ca="1" si="63">INDIRECT($A9 &amp;"!Q$7")</f>
        <v>6</v>
      </c>
      <c r="AB29" s="90">
        <f t="shared" ref="AB29:AB38" ca="1" si="64">INDIRECT($A9 &amp;"!Q$8")</f>
        <v>8</v>
      </c>
      <c r="AC29" s="90">
        <f t="shared" ref="AC29:AC38" ca="1" si="65">INDIRECT($A9 &amp;"!Q$9")</f>
        <v>5</v>
      </c>
      <c r="AD29" s="90">
        <f t="shared" ref="AD29:AD38" ca="1" si="66">INDIRECT($A9 &amp;"!Q$10")</f>
        <v>15</v>
      </c>
      <c r="AE29" s="90">
        <f t="shared" ref="AE29:AE38" ca="1" si="67">INDIRECT($A9 &amp;"!Q$11")</f>
        <v>1</v>
      </c>
      <c r="AF29" s="90">
        <f t="shared" ref="AF29:AF38" ca="1" si="68">INDIRECT($A9 &amp;"!Q$12")</f>
        <v>11</v>
      </c>
      <c r="AG29" s="90"/>
      <c r="AH29" s="90">
        <f t="shared" ref="AH29:AH38" ca="1" si="69">INDIRECT($A9 &amp;"!Q$14")</f>
        <v>9</v>
      </c>
      <c r="AI29" s="90">
        <f t="shared" ref="AI29:AI38" ca="1" si="70">INDIRECT($A9 &amp;"!Q$15")</f>
        <v>15</v>
      </c>
    </row>
    <row r="30" spans="1:35">
      <c r="A30" s="87" t="str">
        <f t="shared" si="41"/>
        <v>Sprint_1_3</v>
      </c>
      <c r="B30" s="90">
        <f t="shared" ca="1" si="44"/>
        <v>54</v>
      </c>
      <c r="C30" s="90">
        <f t="shared" ca="1" si="45"/>
        <v>13</v>
      </c>
      <c r="D30" s="90">
        <f t="shared" ca="1" si="46"/>
        <v>34</v>
      </c>
      <c r="E30" s="90">
        <f t="shared" ca="1" si="47"/>
        <v>33</v>
      </c>
      <c r="F30" s="90">
        <f t="shared" ca="1" si="48"/>
        <v>29</v>
      </c>
      <c r="G30" s="90">
        <f t="shared" ca="1" si="49"/>
        <v>34</v>
      </c>
      <c r="H30" s="90">
        <f t="shared" ca="1" si="50"/>
        <v>27</v>
      </c>
      <c r="I30" s="90"/>
      <c r="J30" s="90">
        <f t="shared" ca="1" si="51"/>
        <v>21</v>
      </c>
      <c r="K30" s="90">
        <f t="shared" ca="1" si="52"/>
        <v>61</v>
      </c>
      <c r="M30" s="87" t="str">
        <f t="shared" si="42"/>
        <v>Sprint_1_3</v>
      </c>
      <c r="N30" s="90">
        <f t="shared" ca="1" si="53"/>
        <v>6</v>
      </c>
      <c r="O30" s="90">
        <f t="shared" ca="1" si="54"/>
        <v>0</v>
      </c>
      <c r="P30" s="90">
        <f t="shared" ca="1" si="55"/>
        <v>0</v>
      </c>
      <c r="Q30" s="90">
        <f t="shared" ca="1" si="56"/>
        <v>0</v>
      </c>
      <c r="R30" s="90">
        <f t="shared" ca="1" si="57"/>
        <v>0</v>
      </c>
      <c r="S30" s="90">
        <f t="shared" ca="1" si="58"/>
        <v>0</v>
      </c>
      <c r="T30" s="90">
        <f t="shared" ca="1" si="59"/>
        <v>0</v>
      </c>
      <c r="U30" s="90"/>
      <c r="V30" s="90">
        <f t="shared" ca="1" si="60"/>
        <v>0</v>
      </c>
      <c r="W30" s="90">
        <f t="shared" ca="1" si="61"/>
        <v>8</v>
      </c>
      <c r="Y30" s="87" t="str">
        <f t="shared" si="43"/>
        <v>Sprint_1_3</v>
      </c>
      <c r="Z30" s="90">
        <f t="shared" ca="1" si="62"/>
        <v>24</v>
      </c>
      <c r="AA30" s="90">
        <f t="shared" ca="1" si="63"/>
        <v>11</v>
      </c>
      <c r="AB30" s="90">
        <f t="shared" ca="1" si="64"/>
        <v>21</v>
      </c>
      <c r="AC30" s="90">
        <f t="shared" ca="1" si="65"/>
        <v>8</v>
      </c>
      <c r="AD30" s="90">
        <f t="shared" ca="1" si="66"/>
        <v>12</v>
      </c>
      <c r="AE30" s="90">
        <f t="shared" ca="1" si="67"/>
        <v>15</v>
      </c>
      <c r="AF30" s="90">
        <f t="shared" ca="1" si="68"/>
        <v>4</v>
      </c>
      <c r="AG30" s="90"/>
      <c r="AH30" s="90">
        <f t="shared" ca="1" si="69"/>
        <v>6</v>
      </c>
      <c r="AI30" s="90">
        <f t="shared" ca="1" si="70"/>
        <v>18</v>
      </c>
    </row>
    <row r="31" spans="1:35">
      <c r="A31" s="87" t="str">
        <f t="shared" si="41"/>
        <v>Sprint_1_4</v>
      </c>
      <c r="B31" s="90">
        <f t="shared" ca="1" si="44"/>
        <v>27</v>
      </c>
      <c r="C31" s="90">
        <f t="shared" ca="1" si="45"/>
        <v>14</v>
      </c>
      <c r="D31" s="90">
        <f t="shared" ca="1" si="46"/>
        <v>56</v>
      </c>
      <c r="E31" s="90">
        <f t="shared" ca="1" si="47"/>
        <v>33</v>
      </c>
      <c r="F31" s="90">
        <f t="shared" ca="1" si="48"/>
        <v>38</v>
      </c>
      <c r="G31" s="90">
        <f t="shared" ca="1" si="49"/>
        <v>27</v>
      </c>
      <c r="H31" s="90">
        <f t="shared" ca="1" si="50"/>
        <v>33</v>
      </c>
      <c r="I31" s="90"/>
      <c r="J31" s="90">
        <f t="shared" ca="1" si="51"/>
        <v>26</v>
      </c>
      <c r="K31" s="90">
        <f t="shared" ca="1" si="52"/>
        <v>44.5</v>
      </c>
      <c r="M31" s="87" t="str">
        <f t="shared" si="42"/>
        <v>Sprint_1_4</v>
      </c>
      <c r="N31" s="90">
        <f t="shared" ca="1" si="53"/>
        <v>0</v>
      </c>
      <c r="O31" s="90">
        <f t="shared" ca="1" si="54"/>
        <v>8</v>
      </c>
      <c r="P31" s="90">
        <f t="shared" ca="1" si="55"/>
        <v>0</v>
      </c>
      <c r="Q31" s="90">
        <f t="shared" ca="1" si="56"/>
        <v>0</v>
      </c>
      <c r="R31" s="90">
        <f t="shared" ca="1" si="57"/>
        <v>0</v>
      </c>
      <c r="S31" s="90">
        <f t="shared" ca="1" si="58"/>
        <v>0</v>
      </c>
      <c r="T31" s="90">
        <f t="shared" ca="1" si="59"/>
        <v>0</v>
      </c>
      <c r="U31" s="90"/>
      <c r="V31" s="90">
        <f t="shared" ca="1" si="60"/>
        <v>0</v>
      </c>
      <c r="W31" s="90">
        <f t="shared" ca="1" si="61"/>
        <v>5</v>
      </c>
      <c r="Y31" s="87" t="str">
        <f t="shared" si="43"/>
        <v>Sprint_1_4</v>
      </c>
      <c r="Z31" s="90">
        <f t="shared" ca="1" si="62"/>
        <v>37</v>
      </c>
      <c r="AA31" s="90">
        <f t="shared" ca="1" si="63"/>
        <v>5</v>
      </c>
      <c r="AB31" s="90">
        <f t="shared" ca="1" si="64"/>
        <v>0</v>
      </c>
      <c r="AC31" s="90">
        <f t="shared" ca="1" si="65"/>
        <v>14</v>
      </c>
      <c r="AD31" s="90">
        <f t="shared" ca="1" si="66"/>
        <v>4</v>
      </c>
      <c r="AE31" s="90">
        <f t="shared" ca="1" si="67"/>
        <v>6</v>
      </c>
      <c r="AF31" s="90">
        <f t="shared" ca="1" si="68"/>
        <v>5</v>
      </c>
      <c r="AG31" s="90"/>
      <c r="AH31" s="90">
        <f t="shared" ca="1" si="69"/>
        <v>9</v>
      </c>
      <c r="AI31" s="90">
        <f t="shared" ca="1" si="70"/>
        <v>16</v>
      </c>
    </row>
    <row r="32" spans="1:35">
      <c r="A32" s="87" t="str">
        <f t="shared" si="41"/>
        <v>Sprint_1_5</v>
      </c>
      <c r="B32" s="90">
        <f t="shared" ca="1" si="44"/>
        <v>72</v>
      </c>
      <c r="C32" s="90">
        <f t="shared" ca="1" si="45"/>
        <v>13</v>
      </c>
      <c r="D32" s="90">
        <f t="shared" ca="1" si="46"/>
        <v>35</v>
      </c>
      <c r="E32" s="90">
        <f t="shared" ca="1" si="47"/>
        <v>42</v>
      </c>
      <c r="F32" s="90">
        <f t="shared" ca="1" si="48"/>
        <v>34</v>
      </c>
      <c r="G32" s="90">
        <f t="shared" ca="1" si="49"/>
        <v>35</v>
      </c>
      <c r="H32" s="90">
        <f t="shared" ca="1" si="50"/>
        <v>32</v>
      </c>
      <c r="I32" s="90"/>
      <c r="J32" s="90">
        <f t="shared" ca="1" si="51"/>
        <v>36</v>
      </c>
      <c r="K32" s="90">
        <f t="shared" ca="1" si="52"/>
        <v>53</v>
      </c>
      <c r="M32" s="87" t="str">
        <f t="shared" si="42"/>
        <v>Sprint_1_5</v>
      </c>
      <c r="N32" s="90">
        <f t="shared" ca="1" si="53"/>
        <v>0</v>
      </c>
      <c r="O32" s="90">
        <f t="shared" ca="1" si="54"/>
        <v>0</v>
      </c>
      <c r="P32" s="90">
        <f t="shared" ca="1" si="55"/>
        <v>0</v>
      </c>
      <c r="Q32" s="90">
        <f t="shared" ca="1" si="56"/>
        <v>0</v>
      </c>
      <c r="R32" s="90">
        <f t="shared" ca="1" si="57"/>
        <v>0</v>
      </c>
      <c r="S32" s="90">
        <f t="shared" ca="1" si="58"/>
        <v>0</v>
      </c>
      <c r="T32" s="90">
        <f t="shared" ca="1" si="59"/>
        <v>0</v>
      </c>
      <c r="U32" s="90"/>
      <c r="V32" s="90">
        <f t="shared" ca="1" si="60"/>
        <v>0</v>
      </c>
      <c r="W32" s="90">
        <f t="shared" ca="1" si="61"/>
        <v>0</v>
      </c>
      <c r="Y32" s="87" t="str">
        <f t="shared" si="43"/>
        <v>Sprint_1_5</v>
      </c>
      <c r="Z32" s="90">
        <f t="shared" ca="1" si="62"/>
        <v>11</v>
      </c>
      <c r="AA32" s="90">
        <f t="shared" ca="1" si="63"/>
        <v>6</v>
      </c>
      <c r="AB32" s="90">
        <f t="shared" ca="1" si="64"/>
        <v>1</v>
      </c>
      <c r="AC32" s="90">
        <f t="shared" ca="1" si="65"/>
        <v>5</v>
      </c>
      <c r="AD32" s="90">
        <f t="shared" ca="1" si="66"/>
        <v>6</v>
      </c>
      <c r="AE32" s="90">
        <f t="shared" ca="1" si="67"/>
        <v>1</v>
      </c>
      <c r="AF32" s="90">
        <f t="shared" ca="1" si="68"/>
        <v>3</v>
      </c>
      <c r="AG32" s="90"/>
      <c r="AH32" s="90">
        <f t="shared" ca="1" si="69"/>
        <v>3</v>
      </c>
      <c r="AI32" s="90">
        <f t="shared" ca="1" si="70"/>
        <v>13</v>
      </c>
    </row>
    <row r="33" spans="1:35">
      <c r="A33" s="87" t="str">
        <f t="shared" si="41"/>
        <v>Sprint_1_6</v>
      </c>
      <c r="B33" s="90">
        <f t="shared" ca="1" si="44"/>
        <v>68</v>
      </c>
      <c r="C33" s="90">
        <f t="shared" ca="1" si="45"/>
        <v>18</v>
      </c>
      <c r="D33" s="90">
        <f t="shared" ca="1" si="46"/>
        <v>47</v>
      </c>
      <c r="E33" s="90">
        <f t="shared" ca="1" si="47"/>
        <v>28</v>
      </c>
      <c r="F33" s="90">
        <f t="shared" ca="1" si="48"/>
        <v>32</v>
      </c>
      <c r="G33" s="90">
        <f t="shared" ca="1" si="49"/>
        <v>31</v>
      </c>
      <c r="H33" s="90">
        <f t="shared" ca="1" si="50"/>
        <v>19</v>
      </c>
      <c r="I33" s="90"/>
      <c r="J33" s="90">
        <f t="shared" ca="1" si="51"/>
        <v>36</v>
      </c>
      <c r="K33" s="90">
        <f t="shared" ca="1" si="52"/>
        <v>55</v>
      </c>
      <c r="M33" s="87" t="str">
        <f t="shared" si="42"/>
        <v>Sprint_1_6</v>
      </c>
      <c r="N33" s="90">
        <f t="shared" ca="1" si="53"/>
        <v>0</v>
      </c>
      <c r="O33" s="90">
        <f t="shared" ca="1" si="54"/>
        <v>0</v>
      </c>
      <c r="P33" s="90">
        <f t="shared" ca="1" si="55"/>
        <v>0</v>
      </c>
      <c r="Q33" s="90">
        <f t="shared" ca="1" si="56"/>
        <v>0</v>
      </c>
      <c r="R33" s="90">
        <f t="shared" ca="1" si="57"/>
        <v>0</v>
      </c>
      <c r="S33" s="90">
        <f t="shared" ca="1" si="58"/>
        <v>0</v>
      </c>
      <c r="T33" s="90">
        <f t="shared" ca="1" si="59"/>
        <v>0</v>
      </c>
      <c r="U33" s="90"/>
      <c r="V33" s="90">
        <f t="shared" ca="1" si="60"/>
        <v>0</v>
      </c>
      <c r="W33" s="90">
        <f t="shared" ca="1" si="61"/>
        <v>0</v>
      </c>
      <c r="Y33" s="87" t="str">
        <f t="shared" si="43"/>
        <v>Sprint_1_6</v>
      </c>
      <c r="Z33" s="90">
        <f t="shared" ca="1" si="62"/>
        <v>14</v>
      </c>
      <c r="AA33" s="90">
        <f t="shared" ca="1" si="63"/>
        <v>6</v>
      </c>
      <c r="AB33" s="90">
        <f t="shared" ca="1" si="64"/>
        <v>5</v>
      </c>
      <c r="AC33" s="90">
        <f t="shared" ca="1" si="65"/>
        <v>7</v>
      </c>
      <c r="AD33" s="90">
        <f t="shared" ca="1" si="66"/>
        <v>5</v>
      </c>
      <c r="AE33" s="90">
        <f t="shared" ca="1" si="67"/>
        <v>25</v>
      </c>
      <c r="AF33" s="90">
        <f t="shared" ca="1" si="68"/>
        <v>5</v>
      </c>
      <c r="AG33" s="90"/>
      <c r="AH33" s="90">
        <f t="shared" ca="1" si="69"/>
        <v>5</v>
      </c>
      <c r="AI33" s="90">
        <f t="shared" ca="1" si="70"/>
        <v>12</v>
      </c>
    </row>
    <row r="34" spans="1:35">
      <c r="A34" s="87" t="str">
        <f t="shared" si="41"/>
        <v>Sprint_2_1</v>
      </c>
      <c r="B34" s="90">
        <f t="shared" ca="1" si="44"/>
        <v>40</v>
      </c>
      <c r="C34" s="90">
        <f t="shared" ca="1" si="45"/>
        <v>13</v>
      </c>
      <c r="D34" s="90">
        <f t="shared" ca="1" si="46"/>
        <v>37</v>
      </c>
      <c r="E34" s="90">
        <f t="shared" ca="1" si="47"/>
        <v>40</v>
      </c>
      <c r="F34" s="90">
        <f t="shared" ca="1" si="48"/>
        <v>13</v>
      </c>
      <c r="G34" s="90">
        <f t="shared" ca="1" si="49"/>
        <v>28</v>
      </c>
      <c r="H34" s="90">
        <f t="shared" ca="1" si="50"/>
        <v>19</v>
      </c>
      <c r="I34" s="90"/>
      <c r="J34" s="90">
        <f t="shared" ca="1" si="51"/>
        <v>37</v>
      </c>
      <c r="K34" s="90">
        <f t="shared" ca="1" si="52"/>
        <v>41.5</v>
      </c>
      <c r="M34" s="87" t="str">
        <f t="shared" si="42"/>
        <v>Sprint_2_1</v>
      </c>
      <c r="N34" s="90">
        <f t="shared" ca="1" si="53"/>
        <v>0</v>
      </c>
      <c r="O34" s="90">
        <f t="shared" ca="1" si="54"/>
        <v>0</v>
      </c>
      <c r="P34" s="90">
        <f t="shared" ca="1" si="55"/>
        <v>0</v>
      </c>
      <c r="Q34" s="90">
        <f t="shared" ca="1" si="56"/>
        <v>0</v>
      </c>
      <c r="R34" s="90">
        <f t="shared" ca="1" si="57"/>
        <v>0</v>
      </c>
      <c r="S34" s="90">
        <f t="shared" ca="1" si="58"/>
        <v>0</v>
      </c>
      <c r="T34" s="90">
        <f t="shared" ca="1" si="59"/>
        <v>0</v>
      </c>
      <c r="U34" s="90"/>
      <c r="V34" s="90">
        <f t="shared" ca="1" si="60"/>
        <v>0</v>
      </c>
      <c r="W34" s="90">
        <f t="shared" ca="1" si="61"/>
        <v>0</v>
      </c>
      <c r="Y34" s="87" t="str">
        <f t="shared" si="43"/>
        <v>Sprint_2_1</v>
      </c>
      <c r="Z34" s="90">
        <f t="shared" ca="1" si="62"/>
        <v>12</v>
      </c>
      <c r="AA34" s="90">
        <f t="shared" ca="1" si="63"/>
        <v>7</v>
      </c>
      <c r="AB34" s="90">
        <f t="shared" ca="1" si="64"/>
        <v>10</v>
      </c>
      <c r="AC34" s="90">
        <f t="shared" ca="1" si="65"/>
        <v>11</v>
      </c>
      <c r="AD34" s="90">
        <f t="shared" ca="1" si="66"/>
        <v>10</v>
      </c>
      <c r="AE34" s="90">
        <f t="shared" ca="1" si="67"/>
        <v>6</v>
      </c>
      <c r="AF34" s="90">
        <f t="shared" ca="1" si="68"/>
        <v>12</v>
      </c>
      <c r="AG34" s="90"/>
      <c r="AH34" s="90">
        <f t="shared" ca="1" si="69"/>
        <v>10</v>
      </c>
      <c r="AI34" s="90">
        <f t="shared" ca="1" si="70"/>
        <v>12.5</v>
      </c>
    </row>
    <row r="35" spans="1:35">
      <c r="A35" s="87" t="str">
        <f t="shared" si="41"/>
        <v>Sprint_2_2</v>
      </c>
      <c r="B35" s="90">
        <f t="shared" ca="1" si="44"/>
        <v>21</v>
      </c>
      <c r="C35" s="90">
        <f t="shared" ca="1" si="45"/>
        <v>21</v>
      </c>
      <c r="D35" s="90">
        <f t="shared" ca="1" si="46"/>
        <v>42</v>
      </c>
      <c r="E35" s="90">
        <f t="shared" ca="1" si="47"/>
        <v>16</v>
      </c>
      <c r="F35" s="90">
        <f t="shared" ca="1" si="48"/>
        <v>24</v>
      </c>
      <c r="G35" s="90">
        <f t="shared" ca="1" si="49"/>
        <v>33</v>
      </c>
      <c r="H35" s="90">
        <f t="shared" ca="1" si="50"/>
        <v>22</v>
      </c>
      <c r="I35" s="90"/>
      <c r="J35" s="90">
        <f t="shared" ca="1" si="51"/>
        <v>52</v>
      </c>
      <c r="K35" s="90">
        <f t="shared" ca="1" si="52"/>
        <v>40</v>
      </c>
      <c r="M35" s="87" t="str">
        <f t="shared" si="42"/>
        <v>Sprint_2_2</v>
      </c>
      <c r="N35" s="90">
        <f t="shared" ca="1" si="53"/>
        <v>0</v>
      </c>
      <c r="O35" s="90">
        <f t="shared" ca="1" si="54"/>
        <v>0</v>
      </c>
      <c r="P35" s="90">
        <f t="shared" ca="1" si="55"/>
        <v>8</v>
      </c>
      <c r="Q35" s="90">
        <f t="shared" ca="1" si="56"/>
        <v>0</v>
      </c>
      <c r="R35" s="90">
        <f t="shared" ca="1" si="57"/>
        <v>0</v>
      </c>
      <c r="S35" s="90">
        <f t="shared" ca="1" si="58"/>
        <v>0</v>
      </c>
      <c r="T35" s="90">
        <f t="shared" ca="1" si="59"/>
        <v>0</v>
      </c>
      <c r="U35" s="90"/>
      <c r="V35" s="90">
        <f t="shared" ca="1" si="60"/>
        <v>0</v>
      </c>
      <c r="W35" s="90">
        <f t="shared" ca="1" si="61"/>
        <v>0</v>
      </c>
      <c r="Y35" s="87" t="str">
        <f t="shared" si="43"/>
        <v>Sprint_2_2</v>
      </c>
      <c r="Z35" s="90">
        <f t="shared" ca="1" si="62"/>
        <v>22</v>
      </c>
      <c r="AA35" s="90">
        <f t="shared" ca="1" si="63"/>
        <v>5</v>
      </c>
      <c r="AB35" s="90">
        <f t="shared" ca="1" si="64"/>
        <v>7</v>
      </c>
      <c r="AC35" s="90">
        <f t="shared" ca="1" si="65"/>
        <v>14</v>
      </c>
      <c r="AD35" s="90">
        <f t="shared" ca="1" si="66"/>
        <v>10</v>
      </c>
      <c r="AE35" s="90">
        <f t="shared" ca="1" si="67"/>
        <v>9</v>
      </c>
      <c r="AF35" s="90">
        <f t="shared" ca="1" si="68"/>
        <v>1</v>
      </c>
      <c r="AG35" s="90"/>
      <c r="AH35" s="90">
        <f t="shared" ca="1" si="69"/>
        <v>7</v>
      </c>
      <c r="AI35" s="90">
        <f t="shared" ca="1" si="70"/>
        <v>7</v>
      </c>
    </row>
    <row r="36" spans="1:35">
      <c r="A36" s="87" t="str">
        <f t="shared" si="41"/>
        <v>Sprint_2_3u4</v>
      </c>
      <c r="B36" s="90">
        <f t="shared" ca="1" si="44"/>
        <v>61</v>
      </c>
      <c r="C36" s="90">
        <f t="shared" ca="1" si="45"/>
        <v>20</v>
      </c>
      <c r="D36" s="90">
        <f t="shared" ca="1" si="46"/>
        <v>71</v>
      </c>
      <c r="E36" s="90">
        <f t="shared" ca="1" si="47"/>
        <v>92</v>
      </c>
      <c r="F36" s="90">
        <f t="shared" ca="1" si="48"/>
        <v>49</v>
      </c>
      <c r="G36" s="90">
        <f t="shared" ca="1" si="49"/>
        <v>61</v>
      </c>
      <c r="H36" s="90">
        <f t="shared" ca="1" si="50"/>
        <v>42</v>
      </c>
      <c r="I36" s="90"/>
      <c r="J36" s="90">
        <f t="shared" ca="1" si="51"/>
        <v>83</v>
      </c>
      <c r="K36" s="90">
        <f t="shared" ca="1" si="52"/>
        <v>85.5</v>
      </c>
      <c r="M36" s="87" t="str">
        <f t="shared" si="42"/>
        <v>Sprint_2_3u4</v>
      </c>
      <c r="N36" s="90">
        <f t="shared" ca="1" si="53"/>
        <v>0</v>
      </c>
      <c r="O36" s="90">
        <f t="shared" ca="1" si="54"/>
        <v>1</v>
      </c>
      <c r="P36" s="90">
        <f t="shared" ca="1" si="55"/>
        <v>0</v>
      </c>
      <c r="Q36" s="90">
        <f t="shared" ca="1" si="56"/>
        <v>0</v>
      </c>
      <c r="R36" s="90">
        <f t="shared" ca="1" si="57"/>
        <v>0</v>
      </c>
      <c r="S36" s="90">
        <f t="shared" ca="1" si="58"/>
        <v>0</v>
      </c>
      <c r="T36" s="90">
        <f t="shared" ca="1" si="59"/>
        <v>0</v>
      </c>
      <c r="U36" s="90"/>
      <c r="V36" s="90">
        <f t="shared" ca="1" si="60"/>
        <v>0</v>
      </c>
      <c r="W36" s="90">
        <f t="shared" ca="1" si="61"/>
        <v>0</v>
      </c>
      <c r="Y36" s="87" t="str">
        <f t="shared" si="43"/>
        <v>Sprint_2_3u4</v>
      </c>
      <c r="Z36" s="90">
        <f t="shared" ca="1" si="62"/>
        <v>45</v>
      </c>
      <c r="AA36" s="90">
        <f t="shared" ca="1" si="63"/>
        <v>9</v>
      </c>
      <c r="AB36" s="90">
        <f t="shared" ca="1" si="64"/>
        <v>7</v>
      </c>
      <c r="AC36" s="90">
        <f t="shared" ca="1" si="65"/>
        <v>8</v>
      </c>
      <c r="AD36" s="90">
        <f t="shared" ca="1" si="66"/>
        <v>4</v>
      </c>
      <c r="AE36" s="90">
        <f t="shared" ca="1" si="67"/>
        <v>14</v>
      </c>
      <c r="AF36" s="90">
        <f t="shared" ca="1" si="68"/>
        <v>3</v>
      </c>
      <c r="AG36" s="90"/>
      <c r="AH36" s="90">
        <f t="shared" ca="1" si="69"/>
        <v>15</v>
      </c>
      <c r="AI36" s="90">
        <f t="shared" ca="1" si="70"/>
        <v>17.5</v>
      </c>
    </row>
    <row r="37" spans="1:35">
      <c r="A37" s="87" t="str">
        <f t="shared" si="41"/>
        <v>Sprint_2_5u6</v>
      </c>
      <c r="B37" s="90">
        <f t="shared" ca="1" si="44"/>
        <v>83</v>
      </c>
      <c r="C37" s="90">
        <f t="shared" ca="1" si="45"/>
        <v>26</v>
      </c>
      <c r="D37" s="90">
        <f t="shared" ca="1" si="46"/>
        <v>80</v>
      </c>
      <c r="E37" s="90">
        <f t="shared" ca="1" si="47"/>
        <v>65</v>
      </c>
      <c r="F37" s="90">
        <f t="shared" ca="1" si="48"/>
        <v>50</v>
      </c>
      <c r="G37" s="90">
        <f t="shared" ca="1" si="49"/>
        <v>64</v>
      </c>
      <c r="H37" s="90">
        <f t="shared" ca="1" si="50"/>
        <v>53</v>
      </c>
      <c r="I37" s="90"/>
      <c r="J37" s="90">
        <f t="shared" ca="1" si="51"/>
        <v>151</v>
      </c>
      <c r="K37" s="90">
        <f t="shared" ca="1" si="52"/>
        <v>97</v>
      </c>
      <c r="M37" s="87" t="str">
        <f t="shared" ref="M37" si="71">A37</f>
        <v>Sprint_2_5u6</v>
      </c>
      <c r="N37" s="90">
        <f t="shared" ca="1" si="53"/>
        <v>0</v>
      </c>
      <c r="O37" s="90">
        <f t="shared" ca="1" si="54"/>
        <v>2</v>
      </c>
      <c r="P37" s="90">
        <f t="shared" ca="1" si="55"/>
        <v>0</v>
      </c>
      <c r="Q37" s="90">
        <f t="shared" ca="1" si="56"/>
        <v>0</v>
      </c>
      <c r="R37" s="90">
        <f t="shared" ca="1" si="57"/>
        <v>0</v>
      </c>
      <c r="S37" s="90">
        <f t="shared" ca="1" si="58"/>
        <v>0</v>
      </c>
      <c r="T37" s="90">
        <f t="shared" ca="1" si="59"/>
        <v>0</v>
      </c>
      <c r="U37" s="90"/>
      <c r="V37" s="90">
        <f t="shared" ca="1" si="60"/>
        <v>0</v>
      </c>
      <c r="W37" s="90">
        <f t="shared" ca="1" si="61"/>
        <v>0</v>
      </c>
      <c r="Y37" s="87" t="str">
        <f t="shared" ref="Y37" si="72">M37</f>
        <v>Sprint_2_5u6</v>
      </c>
      <c r="Z37" s="90">
        <f t="shared" ca="1" si="62"/>
        <v>41</v>
      </c>
      <c r="AA37" s="90">
        <f t="shared" ca="1" si="63"/>
        <v>2</v>
      </c>
      <c r="AB37" s="90">
        <f t="shared" ca="1" si="64"/>
        <v>33</v>
      </c>
      <c r="AC37" s="90">
        <f t="shared" ca="1" si="65"/>
        <v>11</v>
      </c>
      <c r="AD37" s="90">
        <f t="shared" ca="1" si="66"/>
        <v>14</v>
      </c>
      <c r="AE37" s="90">
        <f t="shared" ca="1" si="67"/>
        <v>24</v>
      </c>
      <c r="AF37" s="90">
        <f t="shared" ca="1" si="68"/>
        <v>9</v>
      </c>
      <c r="AG37" s="90"/>
      <c r="AH37" s="90">
        <f t="shared" ca="1" si="69"/>
        <v>21</v>
      </c>
      <c r="AI37" s="90">
        <f t="shared" ca="1" si="70"/>
        <v>13</v>
      </c>
    </row>
    <row r="38" spans="1:35">
      <c r="A38" s="87" t="str">
        <f t="shared" si="41"/>
        <v>Sprint_3_1u2</v>
      </c>
      <c r="B38" s="90">
        <f t="shared" ca="1" si="44"/>
        <v>0</v>
      </c>
      <c r="C38" s="90">
        <f t="shared" ca="1" si="45"/>
        <v>26</v>
      </c>
      <c r="D38" s="90">
        <f t="shared" ca="1" si="46"/>
        <v>132</v>
      </c>
      <c r="E38" s="90">
        <f t="shared" ca="1" si="47"/>
        <v>0</v>
      </c>
      <c r="F38" s="90">
        <f t="shared" ca="1" si="48"/>
        <v>56</v>
      </c>
      <c r="G38" s="90">
        <f t="shared" ca="1" si="49"/>
        <v>0</v>
      </c>
      <c r="H38" s="90">
        <f t="shared" ca="1" si="50"/>
        <v>41</v>
      </c>
      <c r="I38" s="90"/>
      <c r="J38" s="90">
        <f t="shared" ca="1" si="51"/>
        <v>0</v>
      </c>
      <c r="K38" s="90">
        <f t="shared" ca="1" si="52"/>
        <v>0</v>
      </c>
      <c r="M38" s="87" t="str">
        <f t="shared" ref="M38" si="73">A38</f>
        <v>Sprint_3_1u2</v>
      </c>
      <c r="N38" s="90">
        <f t="shared" ca="1" si="53"/>
        <v>0</v>
      </c>
      <c r="O38" s="90">
        <f t="shared" ca="1" si="54"/>
        <v>6</v>
      </c>
      <c r="P38" s="90">
        <f t="shared" ca="1" si="55"/>
        <v>0</v>
      </c>
      <c r="Q38" s="90">
        <f t="shared" ca="1" si="56"/>
        <v>0</v>
      </c>
      <c r="R38" s="90">
        <f t="shared" ca="1" si="57"/>
        <v>0</v>
      </c>
      <c r="S38" s="90">
        <f t="shared" ca="1" si="58"/>
        <v>0</v>
      </c>
      <c r="T38" s="90">
        <f t="shared" ca="1" si="59"/>
        <v>0</v>
      </c>
      <c r="U38" s="90"/>
      <c r="V38" s="90">
        <f t="shared" ca="1" si="60"/>
        <v>0</v>
      </c>
      <c r="W38" s="90">
        <f t="shared" ca="1" si="61"/>
        <v>0</v>
      </c>
      <c r="Y38" s="87" t="str">
        <f t="shared" ref="Y38" si="74">M38</f>
        <v>Sprint_3_1u2</v>
      </c>
      <c r="Z38" s="90">
        <f t="shared" ca="1" si="62"/>
        <v>0</v>
      </c>
      <c r="AA38" s="90">
        <f t="shared" ca="1" si="63"/>
        <v>17</v>
      </c>
      <c r="AB38" s="90">
        <f t="shared" ca="1" si="64"/>
        <v>19</v>
      </c>
      <c r="AC38" s="90">
        <f t="shared" ca="1" si="65"/>
        <v>0</v>
      </c>
      <c r="AD38" s="90">
        <f t="shared" ca="1" si="66"/>
        <v>14</v>
      </c>
      <c r="AE38" s="90">
        <f t="shared" ca="1" si="67"/>
        <v>0</v>
      </c>
      <c r="AF38" s="90">
        <f t="shared" ca="1" si="68"/>
        <v>21</v>
      </c>
      <c r="AG38" s="90"/>
      <c r="AH38" s="90">
        <f t="shared" ca="1" si="69"/>
        <v>0</v>
      </c>
      <c r="AI38" s="90">
        <f t="shared" ca="1" si="70"/>
        <v>0</v>
      </c>
    </row>
    <row r="39" spans="1:35">
      <c r="A39" s="87" t="str">
        <f t="shared" si="41"/>
        <v>Sprint_3_3u4</v>
      </c>
      <c r="B39" s="90"/>
      <c r="C39" s="90"/>
      <c r="D39" s="90"/>
      <c r="E39" s="90"/>
      <c r="F39" s="90"/>
      <c r="G39" s="90"/>
      <c r="H39" s="90"/>
      <c r="I39" s="90"/>
      <c r="J39" s="90"/>
      <c r="K39" s="90"/>
      <c r="M39" s="87" t="str">
        <f t="shared" si="42"/>
        <v>Sprint_3_3u4</v>
      </c>
      <c r="N39" s="90"/>
      <c r="O39" s="90"/>
      <c r="P39" s="90"/>
      <c r="Q39" s="90"/>
      <c r="R39" s="90"/>
      <c r="S39" s="90"/>
      <c r="T39" s="90"/>
      <c r="U39" s="90"/>
      <c r="V39" s="90"/>
      <c r="W39" s="90"/>
      <c r="Y39" s="87" t="str">
        <f t="shared" si="43"/>
        <v>Sprint_3_3u4</v>
      </c>
    </row>
    <row r="40" spans="1:35">
      <c r="A40" s="87" t="str">
        <f t="shared" si="41"/>
        <v>Sprint_3_5u6</v>
      </c>
      <c r="B40" s="90"/>
      <c r="C40" s="90"/>
      <c r="D40" s="90"/>
      <c r="E40" s="90"/>
      <c r="F40" s="90"/>
      <c r="G40" s="90"/>
      <c r="H40" s="90"/>
      <c r="I40" s="90"/>
      <c r="J40" s="90"/>
      <c r="K40" s="90"/>
      <c r="M40" s="87" t="str">
        <f t="shared" si="42"/>
        <v>Sprint_3_5u6</v>
      </c>
      <c r="N40" s="90"/>
      <c r="O40" s="90"/>
      <c r="P40" s="90"/>
      <c r="Q40" s="90"/>
      <c r="R40" s="90"/>
      <c r="S40" s="90"/>
      <c r="T40" s="90"/>
      <c r="U40" s="90"/>
      <c r="V40" s="90"/>
      <c r="W40" s="90"/>
      <c r="Y40" s="87" t="str">
        <f t="shared" si="43"/>
        <v>Sprint_3_5u6</v>
      </c>
    </row>
    <row r="41" spans="1:35">
      <c r="B41" s="90"/>
      <c r="C41" s="90"/>
      <c r="D41" s="90"/>
      <c r="E41" s="90"/>
      <c r="F41" s="90"/>
      <c r="G41" s="90"/>
      <c r="H41" s="90"/>
      <c r="I41" s="90"/>
      <c r="J41" s="90"/>
      <c r="K41" s="90"/>
    </row>
    <row r="42" spans="1:35">
      <c r="B42" s="410" t="s">
        <v>129</v>
      </c>
      <c r="C42" s="410"/>
      <c r="D42" s="410"/>
      <c r="E42" s="410"/>
      <c r="F42" s="410"/>
      <c r="G42" s="410"/>
      <c r="H42" s="410"/>
      <c r="I42" s="410"/>
      <c r="J42" s="410"/>
      <c r="K42" s="410"/>
      <c r="M42" s="94"/>
      <c r="N42" s="411" t="s">
        <v>43</v>
      </c>
      <c r="O42" s="411"/>
      <c r="P42" s="411"/>
      <c r="Q42" s="411"/>
      <c r="R42" s="411"/>
      <c r="S42" s="411"/>
      <c r="T42" s="411"/>
      <c r="U42" s="411"/>
      <c r="V42" s="411"/>
      <c r="W42" s="411"/>
      <c r="Y42" s="87"/>
      <c r="Z42" s="410" t="s">
        <v>130</v>
      </c>
      <c r="AA42" s="410"/>
      <c r="AB42" s="410"/>
      <c r="AC42" s="410"/>
      <c r="AD42" s="410"/>
      <c r="AE42" s="410"/>
      <c r="AF42" s="410"/>
      <c r="AG42" s="410"/>
      <c r="AH42" s="410"/>
      <c r="AI42" s="410"/>
    </row>
    <row r="43" spans="1:35">
      <c r="B43" s="90" t="str">
        <f>B$3</f>
        <v>Engineering</v>
      </c>
      <c r="C43" s="90" t="str">
        <f t="shared" ref="C43:K43" si="75">C$3</f>
        <v>Payment</v>
      </c>
      <c r="D43" s="90" t="str">
        <f t="shared" si="75"/>
        <v>Sales</v>
      </c>
      <c r="E43" s="90" t="str">
        <f t="shared" si="75"/>
        <v>Vlinder</v>
      </c>
      <c r="F43" s="90" t="str">
        <f t="shared" si="75"/>
        <v>TTT</v>
      </c>
      <c r="G43" s="90" t="str">
        <f t="shared" si="75"/>
        <v>TNT</v>
      </c>
      <c r="H43" s="90" t="str">
        <f t="shared" si="75"/>
        <v>TFS</v>
      </c>
      <c r="I43" s="90" t="str">
        <f t="shared" si="75"/>
        <v>0-Noise</v>
      </c>
      <c r="J43" s="90" t="str">
        <f t="shared" si="75"/>
        <v>Synergy</v>
      </c>
      <c r="K43" s="90" t="str">
        <f t="shared" si="75"/>
        <v>Papillon</v>
      </c>
      <c r="N43" s="90" t="str">
        <f>B43</f>
        <v>Engineering</v>
      </c>
      <c r="O43" s="90" t="str">
        <f t="shared" ref="O43" si="76">C43</f>
        <v>Payment</v>
      </c>
      <c r="P43" s="90" t="str">
        <f t="shared" ref="P43" si="77">D43</f>
        <v>Sales</v>
      </c>
      <c r="Q43" s="90" t="str">
        <f t="shared" ref="Q43" si="78">E43</f>
        <v>Vlinder</v>
      </c>
      <c r="R43" s="90" t="str">
        <f t="shared" ref="R43" si="79">F43</f>
        <v>TTT</v>
      </c>
      <c r="S43" s="90" t="str">
        <f t="shared" ref="S43" si="80">G43</f>
        <v>TNT</v>
      </c>
      <c r="T43" s="90" t="str">
        <f t="shared" ref="T43" si="81">H43</f>
        <v>TFS</v>
      </c>
      <c r="U43" s="90" t="str">
        <f t="shared" ref="U43" si="82">I43</f>
        <v>0-Noise</v>
      </c>
      <c r="V43" s="90" t="str">
        <f t="shared" ref="V43" si="83">J43</f>
        <v>Synergy</v>
      </c>
      <c r="W43" s="90" t="str">
        <f t="shared" ref="W43" si="84">K43</f>
        <v>Papillon</v>
      </c>
      <c r="Y43" s="87"/>
      <c r="Z43" s="90" t="str">
        <f>N43</f>
        <v>Engineering</v>
      </c>
      <c r="AA43" s="90" t="str">
        <f t="shared" ref="AA43" si="85">O43</f>
        <v>Payment</v>
      </c>
      <c r="AB43" s="90" t="str">
        <f t="shared" ref="AB43" si="86">P43</f>
        <v>Sales</v>
      </c>
      <c r="AC43" s="90" t="str">
        <f t="shared" ref="AC43" si="87">Q43</f>
        <v>Vlinder</v>
      </c>
      <c r="AD43" s="90" t="str">
        <f t="shared" ref="AD43" si="88">R43</f>
        <v>TTT</v>
      </c>
      <c r="AE43" s="90" t="str">
        <f t="shared" ref="AE43" si="89">S43</f>
        <v>TNT</v>
      </c>
      <c r="AF43" s="90" t="str">
        <f t="shared" ref="AF43" si="90">T43</f>
        <v>TFS</v>
      </c>
      <c r="AG43" s="90" t="str">
        <f t="shared" ref="AG43" si="91">U43</f>
        <v>0-Noise</v>
      </c>
      <c r="AH43" s="90" t="str">
        <f t="shared" ref="AH43" si="92">V43</f>
        <v>Synergy</v>
      </c>
      <c r="AI43" s="90" t="str">
        <f t="shared" ref="AI43" si="93">W43</f>
        <v>Papillon</v>
      </c>
    </row>
    <row r="44" spans="1:35">
      <c r="A44" s="94" t="str">
        <f t="shared" ref="A44:A58" si="94">A4&amp;" - "&amp;A6</f>
        <v>Sprint_4_4 - Sprint_4_6</v>
      </c>
      <c r="B44" s="93">
        <f ca="1">AVERAGE(B$24:B26)</f>
        <v>55.333333333333336</v>
      </c>
      <c r="C44" s="93">
        <f ca="1">AVERAGE(C$24:C26)</f>
        <v>10.666666666666666</v>
      </c>
      <c r="D44" s="93">
        <f ca="1">AVERAGE(D$24:D26)</f>
        <v>35.666666666666664</v>
      </c>
      <c r="E44" s="93">
        <f ca="1">AVERAGE(E$24:E26)</f>
        <v>32.333333333333336</v>
      </c>
      <c r="F44" s="93">
        <f ca="1">AVERAGE(F$24:F26)</f>
        <v>40.333333333333336</v>
      </c>
      <c r="G44" s="93">
        <f ca="1">AVERAGE(G$24:G26)</f>
        <v>37.666666666666664</v>
      </c>
      <c r="H44" s="93">
        <f ca="1">AVERAGE(H$24:H26)</f>
        <v>26</v>
      </c>
      <c r="I44" s="93">
        <f ca="1">AVERAGE(I$24:I26)</f>
        <v>21.666666666666668</v>
      </c>
      <c r="J44" s="93"/>
      <c r="K44" s="93">
        <f ca="1">AVERAGE(K$24:K26)</f>
        <v>24</v>
      </c>
      <c r="M44" s="87" t="str">
        <f t="shared" ref="M44:M58" si="95">A44</f>
        <v>Sprint_4_4 - Sprint_4_6</v>
      </c>
      <c r="N44" s="93">
        <f ca="1">_xlfn.STDEV.P(B$24:B26)</f>
        <v>13.719410418171119</v>
      </c>
      <c r="O44" s="93">
        <f ca="1">_xlfn.STDEV.P(C$24:C26)</f>
        <v>2.8674417556808756</v>
      </c>
      <c r="P44" s="93">
        <f ca="1">_xlfn.STDEV.P(D$24:D26)</f>
        <v>11.08552609887726</v>
      </c>
      <c r="Q44" s="93">
        <f ca="1">_xlfn.STDEV.P(E$24:E26)</f>
        <v>13.274871834493252</v>
      </c>
      <c r="R44" s="93">
        <f ca="1">_xlfn.STDEV.P(F$24:F26)</f>
        <v>11.440668201153676</v>
      </c>
      <c r="S44" s="93">
        <f ca="1">_xlfn.STDEV.P(G$24:G26)</f>
        <v>2.8674417556808756</v>
      </c>
      <c r="T44" s="93">
        <f ca="1">_xlfn.STDEV.P(H$24:H26)</f>
        <v>7.1180521680208741</v>
      </c>
      <c r="U44" s="93">
        <f ca="1">_xlfn.STDEV.P(I$24:I26)</f>
        <v>11.115554667022044</v>
      </c>
      <c r="V44" s="93"/>
      <c r="W44" s="93">
        <f ca="1">_xlfn.STDEV.P(K$24:K26)</f>
        <v>9.2736184954957039</v>
      </c>
      <c r="Y44" s="87" t="str">
        <f t="shared" ref="Y44:Y58" si="96">M44</f>
        <v>Sprint_4_4 - Sprint_4_6</v>
      </c>
      <c r="Z44" s="258">
        <f ca="1">AVEDEV(B$24:B26)</f>
        <v>12.222222222222221</v>
      </c>
      <c r="AA44" s="258">
        <f ca="1">AVEDEV(C$24:C26)</f>
        <v>2.4444444444444446</v>
      </c>
      <c r="AB44" s="258">
        <f ca="1">AVEDEV(D$24:D26)</f>
        <v>9.5555555555555554</v>
      </c>
      <c r="AC44" s="258">
        <f ca="1">AVEDEV(E$24:E26)</f>
        <v>11.777777777777779</v>
      </c>
      <c r="AD44" s="258">
        <f ca="1">AVEDEV(F$24:F26)</f>
        <v>10.444444444444445</v>
      </c>
      <c r="AE44" s="258">
        <f ca="1">AVEDEV(G$24:G26)</f>
        <v>2.4444444444444451</v>
      </c>
      <c r="AF44" s="258">
        <f ca="1">AVEDEV(H$24:H26)</f>
        <v>6.666666666666667</v>
      </c>
      <c r="AG44" s="258">
        <f ca="1">AVEDEV(I$24:I26)</f>
        <v>10.222222222222223</v>
      </c>
      <c r="AH44" s="258"/>
      <c r="AI44" s="258">
        <f ca="1">AVEDEV(K$24:K26)</f>
        <v>8.6666666666666661</v>
      </c>
    </row>
    <row r="45" spans="1:35">
      <c r="A45" s="94" t="str">
        <f t="shared" si="94"/>
        <v>Sprint_4_5 - Sprint_4_8</v>
      </c>
      <c r="B45" s="93">
        <f ca="1">AVERAGE(B$24:B27)</f>
        <v>60</v>
      </c>
      <c r="C45" s="93">
        <f ca="1">AVERAGE(C$24:C27)</f>
        <v>10.25</v>
      </c>
      <c r="D45" s="93">
        <f ca="1">AVERAGE(D$24:D27)</f>
        <v>32.75</v>
      </c>
      <c r="E45" s="93">
        <f ca="1">AVERAGE(E$24:E27)</f>
        <v>32.75</v>
      </c>
      <c r="F45" s="93">
        <f ca="1">AVERAGE(F$24:F27)</f>
        <v>40.25</v>
      </c>
      <c r="G45" s="93">
        <f ca="1">AVERAGE(G$24:G27)</f>
        <v>41.25</v>
      </c>
      <c r="H45" s="93">
        <f ca="1">AVERAGE(H$24:H27)</f>
        <v>24</v>
      </c>
      <c r="I45" s="93"/>
      <c r="J45" s="93">
        <f ca="1">AVERAGE(J$24:J27)</f>
        <v>38.666666666666664</v>
      </c>
      <c r="K45" s="93">
        <f ca="1">AVERAGE(K$24:K27)</f>
        <v>26</v>
      </c>
      <c r="M45" s="87" t="str">
        <f t="shared" si="95"/>
        <v>Sprint_4_5 - Sprint_4_8</v>
      </c>
      <c r="N45" s="93">
        <f ca="1">_xlfn.STDEV.P(B$24:B27)</f>
        <v>14.370107863199914</v>
      </c>
      <c r="O45" s="93">
        <f ca="1">_xlfn.STDEV.P(C$24:C27)</f>
        <v>2.5860201081971503</v>
      </c>
      <c r="P45" s="93">
        <f ca="1">_xlfn.STDEV.P(D$24:D27)</f>
        <v>10.848386976873567</v>
      </c>
      <c r="Q45" s="93">
        <f ca="1">_xlfn.STDEV.P(E$24:E27)</f>
        <v>11.519006033508273</v>
      </c>
      <c r="R45" s="93">
        <f ca="1">_xlfn.STDEV.P(F$24:F27)</f>
        <v>9.9089605913032077</v>
      </c>
      <c r="S45" s="93">
        <f ca="1">_xlfn.STDEV.P(G$24:G27)</f>
        <v>6.6848709785604692</v>
      </c>
      <c r="T45" s="93">
        <f ca="1">_xlfn.STDEV.P(H$24:H27)</f>
        <v>7.0710678118654755</v>
      </c>
      <c r="U45" s="93">
        <f ca="1">_xlfn.STDEV.P(I$24:I27)</f>
        <v>10.677078252031311</v>
      </c>
      <c r="V45" s="93">
        <f ca="1">_xlfn.STDEV.P(J$24:J27)</f>
        <v>14.267289706021797</v>
      </c>
      <c r="W45" s="93">
        <f ca="1">_xlfn.STDEV.P(K$24:K27)</f>
        <v>8.7464278422679502</v>
      </c>
      <c r="Y45" s="87" t="str">
        <f t="shared" si="96"/>
        <v>Sprint_4_5 - Sprint_4_8</v>
      </c>
      <c r="Z45" s="93">
        <f ca="1">AVEDEV(B$24:B27)</f>
        <v>12</v>
      </c>
      <c r="AA45" s="93">
        <f ca="1">AVEDEV(C$24:C27)</f>
        <v>2.25</v>
      </c>
      <c r="AB45" s="93">
        <f ca="1">AVEDEV(D$24:D27)</f>
        <v>9.25</v>
      </c>
      <c r="AC45" s="93">
        <f ca="1">AVEDEV(E$24:E27)</f>
        <v>9.25</v>
      </c>
      <c r="AD45" s="93">
        <f ca="1">AVEDEV(F$24:F27)</f>
        <v>7.875</v>
      </c>
      <c r="AE45" s="93">
        <f ca="1">AVEDEV(G$24:G27)</f>
        <v>5.375</v>
      </c>
      <c r="AF45" s="93">
        <f ca="1">AVEDEV(H$24:H27)</f>
        <v>7</v>
      </c>
      <c r="AG45" s="93">
        <f ca="1">AVEDEV(I$24:I27)</f>
        <v>9</v>
      </c>
      <c r="AH45" s="93">
        <f ca="1">AVEDEV(J$24:J27)</f>
        <v>12.888888888888888</v>
      </c>
      <c r="AI45" s="93">
        <f ca="1">AVEDEV(K$24:K27)</f>
        <v>8.5</v>
      </c>
    </row>
    <row r="46" spans="1:35">
      <c r="A46" s="257" t="str">
        <f t="shared" si="94"/>
        <v>Sprint_4_6 - Sprint_1_1</v>
      </c>
      <c r="B46" s="196">
        <f ca="1">AVERAGE(B$24:B28)</f>
        <v>63</v>
      </c>
      <c r="C46" s="196">
        <f ca="1">AVERAGE(C$24:C28)</f>
        <v>10</v>
      </c>
      <c r="D46" s="196">
        <f ca="1">AVERAGE(D$24:D28)</f>
        <v>33.6</v>
      </c>
      <c r="E46" s="196">
        <f ca="1">AVERAGE(E$24:E28)</f>
        <v>31.8</v>
      </c>
      <c r="F46" s="196">
        <f ca="1">AVERAGE(F$24:F28)</f>
        <v>38</v>
      </c>
      <c r="G46" s="196">
        <f ca="1">AVERAGE(G$24:G28)</f>
        <v>40.799999999999997</v>
      </c>
      <c r="H46" s="196">
        <f ca="1">AVERAGE(H$24:H28)</f>
        <v>24.2</v>
      </c>
      <c r="I46" s="196"/>
      <c r="J46" s="196">
        <f ca="1">AVERAGE(J$24:J28)</f>
        <v>35</v>
      </c>
      <c r="K46" s="196">
        <f ca="1">AVERAGE(K$24:K28)</f>
        <v>25.4</v>
      </c>
      <c r="L46" s="274"/>
      <c r="M46" s="256" t="str">
        <f t="shared" si="95"/>
        <v>Sprint_4_6 - Sprint_1_1</v>
      </c>
      <c r="N46" s="196">
        <f ca="1">_xlfn.STDEV.P(B$24:B28)</f>
        <v>14.184498581197715</v>
      </c>
      <c r="O46" s="196">
        <f ca="1">_xlfn.STDEV.P(C$24:C28)</f>
        <v>2.3664319132398464</v>
      </c>
      <c r="P46" s="196">
        <f ca="1">_xlfn.STDEV.P(D$24:D28)</f>
        <v>9.8508882848198009</v>
      </c>
      <c r="Q46" s="196">
        <f ca="1">_xlfn.STDEV.P(E$24:E28)</f>
        <v>10.476640682967036</v>
      </c>
      <c r="R46" s="196">
        <f ca="1">_xlfn.STDEV.P(F$24:F28)</f>
        <v>9.9398189118313418</v>
      </c>
      <c r="S46" s="196">
        <f ca="1">_xlfn.STDEV.P(G$24:G28)</f>
        <v>6.0464865831323902</v>
      </c>
      <c r="T46" s="196">
        <f ca="1">_xlfn.STDEV.P(H$24:H28)</f>
        <v>6.3371918071019433</v>
      </c>
      <c r="U46" s="196"/>
      <c r="V46" s="196">
        <f ca="1">_xlfn.STDEV.P(J$24:J28)</f>
        <v>13.892443989449804</v>
      </c>
      <c r="W46" s="196">
        <f ca="1">_xlfn.STDEV.P(K$24:K28)</f>
        <v>7.9145435749637514</v>
      </c>
      <c r="X46" s="274"/>
      <c r="Y46" s="256" t="str">
        <f t="shared" si="96"/>
        <v>Sprint_4_6 - Sprint_1_1</v>
      </c>
      <c r="Z46" s="196">
        <f ca="1">AVEDEV(B$24:B28)</f>
        <v>12</v>
      </c>
      <c r="AA46" s="196">
        <f ca="1">AVEDEV(C$24:C28)</f>
        <v>2</v>
      </c>
      <c r="AB46" s="196">
        <f ca="1">AVEDEV(D$24:D28)</f>
        <v>8.08</v>
      </c>
      <c r="AC46" s="196">
        <f ca="1">AVEDEV(E$24:E28)</f>
        <v>8.16</v>
      </c>
      <c r="AD46" s="196">
        <f ca="1">AVEDEV(F$24:F28)</f>
        <v>8</v>
      </c>
      <c r="AE46" s="196">
        <f ca="1">AVEDEV(G$24:G28)</f>
        <v>4.5599999999999996</v>
      </c>
      <c r="AF46" s="196">
        <f ca="1">AVEDEV(H$24:H28)</f>
        <v>5.76</v>
      </c>
      <c r="AG46" s="196"/>
      <c r="AH46" s="196">
        <f ca="1">AVEDEV(J$24:J28)</f>
        <v>11.5</v>
      </c>
      <c r="AI46" s="196">
        <f ca="1">AVEDEV(K$24:K28)</f>
        <v>7.2799999999999994</v>
      </c>
    </row>
    <row r="47" spans="1:35">
      <c r="A47" s="94" t="str">
        <f t="shared" si="94"/>
        <v>Sprint_4_8 - Sprint_1_2</v>
      </c>
      <c r="B47" s="93">
        <f ca="1">AVERAGE(B24:B29)</f>
        <v>58.833333333333336</v>
      </c>
      <c r="C47" s="93">
        <f t="shared" ref="C47:K47" ca="1" si="97">AVERAGE(C24:C29)</f>
        <v>11.833333333333334</v>
      </c>
      <c r="D47" s="93">
        <f t="shared" ca="1" si="97"/>
        <v>35.5</v>
      </c>
      <c r="E47" s="93">
        <f t="shared" ca="1" si="97"/>
        <v>30.833333333333332</v>
      </c>
      <c r="F47" s="93">
        <f t="shared" ca="1" si="97"/>
        <v>36</v>
      </c>
      <c r="G47" s="93">
        <f t="shared" ca="1" si="97"/>
        <v>42.166666666666664</v>
      </c>
      <c r="H47" s="93">
        <f t="shared" ca="1" si="97"/>
        <v>22.833333333333332</v>
      </c>
      <c r="I47" s="93"/>
      <c r="J47" s="93">
        <f t="shared" ca="1" si="97"/>
        <v>34.200000000000003</v>
      </c>
      <c r="K47" s="93">
        <f t="shared" ca="1" si="97"/>
        <v>28.083333333333332</v>
      </c>
      <c r="M47" s="87" t="str">
        <f t="shared" si="95"/>
        <v>Sprint_4_8 - Sprint_1_2</v>
      </c>
      <c r="N47" s="93">
        <f t="shared" ref="N47:N53" ca="1" si="98">_xlfn.STDEV.P(B24:B29)</f>
        <v>15.952185499868731</v>
      </c>
      <c r="O47" s="93">
        <f t="shared" ref="O47:W47" ca="1" si="99">_xlfn.STDEV.P(C24:C29)</f>
        <v>4.6338129248192814</v>
      </c>
      <c r="P47" s="93">
        <f t="shared" ca="1" si="99"/>
        <v>9.9456858318904615</v>
      </c>
      <c r="Q47" s="93">
        <f t="shared" ca="1" si="99"/>
        <v>9.8050440533884853</v>
      </c>
      <c r="R47" s="93">
        <f t="shared" ca="1" si="99"/>
        <v>10.115993936995679</v>
      </c>
      <c r="S47" s="93">
        <f t="shared" ca="1" si="99"/>
        <v>6.3091644102492337</v>
      </c>
      <c r="T47" s="93">
        <f t="shared" ca="1" si="99"/>
        <v>6.5425954754635072</v>
      </c>
      <c r="U47" s="93"/>
      <c r="V47" s="93">
        <f t="shared" ca="1" si="99"/>
        <v>12.528367810692661</v>
      </c>
      <c r="W47" s="93">
        <f t="shared" ca="1" si="99"/>
        <v>9.3915594492548937</v>
      </c>
      <c r="Y47" s="87" t="str">
        <f t="shared" si="96"/>
        <v>Sprint_4_8 - Sprint_1_2</v>
      </c>
      <c r="Z47" s="93">
        <f t="shared" ref="Z47:Z53" ca="1" si="100">AVEDEV(B24:B29)</f>
        <v>14.222222222222223</v>
      </c>
      <c r="AA47" s="93">
        <f t="shared" ref="AA47:AI47" ca="1" si="101">AVEDEV(C24:C29)</f>
        <v>3.7777777777777781</v>
      </c>
      <c r="AB47" s="93">
        <f t="shared" ca="1" si="101"/>
        <v>8.5</v>
      </c>
      <c r="AC47" s="93">
        <f t="shared" ca="1" si="101"/>
        <v>7.4444444444444429</v>
      </c>
      <c r="AD47" s="93">
        <f t="shared" ca="1" si="101"/>
        <v>8</v>
      </c>
      <c r="AE47" s="93">
        <f t="shared" ca="1" si="101"/>
        <v>5.5555555555555545</v>
      </c>
      <c r="AF47" s="93">
        <f t="shared" ca="1" si="101"/>
        <v>6.166666666666667</v>
      </c>
      <c r="AG47" s="93"/>
      <c r="AH47" s="93">
        <f t="shared" ca="1" si="101"/>
        <v>9.5200000000000014</v>
      </c>
      <c r="AI47" s="93">
        <f t="shared" ca="1" si="101"/>
        <v>8.75</v>
      </c>
    </row>
    <row r="48" spans="1:35">
      <c r="A48" s="94" t="str">
        <f t="shared" si="94"/>
        <v>Sprint_1_1 - Sprint_1_3</v>
      </c>
      <c r="B48" s="93">
        <f t="shared" ref="B48:H48" ca="1" si="102">AVERAGE(B25:B30)</f>
        <v>56.166666666666664</v>
      </c>
      <c r="C48" s="93">
        <f t="shared" ca="1" si="102"/>
        <v>12.833333333333334</v>
      </c>
      <c r="D48" s="93">
        <f t="shared" ca="1" si="102"/>
        <v>37.333333333333336</v>
      </c>
      <c r="E48" s="93">
        <f t="shared" ca="1" si="102"/>
        <v>28</v>
      </c>
      <c r="F48" s="93">
        <f t="shared" ca="1" si="102"/>
        <v>36</v>
      </c>
      <c r="G48" s="93">
        <f t="shared" ca="1" si="102"/>
        <v>41</v>
      </c>
      <c r="H48" s="93">
        <f t="shared" ca="1" si="102"/>
        <v>24.666666666666668</v>
      </c>
      <c r="I48" s="93"/>
      <c r="J48" s="93">
        <f t="shared" ref="J48:K48" ca="1" si="103">AVERAGE(J25:J30)</f>
        <v>32</v>
      </c>
      <c r="K48" s="93">
        <f t="shared" ca="1" si="103"/>
        <v>35.583333333333336</v>
      </c>
      <c r="M48" s="87" t="str">
        <f t="shared" si="95"/>
        <v>Sprint_1_1 - Sprint_1_3</v>
      </c>
      <c r="N48" s="93">
        <f t="shared" ca="1" si="98"/>
        <v>15.181311610734502</v>
      </c>
      <c r="O48" s="93">
        <f t="shared" ref="O48:T53" ca="1" si="104">_xlfn.STDEV.P(C25:C30)</f>
        <v>4.0994579587496149</v>
      </c>
      <c r="P48" s="93">
        <f t="shared" ca="1" si="104"/>
        <v>8.3599574693229677</v>
      </c>
      <c r="Q48" s="93">
        <f t="shared" ca="1" si="104"/>
        <v>5.259911279353167</v>
      </c>
      <c r="R48" s="93">
        <f t="shared" ca="1" si="104"/>
        <v>10.115993936995679</v>
      </c>
      <c r="S48" s="93">
        <f t="shared" ca="1" si="104"/>
        <v>7.0237691685684931</v>
      </c>
      <c r="T48" s="93">
        <f t="shared" ca="1" si="104"/>
        <v>5.8783973628494657</v>
      </c>
      <c r="U48" s="93"/>
      <c r="V48" s="93">
        <f t="shared" ref="V48:W53" ca="1" si="105">_xlfn.STDEV.P(J25:J30)</f>
        <v>12.449899597988733</v>
      </c>
      <c r="W48" s="93">
        <f t="shared" ca="1" si="105"/>
        <v>13.718651132268393</v>
      </c>
      <c r="Y48" s="87" t="str">
        <f t="shared" si="96"/>
        <v>Sprint_1_1 - Sprint_1_3</v>
      </c>
      <c r="Z48" s="93">
        <f t="shared" ca="1" si="100"/>
        <v>13.166666666666666</v>
      </c>
      <c r="AA48" s="93">
        <f t="shared" ref="AA48:AF53" ca="1" si="106">AVEDEV(C25:C30)</f>
        <v>3.1666666666666665</v>
      </c>
      <c r="AB48" s="93">
        <f t="shared" ca="1" si="106"/>
        <v>6.7777777777777786</v>
      </c>
      <c r="AC48" s="93">
        <f t="shared" ca="1" si="106"/>
        <v>4</v>
      </c>
      <c r="AD48" s="93">
        <f t="shared" ca="1" si="106"/>
        <v>8</v>
      </c>
      <c r="AE48" s="93">
        <f t="shared" ca="1" si="106"/>
        <v>6.333333333333333</v>
      </c>
      <c r="AF48" s="93">
        <f t="shared" ca="1" si="106"/>
        <v>5.1111111111111107</v>
      </c>
      <c r="AG48" s="93"/>
      <c r="AH48" s="93">
        <f t="shared" ref="AH48:AI53" ca="1" si="107">AVEDEV(J25:J30)</f>
        <v>9.3333333333333339</v>
      </c>
      <c r="AI48" s="93">
        <f t="shared" ca="1" si="107"/>
        <v>10.916666666666666</v>
      </c>
    </row>
    <row r="49" spans="1:35">
      <c r="A49" s="94" t="str">
        <f t="shared" si="94"/>
        <v>Sprint_1_2 - Sprint_1_4</v>
      </c>
      <c r="B49" s="93">
        <f t="shared" ref="B49:H49" ca="1" si="108">AVERAGE(B26:B31)</f>
        <v>50.833333333333336</v>
      </c>
      <c r="C49" s="93">
        <f t="shared" ca="1" si="108"/>
        <v>13.333333333333334</v>
      </c>
      <c r="D49" s="93">
        <f t="shared" ca="1" si="108"/>
        <v>38.333333333333336</v>
      </c>
      <c r="E49" s="93">
        <f t="shared" ca="1" si="108"/>
        <v>28.666666666666668</v>
      </c>
      <c r="F49" s="93">
        <f t="shared" ca="1" si="108"/>
        <v>36.333333333333336</v>
      </c>
      <c r="G49" s="93">
        <f t="shared" ca="1" si="108"/>
        <v>39.833333333333336</v>
      </c>
      <c r="H49" s="93">
        <f t="shared" ca="1" si="108"/>
        <v>25.166666666666668</v>
      </c>
      <c r="I49" s="93"/>
      <c r="J49" s="93">
        <f t="shared" ref="J49:K49" ca="1" si="109">AVERAGE(J26:J31)</f>
        <v>32.333333333333336</v>
      </c>
      <c r="K49" s="93">
        <f t="shared" ca="1" si="109"/>
        <v>39.833333333333336</v>
      </c>
      <c r="M49" s="87" t="str">
        <f t="shared" si="95"/>
        <v>Sprint_1_2 - Sprint_1_4</v>
      </c>
      <c r="N49" s="93">
        <f t="shared" ca="1" si="98"/>
        <v>18.506005031400544</v>
      </c>
      <c r="O49" s="93">
        <f t="shared" ca="1" si="104"/>
        <v>4.0276819911981905</v>
      </c>
      <c r="P49" s="93">
        <f t="shared" ca="1" si="104"/>
        <v>10.011104945120804</v>
      </c>
      <c r="Q49" s="93">
        <f t="shared" ca="1" si="104"/>
        <v>5.5876848714134031</v>
      </c>
      <c r="R49" s="93">
        <f t="shared" ca="1" si="104"/>
        <v>10.143416036468626</v>
      </c>
      <c r="S49" s="93">
        <f t="shared" ca="1" si="104"/>
        <v>8.5130618594147567</v>
      </c>
      <c r="T49" s="93">
        <f t="shared" ca="1" si="104"/>
        <v>6.4139604682979519</v>
      </c>
      <c r="U49" s="93"/>
      <c r="V49" s="93">
        <f t="shared" ca="1" si="105"/>
        <v>12.256517540566824</v>
      </c>
      <c r="W49" s="93">
        <f t="shared" ca="1" si="105"/>
        <v>11.728408057172787</v>
      </c>
      <c r="Y49" s="87" t="str">
        <f t="shared" si="96"/>
        <v>Sprint_1_2 - Sprint_1_4</v>
      </c>
      <c r="Z49" s="93">
        <f t="shared" ca="1" si="100"/>
        <v>16.833333333333332</v>
      </c>
      <c r="AA49" s="93">
        <f t="shared" ca="1" si="106"/>
        <v>3</v>
      </c>
      <c r="AB49" s="93">
        <f t="shared" ca="1" si="106"/>
        <v>8.1111111111111125</v>
      </c>
      <c r="AC49" s="93">
        <f t="shared" ca="1" si="106"/>
        <v>4.666666666666667</v>
      </c>
      <c r="AD49" s="93">
        <f t="shared" ca="1" si="106"/>
        <v>8.3333333333333339</v>
      </c>
      <c r="AE49" s="93">
        <f t="shared" ca="1" si="106"/>
        <v>7.1111111111111116</v>
      </c>
      <c r="AF49" s="93">
        <f t="shared" ca="1" si="106"/>
        <v>5.5</v>
      </c>
      <c r="AG49" s="93"/>
      <c r="AH49" s="93">
        <f t="shared" ca="1" si="107"/>
        <v>9.1111111111111125</v>
      </c>
      <c r="AI49" s="93">
        <f t="shared" ca="1" si="107"/>
        <v>9.1666666666666661</v>
      </c>
    </row>
    <row r="50" spans="1:35">
      <c r="A50" s="94" t="str">
        <f t="shared" si="94"/>
        <v>Sprint_1_3 - Sprint_1_5</v>
      </c>
      <c r="B50" s="93">
        <f t="shared" ref="B50:H50" ca="1" si="110">AVERAGE(B27:B32)</f>
        <v>56.666666666666664</v>
      </c>
      <c r="C50" s="93">
        <f t="shared" ca="1" si="110"/>
        <v>13.166666666666666</v>
      </c>
      <c r="D50" s="93">
        <f t="shared" ca="1" si="110"/>
        <v>38.5</v>
      </c>
      <c r="E50" s="93">
        <f t="shared" ca="1" si="110"/>
        <v>32.666666666666664</v>
      </c>
      <c r="F50" s="93">
        <f t="shared" ca="1" si="110"/>
        <v>32.666666666666664</v>
      </c>
      <c r="G50" s="93">
        <f t="shared" ca="1" si="110"/>
        <v>39.333333333333336</v>
      </c>
      <c r="H50" s="93">
        <f t="shared" ca="1" si="110"/>
        <v>25.166666666666668</v>
      </c>
      <c r="I50" s="93"/>
      <c r="J50" s="93">
        <f t="shared" ref="J50:K50" ca="1" si="111">AVERAGE(J27:J32)</f>
        <v>28.666666666666668</v>
      </c>
      <c r="K50" s="93">
        <f t="shared" ca="1" si="111"/>
        <v>42.5</v>
      </c>
      <c r="M50" s="87" t="str">
        <f t="shared" si="95"/>
        <v>Sprint_1_3 - Sprint_1_5</v>
      </c>
      <c r="N50" s="93">
        <f t="shared" ca="1" si="98"/>
        <v>18.740923729160798</v>
      </c>
      <c r="O50" s="93">
        <f t="shared" ca="1" si="104"/>
        <v>4.0173235977313162</v>
      </c>
      <c r="P50" s="93">
        <f t="shared" ca="1" si="104"/>
        <v>9.9456858318904615</v>
      </c>
      <c r="Q50" s="93">
        <f t="shared" ca="1" si="104"/>
        <v>5.0881125074912497</v>
      </c>
      <c r="R50" s="93">
        <f t="shared" ca="1" si="104"/>
        <v>5.0881125074912497</v>
      </c>
      <c r="S50" s="93">
        <f t="shared" ca="1" si="104"/>
        <v>8.6922698736035322</v>
      </c>
      <c r="T50" s="93">
        <f t="shared" ca="1" si="104"/>
        <v>6.4139604682979519</v>
      </c>
      <c r="U50" s="93"/>
      <c r="V50" s="93">
        <f t="shared" ca="1" si="105"/>
        <v>5.4057582467422849</v>
      </c>
      <c r="W50" s="93">
        <f t="shared" ca="1" si="105"/>
        <v>12.569805089976535</v>
      </c>
      <c r="Y50" s="87" t="str">
        <f t="shared" si="96"/>
        <v>Sprint_1_3 - Sprint_1_5</v>
      </c>
      <c r="Z50" s="93">
        <f t="shared" ca="1" si="100"/>
        <v>17</v>
      </c>
      <c r="AA50" s="93">
        <f t="shared" ca="1" si="106"/>
        <v>2.888888888888888</v>
      </c>
      <c r="AB50" s="93">
        <f t="shared" ca="1" si="106"/>
        <v>8</v>
      </c>
      <c r="AC50" s="93">
        <f t="shared" ca="1" si="106"/>
        <v>3.7777777777777786</v>
      </c>
      <c r="AD50" s="93">
        <f t="shared" ca="1" si="106"/>
        <v>4.666666666666667</v>
      </c>
      <c r="AE50" s="93">
        <f t="shared" ca="1" si="106"/>
        <v>7.4444444444444455</v>
      </c>
      <c r="AF50" s="93">
        <f t="shared" ca="1" si="106"/>
        <v>5.5</v>
      </c>
      <c r="AG50" s="93"/>
      <c r="AH50" s="93">
        <f t="shared" ca="1" si="107"/>
        <v>5</v>
      </c>
      <c r="AI50" s="93">
        <f t="shared" ca="1" si="107"/>
        <v>10.333333333333334</v>
      </c>
    </row>
    <row r="51" spans="1:35">
      <c r="A51" s="94" t="str">
        <f t="shared" si="94"/>
        <v>Sprint_1_4 - Sprint_1_6</v>
      </c>
      <c r="B51" s="93">
        <f t="shared" ref="B51:H51" ca="1" si="112">AVERAGE(B28:B33)</f>
        <v>55.666666666666664</v>
      </c>
      <c r="C51" s="93">
        <f t="shared" ca="1" si="112"/>
        <v>14.666666666666666</v>
      </c>
      <c r="D51" s="93">
        <f t="shared" ca="1" si="112"/>
        <v>42.333333333333336</v>
      </c>
      <c r="E51" s="93">
        <f t="shared" ca="1" si="112"/>
        <v>31.666666666666668</v>
      </c>
      <c r="F51" s="93">
        <f t="shared" ca="1" si="112"/>
        <v>31.333333333333332</v>
      </c>
      <c r="G51" s="93">
        <f t="shared" ca="1" si="112"/>
        <v>35.833333333333336</v>
      </c>
      <c r="H51" s="93">
        <f t="shared" ca="1" si="112"/>
        <v>25.333333333333332</v>
      </c>
      <c r="I51" s="93"/>
      <c r="J51" s="93">
        <f t="shared" ref="J51:K51" ca="1" si="113">AVERAGE(J28:J33)</f>
        <v>29</v>
      </c>
      <c r="K51" s="93">
        <f t="shared" ca="1" si="113"/>
        <v>46.333333333333336</v>
      </c>
      <c r="M51" s="87" t="str">
        <f t="shared" si="95"/>
        <v>Sprint_1_4 - Sprint_1_6</v>
      </c>
      <c r="N51" s="93">
        <f t="shared" ca="1" si="98"/>
        <v>17.93197020841702</v>
      </c>
      <c r="O51" s="93">
        <f t="shared" ca="1" si="104"/>
        <v>3.858612300930075</v>
      </c>
      <c r="P51" s="93">
        <f t="shared" ca="1" si="104"/>
        <v>7.8244630628703344</v>
      </c>
      <c r="Q51" s="93">
        <f t="shared" ca="1" si="104"/>
        <v>5.312459150169742</v>
      </c>
      <c r="R51" s="93">
        <f t="shared" ca="1" si="104"/>
        <v>3.9015666369065416</v>
      </c>
      <c r="S51" s="93">
        <f t="shared" ca="1" si="104"/>
        <v>6.9382194321662158</v>
      </c>
      <c r="T51" s="93">
        <f t="shared" ca="1" si="104"/>
        <v>6.2360956446232354</v>
      </c>
      <c r="U51" s="93"/>
      <c r="V51" s="93">
        <f t="shared" ca="1" si="105"/>
        <v>5.7735026918962582</v>
      </c>
      <c r="W51" s="93">
        <f t="shared" ca="1" si="105"/>
        <v>12.287075413711037</v>
      </c>
      <c r="Y51" s="87" t="str">
        <f t="shared" si="96"/>
        <v>Sprint_1_4 - Sprint_1_6</v>
      </c>
      <c r="Z51" s="93">
        <f t="shared" ca="1" si="100"/>
        <v>16</v>
      </c>
      <c r="AA51" s="93">
        <f t="shared" ca="1" si="106"/>
        <v>3.2222222222222219</v>
      </c>
      <c r="AB51" s="93">
        <f t="shared" ca="1" si="106"/>
        <v>7</v>
      </c>
      <c r="AC51" s="93">
        <f t="shared" ca="1" si="106"/>
        <v>4.333333333333333</v>
      </c>
      <c r="AD51" s="93">
        <f t="shared" ca="1" si="106"/>
        <v>3.3333333333333335</v>
      </c>
      <c r="AE51" s="93">
        <f t="shared" ca="1" si="106"/>
        <v>5.4444444444444455</v>
      </c>
      <c r="AF51" s="93">
        <f t="shared" ca="1" si="106"/>
        <v>5.333333333333333</v>
      </c>
      <c r="AG51" s="93"/>
      <c r="AH51" s="93">
        <f t="shared" ca="1" si="107"/>
        <v>5.333333333333333</v>
      </c>
      <c r="AI51" s="93">
        <f t="shared" ca="1" si="107"/>
        <v>10</v>
      </c>
    </row>
    <row r="52" spans="1:35">
      <c r="A52" s="94" t="str">
        <f t="shared" si="94"/>
        <v>Sprint_1_5 - Sprint_2_1</v>
      </c>
      <c r="B52" s="93">
        <f t="shared" ref="B52:H52" ca="1" si="114">AVERAGE(B29:B34)</f>
        <v>49.833333333333336</v>
      </c>
      <c r="C52" s="93">
        <f t="shared" ca="1" si="114"/>
        <v>15.333333333333334</v>
      </c>
      <c r="D52" s="93">
        <f t="shared" ca="1" si="114"/>
        <v>42.333333333333336</v>
      </c>
      <c r="E52" s="93">
        <f t="shared" ca="1" si="114"/>
        <v>33.666666666666664</v>
      </c>
      <c r="F52" s="93">
        <f t="shared" ca="1" si="114"/>
        <v>28.666666666666668</v>
      </c>
      <c r="G52" s="93">
        <f t="shared" ca="1" si="114"/>
        <v>34</v>
      </c>
      <c r="H52" s="93">
        <f t="shared" ca="1" si="114"/>
        <v>24.333333333333332</v>
      </c>
      <c r="I52" s="93"/>
      <c r="J52" s="93">
        <f t="shared" ref="J52:K52" ca="1" si="115">AVERAGE(J29:J34)</f>
        <v>31.166666666666668</v>
      </c>
      <c r="K52" s="93">
        <f t="shared" ca="1" si="115"/>
        <v>49.416666666666664</v>
      </c>
      <c r="M52" s="87" t="str">
        <f t="shared" si="95"/>
        <v>Sprint_1_5 - Sprint_2_1</v>
      </c>
      <c r="N52" s="93">
        <f t="shared" ca="1" si="98"/>
        <v>16.313763786719758</v>
      </c>
      <c r="O52" s="93">
        <f t="shared" ca="1" si="104"/>
        <v>3.0912061651652345</v>
      </c>
      <c r="P52" s="93">
        <f t="shared" ca="1" si="104"/>
        <v>7.8244630628703344</v>
      </c>
      <c r="Q52" s="93">
        <f t="shared" ca="1" si="104"/>
        <v>5.7927157323275891</v>
      </c>
      <c r="R52" s="93">
        <f t="shared" ca="1" si="104"/>
        <v>7.951240294584375</v>
      </c>
      <c r="S52" s="93">
        <f t="shared" ca="1" si="104"/>
        <v>7.3029674334022152</v>
      </c>
      <c r="T52" s="93">
        <f t="shared" ca="1" si="104"/>
        <v>6.6749947981669289</v>
      </c>
      <c r="U52" s="93"/>
      <c r="V52" s="93">
        <f t="shared" ca="1" si="105"/>
        <v>5.9278064145929132</v>
      </c>
      <c r="W52" s="93">
        <f t="shared" ca="1" si="105"/>
        <v>7.3904029359403376</v>
      </c>
      <c r="Y52" s="87" t="str">
        <f t="shared" si="96"/>
        <v>Sprint_1_5 - Sprint_2_1</v>
      </c>
      <c r="Z52" s="93">
        <f t="shared" ca="1" si="100"/>
        <v>14.833333333333334</v>
      </c>
      <c r="AA52" s="93">
        <f t="shared" ca="1" si="106"/>
        <v>2.7777777777777781</v>
      </c>
      <c r="AB52" s="93">
        <f t="shared" ca="1" si="106"/>
        <v>7</v>
      </c>
      <c r="AC52" s="93">
        <f t="shared" ca="1" si="106"/>
        <v>4.8888888888888884</v>
      </c>
      <c r="AD52" s="93">
        <f t="shared" ca="1" si="106"/>
        <v>6.1111111111111107</v>
      </c>
      <c r="AE52" s="93">
        <f t="shared" ca="1" si="106"/>
        <v>5.333333333333333</v>
      </c>
      <c r="AF52" s="93">
        <f t="shared" ca="1" si="106"/>
        <v>6.333333333333333</v>
      </c>
      <c r="AG52" s="93"/>
      <c r="AH52" s="93">
        <f t="shared" ca="1" si="107"/>
        <v>5.166666666666667</v>
      </c>
      <c r="AI52" s="93">
        <f t="shared" ca="1" si="107"/>
        <v>6.916666666666667</v>
      </c>
    </row>
    <row r="53" spans="1:35">
      <c r="A53" s="94" t="str">
        <f t="shared" si="94"/>
        <v>Sprint_1_6 - Sprint_2_2</v>
      </c>
      <c r="B53" s="93">
        <f t="shared" ref="B53:H56" ca="1" si="116">AVERAGE(B30:B35)</f>
        <v>47</v>
      </c>
      <c r="C53" s="93">
        <f ca="1">AVERAGE(C30:C35)</f>
        <v>15.333333333333334</v>
      </c>
      <c r="D53" s="93">
        <f t="shared" ca="1" si="116"/>
        <v>41.833333333333336</v>
      </c>
      <c r="E53" s="93">
        <f t="shared" ca="1" si="116"/>
        <v>32</v>
      </c>
      <c r="F53" s="93">
        <f t="shared" ca="1" si="116"/>
        <v>28.333333333333332</v>
      </c>
      <c r="G53" s="93">
        <f t="shared" ca="1" si="116"/>
        <v>31.333333333333332</v>
      </c>
      <c r="H53" s="93">
        <f t="shared" ca="1" si="116"/>
        <v>25.333333333333332</v>
      </c>
      <c r="I53" s="93"/>
      <c r="J53" s="93">
        <f t="shared" ref="J53:K56" ca="1" si="117">AVERAGE(J30:J35)</f>
        <v>34.666666666666664</v>
      </c>
      <c r="K53" s="93">
        <f t="shared" ca="1" si="117"/>
        <v>49.166666666666664</v>
      </c>
      <c r="M53" s="87" t="str">
        <f t="shared" ref="M53" si="118">A53</f>
        <v>Sprint_1_6 - Sprint_2_2</v>
      </c>
      <c r="N53" s="93">
        <f t="shared" ca="1" si="98"/>
        <v>19.321835661585919</v>
      </c>
      <c r="O53" s="93">
        <f t="shared" ca="1" si="104"/>
        <v>3.0912061651652345</v>
      </c>
      <c r="P53" s="93">
        <f t="shared" ca="1" si="104"/>
        <v>7.7334051720801202</v>
      </c>
      <c r="Q53" s="93">
        <f t="shared" ca="1" si="104"/>
        <v>8.5440037453175304</v>
      </c>
      <c r="R53" s="93">
        <f t="shared" ca="1" si="104"/>
        <v>8.096638534327413</v>
      </c>
      <c r="S53" s="93">
        <f t="shared" ca="1" si="104"/>
        <v>2.9814239699997196</v>
      </c>
      <c r="T53" s="93">
        <f t="shared" ca="1" si="104"/>
        <v>5.7348835113617511</v>
      </c>
      <c r="U53" s="93"/>
      <c r="V53" s="93">
        <f t="shared" ca="1" si="105"/>
        <v>9.7581874455362989</v>
      </c>
      <c r="W53" s="93">
        <f t="shared" ca="1" si="105"/>
        <v>7.6739096221475585</v>
      </c>
      <c r="Y53" s="87" t="str">
        <f t="shared" ref="Y53" si="119">M53</f>
        <v>Sprint_1_6 - Sprint_2_2</v>
      </c>
      <c r="Z53" s="93">
        <f t="shared" ca="1" si="100"/>
        <v>17.666666666666668</v>
      </c>
      <c r="AA53" s="93">
        <f t="shared" ca="1" si="106"/>
        <v>2.7777777777777781</v>
      </c>
      <c r="AB53" s="93">
        <f t="shared" ca="1" si="106"/>
        <v>6.5</v>
      </c>
      <c r="AC53" s="93">
        <f t="shared" ca="1" si="106"/>
        <v>6.666666666666667</v>
      </c>
      <c r="AD53" s="93">
        <f t="shared" ca="1" si="106"/>
        <v>6.5555555555555545</v>
      </c>
      <c r="AE53" s="93">
        <f t="shared" ca="1" si="106"/>
        <v>2.6666666666666665</v>
      </c>
      <c r="AF53" s="93">
        <f t="shared" ca="1" si="106"/>
        <v>5.333333333333333</v>
      </c>
      <c r="AG53" s="93"/>
      <c r="AH53" s="93">
        <f t="shared" ca="1" si="107"/>
        <v>7.4444444444444455</v>
      </c>
      <c r="AI53" s="93">
        <f t="shared" ca="1" si="107"/>
        <v>7.166666666666667</v>
      </c>
    </row>
    <row r="54" spans="1:35">
      <c r="A54" s="94" t="str">
        <f t="shared" si="94"/>
        <v>Sprint_2_1 - Sprint_2_3u4</v>
      </c>
      <c r="B54" s="93">
        <f t="shared" ca="1" si="116"/>
        <v>48.166666666666664</v>
      </c>
      <c r="C54" s="93">
        <f ca="1">AVERAGE(C31:C36)</f>
        <v>16.5</v>
      </c>
      <c r="D54" s="93">
        <f t="shared" ca="1" si="116"/>
        <v>48</v>
      </c>
      <c r="E54" s="93">
        <f t="shared" ca="1" si="116"/>
        <v>41.833333333333336</v>
      </c>
      <c r="F54" s="93">
        <f t="shared" ca="1" si="116"/>
        <v>31.666666666666668</v>
      </c>
      <c r="G54" s="93">
        <f t="shared" ca="1" si="116"/>
        <v>35.833333333333336</v>
      </c>
      <c r="H54" s="93">
        <f t="shared" ca="1" si="116"/>
        <v>27.833333333333332</v>
      </c>
      <c r="I54" s="93"/>
      <c r="J54" s="93">
        <f t="shared" ca="1" si="117"/>
        <v>45</v>
      </c>
      <c r="K54" s="93">
        <f t="shared" ca="1" si="117"/>
        <v>53.25</v>
      </c>
      <c r="M54" s="87" t="str">
        <f t="shared" si="95"/>
        <v>Sprint_2_1 - Sprint_2_3u4</v>
      </c>
      <c r="N54" s="93">
        <f t="shared" ref="N54" ca="1" si="120">_xlfn.STDEV.P(B31:B36)</f>
        <v>19.911610236799589</v>
      </c>
      <c r="O54" s="93">
        <f t="shared" ref="O54" ca="1" si="121">_xlfn.STDEV.P(C31:C36)</f>
        <v>3.3040379335998349</v>
      </c>
      <c r="P54" s="93">
        <f t="shared" ref="P54" ca="1" si="122">_xlfn.STDEV.P(D31:D36)</f>
        <v>12.382783747337808</v>
      </c>
      <c r="Q54" s="93">
        <f t="shared" ref="Q54" ca="1" si="123">_xlfn.STDEV.P(E31:E36)</f>
        <v>24.002893344113517</v>
      </c>
      <c r="R54" s="93">
        <f t="shared" ref="R54" ca="1" si="124">_xlfn.STDEV.P(F31:F36)</f>
        <v>11.205157542647742</v>
      </c>
      <c r="S54" s="93">
        <f t="shared" ref="S54" ca="1" si="125">_xlfn.STDEV.P(G31:G36)</f>
        <v>11.581834435394459</v>
      </c>
      <c r="T54" s="93">
        <f t="shared" ref="T54" ca="1" si="126">_xlfn.STDEV.P(H31:H36)</f>
        <v>8.5130618594147567</v>
      </c>
      <c r="U54" s="93"/>
      <c r="V54" s="93">
        <f t="shared" ref="V54" ca="1" si="127">_xlfn.STDEV.P(J31:J36)</f>
        <v>18.618986725025255</v>
      </c>
      <c r="W54" s="93">
        <f t="shared" ref="W54" ca="1" si="128">_xlfn.STDEV.P(K31:K36)</f>
        <v>15.456255475804396</v>
      </c>
      <c r="Y54" s="87" t="str">
        <f t="shared" si="96"/>
        <v>Sprint_2_1 - Sprint_2_3u4</v>
      </c>
      <c r="Z54" s="93">
        <f t="shared" ref="Z54" ca="1" si="129">AVEDEV(B31:B36)</f>
        <v>18.833333333333332</v>
      </c>
      <c r="AA54" s="93">
        <f t="shared" ref="AA54" ca="1" si="130">AVEDEV(C31:C36)</f>
        <v>3.1666666666666665</v>
      </c>
      <c r="AB54" s="93">
        <f t="shared" ref="AB54" ca="1" si="131">AVEDEV(D31:D36)</f>
        <v>10.333333333333334</v>
      </c>
      <c r="AC54" s="93">
        <f t="shared" ref="AC54" ca="1" si="132">AVEDEV(E31:E36)</f>
        <v>16.777777777777779</v>
      </c>
      <c r="AD54" s="93">
        <f t="shared" ref="AD54" ca="1" si="133">AVEDEV(F31:F36)</f>
        <v>8.7777777777777768</v>
      </c>
      <c r="AE54" s="93">
        <f t="shared" ref="AE54" ca="1" si="134">AVEDEV(G31:G36)</f>
        <v>8.3888888888888911</v>
      </c>
      <c r="AF54" s="93">
        <f t="shared" ref="AF54" ca="1" si="135">AVEDEV(H31:H36)</f>
        <v>7.833333333333333</v>
      </c>
      <c r="AG54" s="93"/>
      <c r="AH54" s="93">
        <f t="shared" ref="AH54" ca="1" si="136">AVEDEV(J31:J36)</f>
        <v>15</v>
      </c>
      <c r="AI54" s="93">
        <f t="shared" ref="AI54" ca="1" si="137">AVEDEV(K31:K36)</f>
        <v>11.333333333333334</v>
      </c>
    </row>
    <row r="55" spans="1:35">
      <c r="A55" s="94" t="str">
        <f t="shared" si="94"/>
        <v>Sprint_2_2 - Sprint_2_5u6</v>
      </c>
      <c r="B55" s="93">
        <f t="shared" ca="1" si="116"/>
        <v>57.5</v>
      </c>
      <c r="C55" s="93">
        <f ca="1">AVERAGE(C32:C37)</f>
        <v>18.5</v>
      </c>
      <c r="D55" s="93">
        <f t="shared" ca="1" si="116"/>
        <v>52</v>
      </c>
      <c r="E55" s="93">
        <f t="shared" ca="1" si="116"/>
        <v>47.166666666666664</v>
      </c>
      <c r="F55" s="93">
        <f t="shared" ca="1" si="116"/>
        <v>33.666666666666664</v>
      </c>
      <c r="G55" s="93">
        <f t="shared" ca="1" si="116"/>
        <v>42</v>
      </c>
      <c r="H55" s="93">
        <f t="shared" ca="1" si="116"/>
        <v>31.166666666666668</v>
      </c>
      <c r="I55" s="93"/>
      <c r="J55" s="93">
        <f t="shared" ca="1" si="117"/>
        <v>65.833333333333329</v>
      </c>
      <c r="K55" s="93">
        <f t="shared" ca="1" si="117"/>
        <v>62</v>
      </c>
      <c r="M55" s="87" t="str">
        <f t="shared" ref="M55" si="138">A55</f>
        <v>Sprint_2_2 - Sprint_2_5u6</v>
      </c>
      <c r="N55" s="93">
        <f t="shared" ref="N55" ca="1" si="139">_xlfn.STDEV.P(B32:B37)</f>
        <v>20.902551678363736</v>
      </c>
      <c r="O55" s="93">
        <f t="shared" ref="O55" ca="1" si="140">_xlfn.STDEV.P(C32:C37)</f>
        <v>4.5734742446707477</v>
      </c>
      <c r="P55" s="93">
        <f t="shared" ref="P55" ca="1" si="141">_xlfn.STDEV.P(D32:D37)</f>
        <v>17.243356208503418</v>
      </c>
      <c r="Q55" s="93">
        <f t="shared" ref="Q55" ca="1" si="142">_xlfn.STDEV.P(E32:E37)</f>
        <v>24.982771841588935</v>
      </c>
      <c r="R55" s="93">
        <f t="shared" ref="R55" ca="1" si="143">_xlfn.STDEV.P(F32:F37)</f>
        <v>13.072447700751718</v>
      </c>
      <c r="S55" s="93">
        <f t="shared" ref="S55" ca="1" si="144">_xlfn.STDEV.P(G32:G37)</f>
        <v>14.674240468703426</v>
      </c>
      <c r="T55" s="93">
        <f t="shared" ref="T55" ca="1" si="145">_xlfn.STDEV.P(H32:H37)</f>
        <v>12.746459203332595</v>
      </c>
      <c r="U55" s="93"/>
      <c r="V55" s="93">
        <f t="shared" ref="V55" ca="1" si="146">_xlfn.STDEV.P(J32:J37)</f>
        <v>41.534791306673121</v>
      </c>
      <c r="W55" s="93">
        <f t="shared" ref="W55" ca="1" si="147">_xlfn.STDEV.P(K32:K37)</f>
        <v>21.646785750622037</v>
      </c>
      <c r="Y55" s="87" t="str">
        <f t="shared" ref="Y55" si="148">M55</f>
        <v>Sprint_2_2 - Sprint_2_5u6</v>
      </c>
      <c r="Z55" s="93">
        <f t="shared" ref="Z55" ca="1" si="149">AVEDEV(B32:B37)</f>
        <v>18</v>
      </c>
      <c r="AA55" s="93">
        <f t="shared" ref="AA55" ca="1" si="150">AVEDEV(C32:C37)</f>
        <v>3.8333333333333335</v>
      </c>
      <c r="AB55" s="93">
        <f t="shared" ref="AB55" ca="1" si="151">AVEDEV(D32:D37)</f>
        <v>15.666666666666666</v>
      </c>
      <c r="AC55" s="93">
        <f t="shared" ref="AC55" ca="1" si="152">AVEDEV(E32:E37)</f>
        <v>20.888888888888889</v>
      </c>
      <c r="AD55" s="93">
        <f t="shared" ref="AD55" ca="1" si="153">AVEDEV(F32:F37)</f>
        <v>10.666666666666666</v>
      </c>
      <c r="AE55" s="93">
        <f t="shared" ref="AE55" ca="1" si="154">AVEDEV(G32:G37)</f>
        <v>13.666666666666666</v>
      </c>
      <c r="AF55" s="93">
        <f t="shared" ref="AF55" ca="1" si="155">AVEDEV(H32:H37)</f>
        <v>11.166666666666666</v>
      </c>
      <c r="AG55" s="93"/>
      <c r="AH55" s="93">
        <f t="shared" ref="AH55" ca="1" si="156">AVEDEV(J32:J37)</f>
        <v>34.111111111111107</v>
      </c>
      <c r="AI55" s="93">
        <f t="shared" ref="AI55" ca="1" si="157">AVEDEV(K32:K37)</f>
        <v>19.5</v>
      </c>
    </row>
    <row r="56" spans="1:35">
      <c r="A56" s="94" t="str">
        <f t="shared" si="94"/>
        <v>Sprint_2_3u4 - Sprint_3_1u2</v>
      </c>
      <c r="B56" s="93">
        <f t="shared" ca="1" si="116"/>
        <v>45.5</v>
      </c>
      <c r="C56" s="93">
        <f ca="1">AVERAGE(C33:C38)</f>
        <v>20.666666666666668</v>
      </c>
      <c r="D56" s="93">
        <f t="shared" ca="1" si="116"/>
        <v>68.166666666666671</v>
      </c>
      <c r="E56" s="93">
        <f t="shared" ca="1" si="116"/>
        <v>40.166666666666664</v>
      </c>
      <c r="F56" s="93">
        <f t="shared" ca="1" si="116"/>
        <v>37.333333333333336</v>
      </c>
      <c r="G56" s="93">
        <f t="shared" ca="1" si="116"/>
        <v>36.166666666666664</v>
      </c>
      <c r="H56" s="93">
        <f t="shared" ca="1" si="116"/>
        <v>32.666666666666664</v>
      </c>
      <c r="I56" s="93"/>
      <c r="J56" s="93">
        <f t="shared" ca="1" si="117"/>
        <v>59.833333333333336</v>
      </c>
      <c r="K56" s="93">
        <f t="shared" ca="1" si="117"/>
        <v>53.166666666666664</v>
      </c>
      <c r="M56" s="87" t="str">
        <f t="shared" ref="M56" si="158">A56</f>
        <v>Sprint_2_3u4 - Sprint_3_1u2</v>
      </c>
      <c r="N56" s="93">
        <f t="shared" ref="N56" ca="1" si="159">_xlfn.STDEV.P(B33:B38)</f>
        <v>28.441460346941867</v>
      </c>
      <c r="O56" s="93">
        <f t="shared" ref="O56" ca="1" si="160">_xlfn.STDEV.P(C33:C38)</f>
        <v>4.5338235029118144</v>
      </c>
      <c r="P56" s="93">
        <f t="shared" ref="P56" ca="1" si="161">_xlfn.STDEV.P(D33:D38)</f>
        <v>32.472638054556363</v>
      </c>
      <c r="Q56" s="93">
        <f t="shared" ref="Q56" ca="1" si="162">_xlfn.STDEV.P(E33:E38)</f>
        <v>30.683419337196142</v>
      </c>
      <c r="R56" s="93">
        <f t="shared" ref="R56" ca="1" si="163">_xlfn.STDEV.P(F33:F38)</f>
        <v>15.509853498842455</v>
      </c>
      <c r="S56" s="93">
        <f t="shared" ref="S56" ca="1" si="164">_xlfn.STDEV.P(G33:G38)</f>
        <v>21.613396051728866</v>
      </c>
      <c r="T56" s="93">
        <f t="shared" ref="T56" ca="1" si="165">_xlfn.STDEV.P(H33:H38)</f>
        <v>13.274871834493252</v>
      </c>
      <c r="U56" s="93"/>
      <c r="V56" s="93">
        <f t="shared" ref="V56" ca="1" si="166">_xlfn.STDEV.P(J33:J38)</f>
        <v>47.572459352958504</v>
      </c>
      <c r="W56" s="93">
        <f t="shared" ref="W56" ca="1" si="167">_xlfn.STDEV.P(K33:K38)</f>
        <v>31.901758920508165</v>
      </c>
      <c r="Y56" s="87" t="str">
        <f t="shared" ref="Y56" si="168">M56</f>
        <v>Sprint_2_3u4 - Sprint_3_1u2</v>
      </c>
      <c r="Z56" s="93">
        <f t="shared" ref="Z56" ca="1" si="169">AVEDEV(B33:B38)</f>
        <v>25.166666666666668</v>
      </c>
      <c r="AA56" s="93">
        <f t="shared" ref="AA56" ca="1" si="170">AVEDEV(C33:C38)</f>
        <v>3.6666666666666665</v>
      </c>
      <c r="AB56" s="93">
        <f t="shared" ref="AB56" ca="1" si="171">AVEDEV(D33:D38)</f>
        <v>26.166666666666668</v>
      </c>
      <c r="AC56" s="93">
        <f t="shared" ref="AC56" ca="1" si="172">AVEDEV(E33:E38)</f>
        <v>25.555555555555554</v>
      </c>
      <c r="AD56" s="93">
        <f t="shared" ref="AD56" ca="1" si="173">AVEDEV(F33:F38)</f>
        <v>14.333333333333334</v>
      </c>
      <c r="AE56" s="93">
        <f t="shared" ref="AE56" ca="1" si="174">AVEDEV(G33:G38)</f>
        <v>17.555555555555554</v>
      </c>
      <c r="AF56" s="93">
        <f t="shared" ref="AF56" ca="1" si="175">AVEDEV(H33:H38)</f>
        <v>12.666666666666666</v>
      </c>
      <c r="AG56" s="93"/>
      <c r="AH56" s="93">
        <f t="shared" ref="AH56" ca="1" si="176">AVEDEV(J33:J38)</f>
        <v>38.111111111111107</v>
      </c>
      <c r="AI56" s="93">
        <f t="shared" ref="AI56" ca="1" si="177">AVEDEV(K33:K38)</f>
        <v>26</v>
      </c>
    </row>
    <row r="57" spans="1:35">
      <c r="A57" s="94" t="str">
        <f t="shared" si="94"/>
        <v>Sprint_2_5u6 - Sprint_3_3u4</v>
      </c>
      <c r="M57" s="87" t="str">
        <f t="shared" si="95"/>
        <v>Sprint_2_5u6 - Sprint_3_3u4</v>
      </c>
      <c r="Y57" s="87" t="str">
        <f t="shared" si="96"/>
        <v>Sprint_2_5u6 - Sprint_3_3u4</v>
      </c>
      <c r="Z57" s="93"/>
      <c r="AA57" s="93"/>
      <c r="AB57" s="93"/>
      <c r="AC57" s="93"/>
      <c r="AD57" s="93"/>
      <c r="AE57" s="93"/>
      <c r="AF57" s="93"/>
      <c r="AG57" s="93"/>
      <c r="AH57" s="93"/>
      <c r="AI57" s="93"/>
    </row>
    <row r="58" spans="1:35">
      <c r="A58" s="94" t="str">
        <f t="shared" si="94"/>
        <v>Sprint_3_1u2 - Sprint_3_5u6</v>
      </c>
      <c r="M58" s="87" t="str">
        <f t="shared" si="95"/>
        <v>Sprint_3_1u2 - Sprint_3_5u6</v>
      </c>
      <c r="Y58" s="87" t="str">
        <f t="shared" si="96"/>
        <v>Sprint_3_1u2 - Sprint_3_5u6</v>
      </c>
      <c r="Z58" s="93"/>
      <c r="AA58" s="93"/>
      <c r="AB58" s="93"/>
      <c r="AC58" s="93"/>
      <c r="AD58" s="93"/>
      <c r="AE58" s="93"/>
      <c r="AF58" s="93"/>
      <c r="AG58" s="93"/>
      <c r="AH58" s="93"/>
      <c r="AI58" s="93"/>
    </row>
    <row r="59" spans="1:35">
      <c r="B59" s="91"/>
      <c r="C59" s="91"/>
      <c r="D59" s="91"/>
      <c r="E59" s="91"/>
      <c r="F59" s="91"/>
      <c r="G59" s="91"/>
      <c r="H59" s="91"/>
      <c r="I59" s="91"/>
      <c r="J59" s="91"/>
    </row>
    <row r="60" spans="1:35">
      <c r="B60" s="410" t="s">
        <v>131</v>
      </c>
      <c r="C60" s="410"/>
      <c r="D60" s="410"/>
      <c r="E60" s="410"/>
      <c r="F60" s="410"/>
      <c r="G60" s="410"/>
      <c r="H60" s="410"/>
      <c r="I60" s="410"/>
      <c r="J60" s="410"/>
      <c r="K60" s="410"/>
      <c r="N60" s="410" t="s">
        <v>132</v>
      </c>
      <c r="O60" s="410"/>
      <c r="P60" s="410"/>
      <c r="Q60" s="410"/>
      <c r="R60" s="410"/>
      <c r="S60" s="410"/>
      <c r="T60" s="410"/>
      <c r="U60" s="410"/>
      <c r="V60" s="410"/>
      <c r="W60" s="410"/>
      <c r="Y60" s="87"/>
      <c r="Z60" s="410" t="s">
        <v>150</v>
      </c>
      <c r="AA60" s="410"/>
      <c r="AB60" s="410"/>
      <c r="AC60" s="410"/>
      <c r="AD60" s="410"/>
      <c r="AE60" s="410"/>
      <c r="AF60" s="410"/>
      <c r="AG60" s="410"/>
      <c r="AH60" s="410"/>
      <c r="AI60" s="410"/>
    </row>
    <row r="61" spans="1:35">
      <c r="B61" s="90" t="str">
        <f>B$3</f>
        <v>Engineering</v>
      </c>
      <c r="C61" s="90" t="str">
        <f t="shared" ref="C61:K61" si="178">C$3</f>
        <v>Payment</v>
      </c>
      <c r="D61" s="90" t="str">
        <f t="shared" si="178"/>
        <v>Sales</v>
      </c>
      <c r="E61" s="90" t="str">
        <f t="shared" si="178"/>
        <v>Vlinder</v>
      </c>
      <c r="F61" s="90" t="str">
        <f t="shared" si="178"/>
        <v>TTT</v>
      </c>
      <c r="G61" s="90" t="str">
        <f t="shared" si="178"/>
        <v>TNT</v>
      </c>
      <c r="H61" s="90" t="str">
        <f t="shared" si="178"/>
        <v>TFS</v>
      </c>
      <c r="I61" s="90" t="str">
        <f t="shared" si="178"/>
        <v>0-Noise</v>
      </c>
      <c r="J61" s="90" t="str">
        <f t="shared" si="178"/>
        <v>Synergy</v>
      </c>
      <c r="K61" s="90" t="str">
        <f t="shared" si="178"/>
        <v>Papillon</v>
      </c>
      <c r="N61" s="90" t="str">
        <f>B61</f>
        <v>Engineering</v>
      </c>
      <c r="O61" s="90" t="str">
        <f t="shared" ref="O61" si="179">C61</f>
        <v>Payment</v>
      </c>
      <c r="P61" s="90" t="str">
        <f t="shared" ref="P61" si="180">D61</f>
        <v>Sales</v>
      </c>
      <c r="Q61" s="90" t="str">
        <f t="shared" ref="Q61" si="181">E61</f>
        <v>Vlinder</v>
      </c>
      <c r="R61" s="90" t="str">
        <f t="shared" ref="R61" si="182">F61</f>
        <v>TTT</v>
      </c>
      <c r="S61" s="90" t="str">
        <f t="shared" ref="S61" si="183">G61</f>
        <v>TNT</v>
      </c>
      <c r="T61" s="90" t="str">
        <f t="shared" ref="T61" si="184">H61</f>
        <v>TFS</v>
      </c>
      <c r="U61" s="90" t="str">
        <f t="shared" ref="U61" si="185">I61</f>
        <v>0-Noise</v>
      </c>
      <c r="V61" s="90" t="str">
        <f t="shared" ref="V61" si="186">J61</f>
        <v>Synergy</v>
      </c>
      <c r="W61" s="90" t="str">
        <f t="shared" ref="W61" si="187">K61</f>
        <v>Papillon</v>
      </c>
      <c r="Y61" s="87"/>
      <c r="Z61" s="90" t="str">
        <f>N61</f>
        <v>Engineering</v>
      </c>
      <c r="AA61" s="90" t="str">
        <f t="shared" ref="AA61" si="188">O61</f>
        <v>Payment</v>
      </c>
      <c r="AB61" s="90" t="str">
        <f t="shared" ref="AB61" si="189">P61</f>
        <v>Sales</v>
      </c>
      <c r="AC61" s="90" t="str">
        <f t="shared" ref="AC61" si="190">Q61</f>
        <v>Vlinder</v>
      </c>
      <c r="AD61" s="90" t="str">
        <f t="shared" ref="AD61" si="191">R61</f>
        <v>TTT</v>
      </c>
      <c r="AE61" s="90" t="str">
        <f t="shared" ref="AE61" si="192">S61</f>
        <v>TNT</v>
      </c>
      <c r="AF61" s="90" t="str">
        <f t="shared" ref="AF61" si="193">T61</f>
        <v>TFS</v>
      </c>
      <c r="AG61" s="90" t="str">
        <f t="shared" ref="AG61" si="194">U61</f>
        <v>0-Noise</v>
      </c>
      <c r="AH61" s="90" t="str">
        <f t="shared" ref="AH61" si="195">V61</f>
        <v>Synergy</v>
      </c>
      <c r="AI61" s="90" t="str">
        <f t="shared" ref="AI61" si="196">W61</f>
        <v>Papillon</v>
      </c>
    </row>
    <row r="62" spans="1:35">
      <c r="A62" s="87" t="str">
        <f t="shared" ref="A62:A78" si="197">A4</f>
        <v>Sprint_4_4</v>
      </c>
      <c r="B62" s="36">
        <f t="shared" ref="B62:I65" ca="1" si="198">N62+N4</f>
        <v>83</v>
      </c>
      <c r="C62" s="36">
        <f t="shared" ca="1" si="198"/>
        <v>11</v>
      </c>
      <c r="D62" s="36">
        <f t="shared" ca="1" si="198"/>
        <v>61</v>
      </c>
      <c r="E62" s="36">
        <f t="shared" ca="1" si="198"/>
        <v>60</v>
      </c>
      <c r="F62" s="36">
        <f t="shared" ca="1" si="198"/>
        <v>62</v>
      </c>
      <c r="G62" s="36">
        <f t="shared" ca="1" si="198"/>
        <v>60</v>
      </c>
      <c r="H62" s="36">
        <f t="shared" ca="1" si="198"/>
        <v>47</v>
      </c>
      <c r="I62" s="36">
        <f t="shared" ca="1" si="198"/>
        <v>43</v>
      </c>
      <c r="K62" s="36">
        <f t="shared" ref="K62:K72" ca="1" si="199">W62+W4</f>
        <v>23</v>
      </c>
      <c r="M62" s="87" t="str">
        <f>A62</f>
        <v>Sprint_4_4</v>
      </c>
      <c r="N62" s="36">
        <f t="shared" ref="N62:U65" ca="1" si="200">B4-N24</f>
        <v>77</v>
      </c>
      <c r="O62" s="36">
        <f t="shared" ca="1" si="200"/>
        <v>10</v>
      </c>
      <c r="P62" s="36">
        <f t="shared" ca="1" si="200"/>
        <v>56</v>
      </c>
      <c r="Q62" s="36">
        <f t="shared" ca="1" si="200"/>
        <v>59</v>
      </c>
      <c r="R62" s="36">
        <f t="shared" ca="1" si="200"/>
        <v>56</v>
      </c>
      <c r="S62" s="36">
        <f t="shared" ca="1" si="200"/>
        <v>50</v>
      </c>
      <c r="T62" s="36">
        <f t="shared" ca="1" si="200"/>
        <v>40</v>
      </c>
      <c r="U62" s="36">
        <f t="shared" ca="1" si="200"/>
        <v>38</v>
      </c>
      <c r="W62" s="36">
        <f t="shared" ref="W62:W72" ca="1" si="201">K4-W24</f>
        <v>21</v>
      </c>
      <c r="Y62" s="87" t="str">
        <f>M62&amp;"+"&amp;M63</f>
        <v>Sprint_4_4+Sprint_4_5</v>
      </c>
      <c r="Z62" s="36">
        <f t="shared" ref="Z62:AG62" ca="1" si="202">B24+B25</f>
        <v>129</v>
      </c>
      <c r="AA62" s="36">
        <f t="shared" ca="1" si="202"/>
        <v>18</v>
      </c>
      <c r="AB62" s="36">
        <f t="shared" ca="1" si="202"/>
        <v>73</v>
      </c>
      <c r="AC62" s="36">
        <f t="shared" ca="1" si="202"/>
        <v>79</v>
      </c>
      <c r="AD62" s="36">
        <f t="shared" ca="1" si="202"/>
        <v>65</v>
      </c>
      <c r="AE62" s="36">
        <f t="shared" ca="1" si="202"/>
        <v>75</v>
      </c>
      <c r="AF62" s="36">
        <f t="shared" ca="1" si="202"/>
        <v>46</v>
      </c>
      <c r="AG62" s="36">
        <f t="shared" ca="1" si="202"/>
        <v>28</v>
      </c>
      <c r="AH62" s="288">
        <f ca="1">2*J25</f>
        <v>48</v>
      </c>
      <c r="AI62" s="36">
        <f ca="1">K24+K25</f>
        <v>35</v>
      </c>
    </row>
    <row r="63" spans="1:35">
      <c r="A63" s="87" t="str">
        <f t="shared" si="197"/>
        <v>Sprint_4_5</v>
      </c>
      <c r="B63" s="36">
        <f t="shared" ca="1" si="198"/>
        <v>63</v>
      </c>
      <c r="C63" s="36">
        <f t="shared" ca="1" si="198"/>
        <v>20</v>
      </c>
      <c r="D63" s="36">
        <f t="shared" ca="1" si="198"/>
        <v>58</v>
      </c>
      <c r="E63" s="36">
        <f t="shared" ca="1" si="198"/>
        <v>40</v>
      </c>
      <c r="F63" s="36">
        <f t="shared" ca="1" si="198"/>
        <v>76</v>
      </c>
      <c r="G63" s="36">
        <f t="shared" ca="1" si="198"/>
        <v>48</v>
      </c>
      <c r="H63" s="36">
        <f t="shared" ca="1" si="198"/>
        <v>54</v>
      </c>
      <c r="I63" s="36">
        <f t="shared" ca="1" si="198"/>
        <v>14</v>
      </c>
      <c r="J63" s="36">
        <f t="shared" ref="J63:J72" ca="1" si="203">V63+V5</f>
        <v>35</v>
      </c>
      <c r="K63" s="36">
        <f t="shared" ca="1" si="199"/>
        <v>24</v>
      </c>
      <c r="M63" s="87" t="str">
        <f t="shared" ref="M63:M71" si="204">A63</f>
        <v>Sprint_4_5</v>
      </c>
      <c r="N63" s="36">
        <f t="shared" ca="1" si="200"/>
        <v>57</v>
      </c>
      <c r="O63" s="36">
        <f t="shared" ca="1" si="200"/>
        <v>10</v>
      </c>
      <c r="P63" s="36">
        <f t="shared" ca="1" si="200"/>
        <v>39</v>
      </c>
      <c r="Q63" s="36">
        <f t="shared" ca="1" si="200"/>
        <v>40</v>
      </c>
      <c r="R63" s="36">
        <f t="shared" ca="1" si="200"/>
        <v>73</v>
      </c>
      <c r="S63" s="36">
        <f t="shared" ca="1" si="200"/>
        <v>37</v>
      </c>
      <c r="T63" s="36">
        <f t="shared" ca="1" si="200"/>
        <v>46</v>
      </c>
      <c r="U63" s="36">
        <f t="shared" ca="1" si="200"/>
        <v>6</v>
      </c>
      <c r="V63" s="36">
        <f t="shared" ref="V63:V72" ca="1" si="205">J5-V25</f>
        <v>29</v>
      </c>
      <c r="W63" s="36">
        <f t="shared" ca="1" si="201"/>
        <v>22</v>
      </c>
      <c r="Y63" s="87" t="str">
        <f>M64&amp;"+"&amp;M65</f>
        <v>Sprint_4_6+Sprint_4_8</v>
      </c>
      <c r="Z63" s="36">
        <f ca="1">B26+B27</f>
        <v>111</v>
      </c>
      <c r="AA63" s="36">
        <f t="shared" ref="AA63:AI63" ca="1" si="206">C26+C27</f>
        <v>23</v>
      </c>
      <c r="AB63" s="36">
        <f t="shared" ca="1" si="206"/>
        <v>58</v>
      </c>
      <c r="AC63" s="36">
        <f t="shared" ca="1" si="206"/>
        <v>52</v>
      </c>
      <c r="AD63" s="36">
        <f t="shared" ca="1" si="206"/>
        <v>96</v>
      </c>
      <c r="AE63" s="36">
        <f t="shared" ca="1" si="206"/>
        <v>90</v>
      </c>
      <c r="AF63" s="36">
        <f t="shared" ca="1" si="206"/>
        <v>50</v>
      </c>
      <c r="AG63" s="36">
        <f t="shared" ca="1" si="206"/>
        <v>48</v>
      </c>
      <c r="AH63" s="36">
        <f t="shared" ca="1" si="206"/>
        <v>92</v>
      </c>
      <c r="AI63" s="36">
        <f t="shared" ca="1" si="206"/>
        <v>69</v>
      </c>
    </row>
    <row r="64" spans="1:35">
      <c r="A64" s="87" t="str">
        <f t="shared" si="197"/>
        <v>Sprint_4_6</v>
      </c>
      <c r="B64" s="36">
        <f t="shared" ca="1" si="198"/>
        <v>65</v>
      </c>
      <c r="C64" s="36">
        <f t="shared" ca="1" si="198"/>
        <v>14</v>
      </c>
      <c r="D64" s="36">
        <f t="shared" ca="1" si="198"/>
        <v>37</v>
      </c>
      <c r="E64" s="36">
        <f t="shared" ca="1" si="198"/>
        <v>35</v>
      </c>
      <c r="F64" s="36">
        <f t="shared" ca="1" si="198"/>
        <v>59</v>
      </c>
      <c r="G64" s="36">
        <f t="shared" ca="1" si="198"/>
        <v>63</v>
      </c>
      <c r="H64" s="36">
        <f t="shared" ca="1" si="198"/>
        <v>38</v>
      </c>
      <c r="I64" s="36">
        <f t="shared" ca="1" si="198"/>
        <v>53</v>
      </c>
      <c r="J64" s="36">
        <f t="shared" ca="1" si="203"/>
        <v>73</v>
      </c>
      <c r="K64" s="36">
        <f t="shared" ca="1" si="199"/>
        <v>50</v>
      </c>
      <c r="M64" s="87" t="str">
        <f t="shared" si="204"/>
        <v>Sprint_4_6</v>
      </c>
      <c r="N64" s="36">
        <f t="shared" ca="1" si="200"/>
        <v>46</v>
      </c>
      <c r="O64" s="36">
        <f t="shared" ca="1" si="200"/>
        <v>11</v>
      </c>
      <c r="P64" s="36">
        <f t="shared" ca="1" si="200"/>
        <v>22</v>
      </c>
      <c r="Q64" s="36">
        <f t="shared" ca="1" si="200"/>
        <v>31</v>
      </c>
      <c r="R64" s="36">
        <f t="shared" ca="1" si="200"/>
        <v>50</v>
      </c>
      <c r="S64" s="36">
        <f t="shared" ca="1" si="200"/>
        <v>47</v>
      </c>
      <c r="T64" s="36">
        <f t="shared" ca="1" si="200"/>
        <v>27</v>
      </c>
      <c r="U64" s="36">
        <f t="shared" ca="1" si="200"/>
        <v>29</v>
      </c>
      <c r="V64" s="36">
        <f t="shared" ca="1" si="205"/>
        <v>71</v>
      </c>
      <c r="W64" s="36">
        <f t="shared" ca="1" si="201"/>
        <v>18.5</v>
      </c>
      <c r="Y64" s="87" t="str">
        <f>M66&amp;"+"&amp;M67</f>
        <v>Sprint_1_1+Sprint_1_2</v>
      </c>
      <c r="Z64" s="36">
        <f t="shared" ref="Z64:AF64" ca="1" si="207">B28+B29</f>
        <v>113</v>
      </c>
      <c r="AA64" s="36">
        <f t="shared" ca="1" si="207"/>
        <v>30</v>
      </c>
      <c r="AB64" s="36">
        <f t="shared" ca="1" si="207"/>
        <v>82</v>
      </c>
      <c r="AC64" s="36">
        <f t="shared" ca="1" si="207"/>
        <v>54</v>
      </c>
      <c r="AD64" s="36">
        <f t="shared" ca="1" si="207"/>
        <v>55</v>
      </c>
      <c r="AE64" s="36">
        <f t="shared" ca="1" si="207"/>
        <v>88</v>
      </c>
      <c r="AF64" s="36">
        <f t="shared" ca="1" si="207"/>
        <v>41</v>
      </c>
      <c r="AG64" s="36"/>
      <c r="AH64" s="36">
        <f ca="1">J28+J29</f>
        <v>55</v>
      </c>
      <c r="AI64" s="36">
        <f ca="1">K28+K29</f>
        <v>64.5</v>
      </c>
    </row>
    <row r="65" spans="1:35">
      <c r="A65" s="87" t="str">
        <f t="shared" si="197"/>
        <v>Sprint_4_8</v>
      </c>
      <c r="B65" s="36">
        <f t="shared" ca="1" si="198"/>
        <v>102</v>
      </c>
      <c r="C65" s="36">
        <f t="shared" ca="1" si="198"/>
        <v>20</v>
      </c>
      <c r="D65" s="36">
        <f t="shared" ca="1" si="198"/>
        <v>32</v>
      </c>
      <c r="E65" s="36">
        <f t="shared" ca="1" si="198"/>
        <v>42</v>
      </c>
      <c r="F65" s="36">
        <f t="shared" ca="1" si="198"/>
        <v>42</v>
      </c>
      <c r="G65" s="36">
        <f t="shared" ca="1" si="198"/>
        <v>57</v>
      </c>
      <c r="H65" s="36">
        <f t="shared" ca="1" si="198"/>
        <v>21</v>
      </c>
      <c r="I65" s="36">
        <f t="shared" ca="1" si="198"/>
        <v>27</v>
      </c>
      <c r="J65" s="36">
        <f t="shared" ca="1" si="203"/>
        <v>54</v>
      </c>
      <c r="K65" s="36">
        <f t="shared" ca="1" si="199"/>
        <v>35</v>
      </c>
      <c r="M65" s="87" t="str">
        <f t="shared" si="204"/>
        <v>Sprint_4_8</v>
      </c>
      <c r="N65" s="36">
        <f t="shared" ca="1" si="200"/>
        <v>65</v>
      </c>
      <c r="O65" s="36">
        <f t="shared" ca="1" si="200"/>
        <v>17</v>
      </c>
      <c r="P65" s="36">
        <f t="shared" ca="1" si="200"/>
        <v>29</v>
      </c>
      <c r="Q65" s="36">
        <f t="shared" ca="1" si="200"/>
        <v>28</v>
      </c>
      <c r="R65" s="36">
        <f t="shared" ca="1" si="200"/>
        <v>42</v>
      </c>
      <c r="S65" s="36">
        <f t="shared" ca="1" si="200"/>
        <v>42</v>
      </c>
      <c r="T65" s="36">
        <f t="shared" ca="1" si="200"/>
        <v>17</v>
      </c>
      <c r="U65" s="36">
        <f t="shared" ca="1" si="200"/>
        <v>27</v>
      </c>
      <c r="V65" s="36">
        <f t="shared" ca="1" si="205"/>
        <v>53</v>
      </c>
      <c r="W65" s="36">
        <f t="shared" ca="1" si="201"/>
        <v>28</v>
      </c>
      <c r="Y65" s="87" t="str">
        <f>M68&amp;"+"&amp;M69</f>
        <v>Sprint_1_3+Sprint_1_4</v>
      </c>
      <c r="Z65" s="36">
        <f t="shared" ref="Z65:AF65" ca="1" si="208">B30+B31</f>
        <v>81</v>
      </c>
      <c r="AA65" s="36">
        <f t="shared" ca="1" si="208"/>
        <v>27</v>
      </c>
      <c r="AB65" s="36">
        <f t="shared" ca="1" si="208"/>
        <v>90</v>
      </c>
      <c r="AC65" s="36">
        <f t="shared" ca="1" si="208"/>
        <v>66</v>
      </c>
      <c r="AD65" s="36">
        <f t="shared" ca="1" si="208"/>
        <v>67</v>
      </c>
      <c r="AE65" s="36">
        <f t="shared" ca="1" si="208"/>
        <v>61</v>
      </c>
      <c r="AF65" s="36">
        <f t="shared" ca="1" si="208"/>
        <v>60</v>
      </c>
      <c r="AG65" s="36"/>
      <c r="AH65" s="36">
        <f ca="1">J30+J31</f>
        <v>47</v>
      </c>
      <c r="AI65" s="36">
        <f ca="1">K30+K31</f>
        <v>105.5</v>
      </c>
    </row>
    <row r="66" spans="1:35">
      <c r="A66" s="87" t="str">
        <f t="shared" si="197"/>
        <v>Sprint_1_1</v>
      </c>
      <c r="B66" s="36">
        <f t="shared" ref="B66:H72" ca="1" si="209">N66+N8</f>
        <v>91</v>
      </c>
      <c r="C66" s="36">
        <f t="shared" ca="1" si="209"/>
        <v>20</v>
      </c>
      <c r="D66" s="36">
        <f t="shared" ca="1" si="209"/>
        <v>54</v>
      </c>
      <c r="E66" s="36">
        <f t="shared" ca="1" si="209"/>
        <v>38</v>
      </c>
      <c r="F66" s="36">
        <f t="shared" ca="1" si="209"/>
        <v>32</v>
      </c>
      <c r="G66" s="36">
        <f t="shared" ca="1" si="209"/>
        <v>56</v>
      </c>
      <c r="H66" s="36">
        <f t="shared" ca="1" si="209"/>
        <v>28</v>
      </c>
      <c r="J66" s="36">
        <f t="shared" ca="1" si="203"/>
        <v>30</v>
      </c>
      <c r="K66" s="36">
        <f t="shared" ca="1" si="199"/>
        <v>45</v>
      </c>
      <c r="M66" s="87" t="str">
        <f t="shared" si="204"/>
        <v>Sprint_1_1</v>
      </c>
      <c r="N66" s="36">
        <f t="shared" ref="N66:T72" ca="1" si="210">B8-N28</f>
        <v>53</v>
      </c>
      <c r="O66" s="36">
        <f t="shared" ca="1" si="210"/>
        <v>11</v>
      </c>
      <c r="P66" s="36">
        <f t="shared" ca="1" si="210"/>
        <v>34</v>
      </c>
      <c r="Q66" s="36">
        <f t="shared" ca="1" si="210"/>
        <v>38</v>
      </c>
      <c r="R66" s="36">
        <f t="shared" ca="1" si="210"/>
        <v>27</v>
      </c>
      <c r="S66" s="36">
        <f t="shared" ca="1" si="210"/>
        <v>48</v>
      </c>
      <c r="T66" s="36">
        <f t="shared" ca="1" si="210"/>
        <v>18</v>
      </c>
      <c r="V66" s="36">
        <f t="shared" ca="1" si="205"/>
        <v>26</v>
      </c>
      <c r="W66" s="36">
        <f t="shared" ca="1" si="201"/>
        <v>33</v>
      </c>
      <c r="Y66" s="87" t="str">
        <f>M70&amp;"+"&amp;M71</f>
        <v>Sprint_1_5+Sprint_1_6</v>
      </c>
      <c r="Z66" s="36">
        <f t="shared" ref="Z66:AF66" ca="1" si="211">B32+B33</f>
        <v>140</v>
      </c>
      <c r="AA66" s="36">
        <f t="shared" ca="1" si="211"/>
        <v>31</v>
      </c>
      <c r="AB66" s="36">
        <f t="shared" ca="1" si="211"/>
        <v>82</v>
      </c>
      <c r="AC66" s="36">
        <f t="shared" ca="1" si="211"/>
        <v>70</v>
      </c>
      <c r="AD66" s="36">
        <f t="shared" ca="1" si="211"/>
        <v>66</v>
      </c>
      <c r="AE66" s="36">
        <f t="shared" ca="1" si="211"/>
        <v>66</v>
      </c>
      <c r="AF66" s="36">
        <f t="shared" ca="1" si="211"/>
        <v>51</v>
      </c>
      <c r="AG66" s="36"/>
      <c r="AH66" s="36">
        <f ca="1">J32+J33</f>
        <v>72</v>
      </c>
      <c r="AI66" s="36">
        <f ca="1">K32+K33</f>
        <v>108</v>
      </c>
    </row>
    <row r="67" spans="1:35">
      <c r="A67" s="87" t="str">
        <f t="shared" si="197"/>
        <v>Sprint_1_2</v>
      </c>
      <c r="B67" s="36">
        <f t="shared" ca="1" si="209"/>
        <v>53</v>
      </c>
      <c r="C67" s="36">
        <f t="shared" ca="1" si="209"/>
        <v>27</v>
      </c>
      <c r="D67" s="36">
        <f t="shared" ca="1" si="209"/>
        <v>53</v>
      </c>
      <c r="E67" s="36">
        <f t="shared" ca="1" si="209"/>
        <v>31</v>
      </c>
      <c r="F67" s="36">
        <f t="shared" ca="1" si="209"/>
        <v>41</v>
      </c>
      <c r="G67" s="36">
        <f t="shared" ca="1" si="209"/>
        <v>50</v>
      </c>
      <c r="H67" s="36">
        <f t="shared" ca="1" si="209"/>
        <v>27</v>
      </c>
      <c r="J67" s="36">
        <f t="shared" ca="1" si="203"/>
        <v>40</v>
      </c>
      <c r="K67" s="36">
        <f t="shared" ca="1" si="199"/>
        <v>56.5</v>
      </c>
      <c r="M67" s="87" t="str">
        <f t="shared" si="204"/>
        <v>Sprint_1_2</v>
      </c>
      <c r="N67" s="36">
        <f t="shared" ca="1" si="210"/>
        <v>48</v>
      </c>
      <c r="O67" s="36">
        <f t="shared" ca="1" si="210"/>
        <v>8</v>
      </c>
      <c r="P67" s="36">
        <f t="shared" ca="1" si="210"/>
        <v>49</v>
      </c>
      <c r="Q67" s="36">
        <f t="shared" ca="1" si="210"/>
        <v>26</v>
      </c>
      <c r="R67" s="36">
        <f t="shared" ca="1" si="210"/>
        <v>35</v>
      </c>
      <c r="S67" s="36">
        <f t="shared" ca="1" si="210"/>
        <v>45</v>
      </c>
      <c r="T67" s="36">
        <f t="shared" ca="1" si="210"/>
        <v>27</v>
      </c>
      <c r="V67" s="36">
        <f t="shared" ca="1" si="205"/>
        <v>31</v>
      </c>
      <c r="W67" s="36">
        <f t="shared" ca="1" si="201"/>
        <v>37</v>
      </c>
      <c r="Y67" s="256" t="str">
        <f>M72&amp;"+"&amp;M73</f>
        <v>Sprint_2_1+Sprint_2_2</v>
      </c>
      <c r="Z67" s="288">
        <f t="shared" ref="Z67:AF67" ca="1" si="212">B34+B35</f>
        <v>61</v>
      </c>
      <c r="AA67" s="288">
        <f t="shared" ca="1" si="212"/>
        <v>34</v>
      </c>
      <c r="AB67" s="288">
        <f t="shared" ca="1" si="212"/>
        <v>79</v>
      </c>
      <c r="AC67" s="288">
        <f t="shared" ca="1" si="212"/>
        <v>56</v>
      </c>
      <c r="AD67" s="288">
        <f t="shared" ca="1" si="212"/>
        <v>37</v>
      </c>
      <c r="AE67" s="288">
        <f t="shared" ca="1" si="212"/>
        <v>61</v>
      </c>
      <c r="AF67" s="288">
        <f t="shared" ca="1" si="212"/>
        <v>41</v>
      </c>
      <c r="AG67" s="288"/>
      <c r="AH67" s="288">
        <f ca="1">J34+J35</f>
        <v>89</v>
      </c>
      <c r="AI67" s="288">
        <f ca="1">K34+K35</f>
        <v>81.5</v>
      </c>
    </row>
    <row r="68" spans="1:35">
      <c r="A68" s="87" t="str">
        <f t="shared" si="197"/>
        <v>Sprint_1_3</v>
      </c>
      <c r="B68" s="36">
        <f t="shared" ca="1" si="209"/>
        <v>78</v>
      </c>
      <c r="C68" s="36">
        <f t="shared" ca="1" si="209"/>
        <v>24</v>
      </c>
      <c r="D68" s="36">
        <f t="shared" ca="1" si="209"/>
        <v>55</v>
      </c>
      <c r="E68" s="36">
        <f t="shared" ca="1" si="209"/>
        <v>41</v>
      </c>
      <c r="F68" s="36">
        <f t="shared" ca="1" si="209"/>
        <v>41</v>
      </c>
      <c r="G68" s="36">
        <f t="shared" ca="1" si="209"/>
        <v>49</v>
      </c>
      <c r="H68" s="36">
        <f t="shared" ca="1" si="209"/>
        <v>31</v>
      </c>
      <c r="J68" s="36">
        <f t="shared" ca="1" si="203"/>
        <v>27</v>
      </c>
      <c r="K68" s="36">
        <f t="shared" ca="1" si="199"/>
        <v>79</v>
      </c>
      <c r="M68" s="87" t="str">
        <f t="shared" si="204"/>
        <v>Sprint_1_3</v>
      </c>
      <c r="N68" s="36">
        <f t="shared" ca="1" si="210"/>
        <v>68</v>
      </c>
      <c r="O68" s="36">
        <f t="shared" ca="1" si="210"/>
        <v>21</v>
      </c>
      <c r="P68" s="36">
        <f t="shared" ca="1" si="210"/>
        <v>37</v>
      </c>
      <c r="Q68" s="36">
        <f t="shared" ca="1" si="210"/>
        <v>41</v>
      </c>
      <c r="R68" s="36">
        <f t="shared" ca="1" si="210"/>
        <v>41</v>
      </c>
      <c r="S68" s="36">
        <f t="shared" ca="1" si="210"/>
        <v>36</v>
      </c>
      <c r="T68" s="36">
        <f t="shared" ca="1" si="210"/>
        <v>23</v>
      </c>
      <c r="V68" s="36">
        <f t="shared" ca="1" si="205"/>
        <v>19</v>
      </c>
      <c r="W68" s="36">
        <f t="shared" ca="1" si="201"/>
        <v>27</v>
      </c>
      <c r="Y68" s="87" t="str">
        <f>M74</f>
        <v>Sprint_2_3u4</v>
      </c>
      <c r="Z68" s="36">
        <f t="shared" ref="Z68:AA70" ca="1" si="213">B36</f>
        <v>61</v>
      </c>
      <c r="AA68" s="36">
        <f t="shared" ca="1" si="213"/>
        <v>20</v>
      </c>
      <c r="AB68" s="36">
        <f t="shared" ref="AB68:AI68" ca="1" si="214">D36</f>
        <v>71</v>
      </c>
      <c r="AC68" s="36">
        <f t="shared" ca="1" si="214"/>
        <v>92</v>
      </c>
      <c r="AD68" s="36">
        <f t="shared" ca="1" si="214"/>
        <v>49</v>
      </c>
      <c r="AE68" s="36">
        <f t="shared" ca="1" si="214"/>
        <v>61</v>
      </c>
      <c r="AF68" s="36">
        <f t="shared" ca="1" si="214"/>
        <v>42</v>
      </c>
      <c r="AG68" s="36"/>
      <c r="AH68" s="36">
        <f t="shared" ca="1" si="214"/>
        <v>83</v>
      </c>
      <c r="AI68" s="36">
        <f t="shared" ca="1" si="214"/>
        <v>85.5</v>
      </c>
    </row>
    <row r="69" spans="1:35">
      <c r="A69" s="87" t="str">
        <f t="shared" si="197"/>
        <v>Sprint_1_4</v>
      </c>
      <c r="B69" s="36">
        <f t="shared" ca="1" si="209"/>
        <v>64</v>
      </c>
      <c r="C69" s="36">
        <f t="shared" ca="1" si="209"/>
        <v>19</v>
      </c>
      <c r="D69" s="36">
        <f t="shared" ca="1" si="209"/>
        <v>56</v>
      </c>
      <c r="E69" s="36">
        <f t="shared" ca="1" si="209"/>
        <v>47</v>
      </c>
      <c r="F69" s="36">
        <f t="shared" ca="1" si="209"/>
        <v>42</v>
      </c>
      <c r="G69" s="36">
        <f t="shared" ca="1" si="209"/>
        <v>33</v>
      </c>
      <c r="H69" s="36">
        <f t="shared" ca="1" si="209"/>
        <v>38</v>
      </c>
      <c r="J69" s="36">
        <f t="shared" ca="1" si="203"/>
        <v>35</v>
      </c>
      <c r="K69" s="36">
        <f t="shared" ca="1" si="199"/>
        <v>60.5</v>
      </c>
      <c r="M69" s="87" t="str">
        <f t="shared" si="204"/>
        <v>Sprint_1_4</v>
      </c>
      <c r="N69" s="36">
        <f t="shared" ca="1" si="210"/>
        <v>58</v>
      </c>
      <c r="O69" s="36">
        <f t="shared" ca="1" si="210"/>
        <v>8</v>
      </c>
      <c r="P69" s="36">
        <f t="shared" ca="1" si="210"/>
        <v>52</v>
      </c>
      <c r="Q69" s="36">
        <f t="shared" ca="1" si="210"/>
        <v>26</v>
      </c>
      <c r="R69" s="36">
        <f t="shared" ca="1" si="210"/>
        <v>36</v>
      </c>
      <c r="S69" s="36">
        <f t="shared" ca="1" si="210"/>
        <v>29</v>
      </c>
      <c r="T69" s="36">
        <f t="shared" ca="1" si="210"/>
        <v>30</v>
      </c>
      <c r="V69" s="36">
        <f t="shared" ca="1" si="205"/>
        <v>27</v>
      </c>
      <c r="W69" s="36">
        <f t="shared" ca="1" si="201"/>
        <v>33</v>
      </c>
      <c r="Y69" s="87" t="str">
        <f t="shared" ref="Y69:Y72" si="215">M75</f>
        <v>Sprint_2_5u6</v>
      </c>
      <c r="Z69" s="36">
        <f t="shared" ca="1" si="213"/>
        <v>83</v>
      </c>
      <c r="AA69" s="36">
        <f t="shared" ca="1" si="213"/>
        <v>26</v>
      </c>
      <c r="AB69" s="36">
        <f t="shared" ref="AB69" ca="1" si="216">D37</f>
        <v>80</v>
      </c>
      <c r="AC69" s="36">
        <f t="shared" ref="AC69" ca="1" si="217">E37</f>
        <v>65</v>
      </c>
      <c r="AD69" s="36">
        <f t="shared" ref="AD69" ca="1" si="218">F37</f>
        <v>50</v>
      </c>
      <c r="AE69" s="36">
        <f t="shared" ref="AE69" ca="1" si="219">G37</f>
        <v>64</v>
      </c>
      <c r="AF69" s="36">
        <f t="shared" ref="AF69" ca="1" si="220">H37</f>
        <v>53</v>
      </c>
      <c r="AG69" s="36"/>
      <c r="AH69" s="36">
        <f t="shared" ref="AH69" ca="1" si="221">J37</f>
        <v>151</v>
      </c>
      <c r="AI69" s="36">
        <f t="shared" ref="AI69" ca="1" si="222">K37</f>
        <v>97</v>
      </c>
    </row>
    <row r="70" spans="1:35">
      <c r="A70" s="87" t="str">
        <f t="shared" si="197"/>
        <v>Sprint_1_5</v>
      </c>
      <c r="B70" s="36">
        <f t="shared" ca="1" si="209"/>
        <v>83</v>
      </c>
      <c r="C70" s="36">
        <f t="shared" ca="1" si="209"/>
        <v>19</v>
      </c>
      <c r="D70" s="36">
        <f t="shared" ca="1" si="209"/>
        <v>36</v>
      </c>
      <c r="E70" s="36">
        <f t="shared" ca="1" si="209"/>
        <v>47</v>
      </c>
      <c r="F70" s="36">
        <f t="shared" ca="1" si="209"/>
        <v>40</v>
      </c>
      <c r="G70" s="36">
        <f t="shared" ca="1" si="209"/>
        <v>36</v>
      </c>
      <c r="H70" s="36">
        <f t="shared" ca="1" si="209"/>
        <v>35</v>
      </c>
      <c r="J70" s="36">
        <f t="shared" ca="1" si="203"/>
        <v>39</v>
      </c>
      <c r="K70" s="36">
        <f t="shared" ca="1" si="199"/>
        <v>66</v>
      </c>
      <c r="M70" s="87" t="str">
        <f t="shared" si="204"/>
        <v>Sprint_1_5</v>
      </c>
      <c r="N70" s="36">
        <f t="shared" ca="1" si="210"/>
        <v>77</v>
      </c>
      <c r="O70" s="36">
        <f t="shared" ca="1" si="210"/>
        <v>13</v>
      </c>
      <c r="P70" s="36">
        <f t="shared" ca="1" si="210"/>
        <v>29</v>
      </c>
      <c r="Q70" s="36">
        <f t="shared" ca="1" si="210"/>
        <v>44</v>
      </c>
      <c r="R70" s="36">
        <f t="shared" ca="1" si="210"/>
        <v>38</v>
      </c>
      <c r="S70" s="36">
        <f t="shared" ca="1" si="210"/>
        <v>27</v>
      </c>
      <c r="T70" s="36">
        <f t="shared" ca="1" si="210"/>
        <v>29</v>
      </c>
      <c r="V70" s="36">
        <f t="shared" ca="1" si="205"/>
        <v>26</v>
      </c>
      <c r="W70" s="36">
        <f t="shared" ca="1" si="201"/>
        <v>28</v>
      </c>
      <c r="Y70" s="87" t="str">
        <f t="shared" si="215"/>
        <v>Sprint_3_1u2</v>
      </c>
      <c r="Z70" s="36">
        <f t="shared" ca="1" si="213"/>
        <v>0</v>
      </c>
      <c r="AA70" s="36">
        <f t="shared" ca="1" si="213"/>
        <v>26</v>
      </c>
      <c r="AB70" s="36">
        <f t="shared" ref="AB70" ca="1" si="223">D38</f>
        <v>132</v>
      </c>
      <c r="AC70" s="36">
        <f t="shared" ref="AC70" ca="1" si="224">E38</f>
        <v>0</v>
      </c>
      <c r="AD70" s="36">
        <f t="shared" ref="AD70" ca="1" si="225">F38</f>
        <v>56</v>
      </c>
      <c r="AE70" s="36">
        <f t="shared" ref="AE70" ca="1" si="226">G38</f>
        <v>0</v>
      </c>
      <c r="AF70" s="36">
        <f t="shared" ref="AF70" ca="1" si="227">H38</f>
        <v>41</v>
      </c>
      <c r="AG70" s="36"/>
      <c r="AH70" s="36">
        <f t="shared" ref="AH70" ca="1" si="228">J38</f>
        <v>0</v>
      </c>
      <c r="AI70" s="36">
        <f t="shared" ref="AI70" ca="1" si="229">K38</f>
        <v>0</v>
      </c>
    </row>
    <row r="71" spans="1:35">
      <c r="A71" s="87" t="str">
        <f t="shared" si="197"/>
        <v>Sprint_1_6</v>
      </c>
      <c r="B71" s="36">
        <f t="shared" ca="1" si="209"/>
        <v>82</v>
      </c>
      <c r="C71" s="36">
        <f t="shared" ca="1" si="209"/>
        <v>24</v>
      </c>
      <c r="D71" s="36">
        <f t="shared" ca="1" si="209"/>
        <v>52</v>
      </c>
      <c r="E71" s="36">
        <f t="shared" ca="1" si="209"/>
        <v>35</v>
      </c>
      <c r="F71" s="36">
        <f t="shared" ca="1" si="209"/>
        <v>37</v>
      </c>
      <c r="G71" s="36">
        <f t="shared" ca="1" si="209"/>
        <v>56</v>
      </c>
      <c r="H71" s="36">
        <f t="shared" ca="1" si="209"/>
        <v>24</v>
      </c>
      <c r="J71" s="36">
        <f t="shared" ca="1" si="203"/>
        <v>41</v>
      </c>
      <c r="K71" s="36">
        <f t="shared" ca="1" si="199"/>
        <v>67</v>
      </c>
      <c r="M71" s="87" t="str">
        <f t="shared" si="204"/>
        <v>Sprint_1_6</v>
      </c>
      <c r="N71" s="36">
        <f t="shared" ca="1" si="210"/>
        <v>66</v>
      </c>
      <c r="O71" s="36">
        <f t="shared" ca="1" si="210"/>
        <v>15</v>
      </c>
      <c r="P71" s="36">
        <f t="shared" ca="1" si="210"/>
        <v>33</v>
      </c>
      <c r="Q71" s="36">
        <f t="shared" ca="1" si="210"/>
        <v>29</v>
      </c>
      <c r="R71" s="36">
        <f t="shared" ca="1" si="210"/>
        <v>31</v>
      </c>
      <c r="S71" s="36">
        <f t="shared" ca="1" si="210"/>
        <v>36</v>
      </c>
      <c r="T71" s="36">
        <f t="shared" ca="1" si="210"/>
        <v>21</v>
      </c>
      <c r="V71" s="36">
        <f t="shared" ca="1" si="205"/>
        <v>36</v>
      </c>
      <c r="W71" s="36">
        <f t="shared" ca="1" si="201"/>
        <v>21</v>
      </c>
      <c r="Y71" s="87" t="str">
        <f>M77</f>
        <v>Sprint_3_3u4</v>
      </c>
      <c r="Z71" s="36"/>
      <c r="AA71" s="36"/>
      <c r="AB71" s="36"/>
      <c r="AC71" s="36"/>
      <c r="AD71" s="36"/>
      <c r="AE71" s="36"/>
      <c r="AF71" s="36"/>
      <c r="AG71" s="36"/>
      <c r="AH71" s="36"/>
      <c r="AI71" s="36"/>
    </row>
    <row r="72" spans="1:35">
      <c r="A72" s="87" t="str">
        <f t="shared" si="197"/>
        <v>Sprint_2_1</v>
      </c>
      <c r="B72" s="36">
        <f t="shared" ca="1" si="209"/>
        <v>52</v>
      </c>
      <c r="C72" s="36">
        <f t="shared" ca="1" si="209"/>
        <v>20</v>
      </c>
      <c r="D72" s="36">
        <f t="shared" ca="1" si="209"/>
        <v>47</v>
      </c>
      <c r="E72" s="36">
        <f t="shared" ca="1" si="209"/>
        <v>51</v>
      </c>
      <c r="F72" s="36">
        <f t="shared" ca="1" si="209"/>
        <v>23</v>
      </c>
      <c r="G72" s="36">
        <f t="shared" ca="1" si="209"/>
        <v>34</v>
      </c>
      <c r="H72" s="36">
        <f t="shared" ca="1" si="209"/>
        <v>31</v>
      </c>
      <c r="J72" s="36">
        <f t="shared" ca="1" si="203"/>
        <v>47</v>
      </c>
      <c r="K72" s="36">
        <f t="shared" ca="1" si="199"/>
        <v>56</v>
      </c>
      <c r="M72" s="87" t="str">
        <f t="shared" ref="M72:M77" si="230">A72</f>
        <v>Sprint_2_1</v>
      </c>
      <c r="N72" s="36">
        <f t="shared" ca="1" si="210"/>
        <v>38</v>
      </c>
      <c r="O72" s="36">
        <f t="shared" ca="1" si="210"/>
        <v>15</v>
      </c>
      <c r="P72" s="36">
        <f t="shared" ca="1" si="210"/>
        <v>39</v>
      </c>
      <c r="Q72" s="36">
        <f t="shared" ca="1" si="210"/>
        <v>36</v>
      </c>
      <c r="R72" s="36">
        <f t="shared" ca="1" si="210"/>
        <v>15</v>
      </c>
      <c r="S72" s="36">
        <f t="shared" ca="1" si="210"/>
        <v>27</v>
      </c>
      <c r="T72" s="36">
        <f t="shared" ca="1" si="210"/>
        <v>24</v>
      </c>
      <c r="V72" s="36">
        <f t="shared" ca="1" si="205"/>
        <v>47</v>
      </c>
      <c r="W72" s="36">
        <f t="shared" ca="1" si="201"/>
        <v>41</v>
      </c>
      <c r="Y72" s="87" t="str">
        <f t="shared" si="215"/>
        <v>Sprint_3_5u6</v>
      </c>
    </row>
    <row r="73" spans="1:35">
      <c r="A73" s="87" t="str">
        <f t="shared" si="197"/>
        <v>Sprint_2_2</v>
      </c>
      <c r="B73" s="36">
        <f t="shared" ref="B73" ca="1" si="231">N73+N15</f>
        <v>43</v>
      </c>
      <c r="C73" s="36">
        <f ca="1">O73+O15</f>
        <v>26</v>
      </c>
      <c r="D73" s="36">
        <f t="shared" ref="D73" ca="1" si="232">P73+P15</f>
        <v>49</v>
      </c>
      <c r="E73" s="36">
        <f t="shared" ref="E73" ca="1" si="233">Q73+Q15</f>
        <v>30</v>
      </c>
      <c r="F73" s="36">
        <f t="shared" ref="F73" ca="1" si="234">R73+R15</f>
        <v>34</v>
      </c>
      <c r="G73" s="36">
        <f t="shared" ref="G73" ca="1" si="235">S73+S15</f>
        <v>42</v>
      </c>
      <c r="H73" s="36">
        <f t="shared" ref="H73" ca="1" si="236">T73+T15</f>
        <v>23</v>
      </c>
      <c r="J73" s="36">
        <f t="shared" ref="J73" ca="1" si="237">V73+V15</f>
        <v>59</v>
      </c>
      <c r="K73" s="36">
        <f t="shared" ref="K73" ca="1" si="238">W73+W15</f>
        <v>59</v>
      </c>
      <c r="M73" s="87" t="str">
        <f t="shared" ref="M73" si="239">A73</f>
        <v>Sprint_2_2</v>
      </c>
      <c r="N73" s="36">
        <f t="shared" ref="N73" ca="1" si="240">B15-N35</f>
        <v>41</v>
      </c>
      <c r="O73" s="36">
        <f ca="1">C15-O35</f>
        <v>13</v>
      </c>
      <c r="P73" s="36">
        <f t="shared" ref="P73" ca="1" si="241">D15-P35</f>
        <v>38</v>
      </c>
      <c r="Q73" s="36">
        <f t="shared" ref="Q73" ca="1" si="242">E15-Q35</f>
        <v>25</v>
      </c>
      <c r="R73" s="36">
        <f t="shared" ref="R73" ca="1" si="243">F15-R35</f>
        <v>33</v>
      </c>
      <c r="S73" s="36">
        <f t="shared" ref="S73" ca="1" si="244">G15-S35</f>
        <v>34</v>
      </c>
      <c r="T73" s="36">
        <f t="shared" ref="T73" ca="1" si="245">H15-T35</f>
        <v>21</v>
      </c>
      <c r="V73" s="36">
        <f t="shared" ref="V73" ca="1" si="246">J15-V35</f>
        <v>50</v>
      </c>
      <c r="W73" s="36">
        <f t="shared" ref="W73" ca="1" si="247">K15-W35</f>
        <v>43</v>
      </c>
      <c r="Y73" s="87"/>
      <c r="Z73" s="36"/>
    </row>
    <row r="74" spans="1:35">
      <c r="A74" s="87" t="str">
        <f t="shared" si="197"/>
        <v>Sprint_2_3u4</v>
      </c>
      <c r="B74" s="36">
        <f t="shared" ref="B74" ca="1" si="248">N74+N16</f>
        <v>106</v>
      </c>
      <c r="C74" s="36">
        <f ca="1">O74+O16</f>
        <v>29</v>
      </c>
      <c r="D74" s="36">
        <f t="shared" ref="D74" ca="1" si="249">P74+P16</f>
        <v>78</v>
      </c>
      <c r="E74" s="36">
        <f t="shared" ref="E74" ca="1" si="250">Q74+Q16</f>
        <v>100</v>
      </c>
      <c r="F74" s="36">
        <f t="shared" ref="F74" ca="1" si="251">R74+R16</f>
        <v>53</v>
      </c>
      <c r="G74" s="36">
        <f t="shared" ref="G74" ca="1" si="252">S74+S16</f>
        <v>75</v>
      </c>
      <c r="H74" s="36">
        <f t="shared" ref="H74" ca="1" si="253">T74+T16</f>
        <v>45</v>
      </c>
      <c r="J74" s="36">
        <f t="shared" ref="J74" ca="1" si="254">V74+V16</f>
        <v>98</v>
      </c>
      <c r="K74" s="36">
        <f t="shared" ref="K74" ca="1" si="255">W74+W16</f>
        <v>103</v>
      </c>
      <c r="M74" s="87" t="str">
        <f t="shared" si="230"/>
        <v>Sprint_2_3u4</v>
      </c>
      <c r="N74" s="36">
        <f t="shared" ref="N74" ca="1" si="256">B16-N36</f>
        <v>96</v>
      </c>
      <c r="O74" s="36">
        <f ca="1">C16-O36</f>
        <v>17</v>
      </c>
      <c r="P74" s="36">
        <f t="shared" ref="P74" ca="1" si="257">D16-P36</f>
        <v>36</v>
      </c>
      <c r="Q74" s="36">
        <f t="shared" ref="Q74" ca="1" si="258">E16-Q36</f>
        <v>22</v>
      </c>
      <c r="R74" s="36">
        <f t="shared" ref="R74" ca="1" si="259">F16-R36</f>
        <v>33</v>
      </c>
      <c r="S74" s="36">
        <f t="shared" ref="S74" ca="1" si="260">G16-S36</f>
        <v>33</v>
      </c>
      <c r="T74" s="36">
        <f t="shared" ref="T74" ca="1" si="261">H16-T36</f>
        <v>45</v>
      </c>
      <c r="V74" s="36">
        <f t="shared" ref="V74" ca="1" si="262">J16-V36</f>
        <v>98</v>
      </c>
      <c r="W74" s="36">
        <f t="shared" ref="W74" ca="1" si="263">K16-W36</f>
        <v>58</v>
      </c>
      <c r="Y74" s="87"/>
    </row>
    <row r="75" spans="1:35">
      <c r="A75" s="87" t="str">
        <f t="shared" si="197"/>
        <v>Sprint_2_5u6</v>
      </c>
      <c r="B75" s="36">
        <f t="shared" ref="B75" ca="1" si="264">N75+N17</f>
        <v>124</v>
      </c>
      <c r="C75" s="36">
        <f ca="1">O75+O17</f>
        <v>28</v>
      </c>
      <c r="D75" s="36">
        <f t="shared" ref="D75" ca="1" si="265">P75+P17</f>
        <v>113</v>
      </c>
      <c r="E75" s="36">
        <f t="shared" ref="E75" ca="1" si="266">Q75+Q17</f>
        <v>76</v>
      </c>
      <c r="F75" s="36">
        <f t="shared" ref="F75" ca="1" si="267">R75+R17</f>
        <v>64</v>
      </c>
      <c r="G75" s="36">
        <f t="shared" ref="G75" ca="1" si="268">S75+S17</f>
        <v>88</v>
      </c>
      <c r="H75" s="36">
        <f t="shared" ref="H75" ca="1" si="269">T75+T17</f>
        <v>62</v>
      </c>
      <c r="J75" s="36">
        <f t="shared" ref="J75" ca="1" si="270">V75+V17</f>
        <v>172</v>
      </c>
      <c r="K75" s="36">
        <f t="shared" ref="K75" ca="1" si="271">W75+W17</f>
        <v>110</v>
      </c>
      <c r="M75" s="87" t="str">
        <f t="shared" ref="M75" si="272">A75</f>
        <v>Sprint_2_5u6</v>
      </c>
      <c r="N75" s="36">
        <f t="shared" ref="N75" ca="1" si="273">B17-N37</f>
        <v>104</v>
      </c>
      <c r="O75" s="36">
        <f ca="1">C17-O37</f>
        <v>16</v>
      </c>
      <c r="P75" s="36">
        <f t="shared" ref="P75" ca="1" si="274">D17-P37</f>
        <v>57</v>
      </c>
      <c r="Q75" s="36">
        <f t="shared" ref="Q75" ca="1" si="275">E17-Q37</f>
        <v>52</v>
      </c>
      <c r="R75" s="36">
        <f t="shared" ref="R75" ca="1" si="276">F17-R37</f>
        <v>45</v>
      </c>
      <c r="S75" s="36">
        <f t="shared" ref="S75" ca="1" si="277">G17-S37</f>
        <v>59</v>
      </c>
      <c r="T75" s="36">
        <f t="shared" ref="T75" ca="1" si="278">H17-T37</f>
        <v>43</v>
      </c>
      <c r="V75" s="36">
        <f t="shared" ref="V75" ca="1" si="279">J17-V37</f>
        <v>81</v>
      </c>
      <c r="W75" s="36">
        <f t="shared" ref="W75" ca="1" si="280">K17-W37</f>
        <v>77</v>
      </c>
      <c r="Y75" s="87"/>
    </row>
    <row r="76" spans="1:35">
      <c r="A76" s="87" t="str">
        <f t="shared" si="197"/>
        <v>Sprint_3_1u2</v>
      </c>
      <c r="B76" s="36">
        <f t="shared" ref="B76" ca="1" si="281">N76+N18</f>
        <v>0</v>
      </c>
      <c r="C76" s="36">
        <f ca="1">O76+O18</f>
        <v>43</v>
      </c>
      <c r="D76" s="36">
        <f t="shared" ref="D76" ca="1" si="282">P76+P18</f>
        <v>151</v>
      </c>
      <c r="E76" s="36">
        <f t="shared" ref="E76" ca="1" si="283">Q76+Q18</f>
        <v>0</v>
      </c>
      <c r="F76" s="36">
        <f t="shared" ref="F76" ca="1" si="284">R76+R18</f>
        <v>70</v>
      </c>
      <c r="G76" s="36">
        <f t="shared" ref="G76" ca="1" si="285">S76+S18</f>
        <v>0</v>
      </c>
      <c r="H76" s="36">
        <f t="shared" ref="H76" ca="1" si="286">T76+T18</f>
        <v>62</v>
      </c>
      <c r="J76" s="36">
        <f t="shared" ref="J76" ca="1" si="287">V76+V18</f>
        <v>0</v>
      </c>
      <c r="K76" s="36">
        <f t="shared" ref="K76" ca="1" si="288">W76+W18</f>
        <v>0</v>
      </c>
      <c r="M76" s="87" t="str">
        <f t="shared" ref="M76" si="289">A76</f>
        <v>Sprint_3_1u2</v>
      </c>
      <c r="N76" s="36">
        <f t="shared" ref="N76" ca="1" si="290">B18-N38</f>
        <v>0</v>
      </c>
      <c r="O76" s="36">
        <f ca="1">C18-O38</f>
        <v>32</v>
      </c>
      <c r="P76" s="36">
        <f t="shared" ref="P76" ca="1" si="291">D18-P38</f>
        <v>78</v>
      </c>
      <c r="Q76" s="36">
        <f t="shared" ref="Q76" ca="1" si="292">E18-Q38</f>
        <v>0</v>
      </c>
      <c r="R76" s="36">
        <f t="shared" ref="R76" ca="1" si="293">F18-R38</f>
        <v>37</v>
      </c>
      <c r="S76" s="36">
        <f t="shared" ref="S76" ca="1" si="294">G18-S38</f>
        <v>0</v>
      </c>
      <c r="T76" s="36">
        <f t="shared" ref="T76" ca="1" si="295">H18-T38</f>
        <v>62</v>
      </c>
      <c r="V76" s="36">
        <f t="shared" ref="V76" ca="1" si="296">J18-V38</f>
        <v>0</v>
      </c>
      <c r="W76" s="36">
        <f t="shared" ref="W76" ca="1" si="297">K18-W38</f>
        <v>0</v>
      </c>
      <c r="Y76" s="87"/>
    </row>
    <row r="77" spans="1:35">
      <c r="A77" s="87" t="str">
        <f t="shared" si="197"/>
        <v>Sprint_3_3u4</v>
      </c>
      <c r="B77" s="90"/>
      <c r="C77" s="90"/>
      <c r="D77" s="90"/>
      <c r="E77" s="90"/>
      <c r="F77" s="90"/>
      <c r="G77" s="90"/>
      <c r="H77" s="90"/>
      <c r="I77" s="90"/>
      <c r="J77" s="90"/>
      <c r="K77" s="90"/>
      <c r="M77" s="87" t="str">
        <f t="shared" si="230"/>
        <v>Sprint_3_3u4</v>
      </c>
    </row>
    <row r="78" spans="1:35">
      <c r="A78" s="87" t="str">
        <f t="shared" si="197"/>
        <v>Sprint_3_5u6</v>
      </c>
      <c r="B78" s="90"/>
      <c r="C78" s="90"/>
      <c r="D78" s="90"/>
      <c r="E78" s="90"/>
      <c r="F78" s="90"/>
      <c r="G78" s="90"/>
      <c r="H78" s="90"/>
      <c r="I78" s="90"/>
      <c r="J78" s="90"/>
      <c r="K78" s="90"/>
      <c r="M78" s="87" t="str">
        <f t="shared" ref="M78" si="298">A78</f>
        <v>Sprint_3_5u6</v>
      </c>
    </row>
    <row r="79" spans="1:35" s="249" customFormat="1" ht="15.75" thickBot="1">
      <c r="A79" s="245"/>
      <c r="B79" s="246"/>
      <c r="C79" s="246"/>
      <c r="D79" s="246"/>
      <c r="E79" s="246"/>
      <c r="F79" s="246"/>
      <c r="G79" s="246"/>
      <c r="H79" s="246"/>
      <c r="I79" s="246"/>
      <c r="J79" s="246"/>
      <c r="K79" s="246"/>
      <c r="L79" s="247"/>
      <c r="M79" s="245"/>
      <c r="N79" s="248"/>
      <c r="O79" s="248"/>
      <c r="P79" s="248"/>
      <c r="Q79" s="248"/>
      <c r="R79" s="248"/>
      <c r="S79" s="248"/>
      <c r="T79" s="248"/>
      <c r="U79" s="248"/>
      <c r="V79" s="248"/>
      <c r="W79" s="248"/>
      <c r="X79" s="247"/>
    </row>
    <row r="80" spans="1:35">
      <c r="B80" s="90"/>
      <c r="C80" s="90"/>
      <c r="D80" s="90"/>
      <c r="E80" s="90"/>
      <c r="F80" s="90"/>
      <c r="G80" s="90"/>
      <c r="H80" s="90"/>
      <c r="I80" s="90"/>
      <c r="J80" s="90"/>
      <c r="K80" s="90"/>
    </row>
    <row r="82" spans="1:23">
      <c r="B82" s="412" t="s">
        <v>151</v>
      </c>
      <c r="C82" s="412"/>
      <c r="D82" s="412"/>
      <c r="E82" s="412"/>
      <c r="F82" s="412"/>
      <c r="G82" s="412"/>
      <c r="H82" s="412"/>
      <c r="I82" s="412"/>
      <c r="J82" s="412"/>
      <c r="K82" s="412"/>
      <c r="M82" s="94"/>
      <c r="N82" s="414" t="s">
        <v>152</v>
      </c>
      <c r="O82" s="414"/>
      <c r="P82" s="414"/>
      <c r="Q82" s="414"/>
      <c r="R82" s="414"/>
      <c r="S82" s="414"/>
      <c r="T82" s="414"/>
      <c r="U82" s="414"/>
      <c r="V82" s="414"/>
      <c r="W82" s="414"/>
    </row>
    <row r="83" spans="1:23">
      <c r="B83" s="90" t="str">
        <f>B$3</f>
        <v>Engineering</v>
      </c>
      <c r="C83" s="90" t="str">
        <f t="shared" ref="C83:K83" si="299">C$3</f>
        <v>Payment</v>
      </c>
      <c r="D83" s="90" t="str">
        <f t="shared" si="299"/>
        <v>Sales</v>
      </c>
      <c r="E83" s="90" t="str">
        <f t="shared" si="299"/>
        <v>Vlinder</v>
      </c>
      <c r="F83" s="90" t="str">
        <f t="shared" si="299"/>
        <v>TTT</v>
      </c>
      <c r="G83" s="90" t="str">
        <f t="shared" si="299"/>
        <v>TNT</v>
      </c>
      <c r="H83" s="90" t="str">
        <f t="shared" si="299"/>
        <v>TFS</v>
      </c>
      <c r="I83" s="90" t="str">
        <f t="shared" si="299"/>
        <v>0-Noise</v>
      </c>
      <c r="J83" s="90" t="str">
        <f t="shared" si="299"/>
        <v>Synergy</v>
      </c>
      <c r="K83" s="90" t="str">
        <f t="shared" si="299"/>
        <v>Papillon</v>
      </c>
      <c r="M83" s="94"/>
      <c r="N83" s="90" t="str">
        <f>B83</f>
        <v>Engineering</v>
      </c>
      <c r="O83" s="90" t="str">
        <f t="shared" ref="O83" si="300">C83</f>
        <v>Payment</v>
      </c>
      <c r="P83" s="90" t="str">
        <f t="shared" ref="P83" si="301">D83</f>
        <v>Sales</v>
      </c>
      <c r="Q83" s="90" t="str">
        <f t="shared" ref="Q83" si="302">E83</f>
        <v>Vlinder</v>
      </c>
      <c r="R83" s="90" t="str">
        <f t="shared" ref="R83" si="303">F83</f>
        <v>TTT</v>
      </c>
      <c r="S83" s="90" t="str">
        <f t="shared" ref="S83" si="304">G83</f>
        <v>TNT</v>
      </c>
      <c r="T83" s="90" t="str">
        <f t="shared" ref="T83" si="305">H83</f>
        <v>TFS</v>
      </c>
      <c r="U83" s="90" t="str">
        <f t="shared" ref="U83" si="306">I83</f>
        <v>0-Noise</v>
      </c>
      <c r="V83" s="90" t="str">
        <f t="shared" ref="V83" si="307">J83</f>
        <v>Synergy</v>
      </c>
      <c r="W83" s="90" t="str">
        <f t="shared" ref="W83" si="308">K83</f>
        <v>Papillon</v>
      </c>
    </row>
    <row r="84" spans="1:23">
      <c r="A84" s="94" t="str">
        <f t="shared" ref="A84:A96" si="309">A8</f>
        <v>Sprint_1_1</v>
      </c>
      <c r="B84" s="231">
        <f t="shared" ref="B84:H89" ca="1" si="310">IF(B28&lt;=0,1,IF(B28&gt;=B45+2*N45,2,IF(B28&gt;=B45+N45,2.5,IF(B28&gt;=B45,3,IF(B28&gt;=B45-N45,2.5,IF(B28&gt;=B45-2*N45,1.5,1))))))</f>
        <v>2.5</v>
      </c>
      <c r="C84" s="231">
        <f t="shared" ca="1" si="310"/>
        <v>2.5</v>
      </c>
      <c r="D84" s="231">
        <f t="shared" ca="1" si="310"/>
        <v>3</v>
      </c>
      <c r="E84" s="231">
        <f t="shared" ca="1" si="310"/>
        <v>2.5</v>
      </c>
      <c r="F84" s="231">
        <f t="shared" ca="1" si="310"/>
        <v>1.5</v>
      </c>
      <c r="G84" s="231">
        <f t="shared" ca="1" si="310"/>
        <v>2.5</v>
      </c>
      <c r="H84" s="231">
        <f t="shared" ca="1" si="310"/>
        <v>3</v>
      </c>
      <c r="I84" s="231"/>
      <c r="J84" s="231">
        <f t="shared" ref="J84:K89" ca="1" si="311">IF(J28&lt;=0,1,IF(J28&gt;=J45+2*V45,2,IF(J28&gt;=J45+V45,2.5,IF(J28&gt;=J45,3,IF(J28&gt;=J45-V45,2.5,IF(J28&gt;=J45-2*V45,1.5,1))))))</f>
        <v>1.5</v>
      </c>
      <c r="K84" s="231">
        <f t="shared" ca="1" si="311"/>
        <v>2.5</v>
      </c>
      <c r="M84" s="87" t="str">
        <f t="shared" ref="M84:M89" si="312">A84</f>
        <v>Sprint_1_1</v>
      </c>
      <c r="N84" s="92">
        <f t="shared" ref="N84:T89" ca="1" si="313">B28/B66-1</f>
        <v>-0.17582417582417587</v>
      </c>
      <c r="O84" s="92">
        <f t="shared" ca="1" si="313"/>
        <v>-0.55000000000000004</v>
      </c>
      <c r="P84" s="92">
        <f t="shared" ca="1" si="313"/>
        <v>-0.31481481481481477</v>
      </c>
      <c r="Q84" s="92">
        <f t="shared" ca="1" si="313"/>
        <v>-0.26315789473684215</v>
      </c>
      <c r="R84" s="92">
        <f t="shared" ca="1" si="313"/>
        <v>-9.375E-2</v>
      </c>
      <c r="S84" s="92">
        <f t="shared" ca="1" si="313"/>
        <v>-0.3035714285714286</v>
      </c>
      <c r="T84" s="92">
        <f t="shared" ca="1" si="313"/>
        <v>-0.1071428571428571</v>
      </c>
      <c r="U84" s="92"/>
      <c r="V84" s="92">
        <f t="shared" ref="V84:W89" ca="1" si="314">J28/J66-1</f>
        <v>-0.19999999999999996</v>
      </c>
      <c r="W84" s="92">
        <f t="shared" ca="1" si="314"/>
        <v>-0.48888888888888893</v>
      </c>
    </row>
    <row r="85" spans="1:23">
      <c r="A85" s="94" t="str">
        <f t="shared" si="309"/>
        <v>Sprint_1_2</v>
      </c>
      <c r="B85" s="231">
        <f t="shared" ca="1" si="310"/>
        <v>1.5</v>
      </c>
      <c r="C85" s="231">
        <f t="shared" ca="1" si="310"/>
        <v>2</v>
      </c>
      <c r="D85" s="231">
        <f t="shared" ca="1" si="310"/>
        <v>2.5</v>
      </c>
      <c r="E85" s="231">
        <f t="shared" ca="1" si="310"/>
        <v>2.5</v>
      </c>
      <c r="F85" s="231">
        <f t="shared" ca="1" si="310"/>
        <v>1.5</v>
      </c>
      <c r="G85" s="231">
        <f t="shared" ca="1" si="310"/>
        <v>2.5</v>
      </c>
      <c r="H85" s="231">
        <f t="shared" ca="1" si="310"/>
        <v>1.5</v>
      </c>
      <c r="I85" s="231"/>
      <c r="J85" s="231">
        <f t="shared" ca="1" si="311"/>
        <v>2.5</v>
      </c>
      <c r="K85" s="231">
        <f t="shared" ca="1" si="311"/>
        <v>2</v>
      </c>
      <c r="M85" s="87" t="str">
        <f t="shared" si="312"/>
        <v>Sprint_1_2</v>
      </c>
      <c r="N85" s="92">
        <f t="shared" ca="1" si="313"/>
        <v>-0.28301886792452835</v>
      </c>
      <c r="O85" s="92">
        <f t="shared" ca="1" si="313"/>
        <v>-0.22222222222222221</v>
      </c>
      <c r="P85" s="92">
        <f t="shared" ca="1" si="313"/>
        <v>-0.15094339622641506</v>
      </c>
      <c r="Q85" s="92">
        <f t="shared" ca="1" si="313"/>
        <v>-0.16129032258064513</v>
      </c>
      <c r="R85" s="92">
        <f t="shared" ca="1" si="313"/>
        <v>-0.36585365853658536</v>
      </c>
      <c r="S85" s="92">
        <f t="shared" ca="1" si="313"/>
        <v>-2.0000000000000018E-2</v>
      </c>
      <c r="T85" s="92">
        <f t="shared" ca="1" si="313"/>
        <v>-0.40740740740740744</v>
      </c>
      <c r="U85" s="92"/>
      <c r="V85" s="92">
        <f t="shared" ca="1" si="314"/>
        <v>-0.22499999999999998</v>
      </c>
      <c r="W85" s="92">
        <f t="shared" ca="1" si="314"/>
        <v>-0.26548672566371678</v>
      </c>
    </row>
    <row r="86" spans="1:23">
      <c r="A86" s="94" t="str">
        <f t="shared" si="309"/>
        <v>Sprint_1_3</v>
      </c>
      <c r="B86" s="231">
        <f t="shared" ca="1" si="310"/>
        <v>2.5</v>
      </c>
      <c r="C86" s="231">
        <f t="shared" ca="1" si="310"/>
        <v>3</v>
      </c>
      <c r="D86" s="231">
        <f t="shared" ca="1" si="310"/>
        <v>2.5</v>
      </c>
      <c r="E86" s="231">
        <f t="shared" ca="1" si="310"/>
        <v>3</v>
      </c>
      <c r="F86" s="231">
        <f t="shared" ca="1" si="310"/>
        <v>2.5</v>
      </c>
      <c r="G86" s="231">
        <f t="shared" ca="1" si="310"/>
        <v>1.5</v>
      </c>
      <c r="H86" s="231">
        <f t="shared" ca="1" si="310"/>
        <v>3</v>
      </c>
      <c r="I86" s="231"/>
      <c r="J86" s="231">
        <f t="shared" ca="1" si="311"/>
        <v>1.5</v>
      </c>
      <c r="K86" s="231">
        <f t="shared" ca="1" si="311"/>
        <v>2</v>
      </c>
      <c r="M86" s="87" t="str">
        <f t="shared" si="312"/>
        <v>Sprint_1_3</v>
      </c>
      <c r="N86" s="92">
        <f t="shared" ca="1" si="313"/>
        <v>-0.30769230769230771</v>
      </c>
      <c r="O86" s="92">
        <f t="shared" ca="1" si="313"/>
        <v>-0.45833333333333337</v>
      </c>
      <c r="P86" s="92">
        <f t="shared" ca="1" si="313"/>
        <v>-0.38181818181818183</v>
      </c>
      <c r="Q86" s="92">
        <f t="shared" ca="1" si="313"/>
        <v>-0.19512195121951215</v>
      </c>
      <c r="R86" s="92">
        <f t="shared" ca="1" si="313"/>
        <v>-0.29268292682926833</v>
      </c>
      <c r="S86" s="92">
        <f t="shared" ca="1" si="313"/>
        <v>-0.30612244897959184</v>
      </c>
      <c r="T86" s="92">
        <f t="shared" ca="1" si="313"/>
        <v>-0.12903225806451613</v>
      </c>
      <c r="U86" s="92"/>
      <c r="V86" s="92">
        <f t="shared" ca="1" si="314"/>
        <v>-0.22222222222222221</v>
      </c>
      <c r="W86" s="92">
        <f t="shared" ca="1" si="314"/>
        <v>-0.22784810126582278</v>
      </c>
    </row>
    <row r="87" spans="1:23">
      <c r="A87" s="94" t="str">
        <f t="shared" si="309"/>
        <v>Sprint_1_4</v>
      </c>
      <c r="B87" s="231">
        <f t="shared" ca="1" si="310"/>
        <v>1.5</v>
      </c>
      <c r="C87" s="231">
        <f t="shared" ca="1" si="310"/>
        <v>3</v>
      </c>
      <c r="D87" s="231">
        <f t="shared" ca="1" si="310"/>
        <v>2</v>
      </c>
      <c r="E87" s="231">
        <f t="shared" ca="1" si="310"/>
        <v>3</v>
      </c>
      <c r="F87" s="231">
        <f t="shared" ca="1" si="310"/>
        <v>3</v>
      </c>
      <c r="G87" s="231">
        <f t="shared" ca="1" si="310"/>
        <v>1.5</v>
      </c>
      <c r="H87" s="231">
        <f t="shared" ca="1" si="310"/>
        <v>2.5</v>
      </c>
      <c r="I87" s="231"/>
      <c r="J87" s="231">
        <f t="shared" ca="1" si="311"/>
        <v>2.5</v>
      </c>
      <c r="K87" s="231">
        <f t="shared" ca="1" si="311"/>
        <v>3</v>
      </c>
      <c r="M87" s="87" t="str">
        <f t="shared" si="312"/>
        <v>Sprint_1_4</v>
      </c>
      <c r="N87" s="92">
        <f t="shared" ca="1" si="313"/>
        <v>-0.578125</v>
      </c>
      <c r="O87" s="92">
        <f t="shared" ca="1" si="313"/>
        <v>-0.26315789473684215</v>
      </c>
      <c r="P87" s="92">
        <f t="shared" ca="1" si="313"/>
        <v>0</v>
      </c>
      <c r="Q87" s="92">
        <f t="shared" ca="1" si="313"/>
        <v>-0.2978723404255319</v>
      </c>
      <c r="R87" s="92">
        <f t="shared" ca="1" si="313"/>
        <v>-9.5238095238095233E-2</v>
      </c>
      <c r="S87" s="92">
        <f t="shared" ca="1" si="313"/>
        <v>-0.18181818181818177</v>
      </c>
      <c r="T87" s="92">
        <f t="shared" ca="1" si="313"/>
        <v>-0.13157894736842102</v>
      </c>
      <c r="U87" s="92"/>
      <c r="V87" s="92">
        <f t="shared" ca="1" si="314"/>
        <v>-0.25714285714285712</v>
      </c>
      <c r="W87" s="92">
        <f t="shared" ca="1" si="314"/>
        <v>-0.26446280991735538</v>
      </c>
    </row>
    <row r="88" spans="1:23">
      <c r="A88" s="94" t="str">
        <f t="shared" si="309"/>
        <v>Sprint_1_5</v>
      </c>
      <c r="B88" s="231">
        <f t="shared" ca="1" si="310"/>
        <v>2.5</v>
      </c>
      <c r="C88" s="231">
        <f t="shared" ca="1" si="310"/>
        <v>2.5</v>
      </c>
      <c r="D88" s="231">
        <f t="shared" ca="1" si="310"/>
        <v>2.5</v>
      </c>
      <c r="E88" s="231">
        <f t="shared" ca="1" si="310"/>
        <v>2</v>
      </c>
      <c r="F88" s="231">
        <f t="shared" ca="1" si="310"/>
        <v>2.5</v>
      </c>
      <c r="G88" s="231">
        <f t="shared" ca="1" si="310"/>
        <v>2.5</v>
      </c>
      <c r="H88" s="231">
        <f t="shared" ca="1" si="310"/>
        <v>2.5</v>
      </c>
      <c r="I88" s="231"/>
      <c r="J88" s="231">
        <f t="shared" ca="1" si="311"/>
        <v>3</v>
      </c>
      <c r="K88" s="231">
        <f t="shared" ca="1" si="311"/>
        <v>2.5</v>
      </c>
      <c r="M88" s="87" t="str">
        <f t="shared" si="312"/>
        <v>Sprint_1_5</v>
      </c>
      <c r="N88" s="92">
        <f t="shared" ca="1" si="313"/>
        <v>-0.13253012048192769</v>
      </c>
      <c r="O88" s="92">
        <f t="shared" ca="1" si="313"/>
        <v>-0.31578947368421051</v>
      </c>
      <c r="P88" s="92">
        <f t="shared" ca="1" si="313"/>
        <v>-2.777777777777779E-2</v>
      </c>
      <c r="Q88" s="92">
        <f t="shared" ca="1" si="313"/>
        <v>-0.1063829787234043</v>
      </c>
      <c r="R88" s="92">
        <f t="shared" ca="1" si="313"/>
        <v>-0.15000000000000002</v>
      </c>
      <c r="S88" s="92">
        <f t="shared" ca="1" si="313"/>
        <v>-2.777777777777779E-2</v>
      </c>
      <c r="T88" s="92">
        <f t="shared" ca="1" si="313"/>
        <v>-8.5714285714285743E-2</v>
      </c>
      <c r="U88" s="92"/>
      <c r="V88" s="92">
        <f t="shared" ca="1" si="314"/>
        <v>-7.6923076923076872E-2</v>
      </c>
      <c r="W88" s="92">
        <f t="shared" ca="1" si="314"/>
        <v>-0.19696969696969702</v>
      </c>
    </row>
    <row r="89" spans="1:23">
      <c r="A89" s="94" t="str">
        <f t="shared" si="309"/>
        <v>Sprint_1_6</v>
      </c>
      <c r="B89" s="231">
        <f t="shared" ca="1" si="310"/>
        <v>3</v>
      </c>
      <c r="C89" s="231">
        <f t="shared" ca="1" si="310"/>
        <v>2.5</v>
      </c>
      <c r="D89" s="231">
        <f t="shared" ca="1" si="310"/>
        <v>3</v>
      </c>
      <c r="E89" s="231">
        <f t="shared" ca="1" si="310"/>
        <v>2.5</v>
      </c>
      <c r="F89" s="231">
        <f t="shared" ca="1" si="310"/>
        <v>2.5</v>
      </c>
      <c r="G89" s="231">
        <f t="shared" ca="1" si="310"/>
        <v>2.5</v>
      </c>
      <c r="H89" s="231">
        <f t="shared" ca="1" si="310"/>
        <v>2.5</v>
      </c>
      <c r="I89" s="231"/>
      <c r="J89" s="231">
        <f t="shared" ca="1" si="311"/>
        <v>2.5</v>
      </c>
      <c r="K89" s="231">
        <f t="shared" ca="1" si="311"/>
        <v>3</v>
      </c>
      <c r="M89" s="87" t="str">
        <f t="shared" si="312"/>
        <v>Sprint_1_6</v>
      </c>
      <c r="N89" s="92">
        <f t="shared" ca="1" si="313"/>
        <v>-0.17073170731707321</v>
      </c>
      <c r="O89" s="92">
        <f t="shared" ca="1" si="313"/>
        <v>-0.25</v>
      </c>
      <c r="P89" s="92">
        <f t="shared" ca="1" si="313"/>
        <v>-9.6153846153846145E-2</v>
      </c>
      <c r="Q89" s="92">
        <f t="shared" ca="1" si="313"/>
        <v>-0.19999999999999996</v>
      </c>
      <c r="R89" s="92">
        <f t="shared" ca="1" si="313"/>
        <v>-0.13513513513513509</v>
      </c>
      <c r="S89" s="92">
        <f t="shared" ca="1" si="313"/>
        <v>-0.4464285714285714</v>
      </c>
      <c r="T89" s="92">
        <f t="shared" ca="1" si="313"/>
        <v>-0.20833333333333337</v>
      </c>
      <c r="U89" s="92"/>
      <c r="V89" s="92">
        <f t="shared" ca="1" si="314"/>
        <v>-0.12195121951219512</v>
      </c>
      <c r="W89" s="92">
        <f t="shared" ca="1" si="314"/>
        <v>-0.17910447761194026</v>
      </c>
    </row>
    <row r="90" spans="1:23">
      <c r="A90" s="94" t="str">
        <f t="shared" si="309"/>
        <v>Sprint_2_1</v>
      </c>
      <c r="B90" s="231">
        <f t="shared" ref="B90" ca="1" si="315">IF(B34&lt;=0,1,IF(B34&gt;=B51+2*N51,2,IF(B34&gt;=B51+N51,2.5,IF(B34&gt;=B51,3,IF(B34&gt;=B51-N51,2.5,IF(B34&gt;=B51-2*N51,1.5,1))))))</f>
        <v>2.5</v>
      </c>
      <c r="C90" s="231">
        <f t="shared" ref="C90" ca="1" si="316">IF(C34&lt;=0,1,IF(C34&gt;=C51+2*O51,2,IF(C34&gt;=C51+O51,2.5,IF(C34&gt;=C51,3,IF(C34&gt;=C51-O51,2.5,IF(C34&gt;=C51-2*O51,1.5,1))))))</f>
        <v>2.5</v>
      </c>
      <c r="D90" s="231">
        <f t="shared" ref="D90" ca="1" si="317">IF(D34&lt;=0,1,IF(D34&gt;=D51+2*P51,2,IF(D34&gt;=D51+P51,2.5,IF(D34&gt;=D51,3,IF(D34&gt;=D51-P51,2.5,IF(D34&gt;=D51-2*P51,1.5,1))))))</f>
        <v>2.5</v>
      </c>
      <c r="E90" s="231">
        <f t="shared" ref="E90" ca="1" si="318">IF(E34&lt;=0,1,IF(E34&gt;=E51+2*Q51,2,IF(E34&gt;=E51+Q51,2.5,IF(E34&gt;=E51,3,IF(E34&gt;=E51-Q51,2.5,IF(E34&gt;=E51-2*Q51,1.5,1))))))</f>
        <v>2.5</v>
      </c>
      <c r="F90" s="231">
        <f t="shared" ref="F90" ca="1" si="319">IF(F34&lt;=0,1,IF(F34&gt;=F51+2*R51,2,IF(F34&gt;=F51+R51,2.5,IF(F34&gt;=F51,3,IF(F34&gt;=F51-R51,2.5,IF(F34&gt;=F51-2*R51,1.5,1))))))</f>
        <v>1</v>
      </c>
      <c r="G90" s="231">
        <f t="shared" ref="G90" ca="1" si="320">IF(G34&lt;=0,1,IF(G34&gt;=G51+2*S51,2,IF(G34&gt;=G51+S51,2.5,IF(G34&gt;=G51,3,IF(G34&gt;=G51-S51,2.5,IF(G34&gt;=G51-2*S51,1.5,1))))))</f>
        <v>1.5</v>
      </c>
      <c r="H90" s="231">
        <f t="shared" ref="H90" ca="1" si="321">IF(H34&lt;=0,1,IF(H34&gt;=H51+2*T51,2,IF(H34&gt;=H51+T51,2.5,IF(H34&gt;=H51,3,IF(H34&gt;=H51-T51,2.5,IF(H34&gt;=H51-2*T51,1.5,1))))))</f>
        <v>1.5</v>
      </c>
      <c r="I90" s="231"/>
      <c r="J90" s="231">
        <f t="shared" ref="J90" ca="1" si="322">IF(J34&lt;=0,1,IF(J34&gt;=J51+2*V51,2,IF(J34&gt;=J51+V51,2.5,IF(J34&gt;=J51,3,IF(J34&gt;=J51-V51,2.5,IF(J34&gt;=J51-2*V51,1.5,1))))))</f>
        <v>2.5</v>
      </c>
      <c r="K90" s="231">
        <f t="shared" ref="K90" ca="1" si="323">IF(K34&lt;=0,1,IF(K34&gt;=K51+2*W51,2,IF(K34&gt;=K51+W51,2.5,IF(K34&gt;=K51,3,IF(K34&gt;=K51-W51,2.5,IF(K34&gt;=K51-2*W51,1.5,1))))))</f>
        <v>2.5</v>
      </c>
      <c r="M90" s="87" t="str">
        <f t="shared" ref="M90" si="324">A90</f>
        <v>Sprint_2_1</v>
      </c>
      <c r="N90" s="92">
        <f t="shared" ref="N90" ca="1" si="325">B34/B72-1</f>
        <v>-0.23076923076923073</v>
      </c>
      <c r="O90" s="92">
        <f t="shared" ref="O90" ca="1" si="326">C34/C72-1</f>
        <v>-0.35</v>
      </c>
      <c r="P90" s="92">
        <f t="shared" ref="P90" ca="1" si="327">D34/D72-1</f>
        <v>-0.21276595744680848</v>
      </c>
      <c r="Q90" s="92">
        <f t="shared" ref="Q90" ca="1" si="328">E34/E72-1</f>
        <v>-0.21568627450980393</v>
      </c>
      <c r="R90" s="92">
        <f t="shared" ref="R90" ca="1" si="329">F34/F72-1</f>
        <v>-0.43478260869565222</v>
      </c>
      <c r="S90" s="92">
        <f t="shared" ref="S90" ca="1" si="330">G34/G72-1</f>
        <v>-0.17647058823529416</v>
      </c>
      <c r="T90" s="92">
        <f t="shared" ref="T90" ca="1" si="331">H34/H72-1</f>
        <v>-0.38709677419354838</v>
      </c>
      <c r="U90" s="92"/>
      <c r="V90" s="92">
        <f t="shared" ref="V90" ca="1" si="332">J34/J72-1</f>
        <v>-0.21276595744680848</v>
      </c>
      <c r="W90" s="92">
        <f t="shared" ref="W90" ca="1" si="333">K34/K72-1</f>
        <v>-0.2589285714285714</v>
      </c>
    </row>
    <row r="91" spans="1:23">
      <c r="A91" s="94" t="str">
        <f t="shared" si="309"/>
        <v>Sprint_2_2</v>
      </c>
      <c r="B91" s="231">
        <f t="shared" ref="B91" ca="1" si="334">IF(B35&lt;=0,1,IF(B35&gt;=B52+2*N52,2,IF(B35&gt;=B52+N52,2.5,IF(B35&gt;=B52,3,IF(B35&gt;=B52-N52,2.5,IF(B35&gt;=B52-2*N52,1.5,1))))))</f>
        <v>1.5</v>
      </c>
      <c r="C91" s="231">
        <f ca="1">IF(C35&lt;=0,1,IF(C35&gt;=C52+2*O52,2,IF(C35&gt;=C52+O52,2.5,IF(C35&gt;=C52,3,IF(C35&gt;=C52-O52,2.5,IF(C35&gt;=C52-2*O52,1.5,1))))))</f>
        <v>2.5</v>
      </c>
      <c r="D91" s="231">
        <f t="shared" ref="D91" ca="1" si="335">IF(D35&lt;=0,1,IF(D35&gt;=D52+2*P52,2,IF(D35&gt;=D52+P52,2.5,IF(D35&gt;=D52,3,IF(D35&gt;=D52-P52,2.5,IF(D35&gt;=D52-2*P52,1.5,1))))))</f>
        <v>2.5</v>
      </c>
      <c r="E91" s="231">
        <f t="shared" ref="E91" ca="1" si="336">IF(E35&lt;=0,1,IF(E35&gt;=E52+2*Q52,2,IF(E35&gt;=E52+Q52,2.5,IF(E35&gt;=E52,3,IF(E35&gt;=E52-Q52,2.5,IF(E35&gt;=E52-2*Q52,1.5,1))))))</f>
        <v>1</v>
      </c>
      <c r="F91" s="231">
        <f t="shared" ref="F91" ca="1" si="337">IF(F35&lt;=0,1,IF(F35&gt;=F52+2*R52,2,IF(F35&gt;=F52+R52,2.5,IF(F35&gt;=F52,3,IF(F35&gt;=F52-R52,2.5,IF(F35&gt;=F52-2*R52,1.5,1))))))</f>
        <v>2.5</v>
      </c>
      <c r="G91" s="231">
        <f t="shared" ref="G91" ca="1" si="338">IF(G35&lt;=0,1,IF(G35&gt;=G52+2*S52,2,IF(G35&gt;=G52+S52,2.5,IF(G35&gt;=G52,3,IF(G35&gt;=G52-S52,2.5,IF(G35&gt;=G52-2*S52,1.5,1))))))</f>
        <v>2.5</v>
      </c>
      <c r="H91" s="231">
        <f t="shared" ref="H91" ca="1" si="339">IF(H35&lt;=0,1,IF(H35&gt;=H52+2*T52,2,IF(H35&gt;=H52+T52,2.5,IF(H35&gt;=H52,3,IF(H35&gt;=H52-T52,2.5,IF(H35&gt;=H52-2*T52,1.5,1))))))</f>
        <v>2.5</v>
      </c>
      <c r="I91" s="231"/>
      <c r="J91" s="231">
        <f t="shared" ref="J91" ca="1" si="340">IF(J35&lt;=0,1,IF(J35&gt;=J52+2*V52,2,IF(J35&gt;=J52+V52,2.5,IF(J35&gt;=J52,3,IF(J35&gt;=J52-V52,2.5,IF(J35&gt;=J52-2*V52,1.5,1))))))</f>
        <v>2</v>
      </c>
      <c r="K91" s="231">
        <f t="shared" ref="K91" ca="1" si="341">IF(K35&lt;=0,1,IF(K35&gt;=K52+2*W52,2,IF(K35&gt;=K52+W52,2.5,IF(K35&gt;=K52,3,IF(K35&gt;=K52-W52,2.5,IF(K35&gt;=K52-2*W52,1.5,1))))))</f>
        <v>1.5</v>
      </c>
      <c r="M91" s="87" t="str">
        <f t="shared" ref="M91:M95" si="342">A91</f>
        <v>Sprint_2_2</v>
      </c>
      <c r="N91" s="92">
        <f t="shared" ref="N91" ca="1" si="343">B35/B73-1</f>
        <v>-0.51162790697674421</v>
      </c>
      <c r="O91" s="92">
        <f ca="1">C35/C73-1</f>
        <v>-0.19230769230769229</v>
      </c>
      <c r="P91" s="92">
        <f t="shared" ref="P91" ca="1" si="344">D35/D73-1</f>
        <v>-0.1428571428571429</v>
      </c>
      <c r="Q91" s="92">
        <f t="shared" ref="Q91" ca="1" si="345">E35/E73-1</f>
        <v>-0.46666666666666667</v>
      </c>
      <c r="R91" s="92">
        <f t="shared" ref="R91" ca="1" si="346">F35/F73-1</f>
        <v>-0.29411764705882348</v>
      </c>
      <c r="S91" s="92">
        <f t="shared" ref="S91" ca="1" si="347">G35/G73-1</f>
        <v>-0.2142857142857143</v>
      </c>
      <c r="T91" s="92">
        <f t="shared" ref="T91" ca="1" si="348">H35/H73-1</f>
        <v>-4.3478260869565188E-2</v>
      </c>
      <c r="U91" s="92"/>
      <c r="V91" s="92">
        <f t="shared" ref="V91" ca="1" si="349">J35/J73-1</f>
        <v>-0.11864406779661019</v>
      </c>
      <c r="W91" s="92">
        <f t="shared" ref="W91" ca="1" si="350">K35/K73-1</f>
        <v>-0.32203389830508478</v>
      </c>
    </row>
    <row r="92" spans="1:23">
      <c r="A92" s="94" t="str">
        <f t="shared" si="309"/>
        <v>Sprint_2_3u4</v>
      </c>
      <c r="B92" s="231">
        <f t="shared" ref="B92:C92" ca="1" si="351">IF(B36&lt;=0,1,IF(B36&gt;=B53+2*N53,2,IF(B36&gt;=B53+N53,2.5,IF(B36&gt;=B53,3,IF(B36&gt;=B53-N53,2.5,IF(B36&gt;=B53-2*N53,1.5,1))))))</f>
        <v>3</v>
      </c>
      <c r="C92" s="231">
        <f t="shared" ca="1" si="351"/>
        <v>2.5</v>
      </c>
      <c r="D92" s="231">
        <f t="shared" ref="D92" ca="1" si="352">IF(D36&lt;=0,1,IF(D36&gt;=D53+2*P53,2,IF(D36&gt;=D53+P53,2.5,IF(D36&gt;=D53,3,IF(D36&gt;=D53-P53,2.5,IF(D36&gt;=D53-2*P53,1.5,1))))))</f>
        <v>2</v>
      </c>
      <c r="E92" s="231">
        <f t="shared" ref="E92" ca="1" si="353">IF(E36&lt;=0,1,IF(E36&gt;=E53+2*Q53,2,IF(E36&gt;=E53+Q53,2.5,IF(E36&gt;=E53,3,IF(E36&gt;=E53-Q53,2.5,IF(E36&gt;=E53-2*Q53,1.5,1))))))</f>
        <v>2</v>
      </c>
      <c r="F92" s="231">
        <f t="shared" ref="F92" ca="1" si="354">IF(F36&lt;=0,1,IF(F36&gt;=F53+2*R53,2,IF(F36&gt;=F53+R53,2.5,IF(F36&gt;=F53,3,IF(F36&gt;=F53-R53,2.5,IF(F36&gt;=F53-2*R53,1.5,1))))))</f>
        <v>2</v>
      </c>
      <c r="G92" s="231">
        <f t="shared" ref="G92" ca="1" si="355">IF(G36&lt;=0,1,IF(G36&gt;=G53+2*S53,2,IF(G36&gt;=G53+S53,2.5,IF(G36&gt;=G53,3,IF(G36&gt;=G53-S53,2.5,IF(G36&gt;=G53-2*S53,1.5,1))))))</f>
        <v>2</v>
      </c>
      <c r="H92" s="231">
        <f t="shared" ref="H92" ca="1" si="356">IF(H36&lt;=0,1,IF(H36&gt;=H53+2*T53,2,IF(H36&gt;=H53+T53,2.5,IF(H36&gt;=H53,3,IF(H36&gt;=H53-T53,2.5,IF(H36&gt;=H53-2*T53,1.5,1))))))</f>
        <v>2</v>
      </c>
      <c r="I92" s="231"/>
      <c r="J92" s="231">
        <f t="shared" ref="J92" ca="1" si="357">IF(J36&lt;=0,1,IF(J36&gt;=J53+2*V53,2,IF(J36&gt;=J53+V53,2.5,IF(J36&gt;=J53,3,IF(J36&gt;=J53-V53,2.5,IF(J36&gt;=J53-2*V53,1.5,1))))))</f>
        <v>2</v>
      </c>
      <c r="K92" s="231">
        <f t="shared" ref="K92" ca="1" si="358">IF(K36&lt;=0,1,IF(K36&gt;=K53+2*W53,2,IF(K36&gt;=K53+W53,2.5,IF(K36&gt;=K53,3,IF(K36&gt;=K53-W53,2.5,IF(K36&gt;=K53-2*W53,1.5,1))))))</f>
        <v>2</v>
      </c>
      <c r="M92" s="87" t="str">
        <f t="shared" si="342"/>
        <v>Sprint_2_3u4</v>
      </c>
      <c r="N92" s="92">
        <f t="shared" ref="N92" ca="1" si="359">B36/B74-1</f>
        <v>-0.42452830188679247</v>
      </c>
      <c r="O92" s="92">
        <f ca="1">C36/C74-1</f>
        <v>-0.31034482758620685</v>
      </c>
      <c r="P92" s="92">
        <f t="shared" ref="P92" ca="1" si="360">D36/D74-1</f>
        <v>-8.9743589743589758E-2</v>
      </c>
      <c r="Q92" s="92">
        <f t="shared" ref="Q92" ca="1" si="361">E36/E74-1</f>
        <v>-7.999999999999996E-2</v>
      </c>
      <c r="R92" s="92">
        <f t="shared" ref="R92" ca="1" si="362">F36/F74-1</f>
        <v>-7.547169811320753E-2</v>
      </c>
      <c r="S92" s="92">
        <f t="shared" ref="S92" ca="1" si="363">G36/G74-1</f>
        <v>-0.18666666666666665</v>
      </c>
      <c r="T92" s="92">
        <f t="shared" ref="T92" ca="1" si="364">H36/H74-1</f>
        <v>-6.6666666666666652E-2</v>
      </c>
      <c r="U92" s="92"/>
      <c r="V92" s="92">
        <f t="shared" ref="V92" ca="1" si="365">J36/J74-1</f>
        <v>-0.15306122448979587</v>
      </c>
      <c r="W92" s="92">
        <f t="shared" ref="W92" ca="1" si="366">K36/K74-1</f>
        <v>-0.16990291262135926</v>
      </c>
    </row>
    <row r="93" spans="1:23">
      <c r="A93" s="94" t="str">
        <f t="shared" si="309"/>
        <v>Sprint_2_5u6</v>
      </c>
      <c r="B93" s="231">
        <f t="shared" ref="B93" ca="1" si="367">IF(B37&lt;=0,1,IF(B37&gt;=B54+2*N54,2,IF(B37&gt;=B54+N54,2.5,IF(B37&gt;=B54,3,IF(B37&gt;=B54-N54,2.5,IF(B37&gt;=B54-2*N54,1.5,1))))))</f>
        <v>2.5</v>
      </c>
      <c r="C93" s="231">
        <f t="shared" ref="C93" ca="1" si="368">IF(C37&lt;=0,1,IF(C37&gt;=C54+2*O54,2,IF(C37&gt;=C54+O54,2.5,IF(C37&gt;=C54,3,IF(C37&gt;=C54-O54,2.5,IF(C37&gt;=C54-2*O54,1.5,1))))))</f>
        <v>2</v>
      </c>
      <c r="D93" s="231">
        <f t="shared" ref="D93" ca="1" si="369">IF(D37&lt;=0,1,IF(D37&gt;=D54+2*P54,2,IF(D37&gt;=D54+P54,2.5,IF(D37&gt;=D54,3,IF(D37&gt;=D54-P54,2.5,IF(D37&gt;=D54-2*P54,1.5,1))))))</f>
        <v>2</v>
      </c>
      <c r="E93" s="231">
        <f t="shared" ref="E93" ca="1" si="370">IF(E37&lt;=0,1,IF(E37&gt;=E54+2*Q54,2,IF(E37&gt;=E54+Q54,2.5,IF(E37&gt;=E54,3,IF(E37&gt;=E54-Q54,2.5,IF(E37&gt;=E54-2*Q54,1.5,1))))))</f>
        <v>3</v>
      </c>
      <c r="F93" s="231">
        <f t="shared" ref="F93" ca="1" si="371">IF(F37&lt;=0,1,IF(F37&gt;=F54+2*R54,2,IF(F37&gt;=F54+R54,2.5,IF(F37&gt;=F54,3,IF(F37&gt;=F54-R54,2.5,IF(F37&gt;=F54-2*R54,1.5,1))))))</f>
        <v>2.5</v>
      </c>
      <c r="G93" s="231">
        <f t="shared" ref="G93" ca="1" si="372">IF(G37&lt;=0,1,IF(G37&gt;=G54+2*S54,2,IF(G37&gt;=G54+S54,2.5,IF(G37&gt;=G54,3,IF(G37&gt;=G54-S54,2.5,IF(G37&gt;=G54-2*S54,1.5,1))))))</f>
        <v>2</v>
      </c>
      <c r="H93" s="231">
        <f t="shared" ref="H93" ca="1" si="373">IF(H37&lt;=0,1,IF(H37&gt;=H54+2*T54,2,IF(H37&gt;=H54+T54,2.5,IF(H37&gt;=H54,3,IF(H37&gt;=H54-T54,2.5,IF(H37&gt;=H54-2*T54,1.5,1))))))</f>
        <v>2</v>
      </c>
      <c r="I93" s="231"/>
      <c r="J93" s="231">
        <f t="shared" ref="J93" ca="1" si="374">IF(J37&lt;=0,1,IF(J37&gt;=J54+2*V54,2,IF(J37&gt;=J54+V54,2.5,IF(J37&gt;=J54,3,IF(J37&gt;=J54-V54,2.5,IF(J37&gt;=J54-2*V54,1.5,1))))))</f>
        <v>2</v>
      </c>
      <c r="K93" s="231">
        <f t="shared" ref="K93" ca="1" si="375">IF(K37&lt;=0,1,IF(K37&gt;=K54+2*W54,2,IF(K37&gt;=K54+W54,2.5,IF(K37&gt;=K54,3,IF(K37&gt;=K54-W54,2.5,IF(K37&gt;=K54-2*W54,1.5,1))))))</f>
        <v>2</v>
      </c>
      <c r="M93" s="87" t="str">
        <f t="shared" si="342"/>
        <v>Sprint_2_5u6</v>
      </c>
      <c r="N93" s="92">
        <f t="shared" ref="N93" ca="1" si="376">B37/B75-1</f>
        <v>-0.33064516129032262</v>
      </c>
      <c r="O93" s="92">
        <f ca="1">C37/C75-1</f>
        <v>-7.1428571428571397E-2</v>
      </c>
      <c r="P93" s="92">
        <f t="shared" ref="P93" ca="1" si="377">D37/D75-1</f>
        <v>-0.29203539823008851</v>
      </c>
      <c r="Q93" s="92">
        <f t="shared" ref="Q93" ca="1" si="378">E37/E75-1</f>
        <v>-0.14473684210526316</v>
      </c>
      <c r="R93" s="92">
        <f t="shared" ref="R93" ca="1" si="379">F37/F75-1</f>
        <v>-0.21875</v>
      </c>
      <c r="S93" s="92">
        <f t="shared" ref="S93" ca="1" si="380">G37/G75-1</f>
        <v>-0.27272727272727271</v>
      </c>
      <c r="T93" s="92">
        <f t="shared" ref="T93" ca="1" si="381">H37/H75-1</f>
        <v>-0.14516129032258063</v>
      </c>
      <c r="U93" s="92"/>
      <c r="V93" s="92">
        <f t="shared" ref="V93" ca="1" si="382">J37/J75-1</f>
        <v>-0.12209302325581395</v>
      </c>
      <c r="W93" s="92">
        <f t="shared" ref="W93" ca="1" si="383">K37/K75-1</f>
        <v>-0.11818181818181817</v>
      </c>
    </row>
    <row r="94" spans="1:23">
      <c r="A94" s="94" t="str">
        <f t="shared" si="309"/>
        <v>Sprint_3_1u2</v>
      </c>
      <c r="B94" s="231"/>
      <c r="C94" s="231"/>
      <c r="D94" s="231"/>
      <c r="E94" s="231"/>
      <c r="F94" s="231"/>
      <c r="G94" s="231"/>
      <c r="H94" s="231"/>
      <c r="I94" s="231"/>
      <c r="J94" s="231"/>
      <c r="K94" s="231"/>
      <c r="M94" s="87" t="str">
        <f t="shared" si="342"/>
        <v>Sprint_3_1u2</v>
      </c>
      <c r="N94" s="92"/>
      <c r="O94" s="92"/>
      <c r="P94" s="92"/>
      <c r="Q94" s="92"/>
      <c r="R94" s="92"/>
      <c r="S94" s="92"/>
      <c r="T94" s="92"/>
      <c r="U94" s="92"/>
      <c r="V94" s="92"/>
      <c r="W94" s="92"/>
    </row>
    <row r="95" spans="1:23">
      <c r="A95" s="94" t="str">
        <f t="shared" si="309"/>
        <v>Sprint_3_3u4</v>
      </c>
      <c r="B95" s="231"/>
      <c r="C95" s="231"/>
      <c r="D95" s="231"/>
      <c r="E95" s="231"/>
      <c r="F95" s="231"/>
      <c r="G95" s="231"/>
      <c r="H95" s="231"/>
      <c r="I95" s="231"/>
      <c r="J95" s="231"/>
      <c r="K95" s="231"/>
      <c r="M95" s="87" t="str">
        <f t="shared" si="342"/>
        <v>Sprint_3_3u4</v>
      </c>
      <c r="N95" s="92"/>
      <c r="O95" s="92"/>
      <c r="P95" s="92"/>
      <c r="Q95" s="92"/>
      <c r="R95" s="92"/>
      <c r="S95" s="92"/>
      <c r="T95" s="92"/>
      <c r="U95" s="92"/>
      <c r="V95" s="92"/>
      <c r="W95" s="92"/>
    </row>
    <row r="96" spans="1:23">
      <c r="A96" s="94" t="str">
        <f t="shared" si="309"/>
        <v>Sprint_3_5u6</v>
      </c>
      <c r="B96" s="231"/>
      <c r="C96" s="231"/>
      <c r="D96" s="231"/>
      <c r="E96" s="231"/>
      <c r="F96" s="231"/>
      <c r="G96" s="231"/>
      <c r="H96" s="231"/>
      <c r="I96" s="231"/>
      <c r="J96" s="231"/>
      <c r="K96" s="231"/>
      <c r="M96" s="87" t="str">
        <f t="shared" ref="M96" si="384">A96</f>
        <v>Sprint_3_5u6</v>
      </c>
      <c r="N96" s="92"/>
      <c r="O96" s="92"/>
      <c r="P96" s="92"/>
      <c r="Q96" s="92"/>
      <c r="R96" s="92"/>
      <c r="S96" s="92"/>
      <c r="T96" s="92"/>
      <c r="U96" s="92"/>
      <c r="V96" s="92"/>
      <c r="W96" s="92"/>
    </row>
    <row r="97" spans="1:24">
      <c r="A97" s="243">
        <f ca="1">MIN(B97:K97)</f>
        <v>2.125</v>
      </c>
      <c r="B97" s="99">
        <f ca="1">AVERAGE(B84:B91)</f>
        <v>2.1875</v>
      </c>
      <c r="C97" s="99">
        <f t="shared" ref="C97:K97" ca="1" si="385">AVERAGE(C84:C91)</f>
        <v>2.5625</v>
      </c>
      <c r="D97" s="99">
        <f t="shared" ca="1" si="385"/>
        <v>2.5625</v>
      </c>
      <c r="E97" s="99">
        <f t="shared" ca="1" si="385"/>
        <v>2.375</v>
      </c>
      <c r="F97" s="99">
        <f t="shared" ca="1" si="385"/>
        <v>2.125</v>
      </c>
      <c r="G97" s="99">
        <f t="shared" ca="1" si="385"/>
        <v>2.125</v>
      </c>
      <c r="H97" s="99">
        <f t="shared" ca="1" si="385"/>
        <v>2.375</v>
      </c>
      <c r="I97" s="99"/>
      <c r="J97" s="99">
        <f t="shared" ca="1" si="385"/>
        <v>2.25</v>
      </c>
      <c r="K97" s="99">
        <f t="shared" ca="1" si="385"/>
        <v>2.375</v>
      </c>
      <c r="L97" s="244">
        <f ca="1">MAX(B97:K97)</f>
        <v>2.5625</v>
      </c>
    </row>
    <row r="98" spans="1:24">
      <c r="A98" s="94"/>
      <c r="B98" s="91"/>
      <c r="C98" s="91"/>
      <c r="D98" s="91"/>
      <c r="E98" s="91"/>
      <c r="F98" s="91"/>
      <c r="G98" s="91"/>
      <c r="H98" s="91"/>
      <c r="I98" s="91"/>
      <c r="J98" s="91"/>
      <c r="K98" s="91"/>
    </row>
    <row r="99" spans="1:24">
      <c r="A99" s="94"/>
      <c r="B99" s="91"/>
      <c r="C99" s="91"/>
      <c r="D99" s="91"/>
      <c r="E99" s="91"/>
      <c r="F99" s="91"/>
      <c r="G99" s="91"/>
      <c r="H99" s="91"/>
      <c r="I99" s="91"/>
      <c r="J99" s="91"/>
      <c r="K99" s="91"/>
    </row>
    <row r="100" spans="1:24">
      <c r="A100" s="94"/>
      <c r="B100" s="91"/>
      <c r="C100" s="91"/>
      <c r="D100" s="91"/>
      <c r="E100" s="91"/>
      <c r="F100" s="91"/>
      <c r="G100" s="91"/>
      <c r="H100" s="91"/>
      <c r="I100" s="91"/>
      <c r="J100" s="91"/>
      <c r="K100" s="91"/>
    </row>
    <row r="101" spans="1:24">
      <c r="A101" s="278"/>
      <c r="B101" s="413" t="s">
        <v>153</v>
      </c>
      <c r="C101" s="413"/>
      <c r="D101" s="413"/>
      <c r="E101" s="413"/>
      <c r="F101" s="413"/>
      <c r="G101" s="413"/>
      <c r="H101" s="413"/>
      <c r="I101" s="413"/>
      <c r="J101" s="413"/>
      <c r="K101" s="413"/>
      <c r="L101" s="195"/>
      <c r="M101" s="278"/>
      <c r="N101" s="413" t="s">
        <v>154</v>
      </c>
      <c r="O101" s="413"/>
      <c r="P101" s="413"/>
      <c r="Q101" s="413"/>
      <c r="R101" s="413"/>
      <c r="S101" s="413"/>
      <c r="T101" s="413"/>
      <c r="U101" s="413"/>
      <c r="V101" s="413"/>
      <c r="W101" s="413"/>
      <c r="X101" s="195"/>
    </row>
    <row r="102" spans="1:24">
      <c r="A102" s="278"/>
      <c r="B102" s="279" t="str">
        <f>B$3</f>
        <v>Engineering</v>
      </c>
      <c r="C102" s="279" t="str">
        <f t="shared" ref="C102:K102" si="386">C$3</f>
        <v>Payment</v>
      </c>
      <c r="D102" s="279" t="str">
        <f t="shared" si="386"/>
        <v>Sales</v>
      </c>
      <c r="E102" s="279" t="str">
        <f t="shared" si="386"/>
        <v>Vlinder</v>
      </c>
      <c r="F102" s="279" t="str">
        <f t="shared" si="386"/>
        <v>TTT</v>
      </c>
      <c r="G102" s="279" t="str">
        <f t="shared" si="386"/>
        <v>TNT</v>
      </c>
      <c r="H102" s="279" t="str">
        <f t="shared" si="386"/>
        <v>TFS</v>
      </c>
      <c r="I102" s="279" t="str">
        <f t="shared" si="386"/>
        <v>0-Noise</v>
      </c>
      <c r="J102" s="279" t="str">
        <f t="shared" si="386"/>
        <v>Synergy</v>
      </c>
      <c r="K102" s="279" t="str">
        <f t="shared" si="386"/>
        <v>Papillon</v>
      </c>
      <c r="L102" s="195"/>
      <c r="M102" s="278"/>
      <c r="N102" s="279" t="str">
        <f>B102</f>
        <v>Engineering</v>
      </c>
      <c r="O102" s="279" t="str">
        <f t="shared" ref="O102" si="387">C102</f>
        <v>Payment</v>
      </c>
      <c r="P102" s="279" t="str">
        <f t="shared" ref="P102" si="388">D102</f>
        <v>Sales</v>
      </c>
      <c r="Q102" s="279" t="str">
        <f t="shared" ref="Q102" si="389">E102</f>
        <v>Vlinder</v>
      </c>
      <c r="R102" s="279" t="str">
        <f t="shared" ref="R102" si="390">F102</f>
        <v>TTT</v>
      </c>
      <c r="S102" s="279" t="str">
        <f t="shared" ref="S102" si="391">G102</f>
        <v>TNT</v>
      </c>
      <c r="T102" s="279" t="str">
        <f t="shared" ref="T102" si="392">H102</f>
        <v>TFS</v>
      </c>
      <c r="U102" s="279" t="str">
        <f t="shared" ref="U102" si="393">I102</f>
        <v>0-Noise</v>
      </c>
      <c r="V102" s="279" t="str">
        <f t="shared" ref="V102" si="394">J102</f>
        <v>Synergy</v>
      </c>
      <c r="W102" s="279" t="str">
        <f t="shared" ref="W102" si="395">K102</f>
        <v>Papillon</v>
      </c>
      <c r="X102" s="195"/>
    </row>
    <row r="103" spans="1:24">
      <c r="A103" s="282" t="str">
        <f t="shared" ref="A103:A115" si="396">A84</f>
        <v>Sprint_1_1</v>
      </c>
      <c r="B103" s="280">
        <f t="shared" ref="B103:H112" ca="1" si="397">B8/B66-1</f>
        <v>-0.41758241758241754</v>
      </c>
      <c r="C103" s="280">
        <f t="shared" ca="1" si="397"/>
        <v>-0.44999999999999996</v>
      </c>
      <c r="D103" s="280">
        <f t="shared" ca="1" si="397"/>
        <v>-0.37037037037037035</v>
      </c>
      <c r="E103" s="280">
        <f t="shared" ca="1" si="397"/>
        <v>0</v>
      </c>
      <c r="F103" s="280">
        <f t="shared" ca="1" si="397"/>
        <v>0</v>
      </c>
      <c r="G103" s="280">
        <f t="shared" ca="1" si="397"/>
        <v>-0.1428571428571429</v>
      </c>
      <c r="H103" s="280">
        <f t="shared" ca="1" si="397"/>
        <v>-0.3571428571428571</v>
      </c>
      <c r="I103" s="280"/>
      <c r="J103" s="280">
        <f t="shared" ref="J103:K112" ca="1" si="398">J8/J66-1</f>
        <v>6.6666666666666652E-2</v>
      </c>
      <c r="K103" s="280">
        <f t="shared" ca="1" si="398"/>
        <v>-0.19999999999999996</v>
      </c>
      <c r="M103" s="278" t="str">
        <f t="shared" ref="M103:M108" si="399">A103</f>
        <v>Sprint_1_1</v>
      </c>
      <c r="N103" s="280">
        <f t="shared" ref="N103:T108" ca="1" si="400">B8/B45-1</f>
        <v>-0.1166666666666667</v>
      </c>
      <c r="O103" s="280">
        <f t="shared" ca="1" si="400"/>
        <v>7.3170731707317138E-2</v>
      </c>
      <c r="P103" s="280">
        <f t="shared" ca="1" si="400"/>
        <v>3.8167938931297662E-2</v>
      </c>
      <c r="Q103" s="280">
        <f t="shared" ca="1" si="400"/>
        <v>0.16030534351145032</v>
      </c>
      <c r="R103" s="280">
        <f t="shared" ca="1" si="400"/>
        <v>-0.20496894409937894</v>
      </c>
      <c r="S103" s="280">
        <f t="shared" ca="1" si="400"/>
        <v>0.16363636363636358</v>
      </c>
      <c r="T103" s="280">
        <f t="shared" ca="1" si="400"/>
        <v>-0.25</v>
      </c>
      <c r="U103" s="280"/>
      <c r="V103" s="280">
        <f t="shared" ref="V103:W108" ca="1" si="401">J8/J45-1</f>
        <v>-0.17241379310344818</v>
      </c>
      <c r="W103" s="280">
        <f t="shared" ca="1" si="401"/>
        <v>0.38461538461538458</v>
      </c>
    </row>
    <row r="104" spans="1:24">
      <c r="A104" s="282" t="str">
        <f t="shared" si="396"/>
        <v>Sprint_1_2</v>
      </c>
      <c r="B104" s="280">
        <f t="shared" ca="1" si="397"/>
        <v>-9.4339622641509413E-2</v>
      </c>
      <c r="C104" s="280">
        <f t="shared" ca="1" si="397"/>
        <v>-0.5185185185185186</v>
      </c>
      <c r="D104" s="280">
        <f t="shared" ca="1" si="397"/>
        <v>1.8867924528301883E-2</v>
      </c>
      <c r="E104" s="280">
        <f t="shared" ca="1" si="397"/>
        <v>-0.16129032258064513</v>
      </c>
      <c r="F104" s="280">
        <f t="shared" ca="1" si="397"/>
        <v>-0.14634146341463417</v>
      </c>
      <c r="G104" s="280">
        <f t="shared" ca="1" si="397"/>
        <v>-9.9999999999999978E-2</v>
      </c>
      <c r="H104" s="280">
        <f t="shared" ca="1" si="397"/>
        <v>0</v>
      </c>
      <c r="I104" s="280"/>
      <c r="J104" s="280">
        <f t="shared" ca="1" si="398"/>
        <v>-0.22499999999999998</v>
      </c>
      <c r="K104" s="280">
        <f t="shared" ca="1" si="398"/>
        <v>-0.34513274336283184</v>
      </c>
      <c r="M104" s="278" t="str">
        <f t="shared" si="399"/>
        <v>Sprint_1_2</v>
      </c>
      <c r="N104" s="280">
        <f t="shared" ca="1" si="400"/>
        <v>-0.23809523809523814</v>
      </c>
      <c r="O104" s="280">
        <f t="shared" ca="1" si="400"/>
        <v>0.30000000000000004</v>
      </c>
      <c r="P104" s="280">
        <f t="shared" ca="1" si="400"/>
        <v>0.60714285714285698</v>
      </c>
      <c r="Q104" s="280">
        <f t="shared" ca="1" si="400"/>
        <v>-0.18238993710691831</v>
      </c>
      <c r="R104" s="280">
        <f t="shared" ca="1" si="400"/>
        <v>-7.8947368421052655E-2</v>
      </c>
      <c r="S104" s="280">
        <f t="shared" ca="1" si="400"/>
        <v>0.10294117647058831</v>
      </c>
      <c r="T104" s="280">
        <f t="shared" ca="1" si="400"/>
        <v>0.11570247933884303</v>
      </c>
      <c r="U104" s="280"/>
      <c r="V104" s="280">
        <f t="shared" ca="1" si="401"/>
        <v>-0.11428571428571432</v>
      </c>
      <c r="W104" s="280">
        <f t="shared" ca="1" si="401"/>
        <v>0.45669291338582685</v>
      </c>
    </row>
    <row r="105" spans="1:24">
      <c r="A105" s="282" t="str">
        <f t="shared" si="396"/>
        <v>Sprint_1_3</v>
      </c>
      <c r="B105" s="280">
        <f t="shared" ca="1" si="397"/>
        <v>-5.1282051282051322E-2</v>
      </c>
      <c r="C105" s="280">
        <f t="shared" ca="1" si="397"/>
        <v>-0.125</v>
      </c>
      <c r="D105" s="280">
        <f t="shared" ca="1" si="397"/>
        <v>-0.32727272727272727</v>
      </c>
      <c r="E105" s="280">
        <f t="shared" ca="1" si="397"/>
        <v>0</v>
      </c>
      <c r="F105" s="280">
        <f t="shared" ca="1" si="397"/>
        <v>0</v>
      </c>
      <c r="G105" s="280">
        <f t="shared" ca="1" si="397"/>
        <v>-0.26530612244897955</v>
      </c>
      <c r="H105" s="280">
        <f t="shared" ca="1" si="397"/>
        <v>-0.25806451612903225</v>
      </c>
      <c r="I105" s="280"/>
      <c r="J105" s="280">
        <f t="shared" ca="1" si="398"/>
        <v>-0.29629629629629628</v>
      </c>
      <c r="K105" s="280">
        <f t="shared" ca="1" si="398"/>
        <v>-0.55696202531645578</v>
      </c>
      <c r="M105" s="278" t="str">
        <f t="shared" si="399"/>
        <v>Sprint_1_3</v>
      </c>
      <c r="N105" s="280">
        <f t="shared" ca="1" si="400"/>
        <v>0.25779036827195467</v>
      </c>
      <c r="O105" s="280">
        <f t="shared" ca="1" si="400"/>
        <v>0.77464788732394352</v>
      </c>
      <c r="P105" s="280">
        <f t="shared" ca="1" si="400"/>
        <v>4.2253521126760507E-2</v>
      </c>
      <c r="Q105" s="280">
        <f t="shared" ca="1" si="400"/>
        <v>0.32972972972972969</v>
      </c>
      <c r="R105" s="280">
        <f t="shared" ca="1" si="400"/>
        <v>0.13888888888888884</v>
      </c>
      <c r="S105" s="280">
        <f t="shared" ca="1" si="400"/>
        <v>-0.14624505928853748</v>
      </c>
      <c r="T105" s="280">
        <f t="shared" ca="1" si="400"/>
        <v>7.2992700729928028E-3</v>
      </c>
      <c r="U105" s="280"/>
      <c r="V105" s="280">
        <f t="shared" ca="1" si="401"/>
        <v>-0.44444444444444453</v>
      </c>
      <c r="W105" s="280">
        <f t="shared" ca="1" si="401"/>
        <v>0.24629080118694358</v>
      </c>
    </row>
    <row r="106" spans="1:24">
      <c r="A106" s="282" t="str">
        <f t="shared" si="396"/>
        <v>Sprint_1_4</v>
      </c>
      <c r="B106" s="280">
        <f t="shared" ca="1" si="397"/>
        <v>-9.375E-2</v>
      </c>
      <c r="C106" s="280">
        <f t="shared" ca="1" si="397"/>
        <v>-0.15789473684210531</v>
      </c>
      <c r="D106" s="280">
        <f t="shared" ca="1" si="397"/>
        <v>-7.1428571428571397E-2</v>
      </c>
      <c r="E106" s="280">
        <f t="shared" ca="1" si="397"/>
        <v>-0.44680851063829785</v>
      </c>
      <c r="F106" s="280">
        <f t="shared" ca="1" si="397"/>
        <v>-0.1428571428571429</v>
      </c>
      <c r="G106" s="280">
        <f t="shared" ca="1" si="397"/>
        <v>-0.12121212121212122</v>
      </c>
      <c r="H106" s="280">
        <f t="shared" ca="1" si="397"/>
        <v>-0.21052631578947367</v>
      </c>
      <c r="I106" s="280"/>
      <c r="J106" s="280">
        <f t="shared" ca="1" si="398"/>
        <v>-0.22857142857142854</v>
      </c>
      <c r="K106" s="280">
        <f t="shared" ca="1" si="398"/>
        <v>-0.37190082644628097</v>
      </c>
      <c r="M106" s="278" t="str">
        <f t="shared" si="399"/>
        <v>Sprint_1_4</v>
      </c>
      <c r="N106" s="280">
        <f t="shared" ca="1" si="400"/>
        <v>3.264094955489627E-2</v>
      </c>
      <c r="O106" s="280">
        <f t="shared" ca="1" si="400"/>
        <v>0.24675324675324672</v>
      </c>
      <c r="P106" s="280">
        <f t="shared" ca="1" si="400"/>
        <v>0.39285714285714279</v>
      </c>
      <c r="Q106" s="280">
        <f t="shared" ca="1" si="400"/>
        <v>-7.1428571428571397E-2</v>
      </c>
      <c r="R106" s="280">
        <f t="shared" ca="1" si="400"/>
        <v>0</v>
      </c>
      <c r="S106" s="280">
        <f t="shared" ca="1" si="400"/>
        <v>-0.29268292682926833</v>
      </c>
      <c r="T106" s="280">
        <f t="shared" ca="1" si="400"/>
        <v>0.21621621621621623</v>
      </c>
      <c r="U106" s="280"/>
      <c r="V106" s="280">
        <f t="shared" ca="1" si="401"/>
        <v>-0.15625</v>
      </c>
      <c r="W106" s="280">
        <f t="shared" ca="1" si="401"/>
        <v>6.7915690866510392E-2</v>
      </c>
    </row>
    <row r="107" spans="1:24">
      <c r="A107" s="282" t="str">
        <f t="shared" si="396"/>
        <v>Sprint_1_5</v>
      </c>
      <c r="B107" s="280">
        <f t="shared" ca="1" si="397"/>
        <v>-7.2289156626506035E-2</v>
      </c>
      <c r="C107" s="280">
        <f t="shared" ca="1" si="397"/>
        <v>-0.31578947368421051</v>
      </c>
      <c r="D107" s="280">
        <f t="shared" ca="1" si="397"/>
        <v>-0.19444444444444442</v>
      </c>
      <c r="E107" s="280">
        <f t="shared" ca="1" si="397"/>
        <v>-6.3829787234042534E-2</v>
      </c>
      <c r="F107" s="280">
        <f t="shared" ca="1" si="397"/>
        <v>-5.0000000000000044E-2</v>
      </c>
      <c r="G107" s="280">
        <f t="shared" ca="1" si="397"/>
        <v>-0.25</v>
      </c>
      <c r="H107" s="280">
        <f t="shared" ca="1" si="397"/>
        <v>-0.17142857142857137</v>
      </c>
      <c r="I107" s="280"/>
      <c r="J107" s="280">
        <f t="shared" ca="1" si="398"/>
        <v>-0.33333333333333337</v>
      </c>
      <c r="K107" s="280">
        <f t="shared" ca="1" si="398"/>
        <v>-0.57575757575757569</v>
      </c>
      <c r="M107" s="278" t="str">
        <f t="shared" si="399"/>
        <v>Sprint_1_5</v>
      </c>
      <c r="N107" s="280">
        <f t="shared" ca="1" si="400"/>
        <v>0.51475409836065578</v>
      </c>
      <c r="O107" s="280">
        <f t="shared" ca="1" si="400"/>
        <v>-2.5000000000000022E-2</v>
      </c>
      <c r="P107" s="280">
        <f t="shared" ca="1" si="400"/>
        <v>-0.24347826086956526</v>
      </c>
      <c r="Q107" s="280">
        <f t="shared" ca="1" si="400"/>
        <v>0.5348837209302324</v>
      </c>
      <c r="R107" s="280">
        <f t="shared" ca="1" si="400"/>
        <v>4.587155963302747E-2</v>
      </c>
      <c r="S107" s="280">
        <f t="shared" ca="1" si="400"/>
        <v>-0.32217573221757323</v>
      </c>
      <c r="T107" s="280">
        <f t="shared" ca="1" si="400"/>
        <v>0.15231788079470188</v>
      </c>
      <c r="U107" s="280"/>
      <c r="V107" s="280">
        <f t="shared" ca="1" si="401"/>
        <v>-0.1958762886597939</v>
      </c>
      <c r="W107" s="280">
        <f t="shared" ca="1" si="401"/>
        <v>-0.29707112970711302</v>
      </c>
    </row>
    <row r="108" spans="1:24">
      <c r="A108" s="282" t="str">
        <f t="shared" si="396"/>
        <v>Sprint_1_6</v>
      </c>
      <c r="B108" s="280">
        <f t="shared" ca="1" si="397"/>
        <v>-0.19512195121951215</v>
      </c>
      <c r="C108" s="280">
        <f t="shared" ca="1" si="397"/>
        <v>-0.375</v>
      </c>
      <c r="D108" s="280">
        <f t="shared" ca="1" si="397"/>
        <v>-0.36538461538461542</v>
      </c>
      <c r="E108" s="280">
        <f t="shared" ca="1" si="397"/>
        <v>-0.17142857142857137</v>
      </c>
      <c r="F108" s="280">
        <f t="shared" ca="1" si="397"/>
        <v>-0.16216216216216217</v>
      </c>
      <c r="G108" s="280">
        <f t="shared" ca="1" si="397"/>
        <v>-0.3571428571428571</v>
      </c>
      <c r="H108" s="280">
        <f t="shared" ca="1" si="397"/>
        <v>-0.125</v>
      </c>
      <c r="I108" s="280"/>
      <c r="J108" s="280">
        <f t="shared" ca="1" si="398"/>
        <v>-0.12195121951219512</v>
      </c>
      <c r="K108" s="280">
        <f t="shared" ca="1" si="398"/>
        <v>-0.68656716417910446</v>
      </c>
      <c r="M108" s="278" t="str">
        <f t="shared" si="399"/>
        <v>Sprint_1_6</v>
      </c>
      <c r="N108" s="280">
        <f t="shared" ca="1" si="400"/>
        <v>0.16470588235294126</v>
      </c>
      <c r="O108" s="280">
        <f t="shared" ca="1" si="400"/>
        <v>0.139240506329114</v>
      </c>
      <c r="P108" s="280">
        <f t="shared" ca="1" si="400"/>
        <v>-0.1428571428571429</v>
      </c>
      <c r="Q108" s="280">
        <f t="shared" ca="1" si="400"/>
        <v>-0.11224489795918358</v>
      </c>
      <c r="R108" s="280">
        <f t="shared" ca="1" si="400"/>
        <v>-5.1020408163265252E-2</v>
      </c>
      <c r="S108" s="280">
        <f t="shared" ca="1" si="400"/>
        <v>-8.4745762711864514E-2</v>
      </c>
      <c r="T108" s="280">
        <f t="shared" ca="1" si="400"/>
        <v>-0.16556291390728484</v>
      </c>
      <c r="U108" s="280"/>
      <c r="V108" s="280">
        <f t="shared" ca="1" si="401"/>
        <v>0.2558139534883721</v>
      </c>
      <c r="W108" s="280">
        <f t="shared" ca="1" si="401"/>
        <v>-0.50588235294117645</v>
      </c>
    </row>
    <row r="109" spans="1:24">
      <c r="A109" s="282" t="str">
        <f t="shared" si="396"/>
        <v>Sprint_2_1</v>
      </c>
      <c r="B109" s="280">
        <f t="shared" ca="1" si="397"/>
        <v>-0.26923076923076927</v>
      </c>
      <c r="C109" s="280">
        <f t="shared" ca="1" si="397"/>
        <v>-0.25</v>
      </c>
      <c r="D109" s="280">
        <f t="shared" ca="1" si="397"/>
        <v>-0.17021276595744683</v>
      </c>
      <c r="E109" s="280">
        <f t="shared" ca="1" si="397"/>
        <v>-0.29411764705882348</v>
      </c>
      <c r="F109" s="280">
        <f t="shared" ca="1" si="397"/>
        <v>-0.34782608695652173</v>
      </c>
      <c r="G109" s="280">
        <f t="shared" ca="1" si="397"/>
        <v>-0.20588235294117652</v>
      </c>
      <c r="H109" s="280">
        <f t="shared" ca="1" si="397"/>
        <v>-0.22580645161290325</v>
      </c>
      <c r="I109" s="280"/>
      <c r="J109" s="280">
        <f t="shared" ca="1" si="398"/>
        <v>0</v>
      </c>
      <c r="K109" s="280">
        <f t="shared" ca="1" si="398"/>
        <v>-0.2678571428571429</v>
      </c>
      <c r="M109" s="278" t="str">
        <f t="shared" ref="M109" si="402">A109</f>
        <v>Sprint_2_1</v>
      </c>
      <c r="N109" s="280">
        <f t="shared" ref="N109" ca="1" si="403">B14/B51-1</f>
        <v>-0.31736526946107779</v>
      </c>
      <c r="O109" s="280">
        <f t="shared" ref="O109" ca="1" si="404">C14/C51-1</f>
        <v>2.2727272727272707E-2</v>
      </c>
      <c r="P109" s="280">
        <f t="shared" ref="P109" ca="1" si="405">D14/D51-1</f>
        <v>-7.8740157480315043E-2</v>
      </c>
      <c r="Q109" s="280">
        <f t="shared" ref="Q109" ca="1" si="406">E14/E51-1</f>
        <v>0.13684210526315788</v>
      </c>
      <c r="R109" s="280">
        <f t="shared" ref="R109" ca="1" si="407">F14/F51-1</f>
        <v>-0.52127659574468077</v>
      </c>
      <c r="S109" s="280">
        <f t="shared" ref="S109" ca="1" si="408">G14/G51-1</f>
        <v>-0.24651162790697678</v>
      </c>
      <c r="T109" s="280">
        <f t="shared" ref="T109" ca="1" si="409">H14/H51-1</f>
        <v>-5.2631578947368363E-2</v>
      </c>
      <c r="U109" s="280"/>
      <c r="V109" s="280">
        <f t="shared" ref="V109" ca="1" si="410">J14/J51-1</f>
        <v>0.6206896551724137</v>
      </c>
      <c r="W109" s="280">
        <f t="shared" ref="W109" ca="1" si="411">K14/K51-1</f>
        <v>-0.11510791366906481</v>
      </c>
    </row>
    <row r="110" spans="1:24">
      <c r="A110" s="282" t="str">
        <f t="shared" si="396"/>
        <v>Sprint_2_2</v>
      </c>
      <c r="B110" s="280">
        <f t="shared" ca="1" si="397"/>
        <v>-4.6511627906976716E-2</v>
      </c>
      <c r="C110" s="280">
        <f t="shared" ca="1" si="397"/>
        <v>-0.5</v>
      </c>
      <c r="D110" s="280">
        <f t="shared" ca="1" si="397"/>
        <v>-6.1224489795918324E-2</v>
      </c>
      <c r="E110" s="280">
        <f t="shared" ca="1" si="397"/>
        <v>-0.16666666666666663</v>
      </c>
      <c r="F110" s="280">
        <f t="shared" ca="1" si="397"/>
        <v>-2.9411764705882359E-2</v>
      </c>
      <c r="G110" s="280">
        <f t="shared" ca="1" si="397"/>
        <v>-0.19047619047619047</v>
      </c>
      <c r="H110" s="280">
        <f t="shared" ca="1" si="397"/>
        <v>-8.6956521739130488E-2</v>
      </c>
      <c r="I110" s="280"/>
      <c r="J110" s="280">
        <f t="shared" ca="1" si="398"/>
        <v>-0.15254237288135597</v>
      </c>
      <c r="K110" s="280">
        <f t="shared" ca="1" si="398"/>
        <v>-0.27118644067796616</v>
      </c>
      <c r="M110" s="278" t="str">
        <f t="shared" ref="M110:M115" si="412">A110</f>
        <v>Sprint_2_2</v>
      </c>
      <c r="N110" s="280">
        <f t="shared" ref="N110" ca="1" si="413">B15/B52-1</f>
        <v>-0.17725752508361203</v>
      </c>
      <c r="O110" s="280">
        <f t="shared" ref="O110" ca="1" si="414">C15/C52-1</f>
        <v>-0.15217391304347827</v>
      </c>
      <c r="P110" s="280">
        <f t="shared" ref="P110" ca="1" si="415">D15/D52-1</f>
        <v>8.6614173228346303E-2</v>
      </c>
      <c r="Q110" s="280">
        <f t="shared" ref="Q110" ca="1" si="416">E15/E52-1</f>
        <v>-0.25742574257425732</v>
      </c>
      <c r="R110" s="280">
        <f t="shared" ref="R110" ca="1" si="417">F15/F52-1</f>
        <v>0.15116279069767447</v>
      </c>
      <c r="S110" s="280">
        <f t="shared" ref="S110" ca="1" si="418">G15/G52-1</f>
        <v>0</v>
      </c>
      <c r="T110" s="280">
        <f t="shared" ref="T110" ca="1" si="419">H15/H52-1</f>
        <v>-0.13698630136986301</v>
      </c>
      <c r="U110" s="280"/>
      <c r="V110" s="280">
        <f t="shared" ref="V110" ca="1" si="420">J15/J52-1</f>
        <v>0.60427807486631013</v>
      </c>
      <c r="W110" s="280">
        <f t="shared" ref="W110" ca="1" si="421">K15/K52-1</f>
        <v>-0.12984822934232709</v>
      </c>
    </row>
    <row r="111" spans="1:24">
      <c r="A111" s="282" t="str">
        <f t="shared" si="396"/>
        <v>Sprint_2_3u4</v>
      </c>
      <c r="B111" s="280">
        <f t="shared" ca="1" si="397"/>
        <v>-9.4339622641509413E-2</v>
      </c>
      <c r="C111" s="280">
        <f t="shared" ca="1" si="397"/>
        <v>-0.37931034482758619</v>
      </c>
      <c r="D111" s="280">
        <f t="shared" ca="1" si="397"/>
        <v>-0.53846153846153844</v>
      </c>
      <c r="E111" s="280">
        <f t="shared" ca="1" si="397"/>
        <v>-0.78</v>
      </c>
      <c r="F111" s="280">
        <f t="shared" ca="1" si="397"/>
        <v>-0.37735849056603776</v>
      </c>
      <c r="G111" s="280">
        <f t="shared" ca="1" si="397"/>
        <v>-0.56000000000000005</v>
      </c>
      <c r="H111" s="280">
        <f t="shared" ca="1" si="397"/>
        <v>0</v>
      </c>
      <c r="I111" s="280"/>
      <c r="J111" s="280">
        <f t="shared" ca="1" si="398"/>
        <v>0</v>
      </c>
      <c r="K111" s="280">
        <f t="shared" ca="1" si="398"/>
        <v>-0.43689320388349517</v>
      </c>
      <c r="M111" s="278" t="str">
        <f t="shared" si="412"/>
        <v>Sprint_2_3u4</v>
      </c>
      <c r="N111" s="280">
        <f t="shared" ref="N111" ca="1" si="422">B16/B53-1</f>
        <v>1.0425531914893615</v>
      </c>
      <c r="O111" s="280">
        <f t="shared" ref="O111" ca="1" si="423">C16/C53-1</f>
        <v>0.17391304347826075</v>
      </c>
      <c r="P111" s="280">
        <f t="shared" ref="P111" ca="1" si="424">D16/D53-1</f>
        <v>-0.13944223107569731</v>
      </c>
      <c r="Q111" s="280">
        <f t="shared" ref="Q111" ca="1" si="425">E16/E53-1</f>
        <v>-0.3125</v>
      </c>
      <c r="R111" s="280">
        <f t="shared" ref="R111" ca="1" si="426">F16/F53-1</f>
        <v>0.16470588235294126</v>
      </c>
      <c r="S111" s="280">
        <f t="shared" ref="S111" ca="1" si="427">G16/G53-1</f>
        <v>5.319148936170226E-2</v>
      </c>
      <c r="T111" s="280">
        <f t="shared" ref="T111" ca="1" si="428">H16/H53-1</f>
        <v>0.77631578947368429</v>
      </c>
      <c r="U111" s="280"/>
      <c r="V111" s="280">
        <f t="shared" ref="V111" ca="1" si="429">J16/J53-1</f>
        <v>1.8269230769230771</v>
      </c>
      <c r="W111" s="280">
        <f t="shared" ref="W111" ca="1" si="430">K16/K53-1</f>
        <v>0.1796610169491526</v>
      </c>
    </row>
    <row r="112" spans="1:24">
      <c r="A112" s="282" t="str">
        <f t="shared" si="396"/>
        <v>Sprint_2_5u6</v>
      </c>
      <c r="B112" s="280">
        <f t="shared" ca="1" si="397"/>
        <v>-0.16129032258064513</v>
      </c>
      <c r="C112" s="280">
        <f t="shared" ca="1" si="397"/>
        <v>-0.3571428571428571</v>
      </c>
      <c r="D112" s="280">
        <f t="shared" ca="1" si="397"/>
        <v>-0.49557522123893805</v>
      </c>
      <c r="E112" s="280">
        <f t="shared" ca="1" si="397"/>
        <v>-0.31578947368421051</v>
      </c>
      <c r="F112" s="280">
        <f t="shared" ca="1" si="397"/>
        <v>-0.296875</v>
      </c>
      <c r="G112" s="280">
        <f t="shared" ca="1" si="397"/>
        <v>-0.32954545454545459</v>
      </c>
      <c r="H112" s="280">
        <f t="shared" ca="1" si="397"/>
        <v>-0.30645161290322576</v>
      </c>
      <c r="I112" s="280"/>
      <c r="J112" s="280">
        <f t="shared" ca="1" si="398"/>
        <v>-0.52906976744186052</v>
      </c>
      <c r="K112" s="280">
        <f t="shared" ca="1" si="398"/>
        <v>-0.30000000000000004</v>
      </c>
      <c r="M112" s="278" t="str">
        <f t="shared" si="412"/>
        <v>Sprint_2_5u6</v>
      </c>
      <c r="N112" s="280">
        <f t="shared" ref="N112" ca="1" si="431">B17/B54-1</f>
        <v>1.1591695501730106</v>
      </c>
      <c r="O112" s="280">
        <f t="shared" ref="O112" ca="1" si="432">C17/C54-1</f>
        <v>9.0909090909090828E-2</v>
      </c>
      <c r="P112" s="280">
        <f t="shared" ref="P112" ca="1" si="433">D17/D54-1</f>
        <v>0.1875</v>
      </c>
      <c r="Q112" s="280">
        <f t="shared" ref="Q112" ca="1" si="434">E17/E54-1</f>
        <v>0.24302788844621515</v>
      </c>
      <c r="R112" s="280">
        <f t="shared" ref="R112" ca="1" si="435">F17/F54-1</f>
        <v>0.42105263157894735</v>
      </c>
      <c r="S112" s="280">
        <f t="shared" ref="S112" ca="1" si="436">G17/G54-1</f>
        <v>0.64651162790697669</v>
      </c>
      <c r="T112" s="280">
        <f t="shared" ref="T112" ca="1" si="437">H17/H54-1</f>
        <v>0.54491017964071853</v>
      </c>
      <c r="U112" s="280"/>
      <c r="V112" s="280">
        <f t="shared" ref="V112" ca="1" si="438">J17/J54-1</f>
        <v>0.8</v>
      </c>
      <c r="W112" s="280">
        <f t="shared" ref="W112" ca="1" si="439">K17/K54-1</f>
        <v>0.4460093896713615</v>
      </c>
    </row>
    <row r="113" spans="1:60">
      <c r="A113" s="282" t="str">
        <f t="shared" si="396"/>
        <v>Sprint_3_1u2</v>
      </c>
      <c r="B113" s="280"/>
      <c r="C113" s="280"/>
      <c r="D113" s="280"/>
      <c r="E113" s="280"/>
      <c r="F113" s="280"/>
      <c r="G113" s="280"/>
      <c r="H113" s="280"/>
      <c r="I113" s="280"/>
      <c r="J113" s="280"/>
      <c r="K113" s="280"/>
      <c r="M113" s="278" t="str">
        <f t="shared" si="412"/>
        <v>Sprint_3_1u2</v>
      </c>
      <c r="N113" s="280"/>
      <c r="O113" s="280"/>
      <c r="P113" s="280"/>
      <c r="Q113" s="280"/>
      <c r="R113" s="280"/>
      <c r="S113" s="280"/>
      <c r="T113" s="280"/>
      <c r="U113" s="280"/>
      <c r="V113" s="280"/>
      <c r="W113" s="280"/>
    </row>
    <row r="114" spans="1:60">
      <c r="A114" s="282" t="str">
        <f t="shared" si="396"/>
        <v>Sprint_3_3u4</v>
      </c>
      <c r="B114" s="280"/>
      <c r="C114" s="280"/>
      <c r="D114" s="280"/>
      <c r="E114" s="280"/>
      <c r="F114" s="280"/>
      <c r="G114" s="280"/>
      <c r="H114" s="280"/>
      <c r="I114" s="280"/>
      <c r="J114" s="280"/>
      <c r="K114" s="280"/>
      <c r="M114" s="278" t="str">
        <f t="shared" si="412"/>
        <v>Sprint_3_3u4</v>
      </c>
      <c r="N114" s="280"/>
      <c r="O114" s="280"/>
      <c r="P114" s="280"/>
      <c r="Q114" s="280"/>
      <c r="R114" s="280"/>
      <c r="S114" s="280"/>
      <c r="T114" s="280"/>
      <c r="U114" s="280"/>
      <c r="V114" s="280"/>
      <c r="W114" s="280"/>
    </row>
    <row r="115" spans="1:60">
      <c r="A115" s="282" t="str">
        <f t="shared" si="396"/>
        <v>Sprint_3_5u6</v>
      </c>
      <c r="B115" s="280"/>
      <c r="C115" s="280"/>
      <c r="D115" s="280"/>
      <c r="E115" s="280"/>
      <c r="F115" s="280"/>
      <c r="G115" s="280"/>
      <c r="H115" s="280"/>
      <c r="I115" s="280"/>
      <c r="J115" s="280"/>
      <c r="K115" s="280"/>
      <c r="M115" s="278" t="str">
        <f t="shared" si="412"/>
        <v>Sprint_3_5u6</v>
      </c>
      <c r="N115" s="280"/>
      <c r="O115" s="280"/>
      <c r="P115" s="280"/>
      <c r="Q115" s="280"/>
      <c r="R115" s="280"/>
      <c r="S115" s="280"/>
      <c r="T115" s="280"/>
      <c r="U115" s="280"/>
      <c r="V115" s="280"/>
      <c r="W115" s="280"/>
    </row>
    <row r="116" spans="1:60">
      <c r="A116" s="283"/>
      <c r="B116" s="281">
        <f ca="1">AVERAGE(B103:B110)</f>
        <v>-0.15501344956121782</v>
      </c>
      <c r="C116" s="281">
        <f t="shared" ref="C116:H116" ca="1" si="440">AVERAGE(C103:C110)</f>
        <v>-0.33652534113060428</v>
      </c>
      <c r="D116" s="281">
        <f t="shared" ca="1" si="440"/>
        <v>-0.19268375751572403</v>
      </c>
      <c r="E116" s="281">
        <f t="shared" ca="1" si="440"/>
        <v>-0.16301768820088086</v>
      </c>
      <c r="F116" s="281">
        <f t="shared" ca="1" si="440"/>
        <v>-0.10982482751204292</v>
      </c>
      <c r="G116" s="281">
        <f t="shared" ca="1" si="440"/>
        <v>-0.20410959838480849</v>
      </c>
      <c r="H116" s="281">
        <f t="shared" ca="1" si="440"/>
        <v>-0.17936565423024603</v>
      </c>
      <c r="I116" s="281"/>
      <c r="J116" s="281">
        <f t="shared" ref="J116:K116" ca="1" si="441">AVERAGE(J103:J110)</f>
        <v>-0.16137849799099285</v>
      </c>
      <c r="K116" s="281">
        <f t="shared" ca="1" si="441"/>
        <v>-0.40942048982466966</v>
      </c>
      <c r="M116" s="278"/>
      <c r="N116" s="281">
        <f ca="1">AVERAGE(N103:N110)</f>
        <v>1.5063324904231665E-2</v>
      </c>
      <c r="O116" s="281">
        <f t="shared" ref="O116:T116" ca="1" si="442">AVERAGE(O103:O110)</f>
        <v>0.17242071647467697</v>
      </c>
      <c r="P116" s="281">
        <f t="shared" ca="1" si="442"/>
        <v>8.7745009009922631E-2</v>
      </c>
      <c r="Q116" s="281">
        <f t="shared" ca="1" si="442"/>
        <v>6.728396879570496E-2</v>
      </c>
      <c r="R116" s="281">
        <f t="shared" ca="1" si="442"/>
        <v>-6.5036259651098355E-2</v>
      </c>
      <c r="S116" s="281">
        <f t="shared" ca="1" si="442"/>
        <v>-0.10322294610590856</v>
      </c>
      <c r="T116" s="281">
        <f t="shared" ca="1" si="442"/>
        <v>-1.4205618475220283E-2</v>
      </c>
      <c r="U116" s="281"/>
      <c r="V116" s="281">
        <f t="shared" ref="V116:W116" ca="1" si="443">AVERAGE(V103:V110)</f>
        <v>4.9688930379211876E-2</v>
      </c>
      <c r="W116" s="281">
        <f t="shared" ca="1" si="443"/>
        <v>1.3450645549373003E-2</v>
      </c>
    </row>
    <row r="117" spans="1:60">
      <c r="A117" s="94"/>
      <c r="B117" s="92"/>
      <c r="C117" s="92"/>
      <c r="D117" s="92"/>
      <c r="E117" s="92"/>
      <c r="F117" s="92"/>
      <c r="G117" s="92"/>
      <c r="H117" s="92"/>
      <c r="I117" s="92"/>
      <c r="J117" s="92"/>
      <c r="K117" s="92"/>
    </row>
    <row r="118" spans="1:60">
      <c r="A118" s="94"/>
      <c r="B118" s="92"/>
      <c r="C118" s="92"/>
      <c r="D118" s="92"/>
      <c r="E118" s="92"/>
      <c r="F118" s="92"/>
      <c r="G118" s="92"/>
      <c r="H118" s="92"/>
      <c r="I118" s="92"/>
      <c r="J118" s="92"/>
      <c r="K118" s="92"/>
    </row>
    <row r="119" spans="1:60">
      <c r="A119" s="94"/>
      <c r="B119" s="412" t="s">
        <v>155</v>
      </c>
      <c r="C119" s="412"/>
      <c r="D119" s="412"/>
      <c r="E119" s="412"/>
      <c r="F119" s="412"/>
      <c r="G119" s="412"/>
      <c r="H119" s="412"/>
      <c r="I119" s="412"/>
      <c r="J119" s="412"/>
      <c r="K119" s="412"/>
      <c r="N119" s="414" t="s">
        <v>156</v>
      </c>
      <c r="O119" s="414"/>
      <c r="P119" s="414"/>
      <c r="Q119" s="414"/>
      <c r="R119" s="414"/>
      <c r="S119" s="414"/>
      <c r="T119" s="414"/>
      <c r="U119" s="414"/>
      <c r="V119" s="414"/>
      <c r="W119" s="414"/>
      <c r="X119" s="195">
        <f ca="1">MAX(N121:T126,V121:W126)</f>
        <v>1.6521739130434783</v>
      </c>
      <c r="Y119" s="87"/>
      <c r="Z119" s="414" t="s">
        <v>157</v>
      </c>
      <c r="AA119" s="414"/>
      <c r="AB119" s="414"/>
      <c r="AC119" s="414"/>
      <c r="AD119" s="414"/>
      <c r="AE119" s="414"/>
      <c r="AF119" s="414"/>
      <c r="AG119" s="414"/>
      <c r="AH119" s="414"/>
      <c r="AI119" s="414"/>
      <c r="AJ119" s="98">
        <f ca="1">MAX(Z121:AF126,AH121:AI126)</f>
        <v>1</v>
      </c>
      <c r="AK119" s="94"/>
      <c r="AL119" s="414" t="s">
        <v>158</v>
      </c>
      <c r="AM119" s="414"/>
      <c r="AN119" s="414"/>
      <c r="AO119" s="414"/>
      <c r="AP119" s="414"/>
      <c r="AQ119" s="414"/>
      <c r="AR119" s="414"/>
      <c r="AS119" s="414"/>
      <c r="AT119" s="414"/>
      <c r="AU119" s="414"/>
      <c r="AV119" s="98">
        <f ca="1">MAX(AL121:AR126,AT121:AU126)</f>
        <v>1.875</v>
      </c>
      <c r="AW119" s="278"/>
      <c r="AX119" s="413" t="s">
        <v>159</v>
      </c>
      <c r="AY119" s="413"/>
      <c r="AZ119" s="413"/>
      <c r="BA119" s="413"/>
      <c r="BB119" s="413"/>
      <c r="BC119" s="413"/>
      <c r="BD119" s="413"/>
      <c r="BE119" s="413"/>
      <c r="BF119" s="413"/>
      <c r="BG119" s="413"/>
      <c r="BH119" s="98">
        <f ca="1">MAX(AX121:BD132,BF121:BG132)</f>
        <v>11.2</v>
      </c>
    </row>
    <row r="120" spans="1:60">
      <c r="A120" s="94"/>
      <c r="B120" s="90" t="str">
        <f>B$3</f>
        <v>Engineering</v>
      </c>
      <c r="C120" s="90" t="str">
        <f t="shared" ref="C120:K120" si="444">C$3</f>
        <v>Payment</v>
      </c>
      <c r="D120" s="90" t="str">
        <f t="shared" si="444"/>
        <v>Sales</v>
      </c>
      <c r="E120" s="90" t="str">
        <f t="shared" si="444"/>
        <v>Vlinder</v>
      </c>
      <c r="F120" s="90" t="str">
        <f t="shared" si="444"/>
        <v>TTT</v>
      </c>
      <c r="G120" s="90" t="str">
        <f t="shared" si="444"/>
        <v>TNT</v>
      </c>
      <c r="H120" s="90" t="str">
        <f t="shared" si="444"/>
        <v>TFS</v>
      </c>
      <c r="I120" s="90" t="str">
        <f t="shared" si="444"/>
        <v>0-Noise</v>
      </c>
      <c r="J120" s="90" t="str">
        <f t="shared" si="444"/>
        <v>Synergy</v>
      </c>
      <c r="K120" s="90" t="str">
        <f t="shared" si="444"/>
        <v>Papillon</v>
      </c>
      <c r="N120" s="90" t="str">
        <f>B120</f>
        <v>Engineering</v>
      </c>
      <c r="O120" s="90" t="str">
        <f t="shared" ref="O120" si="445">C120</f>
        <v>Payment</v>
      </c>
      <c r="P120" s="90" t="str">
        <f t="shared" ref="P120" si="446">D120</f>
        <v>Sales</v>
      </c>
      <c r="Q120" s="90" t="str">
        <f t="shared" ref="Q120" si="447">E120</f>
        <v>Vlinder</v>
      </c>
      <c r="R120" s="90" t="str">
        <f t="shared" ref="R120" si="448">F120</f>
        <v>TTT</v>
      </c>
      <c r="S120" s="90" t="str">
        <f t="shared" ref="S120" si="449">G120</f>
        <v>TNT</v>
      </c>
      <c r="T120" s="90" t="str">
        <f t="shared" ref="T120" si="450">H120</f>
        <v>TFS</v>
      </c>
      <c r="U120" s="90" t="str">
        <f t="shared" ref="U120" si="451">I120</f>
        <v>0-Noise</v>
      </c>
      <c r="V120" s="90" t="str">
        <f t="shared" ref="V120" si="452">J120</f>
        <v>Synergy</v>
      </c>
      <c r="W120" s="90" t="str">
        <f t="shared" ref="W120" si="453">K120</f>
        <v>Papillon</v>
      </c>
      <c r="X120" s="195">
        <f ca="1">MIN(N121:T126,V121:W126)</f>
        <v>-0.58620689655172409</v>
      </c>
      <c r="Y120" s="87"/>
      <c r="Z120" s="90" t="str">
        <f>N120</f>
        <v>Engineering</v>
      </c>
      <c r="AA120" s="90" t="str">
        <f t="shared" ref="AA120" si="454">O120</f>
        <v>Payment</v>
      </c>
      <c r="AB120" s="90" t="str">
        <f t="shared" ref="AB120" si="455">P120</f>
        <v>Sales</v>
      </c>
      <c r="AC120" s="90" t="str">
        <f t="shared" ref="AC120" si="456">Q120</f>
        <v>Vlinder</v>
      </c>
      <c r="AD120" s="90" t="str">
        <f t="shared" ref="AD120" si="457">R120</f>
        <v>TTT</v>
      </c>
      <c r="AE120" s="90" t="str">
        <f t="shared" ref="AE120" si="458">S120</f>
        <v>TNT</v>
      </c>
      <c r="AF120" s="90" t="str">
        <f t="shared" ref="AF120" si="459">T120</f>
        <v>TFS</v>
      </c>
      <c r="AG120" s="90" t="str">
        <f t="shared" ref="AG120" si="460">U120</f>
        <v>0-Noise</v>
      </c>
      <c r="AH120" s="90" t="str">
        <f t="shared" ref="AH120" si="461">V120</f>
        <v>Synergy</v>
      </c>
      <c r="AI120" s="90" t="str">
        <f t="shared" ref="AI120" si="462">W120</f>
        <v>Papillon</v>
      </c>
      <c r="AJ120" s="98">
        <f ca="1">MIN(Z121:AF126,AH121:AI126)</f>
        <v>-1.5925925925925926</v>
      </c>
      <c r="AK120" s="94"/>
      <c r="AL120" s="90" t="str">
        <f>Z120</f>
        <v>Engineering</v>
      </c>
      <c r="AM120" s="90" t="str">
        <f t="shared" ref="AM120" si="463">AA120</f>
        <v>Payment</v>
      </c>
      <c r="AN120" s="90" t="str">
        <f t="shared" ref="AN120" si="464">AB120</f>
        <v>Sales</v>
      </c>
      <c r="AO120" s="90" t="str">
        <f t="shared" ref="AO120" si="465">AC120</f>
        <v>Vlinder</v>
      </c>
      <c r="AP120" s="90" t="str">
        <f t="shared" ref="AP120" si="466">AD120</f>
        <v>TTT</v>
      </c>
      <c r="AQ120" s="90" t="str">
        <f t="shared" ref="AQ120" si="467">AE120</f>
        <v>TNT</v>
      </c>
      <c r="AR120" s="90" t="str">
        <f t="shared" ref="AR120" si="468">AF120</f>
        <v>TFS</v>
      </c>
      <c r="AS120" s="90" t="str">
        <f t="shared" ref="AS120" si="469">AG120</f>
        <v>0-Noise</v>
      </c>
      <c r="AT120" s="90" t="str">
        <f t="shared" ref="AT120" si="470">AH120</f>
        <v>Synergy</v>
      </c>
      <c r="AU120" s="90" t="str">
        <f t="shared" ref="AU120" si="471">AI120</f>
        <v>Papillon</v>
      </c>
      <c r="AV120" s="98">
        <f ca="1">MIN(AL121:AR126,AT121:AU126)</f>
        <v>-3</v>
      </c>
      <c r="AW120" s="278"/>
      <c r="AX120" s="279" t="str">
        <f>AL120</f>
        <v>Engineering</v>
      </c>
      <c r="AY120" s="279" t="str">
        <f t="shared" ref="AY120" si="472">AM120</f>
        <v>Payment</v>
      </c>
      <c r="AZ120" s="279" t="str">
        <f t="shared" ref="AZ120" si="473">AN120</f>
        <v>Sales</v>
      </c>
      <c r="BA120" s="279" t="str">
        <f t="shared" ref="BA120" si="474">AO120</f>
        <v>Vlinder</v>
      </c>
      <c r="BB120" s="279" t="str">
        <f t="shared" ref="BB120" si="475">AP120</f>
        <v>TTT</v>
      </c>
      <c r="BC120" s="279" t="str">
        <f t="shared" ref="BC120" si="476">AQ120</f>
        <v>TNT</v>
      </c>
      <c r="BD120" s="279" t="str">
        <f t="shared" ref="BD120" si="477">AR120</f>
        <v>TFS</v>
      </c>
      <c r="BE120" s="279" t="str">
        <f t="shared" ref="BE120" si="478">AS120</f>
        <v>0-Noise</v>
      </c>
      <c r="BF120" s="279" t="str">
        <f t="shared" ref="BF120" si="479">AT120</f>
        <v>Synergy</v>
      </c>
      <c r="BG120" s="279" t="str">
        <f t="shared" ref="BG120" si="480">AU120</f>
        <v>Papillon</v>
      </c>
      <c r="BH120" s="98">
        <f ca="1">MIN(AX121:BD132,BF121:BG132)</f>
        <v>-0.65289256198347112</v>
      </c>
    </row>
    <row r="121" spans="1:60">
      <c r="A121" s="97" t="str">
        <f t="shared" ref="A121:A133" si="481">A103</f>
        <v>Sprint_1_1</v>
      </c>
      <c r="B121" s="96">
        <f t="shared" ref="B121:H130" ca="1" si="482">_xlfn.RANK.AVG(B28,B26:B28,1)</f>
        <v>3</v>
      </c>
      <c r="C121" s="96">
        <f t="shared" ca="1" si="482"/>
        <v>1.5</v>
      </c>
      <c r="D121" s="96">
        <f t="shared" ca="1" si="482"/>
        <v>3</v>
      </c>
      <c r="E121" s="96">
        <f t="shared" ca="1" si="482"/>
        <v>2</v>
      </c>
      <c r="F121" s="96">
        <f t="shared" ca="1" si="482"/>
        <v>1</v>
      </c>
      <c r="G121" s="96">
        <f t="shared" ca="1" si="482"/>
        <v>2</v>
      </c>
      <c r="H121" s="96">
        <f t="shared" ca="1" si="482"/>
        <v>2</v>
      </c>
      <c r="I121" s="96"/>
      <c r="J121" s="96">
        <f t="shared" ref="J121:K130" ca="1" si="483">_xlfn.RANK.AVG(J28,J26:J28,1)</f>
        <v>1</v>
      </c>
      <c r="K121" s="96">
        <f t="shared" ca="1" si="483"/>
        <v>1</v>
      </c>
      <c r="M121" s="87" t="str">
        <f t="shared" ref="M121:M126" si="484">A121</f>
        <v>Sprint_1_1</v>
      </c>
      <c r="N121" s="86">
        <f t="shared" ref="N121:T126" ca="1" si="485">(B28-B26)/B26</f>
        <v>1.027027027027027</v>
      </c>
      <c r="O121" s="86">
        <f t="shared" ca="1" si="485"/>
        <v>-0.35714285714285715</v>
      </c>
      <c r="P121" s="86">
        <f t="shared" ca="1" si="485"/>
        <v>8.8235294117647065E-2</v>
      </c>
      <c r="Q121" s="86">
        <f t="shared" ca="1" si="485"/>
        <v>0.55555555555555558</v>
      </c>
      <c r="R121" s="86">
        <f t="shared" ca="1" si="485"/>
        <v>-0.48214285714285715</v>
      </c>
      <c r="S121" s="86">
        <f t="shared" ca="1" si="485"/>
        <v>2.6315789473684209E-2</v>
      </c>
      <c r="T121" s="86">
        <f t="shared" ca="1" si="485"/>
        <v>-0.21875</v>
      </c>
      <c r="U121" s="86"/>
      <c r="V121" s="86">
        <f t="shared" ref="V121:W126" ca="1" si="486">(J28-J26)/J26</f>
        <v>-0.58620689655172409</v>
      </c>
      <c r="W121" s="86">
        <f t="shared" ca="1" si="486"/>
        <v>-0.3783783783783784</v>
      </c>
      <c r="Y121" s="87" t="str">
        <f t="shared" ref="Y121:Y127" si="487">M121</f>
        <v>Sprint_1_1</v>
      </c>
      <c r="Z121" s="86">
        <f t="shared" ref="Z121:AF126" ca="1" si="488">1-(2*B27-B26)/B28</f>
        <v>-0.48</v>
      </c>
      <c r="AA121" s="86">
        <f t="shared" ca="1" si="488"/>
        <v>0.55555555555555558</v>
      </c>
      <c r="AB121" s="86">
        <f t="shared" ca="1" si="488"/>
        <v>0.6216216216216216</v>
      </c>
      <c r="AC121" s="86">
        <f t="shared" ca="1" si="488"/>
        <v>-0.78571428571428581</v>
      </c>
      <c r="AD121" s="86">
        <f t="shared" ca="1" si="488"/>
        <v>0.17241379310344829</v>
      </c>
      <c r="AE121" s="86">
        <f t="shared" ca="1" si="488"/>
        <v>-0.69230769230769229</v>
      </c>
      <c r="AF121" s="86">
        <f t="shared" ca="1" si="488"/>
        <v>0.84</v>
      </c>
      <c r="AG121" s="86"/>
      <c r="AH121" s="86">
        <f t="shared" ref="AH121:AI126" ca="1" si="489">1-(2*J27-J26)/J28</f>
        <v>0.58333333333333326</v>
      </c>
      <c r="AI121" s="86">
        <f t="shared" ca="1" si="489"/>
        <v>-0.17391304347826098</v>
      </c>
      <c r="AK121" s="87" t="str">
        <f t="shared" ref="AK121:AK127" si="490">Y121</f>
        <v>Sprint_1_1</v>
      </c>
      <c r="AL121" s="86">
        <f t="shared" ref="AL121:AR126" ca="1" si="491">3*(B28-B27)/B28</f>
        <v>0.04</v>
      </c>
      <c r="AM121" s="86">
        <f t="shared" ca="1" si="491"/>
        <v>0</v>
      </c>
      <c r="AN121" s="86">
        <f t="shared" ca="1" si="491"/>
        <v>1.0540540540540539</v>
      </c>
      <c r="AO121" s="86">
        <f t="shared" ca="1" si="491"/>
        <v>-0.6428571428571429</v>
      </c>
      <c r="AP121" s="86">
        <f t="shared" ca="1" si="491"/>
        <v>-1.1379310344827587</v>
      </c>
      <c r="AQ121" s="86">
        <f t="shared" ca="1" si="491"/>
        <v>-1</v>
      </c>
      <c r="AR121" s="86">
        <f t="shared" ca="1" si="491"/>
        <v>0.84</v>
      </c>
      <c r="AS121" s="86"/>
      <c r="AT121" s="86">
        <f t="shared" ref="AT121:AU126" ca="1" si="492">3*(J28-J27)/J28</f>
        <v>-1.25</v>
      </c>
      <c r="AU121" s="86">
        <f t="shared" ca="1" si="492"/>
        <v>-1.173913043478261</v>
      </c>
      <c r="AW121" s="278" t="str">
        <f t="shared" ref="AW121:AW127" si="493">AK121</f>
        <v>Sprint_1_1</v>
      </c>
      <c r="AX121" s="280">
        <f t="shared" ref="AX121:AX127" ca="1" si="494">B28/TREND(B24:B27,,5)-1</f>
        <v>0.30434782608695654</v>
      </c>
      <c r="AY121" s="280">
        <f t="shared" ref="AY121:BG121" ca="1" si="495">C28/TREND(C24:C27,,5)-1</f>
        <v>-0.28000000000000003</v>
      </c>
      <c r="AZ121" s="280">
        <f t="shared" ca="1" si="495"/>
        <v>0.25423728813559343</v>
      </c>
      <c r="BA121" s="280">
        <f t="shared" ca="1" si="495"/>
        <v>0.55555555555555536</v>
      </c>
      <c r="BB121" s="280">
        <f t="shared" ca="1" si="495"/>
        <v>-0.45794392523364491</v>
      </c>
      <c r="BC121" s="280">
        <f t="shared" ca="1" si="495"/>
        <v>-0.2277227722772277</v>
      </c>
      <c r="BD121" s="280">
        <f t="shared" ca="1" si="495"/>
        <v>-3.8461538461538325E-2</v>
      </c>
      <c r="BE121" s="280"/>
      <c r="BF121" s="280"/>
      <c r="BG121" s="280">
        <f t="shared" ca="1" si="495"/>
        <v>-0.45882352941176474</v>
      </c>
    </row>
    <row r="122" spans="1:60">
      <c r="A122" s="97" t="str">
        <f t="shared" si="481"/>
        <v>Sprint_1_2</v>
      </c>
      <c r="B122" s="96">
        <f t="shared" ca="1" si="482"/>
        <v>1</v>
      </c>
      <c r="C122" s="96">
        <f t="shared" ca="1" si="482"/>
        <v>3</v>
      </c>
      <c r="D122" s="96">
        <f t="shared" ca="1" si="482"/>
        <v>3</v>
      </c>
      <c r="E122" s="96">
        <f t="shared" ca="1" si="482"/>
        <v>1</v>
      </c>
      <c r="F122" s="96">
        <f t="shared" ca="1" si="482"/>
        <v>1</v>
      </c>
      <c r="G122" s="96">
        <f t="shared" ca="1" si="482"/>
        <v>2</v>
      </c>
      <c r="H122" s="96">
        <f t="shared" ca="1" si="482"/>
        <v>1</v>
      </c>
      <c r="I122" s="96"/>
      <c r="J122" s="96">
        <f t="shared" ca="1" si="483"/>
        <v>2</v>
      </c>
      <c r="K122" s="96">
        <f t="shared" ca="1" si="483"/>
        <v>3</v>
      </c>
      <c r="M122" s="87" t="str">
        <f t="shared" si="484"/>
        <v>Sprint_1_2</v>
      </c>
      <c r="N122" s="86">
        <f t="shared" ca="1" si="485"/>
        <v>-0.48648648648648651</v>
      </c>
      <c r="O122" s="86">
        <f t="shared" ca="1" si="485"/>
        <v>1.3333333333333333</v>
      </c>
      <c r="P122" s="86">
        <f t="shared" ca="1" si="485"/>
        <v>0.875</v>
      </c>
      <c r="Q122" s="86">
        <f t="shared" ca="1" si="485"/>
        <v>-0.23529411764705882</v>
      </c>
      <c r="R122" s="86">
        <f t="shared" ca="1" si="485"/>
        <v>-0.35</v>
      </c>
      <c r="S122" s="86">
        <f t="shared" ca="1" si="485"/>
        <v>-5.7692307692307696E-2</v>
      </c>
      <c r="T122" s="86">
        <f t="shared" ca="1" si="485"/>
        <v>-0.1111111111111111</v>
      </c>
      <c r="U122" s="86"/>
      <c r="V122" s="86">
        <f t="shared" ca="1" si="486"/>
        <v>-8.8235294117647065E-2</v>
      </c>
      <c r="W122" s="86">
        <f t="shared" ca="1" si="486"/>
        <v>0.296875</v>
      </c>
      <c r="Y122" s="87" t="str">
        <f t="shared" si="487"/>
        <v>Sprint_1_2</v>
      </c>
      <c r="Z122" s="86">
        <f t="shared" ca="1" si="488"/>
        <v>-1</v>
      </c>
      <c r="AA122" s="86">
        <f t="shared" ca="1" si="488"/>
        <v>0.5714285714285714</v>
      </c>
      <c r="AB122" s="86">
        <f t="shared" ca="1" si="488"/>
        <v>-0.11111111111111116</v>
      </c>
      <c r="AC122" s="86">
        <f t="shared" ca="1" si="488"/>
        <v>0.15384615384615385</v>
      </c>
      <c r="AD122" s="86">
        <f t="shared" ca="1" si="488"/>
        <v>0.30769230769230771</v>
      </c>
      <c r="AE122" s="86">
        <f t="shared" ca="1" si="488"/>
        <v>0.46938775510204078</v>
      </c>
      <c r="AF122" s="86">
        <f t="shared" ca="1" si="488"/>
        <v>-1</v>
      </c>
      <c r="AG122" s="86"/>
      <c r="AH122" s="86">
        <f t="shared" ca="1" si="489"/>
        <v>0.54838709677419351</v>
      </c>
      <c r="AI122" s="86">
        <f t="shared" ca="1" si="489"/>
        <v>0.66265060240963858</v>
      </c>
      <c r="AK122" s="87" t="str">
        <f t="shared" si="490"/>
        <v>Sprint_1_2</v>
      </c>
      <c r="AL122" s="86">
        <f t="shared" ca="1" si="491"/>
        <v>-2.9210526315789473</v>
      </c>
      <c r="AM122" s="86">
        <f t="shared" ca="1" si="491"/>
        <v>1.7142857142857142</v>
      </c>
      <c r="AN122" s="86">
        <f t="shared" ca="1" si="491"/>
        <v>0.53333333333333333</v>
      </c>
      <c r="AO122" s="86">
        <f t="shared" ca="1" si="491"/>
        <v>-0.23076923076923078</v>
      </c>
      <c r="AP122" s="86">
        <f t="shared" ca="1" si="491"/>
        <v>-0.34615384615384615</v>
      </c>
      <c r="AQ122" s="86">
        <f t="shared" ca="1" si="491"/>
        <v>0.61224489795918369</v>
      </c>
      <c r="AR122" s="86">
        <f t="shared" ca="1" si="491"/>
        <v>-1.6875</v>
      </c>
      <c r="AS122" s="86"/>
      <c r="AT122" s="86">
        <f t="shared" ca="1" si="492"/>
        <v>0.67741935483870963</v>
      </c>
      <c r="AU122" s="86">
        <f t="shared" ca="1" si="492"/>
        <v>1.3373493975903614</v>
      </c>
      <c r="AW122" s="278" t="str">
        <f t="shared" si="493"/>
        <v>Sprint_1_2</v>
      </c>
      <c r="AX122" s="280">
        <f t="shared" ca="1" si="494"/>
        <v>-0.53939393939393931</v>
      </c>
      <c r="AY122" s="280">
        <f t="shared" ref="AY122:BD127" ca="1" si="496">C29/TREND(C25:C28,,5)-1</f>
        <v>1.625</v>
      </c>
      <c r="AZ122" s="280">
        <f t="shared" ca="1" si="496"/>
        <v>0.87499999999999978</v>
      </c>
      <c r="BA122" s="280">
        <f t="shared" ca="1" si="496"/>
        <v>-0.14754098360655743</v>
      </c>
      <c r="BB122" s="280">
        <f t="shared" ca="1" si="496"/>
        <v>-0.16129032258064502</v>
      </c>
      <c r="BC122" s="280">
        <f t="shared" ca="1" si="496"/>
        <v>2.0833333333333259E-2</v>
      </c>
      <c r="BD122" s="280">
        <f t="shared" ca="1" si="496"/>
        <v>-0.15789473684210542</v>
      </c>
      <c r="BE122" s="280"/>
      <c r="BF122" s="280">
        <f t="shared" ref="BF122:BG127" ca="1" si="497">J29/TREND(J25:J28,,5)-1</f>
        <v>6.896551724137967E-2</v>
      </c>
      <c r="BG122" s="280">
        <f t="shared" ca="1" si="497"/>
        <v>0.4067796610169494</v>
      </c>
    </row>
    <row r="123" spans="1:60">
      <c r="A123" s="97" t="str">
        <f t="shared" si="481"/>
        <v>Sprint_1_3</v>
      </c>
      <c r="B123" s="96">
        <f t="shared" ca="1" si="482"/>
        <v>2</v>
      </c>
      <c r="C123" s="96">
        <f t="shared" ca="1" si="482"/>
        <v>2</v>
      </c>
      <c r="D123" s="96">
        <f t="shared" ca="1" si="482"/>
        <v>1</v>
      </c>
      <c r="E123" s="96">
        <f t="shared" ca="1" si="482"/>
        <v>3</v>
      </c>
      <c r="F123" s="96">
        <f t="shared" ca="1" si="482"/>
        <v>2.5</v>
      </c>
      <c r="G123" s="96">
        <f t="shared" ca="1" si="482"/>
        <v>1</v>
      </c>
      <c r="H123" s="96">
        <f t="shared" ca="1" si="482"/>
        <v>3</v>
      </c>
      <c r="I123" s="96"/>
      <c r="J123" s="96">
        <f t="shared" ca="1" si="483"/>
        <v>1</v>
      </c>
      <c r="K123" s="96">
        <f t="shared" ca="1" si="483"/>
        <v>3</v>
      </c>
      <c r="M123" s="87" t="str">
        <f t="shared" si="484"/>
        <v>Sprint_1_3</v>
      </c>
      <c r="N123" s="86">
        <f t="shared" ca="1" si="485"/>
        <v>-0.28000000000000003</v>
      </c>
      <c r="O123" s="86">
        <f t="shared" ca="1" si="485"/>
        <v>0.44444444444444442</v>
      </c>
      <c r="P123" s="86">
        <f t="shared" ca="1" si="485"/>
        <v>-8.1081081081081086E-2</v>
      </c>
      <c r="Q123" s="86">
        <f t="shared" ca="1" si="485"/>
        <v>0.17857142857142858</v>
      </c>
      <c r="R123" s="86">
        <f t="shared" ca="1" si="485"/>
        <v>0</v>
      </c>
      <c r="S123" s="86">
        <f t="shared" ca="1" si="485"/>
        <v>-0.12820512820512819</v>
      </c>
      <c r="T123" s="86">
        <f t="shared" ca="1" si="485"/>
        <v>0.08</v>
      </c>
      <c r="U123" s="86"/>
      <c r="V123" s="86">
        <f t="shared" ca="1" si="486"/>
        <v>-0.125</v>
      </c>
      <c r="W123" s="86">
        <f t="shared" ca="1" si="486"/>
        <v>1.6521739130434783</v>
      </c>
      <c r="Y123" s="87" t="str">
        <f t="shared" si="487"/>
        <v>Sprint_1_3</v>
      </c>
      <c r="Z123" s="86">
        <f t="shared" ca="1" si="488"/>
        <v>0.98148148148148151</v>
      </c>
      <c r="AA123" s="86">
        <f t="shared" ca="1" si="488"/>
        <v>-1.5384615384615383</v>
      </c>
      <c r="AB123" s="86">
        <f t="shared" ca="1" si="488"/>
        <v>-0.55882352941176472</v>
      </c>
      <c r="AC123" s="86">
        <f t="shared" ca="1" si="488"/>
        <v>0.27272727272727271</v>
      </c>
      <c r="AD123" s="86">
        <f t="shared" ca="1" si="488"/>
        <v>0.2068965517241379</v>
      </c>
      <c r="AE123" s="86">
        <f t="shared" ca="1" si="488"/>
        <v>-0.73529411764705888</v>
      </c>
      <c r="AF123" s="86">
        <f t="shared" ca="1" si="488"/>
        <v>0.7407407407407407</v>
      </c>
      <c r="AG123" s="86"/>
      <c r="AH123" s="86">
        <f t="shared" ca="1" si="489"/>
        <v>-0.80952380952380953</v>
      </c>
      <c r="AI123" s="86">
        <f t="shared" ca="1" si="489"/>
        <v>1.6393442622950838E-2</v>
      </c>
      <c r="AK123" s="87" t="str">
        <f t="shared" si="490"/>
        <v>Sprint_1_3</v>
      </c>
      <c r="AL123" s="86">
        <f t="shared" ca="1" si="491"/>
        <v>0.88888888888888884</v>
      </c>
      <c r="AM123" s="86">
        <f t="shared" ca="1" si="491"/>
        <v>-1.8461538461538463</v>
      </c>
      <c r="AN123" s="86">
        <f t="shared" ca="1" si="491"/>
        <v>-0.97058823529411764</v>
      </c>
      <c r="AO123" s="86">
        <f t="shared" ca="1" si="491"/>
        <v>0.63636363636363635</v>
      </c>
      <c r="AP123" s="86">
        <f t="shared" ca="1" si="491"/>
        <v>0.31034482758620691</v>
      </c>
      <c r="AQ123" s="86">
        <f t="shared" ca="1" si="491"/>
        <v>-1.3235294117647058</v>
      </c>
      <c r="AR123" s="86">
        <f t="shared" ca="1" si="491"/>
        <v>1.2222222222222223</v>
      </c>
      <c r="AS123" s="86"/>
      <c r="AT123" s="86">
        <f t="shared" ca="1" si="492"/>
        <v>-1.4285714285714286</v>
      </c>
      <c r="AU123" s="86">
        <f t="shared" ca="1" si="492"/>
        <v>0.95901639344262291</v>
      </c>
      <c r="AW123" s="278" t="str">
        <f t="shared" si="493"/>
        <v>Sprint_1_3</v>
      </c>
      <c r="AX123" s="280">
        <f t="shared" ca="1" si="494"/>
        <v>-5.2631578947368474E-2</v>
      </c>
      <c r="AY123" s="280">
        <f t="shared" ca="1" si="496"/>
        <v>-0.29729729729729726</v>
      </c>
      <c r="AZ123" s="280">
        <f t="shared" ca="1" si="496"/>
        <v>-0.26881720430107525</v>
      </c>
      <c r="BA123" s="280">
        <f t="shared" ca="1" si="496"/>
        <v>6.4516129032258007E-2</v>
      </c>
      <c r="BB123" s="280">
        <f t="shared" ca="1" si="496"/>
        <v>1.3199999999999998</v>
      </c>
      <c r="BC123" s="280">
        <f t="shared" ca="1" si="496"/>
        <v>-0.31313131313131315</v>
      </c>
      <c r="BD123" s="280">
        <f t="shared" ca="1" si="496"/>
        <v>1.1600000000000001</v>
      </c>
      <c r="BE123" s="280"/>
      <c r="BF123" s="280">
        <f t="shared" ca="1" si="497"/>
        <v>0.5</v>
      </c>
      <c r="BG123" s="280">
        <f t="shared" ca="1" si="497"/>
        <v>0.76811594202898559</v>
      </c>
    </row>
    <row r="124" spans="1:60">
      <c r="A124" s="97" t="str">
        <f t="shared" si="481"/>
        <v>Sprint_1_4</v>
      </c>
      <c r="B124" s="96">
        <f t="shared" ca="1" si="482"/>
        <v>1</v>
      </c>
      <c r="C124" s="96">
        <f t="shared" ca="1" si="482"/>
        <v>2</v>
      </c>
      <c r="D124" s="96">
        <f t="shared" ca="1" si="482"/>
        <v>3</v>
      </c>
      <c r="E124" s="96">
        <f t="shared" ca="1" si="482"/>
        <v>2.5</v>
      </c>
      <c r="F124" s="96">
        <f t="shared" ca="1" si="482"/>
        <v>3</v>
      </c>
      <c r="G124" s="96">
        <f t="shared" ca="1" si="482"/>
        <v>1</v>
      </c>
      <c r="H124" s="96">
        <f t="shared" ca="1" si="482"/>
        <v>3</v>
      </c>
      <c r="I124" s="96"/>
      <c r="J124" s="96">
        <f t="shared" ca="1" si="483"/>
        <v>2</v>
      </c>
      <c r="K124" s="96">
        <f t="shared" ca="1" si="483"/>
        <v>2</v>
      </c>
      <c r="M124" s="87" t="str">
        <f t="shared" si="484"/>
        <v>Sprint_1_4</v>
      </c>
      <c r="N124" s="86">
        <f t="shared" ca="1" si="485"/>
        <v>-0.28947368421052633</v>
      </c>
      <c r="O124" s="86">
        <f t="shared" ca="1" si="485"/>
        <v>-0.33333333333333331</v>
      </c>
      <c r="P124" s="86">
        <f t="shared" ca="1" si="485"/>
        <v>0.24444444444444444</v>
      </c>
      <c r="Q124" s="86">
        <f t="shared" ca="1" si="485"/>
        <v>0.26923076923076922</v>
      </c>
      <c r="R124" s="86">
        <f t="shared" ca="1" si="485"/>
        <v>0.46153846153846156</v>
      </c>
      <c r="S124" s="86">
        <f t="shared" ca="1" si="485"/>
        <v>-0.44897959183673469</v>
      </c>
      <c r="T124" s="86">
        <f t="shared" ca="1" si="485"/>
        <v>1.0625</v>
      </c>
      <c r="U124" s="86"/>
      <c r="V124" s="86">
        <f t="shared" ca="1" si="486"/>
        <v>-0.16129032258064516</v>
      </c>
      <c r="W124" s="86">
        <f t="shared" ca="1" si="486"/>
        <v>7.2289156626506021E-2</v>
      </c>
      <c r="Y124" s="87" t="str">
        <f t="shared" si="487"/>
        <v>Sprint_1_4</v>
      </c>
      <c r="Z124" s="86">
        <f t="shared" ca="1" si="488"/>
        <v>-1.5925925925925926</v>
      </c>
      <c r="AA124" s="86">
        <f t="shared" ca="1" si="488"/>
        <v>0.64285714285714279</v>
      </c>
      <c r="AB124" s="86">
        <f t="shared" ca="1" si="488"/>
        <v>0.5892857142857143</v>
      </c>
      <c r="AC124" s="86">
        <f t="shared" ca="1" si="488"/>
        <v>-0.21212121212121215</v>
      </c>
      <c r="AD124" s="86">
        <f t="shared" ca="1" si="488"/>
        <v>0.15789473684210531</v>
      </c>
      <c r="AE124" s="86">
        <f t="shared" ca="1" si="488"/>
        <v>0.29629629629629628</v>
      </c>
      <c r="AF124" s="86">
        <f t="shared" ca="1" si="488"/>
        <v>-0.1515151515151516</v>
      </c>
      <c r="AG124" s="86"/>
      <c r="AH124" s="86">
        <f t="shared" ca="1" si="489"/>
        <v>0.57692307692307687</v>
      </c>
      <c r="AI124" s="86">
        <f t="shared" ca="1" si="489"/>
        <v>-0.8089887640449438</v>
      </c>
      <c r="AK124" s="87" t="str">
        <f t="shared" si="490"/>
        <v>Sprint_1_4</v>
      </c>
      <c r="AL124" s="86">
        <f t="shared" ca="1" si="491"/>
        <v>-3</v>
      </c>
      <c r="AM124" s="86">
        <f t="shared" ca="1" si="491"/>
        <v>0.21428571428571427</v>
      </c>
      <c r="AN124" s="86">
        <f t="shared" ca="1" si="491"/>
        <v>1.1785714285714286</v>
      </c>
      <c r="AO124" s="86">
        <f t="shared" ca="1" si="491"/>
        <v>0</v>
      </c>
      <c r="AP124" s="86">
        <f t="shared" ca="1" si="491"/>
        <v>0.71052631578947367</v>
      </c>
      <c r="AQ124" s="86">
        <f t="shared" ca="1" si="491"/>
        <v>-0.77777777777777779</v>
      </c>
      <c r="AR124" s="86">
        <f t="shared" ca="1" si="491"/>
        <v>0.54545454545454541</v>
      </c>
      <c r="AS124" s="86"/>
      <c r="AT124" s="86">
        <f t="shared" ca="1" si="492"/>
        <v>0.57692307692307687</v>
      </c>
      <c r="AU124" s="86">
        <f t="shared" ca="1" si="492"/>
        <v>-1.1123595505617978</v>
      </c>
      <c r="AW124" s="278" t="str">
        <f t="shared" si="493"/>
        <v>Sprint_1_4</v>
      </c>
      <c r="AX124" s="280">
        <f t="shared" ca="1" si="494"/>
        <v>-0.25000000000000033</v>
      </c>
      <c r="AY124" s="280">
        <f t="shared" ca="1" si="496"/>
        <v>-0.26315789473684215</v>
      </c>
      <c r="AZ124" s="280">
        <f t="shared" ca="1" si="496"/>
        <v>0.2584269662921348</v>
      </c>
      <c r="BA124" s="280">
        <f t="shared" ca="1" si="496"/>
        <v>0.13793103448275867</v>
      </c>
      <c r="BB124" s="280">
        <f t="shared" ca="1" si="496"/>
        <v>0.72727272727272729</v>
      </c>
      <c r="BC124" s="280">
        <f t="shared" ca="1" si="496"/>
        <v>-0.16923076923076918</v>
      </c>
      <c r="BD124" s="280">
        <f t="shared" ca="1" si="496"/>
        <v>0.26923076923076916</v>
      </c>
      <c r="BE124" s="280"/>
      <c r="BF124" s="280">
        <f t="shared" ca="1" si="497"/>
        <v>0.33333333333333304</v>
      </c>
      <c r="BG124" s="280">
        <f t="shared" ca="1" si="497"/>
        <v>-0.32319391634980987</v>
      </c>
    </row>
    <row r="125" spans="1:60">
      <c r="A125" s="97" t="str">
        <f t="shared" si="481"/>
        <v>Sprint_1_5</v>
      </c>
      <c r="B125" s="96">
        <f t="shared" ca="1" si="482"/>
        <v>3</v>
      </c>
      <c r="C125" s="96">
        <f t="shared" ca="1" si="482"/>
        <v>1.5</v>
      </c>
      <c r="D125" s="96">
        <f t="shared" ca="1" si="482"/>
        <v>2</v>
      </c>
      <c r="E125" s="96">
        <f t="shared" ca="1" si="482"/>
        <v>3</v>
      </c>
      <c r="F125" s="96">
        <f t="shared" ca="1" si="482"/>
        <v>2</v>
      </c>
      <c r="G125" s="96">
        <f t="shared" ca="1" si="482"/>
        <v>3</v>
      </c>
      <c r="H125" s="96">
        <f t="shared" ca="1" si="482"/>
        <v>2</v>
      </c>
      <c r="I125" s="96"/>
      <c r="J125" s="96">
        <f t="shared" ca="1" si="483"/>
        <v>3</v>
      </c>
      <c r="K125" s="96">
        <f t="shared" ca="1" si="483"/>
        <v>2</v>
      </c>
      <c r="M125" s="87" t="str">
        <f t="shared" si="484"/>
        <v>Sprint_1_5</v>
      </c>
      <c r="N125" s="86">
        <f t="shared" ca="1" si="485"/>
        <v>0.33333333333333331</v>
      </c>
      <c r="O125" s="86">
        <f t="shared" ca="1" si="485"/>
        <v>0</v>
      </c>
      <c r="P125" s="86">
        <f t="shared" ca="1" si="485"/>
        <v>2.9411764705882353E-2</v>
      </c>
      <c r="Q125" s="86">
        <f t="shared" ca="1" si="485"/>
        <v>0.27272727272727271</v>
      </c>
      <c r="R125" s="86">
        <f t="shared" ca="1" si="485"/>
        <v>0.17241379310344829</v>
      </c>
      <c r="S125" s="86">
        <f t="shared" ca="1" si="485"/>
        <v>2.9411764705882353E-2</v>
      </c>
      <c r="T125" s="86">
        <f t="shared" ca="1" si="485"/>
        <v>0.18518518518518517</v>
      </c>
      <c r="U125" s="86"/>
      <c r="V125" s="86">
        <f t="shared" ca="1" si="486"/>
        <v>0.7142857142857143</v>
      </c>
      <c r="W125" s="86">
        <f t="shared" ca="1" si="486"/>
        <v>-0.13114754098360656</v>
      </c>
      <c r="Y125" s="87" t="str">
        <f t="shared" si="487"/>
        <v>Sprint_1_5</v>
      </c>
      <c r="Z125" s="86">
        <f t="shared" ca="1" si="488"/>
        <v>1</v>
      </c>
      <c r="AA125" s="86">
        <f t="shared" ca="1" si="488"/>
        <v>-0.15384615384615374</v>
      </c>
      <c r="AB125" s="86">
        <f t="shared" ca="1" si="488"/>
        <v>-1.2285714285714286</v>
      </c>
      <c r="AC125" s="86">
        <f t="shared" ca="1" si="488"/>
        <v>0.2142857142857143</v>
      </c>
      <c r="AD125" s="86">
        <f t="shared" ca="1" si="488"/>
        <v>-0.38235294117647056</v>
      </c>
      <c r="AE125" s="86">
        <f t="shared" ca="1" si="488"/>
        <v>0.4285714285714286</v>
      </c>
      <c r="AF125" s="86">
        <f t="shared" ca="1" si="488"/>
        <v>-0.21875</v>
      </c>
      <c r="AG125" s="86"/>
      <c r="AH125" s="86">
        <f t="shared" ca="1" si="489"/>
        <v>0.13888888888888884</v>
      </c>
      <c r="AI125" s="86">
        <f t="shared" ca="1" si="489"/>
        <v>0.47169811320754718</v>
      </c>
      <c r="AK125" s="87" t="str">
        <f t="shared" si="490"/>
        <v>Sprint_1_5</v>
      </c>
      <c r="AL125" s="86">
        <f t="shared" ca="1" si="491"/>
        <v>1.875</v>
      </c>
      <c r="AM125" s="86">
        <f t="shared" ca="1" si="491"/>
        <v>-0.23076923076923078</v>
      </c>
      <c r="AN125" s="86">
        <f t="shared" ca="1" si="491"/>
        <v>-1.8</v>
      </c>
      <c r="AO125" s="86">
        <f t="shared" ca="1" si="491"/>
        <v>0.6428571428571429</v>
      </c>
      <c r="AP125" s="86">
        <f t="shared" ca="1" si="491"/>
        <v>-0.35294117647058826</v>
      </c>
      <c r="AQ125" s="86">
        <f t="shared" ca="1" si="491"/>
        <v>0.68571428571428572</v>
      </c>
      <c r="AR125" s="86">
        <f t="shared" ca="1" si="491"/>
        <v>-9.375E-2</v>
      </c>
      <c r="AS125" s="86"/>
      <c r="AT125" s="86">
        <f t="shared" ca="1" si="492"/>
        <v>0.83333333333333337</v>
      </c>
      <c r="AU125" s="86">
        <f t="shared" ca="1" si="492"/>
        <v>0.48113207547169812</v>
      </c>
      <c r="AW125" s="278" t="str">
        <f t="shared" si="493"/>
        <v>Sprint_1_5</v>
      </c>
      <c r="AX125" s="280">
        <f t="shared" ca="1" si="494"/>
        <v>3.3636363636363633</v>
      </c>
      <c r="AY125" s="280">
        <f t="shared" ca="1" si="496"/>
        <v>-0.18749999999999989</v>
      </c>
      <c r="AZ125" s="280">
        <f t="shared" ca="1" si="496"/>
        <v>-0.35779816513761464</v>
      </c>
      <c r="BA125" s="280">
        <f t="shared" ca="1" si="496"/>
        <v>0.18309859154929575</v>
      </c>
      <c r="BB125" s="280">
        <f t="shared" ca="1" si="496"/>
        <v>-0.10526315789473684</v>
      </c>
      <c r="BC125" s="280">
        <f t="shared" ca="1" si="496"/>
        <v>0.42857142857142905</v>
      </c>
      <c r="BD125" s="280">
        <f t="shared" ca="1" si="496"/>
        <v>-5.8823529411764719E-2</v>
      </c>
      <c r="BE125" s="280"/>
      <c r="BF125" s="280">
        <f t="shared" ca="1" si="497"/>
        <v>0.46938775510204089</v>
      </c>
      <c r="BG125" s="280">
        <f t="shared" ca="1" si="497"/>
        <v>-0.16535433070866146</v>
      </c>
    </row>
    <row r="126" spans="1:60">
      <c r="A126" s="97" t="str">
        <f t="shared" si="481"/>
        <v>Sprint_1_6</v>
      </c>
      <c r="B126" s="96">
        <f t="shared" ca="1" si="482"/>
        <v>2</v>
      </c>
      <c r="C126" s="96">
        <f t="shared" ca="1" si="482"/>
        <v>3</v>
      </c>
      <c r="D126" s="96">
        <f t="shared" ca="1" si="482"/>
        <v>2</v>
      </c>
      <c r="E126" s="96">
        <f t="shared" ca="1" si="482"/>
        <v>1</v>
      </c>
      <c r="F126" s="96">
        <f t="shared" ca="1" si="482"/>
        <v>1</v>
      </c>
      <c r="G126" s="96">
        <f t="shared" ca="1" si="482"/>
        <v>2</v>
      </c>
      <c r="H126" s="96">
        <f t="shared" ca="1" si="482"/>
        <v>1</v>
      </c>
      <c r="I126" s="96"/>
      <c r="J126" s="96">
        <f t="shared" ca="1" si="483"/>
        <v>2.5</v>
      </c>
      <c r="K126" s="96">
        <f t="shared" ca="1" si="483"/>
        <v>3</v>
      </c>
      <c r="M126" s="87" t="str">
        <f t="shared" si="484"/>
        <v>Sprint_1_6</v>
      </c>
      <c r="N126" s="86">
        <f t="shared" ca="1" si="485"/>
        <v>1.5185185185185186</v>
      </c>
      <c r="O126" s="86">
        <f t="shared" ca="1" si="485"/>
        <v>0.2857142857142857</v>
      </c>
      <c r="P126" s="86">
        <f t="shared" ca="1" si="485"/>
        <v>-0.16071428571428573</v>
      </c>
      <c r="Q126" s="86">
        <f t="shared" ca="1" si="485"/>
        <v>-0.15151515151515152</v>
      </c>
      <c r="R126" s="86">
        <f t="shared" ca="1" si="485"/>
        <v>-0.15789473684210525</v>
      </c>
      <c r="S126" s="86">
        <f t="shared" ca="1" si="485"/>
        <v>0.14814814814814814</v>
      </c>
      <c r="T126" s="86">
        <f t="shared" ca="1" si="485"/>
        <v>-0.42424242424242425</v>
      </c>
      <c r="U126" s="86"/>
      <c r="V126" s="86">
        <f t="shared" ca="1" si="486"/>
        <v>0.38461538461538464</v>
      </c>
      <c r="W126" s="86">
        <f t="shared" ca="1" si="486"/>
        <v>0.23595505617977527</v>
      </c>
      <c r="Y126" s="87" t="str">
        <f t="shared" si="487"/>
        <v>Sprint_1_6</v>
      </c>
      <c r="Z126" s="86">
        <f t="shared" ca="1" si="488"/>
        <v>-0.72058823529411775</v>
      </c>
      <c r="AA126" s="86">
        <f t="shared" ca="1" si="488"/>
        <v>0.33333333333333337</v>
      </c>
      <c r="AB126" s="86">
        <f t="shared" ca="1" si="488"/>
        <v>0.7021276595744681</v>
      </c>
      <c r="AC126" s="86">
        <f t="shared" ca="1" si="488"/>
        <v>-0.8214285714285714</v>
      </c>
      <c r="AD126" s="86">
        <f t="shared" ca="1" si="488"/>
        <v>6.25E-2</v>
      </c>
      <c r="AE126" s="86">
        <f t="shared" ca="1" si="488"/>
        <v>-0.38709677419354849</v>
      </c>
      <c r="AF126" s="86">
        <f t="shared" ca="1" si="488"/>
        <v>-0.63157894736842102</v>
      </c>
      <c r="AG126" s="86"/>
      <c r="AH126" s="86">
        <f t="shared" ca="1" si="489"/>
        <v>-0.27777777777777768</v>
      </c>
      <c r="AI126" s="86">
        <f t="shared" ca="1" si="489"/>
        <v>-0.11818181818181817</v>
      </c>
      <c r="AK126" s="87" t="str">
        <f t="shared" si="490"/>
        <v>Sprint_1_6</v>
      </c>
      <c r="AL126" s="86">
        <f t="shared" ca="1" si="491"/>
        <v>-0.17647058823529413</v>
      </c>
      <c r="AM126" s="86">
        <f t="shared" ca="1" si="491"/>
        <v>0.83333333333333337</v>
      </c>
      <c r="AN126" s="86">
        <f t="shared" ca="1" si="491"/>
        <v>0.76595744680851063</v>
      </c>
      <c r="AO126" s="86">
        <f t="shared" ca="1" si="491"/>
        <v>-1.5</v>
      </c>
      <c r="AP126" s="86">
        <f t="shared" ca="1" si="491"/>
        <v>-0.1875</v>
      </c>
      <c r="AQ126" s="86">
        <f t="shared" ca="1" si="491"/>
        <v>-0.38709677419354838</v>
      </c>
      <c r="AR126" s="86">
        <f t="shared" ca="1" si="491"/>
        <v>-2.0526315789473686</v>
      </c>
      <c r="AS126" s="86"/>
      <c r="AT126" s="86">
        <f t="shared" ca="1" si="492"/>
        <v>0</v>
      </c>
      <c r="AU126" s="86">
        <f t="shared" ca="1" si="492"/>
        <v>0.10909090909090909</v>
      </c>
      <c r="AW126" s="278" t="str">
        <f t="shared" si="493"/>
        <v>Sprint_1_6</v>
      </c>
      <c r="AX126" s="280">
        <f t="shared" ca="1" si="494"/>
        <v>2.2556390977443552E-2</v>
      </c>
      <c r="AY126" s="280">
        <f t="shared" ca="1" si="496"/>
        <v>0.89473684210526305</v>
      </c>
      <c r="AZ126" s="280">
        <f t="shared" ca="1" si="496"/>
        <v>0.16049382716049387</v>
      </c>
      <c r="BA126" s="280">
        <f t="shared" ca="1" si="496"/>
        <v>-0.38461538461538458</v>
      </c>
      <c r="BB126" s="280">
        <f t="shared" ca="1" si="496"/>
        <v>-0.19999999999999996</v>
      </c>
      <c r="BC126" s="280">
        <f t="shared" ca="1" si="496"/>
        <v>0.29166666666666652</v>
      </c>
      <c r="BD126" s="280">
        <f t="shared" ca="1" si="496"/>
        <v>-0.53086419753086422</v>
      </c>
      <c r="BE126" s="280"/>
      <c r="BF126" s="280">
        <f t="shared" ca="1" si="497"/>
        <v>7.4626865671641784E-2</v>
      </c>
      <c r="BG126" s="280">
        <f t="shared" ca="1" si="497"/>
        <v>9.1743119266054496E-3</v>
      </c>
    </row>
    <row r="127" spans="1:60">
      <c r="A127" s="97" t="str">
        <f t="shared" si="481"/>
        <v>Sprint_2_1</v>
      </c>
      <c r="B127" s="96">
        <f t="shared" ca="1" si="482"/>
        <v>1</v>
      </c>
      <c r="C127" s="96">
        <f t="shared" ca="1" si="482"/>
        <v>1.5</v>
      </c>
      <c r="D127" s="96">
        <f t="shared" ca="1" si="482"/>
        <v>2</v>
      </c>
      <c r="E127" s="96">
        <f t="shared" ca="1" si="482"/>
        <v>2</v>
      </c>
      <c r="F127" s="96">
        <f t="shared" ca="1" si="482"/>
        <v>1</v>
      </c>
      <c r="G127" s="96">
        <f t="shared" ca="1" si="482"/>
        <v>1</v>
      </c>
      <c r="H127" s="96">
        <f t="shared" ca="1" si="482"/>
        <v>1.5</v>
      </c>
      <c r="I127" s="96"/>
      <c r="J127" s="96">
        <f t="shared" ca="1" si="483"/>
        <v>3</v>
      </c>
      <c r="K127" s="96">
        <f t="shared" ca="1" si="483"/>
        <v>1</v>
      </c>
      <c r="M127" s="87" t="str">
        <f t="shared" ref="M127" si="498">A127</f>
        <v>Sprint_2_1</v>
      </c>
      <c r="N127" s="86">
        <f t="shared" ref="N127" ca="1" si="499">(B34-B32)/B32</f>
        <v>-0.44444444444444442</v>
      </c>
      <c r="O127" s="86">
        <f t="shared" ref="O127" ca="1" si="500">(C34-C32)/C32</f>
        <v>0</v>
      </c>
      <c r="P127" s="86">
        <f t="shared" ref="P127" ca="1" si="501">(D34-D32)/D32</f>
        <v>5.7142857142857141E-2</v>
      </c>
      <c r="Q127" s="86">
        <f t="shared" ref="Q127" ca="1" si="502">(E34-E32)/E32</f>
        <v>-4.7619047619047616E-2</v>
      </c>
      <c r="R127" s="86">
        <f t="shared" ref="R127" ca="1" si="503">(F34-F32)/F32</f>
        <v>-0.61764705882352944</v>
      </c>
      <c r="S127" s="86">
        <f t="shared" ref="S127" ca="1" si="504">(G34-G32)/G32</f>
        <v>-0.2</v>
      </c>
      <c r="T127" s="86">
        <f t="shared" ref="T127" ca="1" si="505">(H34-H32)/H32</f>
        <v>-0.40625</v>
      </c>
      <c r="U127" s="86"/>
      <c r="V127" s="86">
        <f t="shared" ref="V127" ca="1" si="506">(J34-J32)/J32</f>
        <v>2.7777777777777776E-2</v>
      </c>
      <c r="W127" s="86">
        <f t="shared" ref="W127" ca="1" si="507">(K34-K32)/K32</f>
        <v>-0.21698113207547171</v>
      </c>
      <c r="Y127" s="87" t="str">
        <f t="shared" si="487"/>
        <v>Sprint_2_1</v>
      </c>
      <c r="Z127" s="86">
        <f t="shared" ref="Z127" ca="1" si="508">1-(2*B33-B32)/B34</f>
        <v>-0.60000000000000009</v>
      </c>
      <c r="AA127" s="86">
        <f t="shared" ref="AA127" ca="1" si="509">1-(2*C33-C32)/C34</f>
        <v>-0.76923076923076916</v>
      </c>
      <c r="AB127" s="86">
        <f t="shared" ref="AB127" ca="1" si="510">1-(2*D33-D32)/D34</f>
        <v>-0.59459459459459452</v>
      </c>
      <c r="AC127" s="86">
        <f t="shared" ref="AC127" ca="1" si="511">1-(2*E33-E32)/E34</f>
        <v>0.65</v>
      </c>
      <c r="AD127" s="86">
        <f t="shared" ref="AD127" ca="1" si="512">1-(2*F33-F32)/F34</f>
        <v>-1.3076923076923075</v>
      </c>
      <c r="AE127" s="86">
        <f t="shared" ref="AE127" ca="1" si="513">1-(2*G33-G32)/G34</f>
        <v>3.5714285714285698E-2</v>
      </c>
      <c r="AF127" s="86">
        <f t="shared" ref="AF127" ca="1" si="514">1-(2*H33-H32)/H34</f>
        <v>0.68421052631578949</v>
      </c>
      <c r="AG127" s="86"/>
      <c r="AH127" s="86">
        <f t="shared" ref="AH127" ca="1" si="515">1-(2*J33-J32)/J34</f>
        <v>2.7027027027026973E-2</v>
      </c>
      <c r="AI127" s="86">
        <f t="shared" ref="AI127" ca="1" si="516">1-(2*K33-K32)/K34</f>
        <v>-0.37349397590361444</v>
      </c>
      <c r="AK127" s="87" t="str">
        <f t="shared" si="490"/>
        <v>Sprint_2_1</v>
      </c>
      <c r="AL127" s="86">
        <f t="shared" ref="AL127" ca="1" si="517">3*(B34-B33)/B34</f>
        <v>-2.1</v>
      </c>
      <c r="AM127" s="86">
        <f t="shared" ref="AM127" ca="1" si="518">3*(C34-C33)/C34</f>
        <v>-1.1538461538461537</v>
      </c>
      <c r="AN127" s="86">
        <f t="shared" ref="AN127" ca="1" si="519">3*(D34-D33)/D34</f>
        <v>-0.81081081081081086</v>
      </c>
      <c r="AO127" s="86">
        <f t="shared" ref="AO127" ca="1" si="520">3*(E34-E33)/E34</f>
        <v>0.9</v>
      </c>
      <c r="AP127" s="86">
        <f t="shared" ref="AP127" ca="1" si="521">3*(F34-F33)/F34</f>
        <v>-4.384615384615385</v>
      </c>
      <c r="AQ127" s="86">
        <f t="shared" ref="AQ127" ca="1" si="522">3*(G34-G33)/G34</f>
        <v>-0.32142857142857145</v>
      </c>
      <c r="AR127" s="86">
        <f t="shared" ref="AR127" ca="1" si="523">3*(H34-H33)/H34</f>
        <v>0</v>
      </c>
      <c r="AS127" s="86"/>
      <c r="AT127" s="86">
        <f t="shared" ref="AT127" ca="1" si="524">3*(J34-J33)/J34</f>
        <v>8.1081081081081086E-2</v>
      </c>
      <c r="AU127" s="86">
        <f t="shared" ref="AU127" ca="1" si="525">3*(K34-K33)/K34</f>
        <v>-0.97590361445783136</v>
      </c>
      <c r="AW127" s="278" t="str">
        <f t="shared" si="493"/>
        <v>Sprint_2_1</v>
      </c>
      <c r="AX127" s="280">
        <f t="shared" ca="1" si="494"/>
        <v>-0.48051948051948057</v>
      </c>
      <c r="AY127" s="280">
        <f t="shared" ca="1" si="496"/>
        <v>-0.27777777777777779</v>
      </c>
      <c r="AZ127" s="280">
        <f t="shared" ca="1" si="496"/>
        <v>-0.22105263157894739</v>
      </c>
      <c r="BA127" s="280">
        <f t="shared" ca="1" si="496"/>
        <v>0.23076923076923084</v>
      </c>
      <c r="BB127" s="280">
        <f t="shared" ca="1" si="496"/>
        <v>-0.62318840579710144</v>
      </c>
      <c r="BC127" s="280">
        <f t="shared" ca="1" si="496"/>
        <v>-0.11111111111111116</v>
      </c>
      <c r="BD127" s="280">
        <f t="shared" ca="1" si="496"/>
        <v>-0.11627906976744173</v>
      </c>
      <c r="BE127" s="280"/>
      <c r="BF127" s="280">
        <f t="shared" ca="1" si="497"/>
        <v>-0.14942528735632188</v>
      </c>
      <c r="BG127" s="280">
        <f t="shared" ca="1" si="497"/>
        <v>-0.18627450980392157</v>
      </c>
    </row>
    <row r="128" spans="1:60">
      <c r="A128" s="97" t="str">
        <f t="shared" si="481"/>
        <v>Sprint_2_2</v>
      </c>
      <c r="B128" s="96">
        <f t="shared" ca="1" si="482"/>
        <v>1</v>
      </c>
      <c r="C128" s="96">
        <f t="shared" ca="1" si="482"/>
        <v>3</v>
      </c>
      <c r="D128" s="96">
        <f t="shared" ca="1" si="482"/>
        <v>2</v>
      </c>
      <c r="E128" s="96">
        <f t="shared" ca="1" si="482"/>
        <v>1</v>
      </c>
      <c r="F128" s="96">
        <f t="shared" ca="1" si="482"/>
        <v>2</v>
      </c>
      <c r="G128" s="96">
        <f t="shared" ca="1" si="482"/>
        <v>3</v>
      </c>
      <c r="H128" s="96">
        <f t="shared" ca="1" si="482"/>
        <v>3</v>
      </c>
      <c r="I128" s="96"/>
      <c r="J128" s="96">
        <f t="shared" ca="1" si="483"/>
        <v>3</v>
      </c>
      <c r="K128" s="96">
        <f t="shared" ca="1" si="483"/>
        <v>1</v>
      </c>
      <c r="M128" s="87" t="str">
        <f t="shared" ref="M128:M132" si="526">A128</f>
        <v>Sprint_2_2</v>
      </c>
      <c r="N128" s="86">
        <f t="shared" ref="N128" ca="1" si="527">(B35-B33)/B33</f>
        <v>-0.69117647058823528</v>
      </c>
      <c r="O128" s="86">
        <f ca="1">(C35-C33)/C33</f>
        <v>0.16666666666666666</v>
      </c>
      <c r="P128" s="86">
        <f t="shared" ref="P128" ca="1" si="528">(D35-D33)/D33</f>
        <v>-0.10638297872340426</v>
      </c>
      <c r="Q128" s="86">
        <f t="shared" ref="Q128" ca="1" si="529">(E35-E33)/E33</f>
        <v>-0.42857142857142855</v>
      </c>
      <c r="R128" s="86">
        <f t="shared" ref="R128" ca="1" si="530">(F35-F33)/F33</f>
        <v>-0.25</v>
      </c>
      <c r="S128" s="86">
        <f t="shared" ref="S128" ca="1" si="531">(G35-G33)/G33</f>
        <v>6.4516129032258063E-2</v>
      </c>
      <c r="T128" s="86">
        <f t="shared" ref="T128" ca="1" si="532">(H35-H33)/H33</f>
        <v>0.15789473684210525</v>
      </c>
      <c r="U128" s="86"/>
      <c r="V128" s="86">
        <f t="shared" ref="V128" ca="1" si="533">(J35-J33)/J33</f>
        <v>0.44444444444444442</v>
      </c>
      <c r="W128" s="86">
        <f t="shared" ref="W128" ca="1" si="534">(K35-K33)/K33</f>
        <v>-0.27272727272727271</v>
      </c>
      <c r="Y128" s="87" t="str">
        <f t="shared" ref="Y128:Y132" si="535">M128</f>
        <v>Sprint_2_2</v>
      </c>
      <c r="Z128" s="86">
        <f t="shared" ref="Z128" ca="1" si="536">1-(2*B34-B33)/B35</f>
        <v>0.4285714285714286</v>
      </c>
      <c r="AA128" s="86">
        <f ca="1">1-(2*C34-C33)/C35</f>
        <v>0.61904761904761907</v>
      </c>
      <c r="AB128" s="86">
        <f t="shared" ref="AB128" ca="1" si="537">1-(2*D34-D33)/D35</f>
        <v>0.3571428571428571</v>
      </c>
      <c r="AC128" s="86">
        <f t="shared" ref="AC128" ca="1" si="538">1-(2*E34-E33)/E35</f>
        <v>-2.25</v>
      </c>
      <c r="AD128" s="86">
        <f t="shared" ref="AD128" ca="1" si="539">1-(2*F34-F33)/F35</f>
        <v>1.25</v>
      </c>
      <c r="AE128" s="86">
        <f t="shared" ref="AE128" ca="1" si="540">1-(2*G34-G33)/G35</f>
        <v>0.24242424242424243</v>
      </c>
      <c r="AF128" s="86">
        <f t="shared" ref="AF128" ca="1" si="541">1-(2*H34-H33)/H35</f>
        <v>0.13636363636363635</v>
      </c>
      <c r="AG128" s="86"/>
      <c r="AH128" s="86">
        <f t="shared" ref="AH128" ca="1" si="542">1-(2*J34-J33)/J35</f>
        <v>0.26923076923076927</v>
      </c>
      <c r="AI128" s="86">
        <f t="shared" ref="AI128" ca="1" si="543">1-(2*K34-K33)/K35</f>
        <v>0.30000000000000004</v>
      </c>
      <c r="AK128" s="87" t="str">
        <f t="shared" ref="AK128:AK132" si="544">Y128</f>
        <v>Sprint_2_2</v>
      </c>
      <c r="AL128" s="86">
        <f t="shared" ref="AL128" ca="1" si="545">3*(B35-B34)/B35</f>
        <v>-2.7142857142857144</v>
      </c>
      <c r="AM128" s="86">
        <f ca="1">3*(C35-C34)/C35</f>
        <v>1.1428571428571428</v>
      </c>
      <c r="AN128" s="86">
        <f t="shared" ref="AN128" ca="1" si="546">3*(D35-D34)/D35</f>
        <v>0.35714285714285715</v>
      </c>
      <c r="AO128" s="86">
        <f t="shared" ref="AO128" ca="1" si="547">3*(E35-E34)/E35</f>
        <v>-4.5</v>
      </c>
      <c r="AP128" s="86">
        <f t="shared" ref="AP128" ca="1" si="548">3*(F35-F34)/F35</f>
        <v>1.375</v>
      </c>
      <c r="AQ128" s="86">
        <f t="shared" ref="AQ128" ca="1" si="549">3*(G35-G34)/G35</f>
        <v>0.45454545454545453</v>
      </c>
      <c r="AR128" s="86">
        <f t="shared" ref="AR128" ca="1" si="550">3*(H35-H34)/H35</f>
        <v>0.40909090909090912</v>
      </c>
      <c r="AS128" s="86"/>
      <c r="AT128" s="86">
        <f t="shared" ref="AT128" ca="1" si="551">3*(J35-J34)/J35</f>
        <v>0.86538461538461542</v>
      </c>
      <c r="AU128" s="86">
        <f t="shared" ref="AU128" ca="1" si="552">3*(K35-K34)/K35</f>
        <v>-0.1125</v>
      </c>
      <c r="AW128" s="278" t="str">
        <f t="shared" ref="AW128:AW132" si="553">AK128</f>
        <v>Sprint_2_2</v>
      </c>
      <c r="AX128" s="280">
        <f t="shared" ref="AX128" ca="1" si="554">B35/TREND(B31:B34,,5)-1</f>
        <v>-0.65289256198347112</v>
      </c>
      <c r="AY128" s="280">
        <f ca="1">C35/TREND(C31:C34,,5)-1</f>
        <v>0.39999999999999991</v>
      </c>
      <c r="AZ128" s="280">
        <f t="shared" ref="AZ128" ca="1" si="555">D35/TREND(D31:D34,,5)-1</f>
        <v>0.29230769230769238</v>
      </c>
      <c r="BA128" s="280">
        <f t="shared" ref="BA128" ca="1" si="556">E35/TREND(E31:E34,,5)-1</f>
        <v>-0.57333333333333325</v>
      </c>
      <c r="BB128" s="280">
        <f t="shared" ref="BB128" ca="1" si="557">F35/TREND(F31:F34,,5)-1</f>
        <v>1.4</v>
      </c>
      <c r="BC128" s="280">
        <f t="shared" ref="BC128" ca="1" si="558">G35/TREND(G31:G34,,5)-1</f>
        <v>0.10000000000000009</v>
      </c>
      <c r="BD128" s="280">
        <f t="shared" ref="BD128" ca="1" si="559">H35/TREND(H31:H34,,5)-1</f>
        <v>0.83333333333333326</v>
      </c>
      <c r="BE128" s="280"/>
      <c r="BF128" s="280">
        <f t="shared" ref="BF128" ca="1" si="560">J35/TREND(J31:J34,,5)-1</f>
        <v>0.23809523809523814</v>
      </c>
      <c r="BG128" s="280">
        <f t="shared" ref="BG128" ca="1" si="561">K35/TREND(K31:K34,,5)-1</f>
        <v>-0.14438502673796794</v>
      </c>
    </row>
    <row r="129" spans="1:59">
      <c r="A129" s="97" t="str">
        <f t="shared" si="481"/>
        <v>Sprint_2_3u4</v>
      </c>
      <c r="B129" s="96">
        <f t="shared" ca="1" si="482"/>
        <v>3</v>
      </c>
      <c r="C129" s="96">
        <f t="shared" ca="1" si="482"/>
        <v>2</v>
      </c>
      <c r="D129" s="96">
        <f t="shared" ca="1" si="482"/>
        <v>3</v>
      </c>
      <c r="E129" s="96">
        <f t="shared" ca="1" si="482"/>
        <v>3</v>
      </c>
      <c r="F129" s="96">
        <f t="shared" ca="1" si="482"/>
        <v>3</v>
      </c>
      <c r="G129" s="96">
        <f t="shared" ca="1" si="482"/>
        <v>3</v>
      </c>
      <c r="H129" s="96">
        <f t="shared" ca="1" si="482"/>
        <v>3</v>
      </c>
      <c r="I129" s="96"/>
      <c r="J129" s="96">
        <f t="shared" ca="1" si="483"/>
        <v>3</v>
      </c>
      <c r="K129" s="96">
        <f t="shared" ca="1" si="483"/>
        <v>3</v>
      </c>
      <c r="M129" s="87" t="str">
        <f t="shared" si="526"/>
        <v>Sprint_2_3u4</v>
      </c>
      <c r="N129" s="86">
        <f t="shared" ref="N129" ca="1" si="562">(B36-B34)/B34</f>
        <v>0.52500000000000002</v>
      </c>
      <c r="O129" s="86">
        <f ca="1">(C36-C34)/C34</f>
        <v>0.53846153846153844</v>
      </c>
      <c r="P129" s="86">
        <f t="shared" ref="P129" ca="1" si="563">(D36-D34)/D34</f>
        <v>0.91891891891891897</v>
      </c>
      <c r="Q129" s="86">
        <f t="shared" ref="Q129" ca="1" si="564">(E36-E34)/E34</f>
        <v>1.3</v>
      </c>
      <c r="R129" s="86">
        <f t="shared" ref="R129" ca="1" si="565">(F36-F34)/F34</f>
        <v>2.7692307692307692</v>
      </c>
      <c r="S129" s="86">
        <f t="shared" ref="S129" ca="1" si="566">(G36-G34)/G34</f>
        <v>1.1785714285714286</v>
      </c>
      <c r="T129" s="86">
        <f t="shared" ref="T129" ca="1" si="567">(H36-H34)/H34</f>
        <v>1.2105263157894737</v>
      </c>
      <c r="U129" s="86"/>
      <c r="V129" s="86">
        <f t="shared" ref="V129" ca="1" si="568">(J36-J34)/J34</f>
        <v>1.2432432432432432</v>
      </c>
      <c r="W129" s="86">
        <f t="shared" ref="W129" ca="1" si="569">(K36-K34)/K34</f>
        <v>1.0602409638554218</v>
      </c>
      <c r="Y129" s="87" t="str">
        <f t="shared" si="535"/>
        <v>Sprint_2_3u4</v>
      </c>
      <c r="Z129" s="86">
        <f t="shared" ref="Z129" ca="1" si="570">1-(2*B35-B34)/B36</f>
        <v>0.96721311475409832</v>
      </c>
      <c r="AA129" s="86">
        <f ca="1">1-(2*C35-C34)/C36</f>
        <v>-0.44999999999999996</v>
      </c>
      <c r="AB129" s="86">
        <f t="shared" ref="AB129" ca="1" si="571">1-(2*D35-D34)/D36</f>
        <v>0.3380281690140845</v>
      </c>
      <c r="AC129" s="86">
        <f t="shared" ref="AC129" ca="1" si="572">1-(2*E35-E34)/E36</f>
        <v>1.0869565217391304</v>
      </c>
      <c r="AD129" s="86">
        <f t="shared" ref="AD129" ca="1" si="573">1-(2*F35-F34)/F36</f>
        <v>0.2857142857142857</v>
      </c>
      <c r="AE129" s="86">
        <f t="shared" ref="AE129" ca="1" si="574">1-(2*G35-G34)/G36</f>
        <v>0.37704918032786883</v>
      </c>
      <c r="AF129" s="86">
        <f t="shared" ref="AF129" ca="1" si="575">1-(2*H35-H34)/H36</f>
        <v>0.40476190476190477</v>
      </c>
      <c r="AG129" s="86"/>
      <c r="AH129" s="86">
        <f t="shared" ref="AH129" ca="1" si="576">1-(2*J35-J34)/J36</f>
        <v>0.19277108433734935</v>
      </c>
      <c r="AI129" s="86">
        <f t="shared" ref="AI129" ca="1" si="577">1-(2*K35-K34)/K36</f>
        <v>0.54970760233918137</v>
      </c>
      <c r="AK129" s="87" t="str">
        <f t="shared" ref="AK129" si="578">Y129</f>
        <v>Sprint_2_3u4</v>
      </c>
      <c r="AL129" s="86">
        <f t="shared" ref="AL129" ca="1" si="579">3*(B36-B35)/B36</f>
        <v>1.9672131147540983</v>
      </c>
      <c r="AM129" s="86">
        <f ca="1">3*(C36-C35)/C36</f>
        <v>-0.15</v>
      </c>
      <c r="AN129" s="86">
        <f t="shared" ref="AN129" ca="1" si="580">3*(D36-D35)/D36</f>
        <v>1.2253521126760563</v>
      </c>
      <c r="AO129" s="86">
        <f t="shared" ref="AO129" ca="1" si="581">3*(E36-E35)/E36</f>
        <v>2.4782608695652173</v>
      </c>
      <c r="AP129" s="86">
        <f t="shared" ref="AP129" ca="1" si="582">3*(F36-F35)/F36</f>
        <v>1.5306122448979591</v>
      </c>
      <c r="AQ129" s="86">
        <f t="shared" ref="AQ129" ca="1" si="583">3*(G36-G35)/G36</f>
        <v>1.3770491803278688</v>
      </c>
      <c r="AR129" s="86">
        <f t="shared" ref="AR129" ca="1" si="584">3*(H36-H35)/H36</f>
        <v>1.4285714285714286</v>
      </c>
      <c r="AS129" s="86"/>
      <c r="AT129" s="86">
        <f t="shared" ref="AT129" ca="1" si="585">3*(J36-J35)/J36</f>
        <v>1.1204819277108433</v>
      </c>
      <c r="AU129" s="86">
        <f t="shared" ref="AU129" ca="1" si="586">3*(K36-K35)/K36</f>
        <v>1.5964912280701755</v>
      </c>
      <c r="AW129" s="278" t="str">
        <f t="shared" ref="AW129" si="587">AK129</f>
        <v>Sprint_2_3u4</v>
      </c>
      <c r="AX129" s="280">
        <f t="shared" ref="AX129" ca="1" si="588">B36/TREND(B32:B35,,5)-1</f>
        <v>11.2</v>
      </c>
      <c r="AY129" s="280">
        <f ca="1">C36/TREND(C32:C35,,5)-1</f>
        <v>-4.7619047619047672E-2</v>
      </c>
      <c r="AZ129" s="280">
        <f t="shared" ref="AZ129" ca="1" si="589">D36/TREND(D32:D35,,5)-1</f>
        <v>0.65116279069767447</v>
      </c>
      <c r="BA129" s="280">
        <f t="shared" ref="BA129" ca="1" si="590">E36/TREND(E32:E35,,5)-1</f>
        <v>5.1333333333333337</v>
      </c>
      <c r="BB129" s="280">
        <f t="shared" ref="BB129" ca="1" si="591">F36/TREND(F32:F35,,5)-1</f>
        <v>2.6296296296296315</v>
      </c>
      <c r="BC129" s="280">
        <f t="shared" ref="BC129" ca="1" si="592">G36/TREND(G32:G35,,5)-1</f>
        <v>1.0677966101694913</v>
      </c>
      <c r="BD129" s="280">
        <f t="shared" ref="BD129" ca="1" si="593">H36/TREND(H32:H35,,5)-1</f>
        <v>1.7096774193548385</v>
      </c>
      <c r="BE129" s="280"/>
      <c r="BF129" s="280">
        <f t="shared" ref="BF129" ca="1" si="594">J36/TREND(J32:J35,,5)-1</f>
        <v>0.58095238095238089</v>
      </c>
      <c r="BG129" s="280">
        <f t="shared" ref="BG129" ca="1" si="595">K36/TREND(K32:K35,,5)-1</f>
        <v>1.4963503649635035</v>
      </c>
    </row>
    <row r="130" spans="1:59">
      <c r="A130" s="97" t="str">
        <f t="shared" si="481"/>
        <v>Sprint_2_5u6</v>
      </c>
      <c r="B130" s="96">
        <f t="shared" ca="1" si="482"/>
        <v>3</v>
      </c>
      <c r="C130" s="96">
        <f t="shared" ca="1" si="482"/>
        <v>3</v>
      </c>
      <c r="D130" s="96">
        <f t="shared" ca="1" si="482"/>
        <v>3</v>
      </c>
      <c r="E130" s="96">
        <f t="shared" ca="1" si="482"/>
        <v>2</v>
      </c>
      <c r="F130" s="96">
        <f t="shared" ca="1" si="482"/>
        <v>3</v>
      </c>
      <c r="G130" s="96">
        <f t="shared" ca="1" si="482"/>
        <v>3</v>
      </c>
      <c r="H130" s="96">
        <f t="shared" ca="1" si="482"/>
        <v>3</v>
      </c>
      <c r="I130" s="96"/>
      <c r="J130" s="96">
        <f t="shared" ca="1" si="483"/>
        <v>3</v>
      </c>
      <c r="K130" s="96">
        <f t="shared" ca="1" si="483"/>
        <v>3</v>
      </c>
      <c r="M130" s="87" t="str">
        <f t="shared" si="526"/>
        <v>Sprint_2_5u6</v>
      </c>
      <c r="N130" s="86">
        <f t="shared" ref="N130" ca="1" si="596">(B37-B35)/B35</f>
        <v>2.9523809523809526</v>
      </c>
      <c r="O130" s="86">
        <f ca="1">(C37-C35)/C35</f>
        <v>0.23809523809523808</v>
      </c>
      <c r="P130" s="86">
        <f t="shared" ref="P130" ca="1" si="597">(D37-D35)/D35</f>
        <v>0.90476190476190477</v>
      </c>
      <c r="Q130" s="86">
        <f t="shared" ref="Q130" ca="1" si="598">(E37-E35)/E35</f>
        <v>3.0625</v>
      </c>
      <c r="R130" s="86">
        <f t="shared" ref="R130" ca="1" si="599">(F37-F35)/F35</f>
        <v>1.0833333333333333</v>
      </c>
      <c r="S130" s="86">
        <f t="shared" ref="S130" ca="1" si="600">(G37-G35)/G35</f>
        <v>0.93939393939393945</v>
      </c>
      <c r="T130" s="86">
        <f t="shared" ref="T130" ca="1" si="601">(H37-H35)/H35</f>
        <v>1.4090909090909092</v>
      </c>
      <c r="U130" s="86"/>
      <c r="V130" s="86">
        <f t="shared" ref="V130" ca="1" si="602">(J37-J35)/J35</f>
        <v>1.9038461538461537</v>
      </c>
      <c r="W130" s="86">
        <f t="shared" ref="W130" ca="1" si="603">(K37-K35)/K35</f>
        <v>1.425</v>
      </c>
      <c r="Y130" s="87" t="str">
        <f t="shared" si="535"/>
        <v>Sprint_2_5u6</v>
      </c>
      <c r="Z130" s="86">
        <f t="shared" ref="Z130" ca="1" si="604">1-(2*B36-B35)/B37</f>
        <v>-0.2168674698795181</v>
      </c>
      <c r="AA130" s="86">
        <f ca="1">1-(2*C36-C35)/C37</f>
        <v>0.26923076923076927</v>
      </c>
      <c r="AB130" s="86">
        <f t="shared" ref="AB130" ca="1" si="605">1-(2*D36-D35)/D37</f>
        <v>-0.25</v>
      </c>
      <c r="AC130" s="86">
        <f t="shared" ref="AC130" ca="1" si="606">1-(2*E36-E35)/E37</f>
        <v>-1.5846153846153848</v>
      </c>
      <c r="AD130" s="86">
        <f t="shared" ref="AD130" ca="1" si="607">1-(2*F36-F35)/F37</f>
        <v>-0.48</v>
      </c>
      <c r="AE130" s="86">
        <f t="shared" ref="AE130" ca="1" si="608">1-(2*G36-G35)/G37</f>
        <v>-0.390625</v>
      </c>
      <c r="AF130" s="86">
        <f t="shared" ref="AF130" ca="1" si="609">1-(2*H36-H35)/H37</f>
        <v>-0.16981132075471694</v>
      </c>
      <c r="AG130" s="86"/>
      <c r="AH130" s="86">
        <f t="shared" ref="AH130" ca="1" si="610">1-(2*J36-J35)/J37</f>
        <v>0.24503311258278149</v>
      </c>
      <c r="AI130" s="86">
        <f t="shared" ref="AI130" ca="1" si="611">1-(2*K36-K35)/K37</f>
        <v>-0.35051546391752586</v>
      </c>
      <c r="AK130" s="87" t="str">
        <f t="shared" ref="AK130" si="612">Y130</f>
        <v>Sprint_2_5u6</v>
      </c>
      <c r="AL130" s="86">
        <f t="shared" ref="AL130" ca="1" si="613">3*(B37-B36)/B37</f>
        <v>0.79518072289156627</v>
      </c>
      <c r="AM130" s="86">
        <f ca="1">3*(C37-C36)/C37</f>
        <v>0.69230769230769229</v>
      </c>
      <c r="AN130" s="86">
        <f t="shared" ref="AN130" ca="1" si="614">3*(D37-D36)/D37</f>
        <v>0.33750000000000002</v>
      </c>
      <c r="AO130" s="86">
        <f t="shared" ref="AO130" ca="1" si="615">3*(E37-E36)/E37</f>
        <v>-1.2461538461538462</v>
      </c>
      <c r="AP130" s="86">
        <f t="shared" ref="AP130" ca="1" si="616">3*(F37-F36)/F37</f>
        <v>0.06</v>
      </c>
      <c r="AQ130" s="86">
        <f t="shared" ref="AQ130" ca="1" si="617">3*(G37-G36)/G37</f>
        <v>0.140625</v>
      </c>
      <c r="AR130" s="86">
        <f t="shared" ref="AR130" ca="1" si="618">3*(H37-H36)/H37</f>
        <v>0.62264150943396224</v>
      </c>
      <c r="AS130" s="86"/>
      <c r="AT130" s="86">
        <f t="shared" ref="AT130" ca="1" si="619">3*(J37-J36)/J37</f>
        <v>1.3509933774834437</v>
      </c>
      <c r="AU130" s="86">
        <f t="shared" ref="AU130" ca="1" si="620">3*(K37-K36)/K37</f>
        <v>0.35567010309278352</v>
      </c>
      <c r="AW130" s="278" t="str">
        <f t="shared" ref="AW130" si="621">AK130</f>
        <v>Sprint_2_5u6</v>
      </c>
      <c r="AX130" s="280">
        <f t="shared" ref="AX130" ca="1" si="622">B37/TREND(B33:B36,,5)-1</f>
        <v>1.2133333333333334</v>
      </c>
      <c r="AY130" s="280">
        <f ca="1">C37/TREND(C33:C36,,5)-1</f>
        <v>0.20930232558139528</v>
      </c>
      <c r="AZ130" s="280">
        <f t="shared" ref="AZ130" ca="1" si="623">D37/TREND(D33:D36,,5)-1</f>
        <v>0.16788321167883202</v>
      </c>
      <c r="BA130" s="280">
        <f t="shared" ref="BA130" ca="1" si="624">E37/TREND(E33:E36,,5)-1</f>
        <v>-0.2441860465116279</v>
      </c>
      <c r="BB130" s="280">
        <f t="shared" ref="BB130" ca="1" si="625">F37/TREND(F33:F36,,5)-1</f>
        <v>0.11111111111111094</v>
      </c>
      <c r="BC130" s="280">
        <f t="shared" ref="BC130" ca="1" si="626">G37/TREND(G33:G36,,5)-1</f>
        <v>3.2258064516129004E-2</v>
      </c>
      <c r="BD130" s="280">
        <f t="shared" ref="BD130" ca="1" si="627">H37/TREND(H33:H36,,5)-1</f>
        <v>0.21839080459770122</v>
      </c>
      <c r="BE130" s="280"/>
      <c r="BF130" s="280">
        <f t="shared" ref="BF130" ca="1" si="628">J37/TREND(J33:J36,,5)-1</f>
        <v>0.65934065934065944</v>
      </c>
      <c r="BG130" s="280">
        <f t="shared" ref="BG130" ca="1" si="629">K37/TREND(K33:K36,,5)-1</f>
        <v>0.24358974358974361</v>
      </c>
    </row>
    <row r="131" spans="1:59">
      <c r="A131" s="97" t="str">
        <f t="shared" si="481"/>
        <v>Sprint_3_1u2</v>
      </c>
      <c r="B131" s="96"/>
      <c r="C131" s="96"/>
      <c r="D131" s="96"/>
      <c r="E131" s="96"/>
      <c r="F131" s="96"/>
      <c r="G131" s="96"/>
      <c r="H131" s="96"/>
      <c r="I131" s="96"/>
      <c r="J131" s="96"/>
      <c r="K131" s="96"/>
      <c r="M131" s="87" t="str">
        <f t="shared" si="526"/>
        <v>Sprint_3_1u2</v>
      </c>
      <c r="N131" s="86"/>
      <c r="O131" s="86"/>
      <c r="P131" s="86"/>
      <c r="Q131" s="86"/>
      <c r="R131" s="86"/>
      <c r="S131" s="86"/>
      <c r="T131" s="86"/>
      <c r="U131" s="86"/>
      <c r="V131" s="86"/>
      <c r="W131" s="86"/>
      <c r="Y131" s="87" t="str">
        <f t="shared" si="535"/>
        <v>Sprint_3_1u2</v>
      </c>
      <c r="Z131" s="86"/>
      <c r="AA131" s="86"/>
      <c r="AB131" s="86"/>
      <c r="AC131" s="86"/>
      <c r="AD131" s="86"/>
      <c r="AE131" s="86"/>
      <c r="AF131" s="86"/>
      <c r="AG131" s="86"/>
      <c r="AH131" s="86"/>
      <c r="AI131" s="86"/>
      <c r="AK131" s="87" t="str">
        <f t="shared" si="544"/>
        <v>Sprint_3_1u2</v>
      </c>
      <c r="AL131" s="86"/>
      <c r="AM131" s="86"/>
      <c r="AN131" s="86"/>
      <c r="AO131" s="86"/>
      <c r="AP131" s="86"/>
      <c r="AQ131" s="86"/>
      <c r="AR131" s="86"/>
      <c r="AS131" s="86"/>
      <c r="AT131" s="86"/>
      <c r="AU131" s="86"/>
      <c r="AW131" s="278" t="str">
        <f t="shared" si="553"/>
        <v>Sprint_3_1u2</v>
      </c>
      <c r="AX131" s="280"/>
      <c r="AY131" s="280"/>
      <c r="AZ131" s="280"/>
      <c r="BA131" s="280"/>
      <c r="BB131" s="280"/>
      <c r="BC131" s="280"/>
      <c r="BD131" s="280"/>
      <c r="BE131" s="280"/>
      <c r="BF131" s="280"/>
      <c r="BG131" s="280"/>
    </row>
    <row r="132" spans="1:59">
      <c r="A132" s="97" t="str">
        <f t="shared" si="481"/>
        <v>Sprint_3_3u4</v>
      </c>
      <c r="B132" s="96"/>
      <c r="C132" s="96"/>
      <c r="D132" s="96"/>
      <c r="E132" s="96"/>
      <c r="F132" s="96"/>
      <c r="G132" s="96"/>
      <c r="H132" s="96"/>
      <c r="I132" s="96"/>
      <c r="J132" s="96"/>
      <c r="K132" s="96"/>
      <c r="M132" s="87" t="str">
        <f t="shared" si="526"/>
        <v>Sprint_3_3u4</v>
      </c>
      <c r="N132" s="86"/>
      <c r="O132" s="86"/>
      <c r="P132" s="86"/>
      <c r="Q132" s="86"/>
      <c r="R132" s="86"/>
      <c r="S132" s="86"/>
      <c r="T132" s="86"/>
      <c r="U132" s="86"/>
      <c r="V132" s="86"/>
      <c r="W132" s="86"/>
      <c r="Y132" s="87" t="str">
        <f t="shared" si="535"/>
        <v>Sprint_3_3u4</v>
      </c>
      <c r="Z132" s="86"/>
      <c r="AA132" s="86"/>
      <c r="AB132" s="86"/>
      <c r="AC132" s="86"/>
      <c r="AD132" s="86"/>
      <c r="AE132" s="86"/>
      <c r="AF132" s="86"/>
      <c r="AG132" s="86"/>
      <c r="AH132" s="86"/>
      <c r="AI132" s="86"/>
      <c r="AK132" s="87" t="str">
        <f t="shared" si="544"/>
        <v>Sprint_3_3u4</v>
      </c>
      <c r="AL132" s="86"/>
      <c r="AM132" s="86"/>
      <c r="AN132" s="86"/>
      <c r="AO132" s="86"/>
      <c r="AP132" s="86"/>
      <c r="AQ132" s="86"/>
      <c r="AR132" s="86"/>
      <c r="AS132" s="86"/>
      <c r="AT132" s="86"/>
      <c r="AU132" s="86"/>
      <c r="AW132" s="278" t="str">
        <f t="shared" si="553"/>
        <v>Sprint_3_3u4</v>
      </c>
      <c r="AX132" s="280"/>
      <c r="AY132" s="280"/>
      <c r="AZ132" s="280"/>
      <c r="BA132" s="280"/>
      <c r="BB132" s="280"/>
      <c r="BC132" s="280"/>
      <c r="BD132" s="280"/>
      <c r="BE132" s="280"/>
      <c r="BF132" s="280"/>
      <c r="BG132" s="280"/>
    </row>
    <row r="133" spans="1:59">
      <c r="A133" s="97" t="str">
        <f t="shared" si="481"/>
        <v>Sprint_3_5u6</v>
      </c>
      <c r="B133" s="96"/>
      <c r="C133" s="96"/>
      <c r="D133" s="96"/>
      <c r="E133" s="96"/>
      <c r="F133" s="96"/>
      <c r="G133" s="96"/>
      <c r="H133" s="96"/>
      <c r="I133" s="96"/>
      <c r="J133" s="96"/>
      <c r="K133" s="96"/>
      <c r="M133" s="87" t="str">
        <f t="shared" ref="M133" si="630">A133</f>
        <v>Sprint_3_5u6</v>
      </c>
      <c r="N133" s="86"/>
      <c r="O133" s="86"/>
      <c r="P133" s="86"/>
      <c r="Q133" s="86"/>
      <c r="R133" s="86"/>
      <c r="S133" s="86"/>
      <c r="T133" s="86"/>
      <c r="U133" s="86"/>
      <c r="V133" s="86"/>
      <c r="W133" s="86"/>
      <c r="Y133" s="87" t="str">
        <f t="shared" ref="Y133" si="631">M133</f>
        <v>Sprint_3_5u6</v>
      </c>
      <c r="Z133" s="86"/>
      <c r="AA133" s="86"/>
      <c r="AB133" s="86"/>
      <c r="AC133" s="86"/>
      <c r="AD133" s="86"/>
      <c r="AE133" s="86"/>
      <c r="AF133" s="86"/>
      <c r="AG133" s="86"/>
      <c r="AH133" s="86"/>
      <c r="AI133" s="86"/>
      <c r="AK133" s="87"/>
      <c r="AL133" s="86"/>
      <c r="AM133" s="86"/>
      <c r="AN133" s="86"/>
      <c r="AO133" s="86"/>
      <c r="AP133" s="86"/>
      <c r="AQ133" s="86"/>
      <c r="AR133" s="86"/>
      <c r="AS133" s="86"/>
      <c r="AT133" s="86"/>
      <c r="AU133" s="86"/>
      <c r="AW133" s="278"/>
      <c r="AX133" s="280"/>
      <c r="AY133" s="280"/>
      <c r="AZ133" s="280"/>
      <c r="BA133" s="280"/>
      <c r="BB133" s="280"/>
      <c r="BC133" s="280"/>
      <c r="BD133" s="280"/>
      <c r="BE133" s="280"/>
      <c r="BF133" s="280"/>
      <c r="BG133" s="280"/>
    </row>
    <row r="134" spans="1:59">
      <c r="A134" s="243">
        <f ca="1">MIN(B134:K134)</f>
        <v>1.6875</v>
      </c>
      <c r="B134" s="99">
        <f ca="1">AVERAGE(B121:B128)</f>
        <v>1.75</v>
      </c>
      <c r="C134" s="99">
        <f t="shared" ref="C134:K134" ca="1" si="632">AVERAGE(C121:C128)</f>
        <v>2.1875</v>
      </c>
      <c r="D134" s="99">
        <f t="shared" ca="1" si="632"/>
        <v>2.25</v>
      </c>
      <c r="E134" s="99">
        <f t="shared" ca="1" si="632"/>
        <v>1.9375</v>
      </c>
      <c r="F134" s="99">
        <f t="shared" ca="1" si="632"/>
        <v>1.6875</v>
      </c>
      <c r="G134" s="99">
        <f t="shared" ca="1" si="632"/>
        <v>1.875</v>
      </c>
      <c r="H134" s="99">
        <f t="shared" ca="1" si="632"/>
        <v>2.0625</v>
      </c>
      <c r="I134" s="99"/>
      <c r="J134" s="99">
        <f t="shared" ca="1" si="632"/>
        <v>2.1875</v>
      </c>
      <c r="K134" s="99">
        <f t="shared" ca="1" si="632"/>
        <v>2</v>
      </c>
      <c r="L134" s="244">
        <f ca="1">MAX(B134:K134)</f>
        <v>2.25</v>
      </c>
      <c r="Y134" s="87"/>
      <c r="Z134" s="100">
        <f ca="1">AVERAGE(Z121:Z128)</f>
        <v>-0.24789098972922505</v>
      </c>
      <c r="AA134" s="100">
        <f t="shared" ref="AA134:AI134" ca="1" si="633">AVERAGE(AA121:AA128)</f>
        <v>3.2585470085470122E-2</v>
      </c>
      <c r="AB134" s="100">
        <f t="shared" ca="1" si="633"/>
        <v>-2.7865351383029743E-2</v>
      </c>
      <c r="AC134" s="100">
        <f t="shared" ca="1" si="633"/>
        <v>-0.34730061605061607</v>
      </c>
      <c r="AD134" s="100">
        <f t="shared" ca="1" si="633"/>
        <v>5.8419017561652645E-2</v>
      </c>
      <c r="AE134" s="100">
        <f t="shared" ca="1" si="633"/>
        <v>-4.2788072005000732E-2</v>
      </c>
      <c r="AF134" s="100">
        <f t="shared" ca="1" si="633"/>
        <v>4.9933850567074237E-2</v>
      </c>
      <c r="AG134" s="100"/>
      <c r="AH134" s="100">
        <f t="shared" ca="1" si="633"/>
        <v>0.13206107560946267</v>
      </c>
      <c r="AI134" s="100">
        <f t="shared" ca="1" si="633"/>
        <v>-2.9794304210625927E-3</v>
      </c>
      <c r="AK134" s="94"/>
      <c r="AL134" s="100">
        <f ca="1">AVERAGE(AL121:AL128)</f>
        <v>-1.0134900056513834</v>
      </c>
      <c r="AM134" s="100">
        <f t="shared" ref="AM134:AU134" ca="1" si="634">AVERAGE(AM121:AM128)</f>
        <v>8.4249084249084227E-2</v>
      </c>
      <c r="AN134" s="100">
        <f t="shared" ca="1" si="634"/>
        <v>3.845750922565689E-2</v>
      </c>
      <c r="AO134" s="100">
        <f t="shared" ca="1" si="634"/>
        <v>-0.58680069930069934</v>
      </c>
      <c r="AP134" s="100">
        <f t="shared" ca="1" si="634"/>
        <v>-0.50165878729336222</v>
      </c>
      <c r="AQ134" s="100">
        <f t="shared" ca="1" si="634"/>
        <v>-0.25716598711820993</v>
      </c>
      <c r="AR134" s="100">
        <f t="shared" ca="1" si="634"/>
        <v>-0.10213923777246148</v>
      </c>
      <c r="AS134" s="100"/>
      <c r="AT134" s="100">
        <f t="shared" ca="1" si="634"/>
        <v>4.4446254123673479E-2</v>
      </c>
      <c r="AU134" s="100">
        <f t="shared" ca="1" si="634"/>
        <v>-6.1010929112787306E-2</v>
      </c>
      <c r="AW134" s="278"/>
      <c r="AX134" s="281">
        <f ca="1">AVERAGE(AX121:AX128)</f>
        <v>0.21438787748206298</v>
      </c>
      <c r="AY134" s="281">
        <f t="shared" ref="AY134:BD134" ca="1" si="635">AVERAGE(AY121:AY128)</f>
        <v>0.20175048403666823</v>
      </c>
      <c r="AZ134" s="281">
        <f t="shared" ca="1" si="635"/>
        <v>0.12409972160978462</v>
      </c>
      <c r="BA134" s="281">
        <f t="shared" ca="1" si="635"/>
        <v>8.2976049792279211E-3</v>
      </c>
      <c r="BB134" s="281">
        <f t="shared" ca="1" si="635"/>
        <v>0.2374483644708249</v>
      </c>
      <c r="BC134" s="281">
        <f t="shared" ca="1" si="635"/>
        <v>2.4844328526259646E-3</v>
      </c>
      <c r="BD134" s="281">
        <f t="shared" ca="1" si="635"/>
        <v>0.17003012881879853</v>
      </c>
      <c r="BE134" s="281"/>
      <c r="BF134" s="281">
        <f t="shared" ref="BF134:BG134" ca="1" si="636">AVERAGE(BF121:BF128)</f>
        <v>0.2192833460124731</v>
      </c>
      <c r="BG134" s="281">
        <f t="shared" ca="1" si="636"/>
        <v>-1.1745174754948143E-2</v>
      </c>
    </row>
    <row r="135" spans="1:59">
      <c r="A135" s="94"/>
    </row>
    <row r="136" spans="1:59">
      <c r="A136" s="94"/>
    </row>
    <row r="137" spans="1:59">
      <c r="A137" s="94"/>
    </row>
    <row r="138" spans="1:59">
      <c r="A138" s="94"/>
      <c r="B138" s="412" t="s">
        <v>160</v>
      </c>
      <c r="C138" s="412"/>
      <c r="D138" s="412"/>
      <c r="E138" s="412"/>
      <c r="F138" s="412"/>
      <c r="G138" s="412"/>
      <c r="H138" s="412"/>
      <c r="I138" s="412"/>
      <c r="J138" s="412"/>
      <c r="K138" s="412"/>
    </row>
    <row r="139" spans="1:59">
      <c r="A139" s="94"/>
      <c r="B139" s="90" t="str">
        <f>B$3</f>
        <v>Engineering</v>
      </c>
      <c r="C139" s="90" t="str">
        <f t="shared" ref="C139:K139" si="637">C$3</f>
        <v>Payment</v>
      </c>
      <c r="D139" s="90" t="str">
        <f t="shared" si="637"/>
        <v>Sales</v>
      </c>
      <c r="E139" s="90" t="str">
        <f t="shared" si="637"/>
        <v>Vlinder</v>
      </c>
      <c r="F139" s="90" t="str">
        <f t="shared" si="637"/>
        <v>TTT</v>
      </c>
      <c r="G139" s="90" t="str">
        <f t="shared" si="637"/>
        <v>TNT</v>
      </c>
      <c r="H139" s="90" t="str">
        <f t="shared" si="637"/>
        <v>TFS</v>
      </c>
      <c r="I139" s="90" t="str">
        <f t="shared" si="637"/>
        <v>0-Noise</v>
      </c>
      <c r="J139" s="90" t="str">
        <f t="shared" si="637"/>
        <v>Synergy</v>
      </c>
      <c r="K139" s="90" t="str">
        <f t="shared" si="637"/>
        <v>Papillon</v>
      </c>
    </row>
    <row r="140" spans="1:59">
      <c r="A140" s="97" t="str">
        <f t="shared" ref="A140:A152" si="638">A8</f>
        <v>Sprint_1_1</v>
      </c>
      <c r="B140" s="92">
        <f ca="1">_xlfn.RANK.AVG(B28,B$24:B28,1)/COUNT(B$24:B28)</f>
        <v>1</v>
      </c>
      <c r="C140" s="92">
        <f ca="1">_xlfn.RANK.AVG(C28,C$24:C28,1)/COUNT(C$24:C28)</f>
        <v>0.5</v>
      </c>
      <c r="D140" s="92">
        <f ca="1">_xlfn.RANK.AVG(D28,D$24:D28,1)/COUNT(D$24:D28)</f>
        <v>0.8</v>
      </c>
      <c r="E140" s="92">
        <f ca="1">_xlfn.RANK.AVG(E28,E$24:E28,1)/COUNT(E$24:E28)</f>
        <v>0.4</v>
      </c>
      <c r="F140" s="92">
        <f ca="1">_xlfn.RANK.AVG(F28,F$24:F28,1)/COUNT(F$24:F28)</f>
        <v>0.3</v>
      </c>
      <c r="G140" s="92">
        <f ca="1">_xlfn.RANK.AVG(G28,G$24:G28,1)/COUNT(G$24:G28)</f>
        <v>0.6</v>
      </c>
      <c r="H140" s="92">
        <f ca="1">_xlfn.RANK.AVG(H28,H$24:H28,1)/COUNT(H$24:H28)</f>
        <v>0.6</v>
      </c>
      <c r="I140" s="92"/>
      <c r="J140" s="92">
        <f ca="1">_xlfn.RANK.AVG(J28,J$24:J28,1)/COUNT(J$24:J28)</f>
        <v>0.375</v>
      </c>
      <c r="K140" s="92">
        <f ca="1">_xlfn.RANK.AVG(K28,K$24:K28,1)/COUNT(K$24:K28)</f>
        <v>0.6</v>
      </c>
    </row>
    <row r="141" spans="1:59">
      <c r="A141" s="97" t="str">
        <f t="shared" si="638"/>
        <v>Sprint_1_2</v>
      </c>
      <c r="B141" s="92">
        <f ca="1">_xlfn.RANK.AVG(B29,B$24:B29,1)/COUNT(B$24:B29)</f>
        <v>0.33333333333333331</v>
      </c>
      <c r="C141" s="92">
        <f ca="1">_xlfn.RANK.AVG(C29,C$24:C29,1)/COUNT(C$24:C29)</f>
        <v>1</v>
      </c>
      <c r="D141" s="92">
        <f ca="1">_xlfn.RANK.AVG(D29,D$24:D29,1)/COUNT(D$24:D29)</f>
        <v>0.83333333333333337</v>
      </c>
      <c r="E141" s="92">
        <f ca="1">_xlfn.RANK.AVG(E29,E$24:E29,1)/COUNT(E$24:E29)</f>
        <v>0.33333333333333331</v>
      </c>
      <c r="F141" s="92">
        <f ca="1">_xlfn.RANK.AVG(F29,F$24:F29,1)/COUNT(F$24:F29)</f>
        <v>0.16666666666666666</v>
      </c>
      <c r="G141" s="92">
        <f ca="1">_xlfn.RANK.AVG(G29,G$24:G29,1)/COUNT(G$24:G29)</f>
        <v>0.83333333333333337</v>
      </c>
      <c r="H141" s="92">
        <f ca="1">_xlfn.RANK.AVG(H29,H$24:H29,1)/COUNT(H$24:H29)</f>
        <v>0.25</v>
      </c>
      <c r="I141" s="92"/>
      <c r="J141" s="92">
        <f ca="1">_xlfn.RANK.AVG(J29,J$24:J29,1)/COUNT(J$24:J29)</f>
        <v>0.6</v>
      </c>
      <c r="K141" s="92">
        <f ca="1">_xlfn.RANK.AVG(K29,K$24:K29,1)/COUNT(K$24:K29)</f>
        <v>1</v>
      </c>
      <c r="M141" s="284"/>
    </row>
    <row r="142" spans="1:59">
      <c r="A142" s="97" t="str">
        <f t="shared" si="638"/>
        <v>Sprint_1_3</v>
      </c>
      <c r="B142" s="92">
        <f ca="1">_xlfn.RANK.AVG(B30,B$24:B30,1)/COUNT(B$24:B30)</f>
        <v>0.42857142857142855</v>
      </c>
      <c r="C142" s="92">
        <f ca="1">_xlfn.RANK.AVG(C30,C$24:C30,1)/COUNT(C$24:C30)</f>
        <v>0.7142857142857143</v>
      </c>
      <c r="D142" s="92">
        <f ca="1">_xlfn.RANK.AVG(D30,D$24:D30,1)/COUNT(D$24:D30)</f>
        <v>0.5</v>
      </c>
      <c r="E142" s="92">
        <f ca="1">_xlfn.RANK.AVG(E30,E$24:E30,1)/COUNT(E$24:E30)</f>
        <v>0.7142857142857143</v>
      </c>
      <c r="F142" s="92">
        <f ca="1">_xlfn.RANK.AVG(F30,F$24:F30,1)/COUNT(F$24:F30)</f>
        <v>0.42857142857142855</v>
      </c>
      <c r="G142" s="92">
        <f ca="1">_xlfn.RANK.AVG(G30,G$24:G30,1)/COUNT(G$24:G30)</f>
        <v>0.21428571428571427</v>
      </c>
      <c r="H142" s="92">
        <f ca="1">_xlfn.RANK.AVG(H30,H$24:H30,1)/COUNT(H$24:H30)</f>
        <v>0.7142857142857143</v>
      </c>
      <c r="I142" s="92"/>
      <c r="J142" s="92">
        <f ca="1">_xlfn.RANK.AVG(J30,J$24:J30,1)/COUNT(J$24:J30)</f>
        <v>0.16666666666666666</v>
      </c>
      <c r="K142" s="92">
        <f ca="1">_xlfn.RANK.AVG(K30,K$24:K30,1)/COUNT(K$24:K30)</f>
        <v>1</v>
      </c>
      <c r="M142" s="284"/>
    </row>
    <row r="143" spans="1:59">
      <c r="A143" s="97" t="str">
        <f t="shared" si="638"/>
        <v>Sprint_1_4</v>
      </c>
      <c r="B143" s="92">
        <f ca="1">_xlfn.RANK.AVG(B31,B$24:B31,1)/COUNT(B$24:B31)</f>
        <v>0.125</v>
      </c>
      <c r="C143" s="92">
        <f ca="1">_xlfn.RANK.AVG(C31,C$24:C31,1)/COUNT(C$24:C31)</f>
        <v>0.8125</v>
      </c>
      <c r="D143" s="92">
        <f ca="1">_xlfn.RANK.AVG(D31,D$24:D31,1)/COUNT(D$24:D31)</f>
        <v>1</v>
      </c>
      <c r="E143" s="92">
        <f ca="1">_xlfn.RANK.AVG(E31,E$24:E31,1)/COUNT(E$24:E31)</f>
        <v>0.6875</v>
      </c>
      <c r="F143" s="92">
        <f ca="1">_xlfn.RANK.AVG(F31,F$24:F31,1)/COUNT(F$24:F31)</f>
        <v>0.75</v>
      </c>
      <c r="G143" s="92">
        <f ca="1">_xlfn.RANK.AVG(G31,G$24:G31,1)/COUNT(G$24:G31)</f>
        <v>0.125</v>
      </c>
      <c r="H143" s="92">
        <f ca="1">_xlfn.RANK.AVG(H31,H$24:H31,1)/COUNT(H$24:H31)</f>
        <v>1</v>
      </c>
      <c r="I143" s="92"/>
      <c r="J143" s="92">
        <f ca="1">_xlfn.RANK.AVG(J31,J$24:J31,1)/COUNT(J$24:J31)</f>
        <v>0.5714285714285714</v>
      </c>
      <c r="K143" s="92">
        <f ca="1">_xlfn.RANK.AVG(K31,K$24:K31,1)/COUNT(K$24:K31)</f>
        <v>0.875</v>
      </c>
      <c r="M143" s="284"/>
    </row>
    <row r="144" spans="1:59">
      <c r="A144" s="97" t="str">
        <f t="shared" si="638"/>
        <v>Sprint_1_5</v>
      </c>
      <c r="B144" s="92">
        <f ca="1">_xlfn.RANK.AVG(B32,B$24:B32,1)/COUNT(B$24:B32)</f>
        <v>0.77777777777777779</v>
      </c>
      <c r="C144" s="92">
        <f ca="1">_xlfn.RANK.AVG(C32,C$24:C32,1)/COUNT(C$24:C32)</f>
        <v>0.61111111111111116</v>
      </c>
      <c r="D144" s="92">
        <f ca="1">_xlfn.RANK.AVG(D32,D$24:D32,1)/COUNT(D$24:D32)</f>
        <v>0.55555555555555558</v>
      </c>
      <c r="E144" s="92">
        <f ca="1">_xlfn.RANK.AVG(E32,E$24:E32,1)/COUNT(E$24:E32)</f>
        <v>0.88888888888888884</v>
      </c>
      <c r="F144" s="92">
        <f ca="1">_xlfn.RANK.AVG(F32,F$24:F32,1)/COUNT(F$24:F32)</f>
        <v>0.55555555555555558</v>
      </c>
      <c r="G144" s="92">
        <f ca="1">_xlfn.RANK.AVG(G32,G$24:G32,1)/COUNT(G$24:G32)</f>
        <v>0.44444444444444442</v>
      </c>
      <c r="H144" s="92">
        <f ca="1">_xlfn.RANK.AVG(H32,H$24:H32,1)/COUNT(H$24:H32)</f>
        <v>0.83333333333333337</v>
      </c>
      <c r="I144" s="92"/>
      <c r="J144" s="92">
        <f ca="1">_xlfn.RANK.AVG(J32,J$24:J32,1)/COUNT(J$24:J32)</f>
        <v>0.875</v>
      </c>
      <c r="K144" s="92">
        <f ca="1">_xlfn.RANK.AVG(K32,K$24:K32,1)/COUNT(K$24:K32)</f>
        <v>0.88888888888888884</v>
      </c>
      <c r="M144" s="284"/>
    </row>
    <row r="145" spans="1:13">
      <c r="A145" s="97" t="str">
        <f t="shared" si="638"/>
        <v>Sprint_1_6</v>
      </c>
      <c r="B145" s="92">
        <f ca="1">_xlfn.RANK.AVG(B33,B$24:B33,1)/COUNT(B$24:B33)</f>
        <v>0.6</v>
      </c>
      <c r="C145" s="92">
        <f ca="1">_xlfn.RANK.AVG(C33,C$24:C33,1)/COUNT(C$24:C33)</f>
        <v>0.9</v>
      </c>
      <c r="D145" s="92">
        <f ca="1">_xlfn.RANK.AVG(D33,D$24:D33,1)/COUNT(D$24:D33)</f>
        <v>0.8</v>
      </c>
      <c r="E145" s="92">
        <f ca="1">_xlfn.RANK.AVG(E33,E$24:E33,1)/COUNT(E$24:E33)</f>
        <v>0.35</v>
      </c>
      <c r="F145" s="92">
        <f ca="1">_xlfn.RANK.AVG(F33,F$24:F33,1)/COUNT(F$24:F33)</f>
        <v>0.5</v>
      </c>
      <c r="G145" s="92">
        <f ca="1">_xlfn.RANK.AVG(G33,G$24:G33,1)/COUNT(G$24:G33)</f>
        <v>0.2</v>
      </c>
      <c r="H145" s="92">
        <f ca="1">_xlfn.RANK.AVG(H33,H$24:H33,1)/COUNT(H$24:H33)</f>
        <v>0.4</v>
      </c>
      <c r="I145" s="92"/>
      <c r="J145" s="92">
        <f ca="1">_xlfn.RANK.AVG(J33,J$24:J33,1)/COUNT(J$24:J33)</f>
        <v>0.83333333333333337</v>
      </c>
      <c r="K145" s="92">
        <f ca="1">_xlfn.RANK.AVG(K33,K$24:K33,1)/COUNT(K$24:K33)</f>
        <v>0.9</v>
      </c>
      <c r="M145" s="284"/>
    </row>
    <row r="146" spans="1:13">
      <c r="A146" s="97" t="str">
        <f t="shared" si="638"/>
        <v>Sprint_2_1</v>
      </c>
      <c r="B146" s="92">
        <f ca="1">_xlfn.RANK.AVG(B34,B$24:B34,1)/COUNT(B$24:B34)</f>
        <v>0.36363636363636365</v>
      </c>
      <c r="C146" s="92">
        <f ca="1">_xlfn.RANK.AVG(C34,C$24:C34,1)/COUNT(C$24:C34)</f>
        <v>0.54545454545454541</v>
      </c>
      <c r="D146" s="92">
        <f ca="1">_xlfn.RANK.AVG(D34,D$24:D34,1)/COUNT(D$24:D34)</f>
        <v>0.59090909090909094</v>
      </c>
      <c r="E146" s="92">
        <f ca="1">_xlfn.RANK.AVG(E34,E$24:E34,1)/COUNT(E$24:E34)</f>
        <v>0.81818181818181823</v>
      </c>
      <c r="F146" s="92">
        <f ca="1">_xlfn.RANK.AVG(F34,F$24:F34,1)/COUNT(F$24:F34)</f>
        <v>9.0909090909090912E-2</v>
      </c>
      <c r="G146" s="92">
        <f ca="1">_xlfn.RANK.AVG(G34,G$24:G34,1)/COUNT(G$24:G34)</f>
        <v>0.18181818181818182</v>
      </c>
      <c r="H146" s="92">
        <f ca="1">_xlfn.RANK.AVG(H34,H$24:H34,1)/COUNT(H$24:H34)</f>
        <v>0.40909090909090912</v>
      </c>
      <c r="I146" s="92"/>
      <c r="J146" s="92">
        <f ca="1">_xlfn.RANK.AVG(J34,J$24:J34,1)/COUNT(J$24:J34)</f>
        <v>0.9</v>
      </c>
      <c r="K146" s="92">
        <f ca="1">_xlfn.RANK.AVG(K34,K$24:K34,1)/COUNT(K$24:K34)</f>
        <v>0.59090909090909094</v>
      </c>
      <c r="M146" s="284"/>
    </row>
    <row r="147" spans="1:13">
      <c r="A147" s="97" t="str">
        <f t="shared" si="638"/>
        <v>Sprint_2_2</v>
      </c>
      <c r="B147" s="92">
        <f ca="1">_xlfn.RANK.AVG(B35,B$24:B35,1)/COUNT(B$24:B35)</f>
        <v>8.3333333333333329E-2</v>
      </c>
      <c r="C147" s="92">
        <f ca="1">_xlfn.RANK.AVG(C35,C$24:C35,1)/COUNT(C$24:C35)</f>
        <v>0.95833333333333337</v>
      </c>
      <c r="D147" s="92">
        <f ca="1">_xlfn.RANK.AVG(D35,D$24:D35,1)/COUNT(D$24:D35)</f>
        <v>0.66666666666666663</v>
      </c>
      <c r="E147" s="92">
        <f ca="1">_xlfn.RANK.AVG(E35,E$24:E35,1)/COUNT(E$24:E35)</f>
        <v>8.3333333333333329E-2</v>
      </c>
      <c r="F147" s="92">
        <f ca="1">_xlfn.RANK.AVG(F35,F$24:F35,1)/COUNT(F$24:F35)</f>
        <v>0.16666666666666666</v>
      </c>
      <c r="G147" s="92">
        <f ca="1">_xlfn.RANK.AVG(G35,G$24:G35,1)/COUNT(G$24:G35)</f>
        <v>0.33333333333333331</v>
      </c>
      <c r="H147" s="92">
        <f ca="1">_xlfn.RANK.AVG(H35,H$24:H35,1)/COUNT(H$24:H35)</f>
        <v>0.5</v>
      </c>
      <c r="I147" s="92"/>
      <c r="J147" s="92">
        <f ca="1">_xlfn.RANK.AVG(J35,J$24:J35,1)/COUNT(J$24:J35)</f>
        <v>0.90909090909090906</v>
      </c>
      <c r="K147" s="92">
        <f ca="1">_xlfn.RANK.AVG(K35,K$24:K35,1)/COUNT(K$24:K35)</f>
        <v>0.5</v>
      </c>
      <c r="M147" s="284"/>
    </row>
    <row r="148" spans="1:13">
      <c r="A148" s="97" t="str">
        <f t="shared" si="638"/>
        <v>Sprint_2_3u4</v>
      </c>
      <c r="B148" s="92">
        <f ca="1">_xlfn.RANK.AVG(B36,B$24:B36,1)/COUNT(B$24:B36)</f>
        <v>0.61538461538461542</v>
      </c>
      <c r="C148" s="92">
        <f ca="1">_xlfn.RANK.AVG(C36,C$24:C36,1)/COUNT(C$24:C36)</f>
        <v>0.84615384615384615</v>
      </c>
      <c r="D148" s="92">
        <f ca="1">_xlfn.RANK.AVG(D36,D$24:D36,1)/COUNT(D$24:D36)</f>
        <v>1</v>
      </c>
      <c r="E148" s="92">
        <f ca="1">_xlfn.RANK.AVG(E36,E$24:E36,1)/COUNT(E$24:E36)</f>
        <v>1</v>
      </c>
      <c r="F148" s="92">
        <f ca="1">_xlfn.RANK.AVG(F36,F$24:F36,1)/COUNT(F$24:F36)</f>
        <v>0.92307692307692313</v>
      </c>
      <c r="G148" s="92">
        <f ca="1">_xlfn.RANK.AVG(G36,G$24:G36,1)/COUNT(G$24:G36)</f>
        <v>1</v>
      </c>
      <c r="H148" s="92">
        <f ca="1">_xlfn.RANK.AVG(H36,H$24:H36,1)/COUNT(H$24:H36)</f>
        <v>1</v>
      </c>
      <c r="I148" s="92"/>
      <c r="J148" s="92">
        <f ca="1">_xlfn.RANK.AVG(J36,J$24:J36,1)/COUNT(J$24:J36)</f>
        <v>1</v>
      </c>
      <c r="K148" s="92">
        <f ca="1">_xlfn.RANK.AVG(K36,K$24:K36,1)/COUNT(K$24:K36)</f>
        <v>1</v>
      </c>
      <c r="M148" s="284"/>
    </row>
    <row r="149" spans="1:13">
      <c r="A149" s="97" t="str">
        <f t="shared" si="638"/>
        <v>Sprint_2_5u6</v>
      </c>
      <c r="B149" s="92">
        <f ca="1">_xlfn.RANK.AVG(B37,B$24:B37,1)/COUNT(B$24:B37)</f>
        <v>1</v>
      </c>
      <c r="C149" s="92">
        <f ca="1">_xlfn.RANK.AVG(C37,C$24:C37,1)/COUNT(C$24:C37)</f>
        <v>1</v>
      </c>
      <c r="D149" s="92">
        <f ca="1">_xlfn.RANK.AVG(D37,D$24:D37,1)/COUNT(D$24:D37)</f>
        <v>1</v>
      </c>
      <c r="E149" s="92">
        <f ca="1">_xlfn.RANK.AVG(E37,E$24:E37,1)/COUNT(E$24:E37)</f>
        <v>0.9285714285714286</v>
      </c>
      <c r="F149" s="92">
        <f ca="1">_xlfn.RANK.AVG(F37,F$24:F37,1)/COUNT(F$24:F37)</f>
        <v>0.9285714285714286</v>
      </c>
      <c r="G149" s="92">
        <f ca="1">_xlfn.RANK.AVG(G37,G$24:G37,1)/COUNT(G$24:G37)</f>
        <v>1</v>
      </c>
      <c r="H149" s="92">
        <f ca="1">_xlfn.RANK.AVG(H37,H$24:H37,1)/COUNT(H$24:H37)</f>
        <v>1</v>
      </c>
      <c r="I149" s="92"/>
      <c r="J149" s="92">
        <f ca="1">_xlfn.RANK.AVG(J37,J$24:J37,1)/COUNT(J$24:J37)</f>
        <v>1</v>
      </c>
      <c r="K149" s="92">
        <f ca="1">_xlfn.RANK.AVG(K37,K$24:K37,1)/COUNT(K$24:K37)</f>
        <v>1</v>
      </c>
      <c r="M149" s="284"/>
    </row>
    <row r="150" spans="1:13">
      <c r="A150" s="97" t="str">
        <f t="shared" si="638"/>
        <v>Sprint_3_1u2</v>
      </c>
      <c r="B150" s="92"/>
      <c r="C150" s="92"/>
      <c r="D150" s="92"/>
      <c r="E150" s="92"/>
      <c r="F150" s="92"/>
      <c r="G150" s="92"/>
      <c r="H150" s="92"/>
      <c r="I150" s="92"/>
      <c r="J150" s="92"/>
      <c r="K150" s="92"/>
      <c r="M150" s="284"/>
    </row>
    <row r="151" spans="1:13">
      <c r="A151" s="97" t="str">
        <f t="shared" si="638"/>
        <v>Sprint_3_3u4</v>
      </c>
      <c r="B151" s="92"/>
      <c r="C151" s="92"/>
      <c r="D151" s="92"/>
      <c r="E151" s="92"/>
      <c r="F151" s="92"/>
      <c r="G151" s="92"/>
      <c r="H151" s="92"/>
      <c r="I151" s="92"/>
      <c r="J151" s="92"/>
      <c r="K151" s="92"/>
      <c r="M151" s="284"/>
    </row>
    <row r="152" spans="1:13">
      <c r="A152" s="97" t="str">
        <f t="shared" si="638"/>
        <v>Sprint_3_5u6</v>
      </c>
      <c r="B152" s="92"/>
      <c r="C152" s="92"/>
      <c r="D152" s="92"/>
      <c r="E152" s="92"/>
      <c r="F152" s="92"/>
      <c r="G152" s="92"/>
      <c r="H152" s="92"/>
      <c r="I152" s="92"/>
      <c r="J152" s="92"/>
      <c r="K152" s="92"/>
      <c r="M152" s="284"/>
    </row>
    <row r="153" spans="1:13">
      <c r="A153" s="94"/>
      <c r="B153" s="100">
        <f ca="1">AVERAGE(B140:B147)</f>
        <v>0.46395652958152961</v>
      </c>
      <c r="C153" s="100">
        <f t="shared" ref="C153:K153" ca="1" si="639">AVERAGE(C140:C147)</f>
        <v>0.75521058802308805</v>
      </c>
      <c r="D153" s="100">
        <f t="shared" ca="1" si="639"/>
        <v>0.71830808080808084</v>
      </c>
      <c r="E153" s="100">
        <f t="shared" ca="1" si="639"/>
        <v>0.53444038600288601</v>
      </c>
      <c r="F153" s="100">
        <f t="shared" ca="1" si="639"/>
        <v>0.36979617604617604</v>
      </c>
      <c r="G153" s="100">
        <f t="shared" ca="1" si="639"/>
        <v>0.36652687590187588</v>
      </c>
      <c r="H153" s="100">
        <f t="shared" ca="1" si="639"/>
        <v>0.58833874458874458</v>
      </c>
      <c r="I153" s="100"/>
      <c r="J153" s="100">
        <f t="shared" ca="1" si="639"/>
        <v>0.65381493506493504</v>
      </c>
      <c r="K153" s="100">
        <f t="shared" ca="1" si="639"/>
        <v>0.79434974747474751</v>
      </c>
    </row>
  </sheetData>
  <dataConsolidate/>
  <mergeCells count="21">
    <mergeCell ref="Z60:AI60"/>
    <mergeCell ref="AX119:BG119"/>
    <mergeCell ref="Z22:AI22"/>
    <mergeCell ref="N2:W2"/>
    <mergeCell ref="B82:K82"/>
    <mergeCell ref="N82:W82"/>
    <mergeCell ref="N42:W42"/>
    <mergeCell ref="N22:W22"/>
    <mergeCell ref="N60:W60"/>
    <mergeCell ref="B60:K60"/>
    <mergeCell ref="B42:K42"/>
    <mergeCell ref="Z42:AI42"/>
    <mergeCell ref="AL119:AU119"/>
    <mergeCell ref="Z119:AI119"/>
    <mergeCell ref="N119:W119"/>
    <mergeCell ref="B101:K101"/>
    <mergeCell ref="N101:W101"/>
    <mergeCell ref="B138:K138"/>
    <mergeCell ref="B119:K119"/>
    <mergeCell ref="B2:K2"/>
    <mergeCell ref="B22:K22"/>
  </mergeCells>
  <phoneticPr fontId="12" type="noConversion"/>
  <conditionalFormatting sqref="B84:K97">
    <cfRule type="colorScale" priority="12">
      <colorScale>
        <cfvo type="num" val="1"/>
        <cfvo type="num" val="2"/>
        <cfvo type="num" val="3"/>
        <color rgb="FFF8696B"/>
        <color rgb="FFFFEB84"/>
        <color rgb="FF63BE7B"/>
      </colorScale>
    </cfRule>
  </conditionalFormatting>
  <conditionalFormatting sqref="B97:K97">
    <cfRule type="expression" dxfId="3" priority="11">
      <formula>OR(B97=$A$97,B97=$L$97)</formula>
    </cfRule>
  </conditionalFormatting>
  <conditionalFormatting sqref="B116:K116">
    <cfRule type="colorScale" priority="1">
      <colorScale>
        <cfvo type="min"/>
        <cfvo type="percentile" val="50"/>
        <cfvo type="max"/>
        <color theme="8" tint="0.39997558519241921"/>
        <color rgb="FFFCFCFF"/>
        <color theme="9"/>
      </colorScale>
    </cfRule>
  </conditionalFormatting>
  <conditionalFormatting sqref="B121:K134">
    <cfRule type="colorScale" priority="35">
      <colorScale>
        <cfvo type="num" val="1"/>
        <cfvo type="num" val="2"/>
        <cfvo type="num" val="3"/>
        <color rgb="FFF8696B"/>
        <color theme="0"/>
        <color rgb="FF63BE7B"/>
      </colorScale>
    </cfRule>
  </conditionalFormatting>
  <conditionalFormatting sqref="B134:K134">
    <cfRule type="expression" dxfId="2" priority="9">
      <formula>OR(B134=$A$134,B134=$L$134)</formula>
    </cfRule>
  </conditionalFormatting>
  <conditionalFormatting sqref="B140:K153">
    <cfRule type="colorScale" priority="13">
      <colorScale>
        <cfvo type="num" val="0.25"/>
        <cfvo type="num" val="0.5"/>
        <cfvo type="num" val="1"/>
        <color rgb="FFF8696B"/>
        <color rgb="FFFFEB84"/>
        <color rgb="FF63BE7B"/>
      </colorScale>
    </cfRule>
  </conditionalFormatting>
  <conditionalFormatting sqref="N84:W96 B103:K115 N103:W115">
    <cfRule type="colorScale" priority="30">
      <colorScale>
        <cfvo type="num" val="-0.5"/>
        <cfvo type="num" val="0"/>
        <cfvo type="num" val="0.5"/>
        <color theme="8" tint="0.39997558519241921"/>
        <color theme="0"/>
        <color theme="3" tint="0.499984740745262"/>
      </colorScale>
    </cfRule>
  </conditionalFormatting>
  <conditionalFormatting sqref="N116:W116">
    <cfRule type="colorScale" priority="2">
      <colorScale>
        <cfvo type="min"/>
        <cfvo type="percentile" val="50"/>
        <cfvo type="max"/>
        <color theme="8" tint="0.39997558519241921"/>
        <color rgb="FFFCFCFF"/>
        <color theme="9"/>
      </colorScale>
    </cfRule>
  </conditionalFormatting>
  <conditionalFormatting sqref="N121:W133 Z121:AI133">
    <cfRule type="colorScale" priority="34">
      <colorScale>
        <cfvo type="num" val="-0.5"/>
        <cfvo type="num" val="0"/>
        <cfvo type="num" val="0.5"/>
        <color rgb="FFF8696B"/>
        <color theme="0"/>
        <color rgb="FF63BE7B"/>
      </colorScale>
    </cfRule>
  </conditionalFormatting>
  <conditionalFormatting sqref="Z121:AI133">
    <cfRule type="expression" dxfId="1" priority="33">
      <formula>OR(Z121=$AJ$119,Z121=$AJ$120)</formula>
    </cfRule>
  </conditionalFormatting>
  <conditionalFormatting sqref="Z134:AI134">
    <cfRule type="colorScale" priority="18">
      <colorScale>
        <cfvo type="min"/>
        <cfvo type="percentile" val="50"/>
        <cfvo type="max"/>
        <color rgb="FFF8696B"/>
        <color rgb="FFFCFCFF"/>
        <color rgb="FF63BE7B"/>
      </colorScale>
    </cfRule>
  </conditionalFormatting>
  <conditionalFormatting sqref="AL121:AU133">
    <cfRule type="expression" dxfId="0" priority="31">
      <formula>OR(AL121=$AV$120,AL121=$AV$119)</formula>
    </cfRule>
    <cfRule type="colorScale" priority="32">
      <colorScale>
        <cfvo type="num" val="-1"/>
        <cfvo type="num" val="0"/>
        <cfvo type="num" val="1"/>
        <color rgb="FFF8696B"/>
        <color theme="0"/>
        <color rgb="FF63BE7B"/>
      </colorScale>
    </cfRule>
  </conditionalFormatting>
  <conditionalFormatting sqref="AL134:AU134">
    <cfRule type="colorScale" priority="19">
      <colorScale>
        <cfvo type="min"/>
        <cfvo type="percentile" val="50"/>
        <cfvo type="max"/>
        <color rgb="FFF8696B"/>
        <color rgb="FFFCFCFF"/>
        <color rgb="FF63BE7B"/>
      </colorScale>
    </cfRule>
  </conditionalFormatting>
  <conditionalFormatting sqref="AX121:BG133">
    <cfRule type="colorScale" priority="4">
      <colorScale>
        <cfvo type="num" val="-0.5"/>
        <cfvo type="num" val="0"/>
        <cfvo type="num" val="0.5"/>
        <color theme="8" tint="0.39997558519241921"/>
        <color rgb="FFFCFCFF"/>
        <color theme="3" tint="0.499984740745262"/>
      </colorScale>
    </cfRule>
  </conditionalFormatting>
  <conditionalFormatting sqref="AX134:BG134">
    <cfRule type="colorScale" priority="3">
      <colorScale>
        <cfvo type="min"/>
        <cfvo type="percentile" val="50"/>
        <cfvo type="max"/>
        <color theme="8" tint="0.39997558519241921"/>
        <color rgb="FFFCFCFF"/>
        <color theme="9"/>
      </colorScale>
    </cfRule>
  </conditionalFormatting>
  <pageMargins left="0.7" right="0.7" top="0.75" bottom="0.75" header="0.3" footer="0.3"/>
  <pageSetup paperSize="9" orientation="portrait" r:id="rId1"/>
  <ignoredErrors>
    <ignoredError sqref="AH62"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BEF7F-D03C-4BB7-8C7F-E3F6F001D892}">
  <sheetPr>
    <outlinePr summaryBelow="0" summaryRight="0"/>
    <pageSetUpPr fitToPage="1"/>
  </sheetPr>
  <dimension ref="A1:AN301"/>
  <sheetViews>
    <sheetView zoomScale="85" zoomScaleNormal="85" workbookViewId="0">
      <selection activeCell="N32" sqref="N32"/>
    </sheetView>
  </sheetViews>
  <sheetFormatPr baseColWidth="10" defaultColWidth="8.85546875" defaultRowHeight="13.5" customHeight="1"/>
  <cols>
    <col min="1" max="1" width="16" style="27" customWidth="1"/>
    <col min="2" max="2" width="72.85546875" style="27" customWidth="1"/>
    <col min="3" max="8" width="15.42578125" style="28" customWidth="1"/>
    <col min="9" max="9" width="19" style="29" customWidth="1"/>
    <col min="10" max="11" width="15.42578125" style="29" customWidth="1"/>
    <col min="12" max="12" width="15.42578125" style="30" customWidth="1"/>
    <col min="13" max="13" width="15.42578125" style="28" customWidth="1"/>
    <col min="14" max="18" width="15.42578125" style="1" customWidth="1"/>
    <col min="19" max="21" width="10.42578125" style="1" customWidth="1"/>
    <col min="22" max="22" width="15.140625" style="1" customWidth="1"/>
    <col min="23" max="23" width="8.140625" style="1" bestFit="1" customWidth="1"/>
    <col min="24" max="25" width="23" style="1" bestFit="1" customWidth="1"/>
    <col min="26" max="28" width="10.42578125" style="1" customWidth="1"/>
    <col min="29" max="34" width="8.42578125" style="1" customWidth="1"/>
    <col min="35" max="35" width="3.42578125" style="1" customWidth="1"/>
    <col min="36" max="36" width="8.42578125" style="1" customWidth="1"/>
    <col min="37" max="16384" width="8.85546875" style="1"/>
  </cols>
  <sheetData>
    <row r="1" spans="2:25" ht="13.5" customHeight="1">
      <c r="C1" s="417" t="s">
        <v>161</v>
      </c>
      <c r="D1" s="417"/>
      <c r="E1" s="417"/>
      <c r="F1" s="417"/>
      <c r="G1" s="417"/>
      <c r="H1" s="417"/>
      <c r="I1" s="417"/>
      <c r="J1" s="417"/>
      <c r="K1" s="2"/>
      <c r="L1" s="2"/>
      <c r="M1" s="2"/>
    </row>
    <row r="2" spans="2:25" ht="15">
      <c r="C2" s="1"/>
      <c r="D2" s="1"/>
      <c r="E2" s="2"/>
      <c r="F2" s="2"/>
      <c r="G2" s="2"/>
      <c r="H2" s="2"/>
      <c r="I2" s="2"/>
      <c r="J2" s="1"/>
      <c r="K2" s="2"/>
      <c r="L2" s="2"/>
      <c r="M2" s="1"/>
      <c r="V2"/>
      <c r="W2"/>
    </row>
    <row r="3" spans="2:25" ht="13.5" customHeight="1" thickBot="1">
      <c r="C3" s="3" t="s">
        <v>162</v>
      </c>
      <c r="D3" s="66"/>
      <c r="E3" s="10"/>
      <c r="F3" s="10"/>
      <c r="H3" s="418" t="s">
        <v>163</v>
      </c>
      <c r="I3" s="418"/>
      <c r="J3" s="418"/>
      <c r="K3" s="4"/>
      <c r="L3" s="4"/>
      <c r="M3" s="2"/>
    </row>
    <row r="4" spans="2:25" ht="15">
      <c r="C4" s="10"/>
      <c r="D4" s="419" t="s">
        <v>164</v>
      </c>
      <c r="E4" s="420"/>
      <c r="F4" s="421" t="s">
        <v>165</v>
      </c>
      <c r="G4" s="422"/>
      <c r="H4" s="422"/>
      <c r="I4" s="422"/>
      <c r="J4" s="422"/>
      <c r="K4" s="423"/>
      <c r="M4" s="424" t="s">
        <v>166</v>
      </c>
      <c r="N4" s="424"/>
      <c r="O4" s="424"/>
      <c r="P4" s="424"/>
      <c r="Q4" s="424"/>
      <c r="R4" s="424"/>
      <c r="V4" s="276" t="s">
        <v>167</v>
      </c>
      <c r="W4" s="276" t="s">
        <v>168</v>
      </c>
      <c r="X4" t="s">
        <v>169</v>
      </c>
      <c r="Y4" t="s">
        <v>170</v>
      </c>
    </row>
    <row r="5" spans="2:25" ht="27" customHeight="1">
      <c r="C5" s="63" t="s">
        <v>167</v>
      </c>
      <c r="D5" s="60" t="s">
        <v>171</v>
      </c>
      <c r="E5" s="73" t="str">
        <f>H5</f>
        <v>Completed</v>
      </c>
      <c r="F5" s="60" t="s">
        <v>105</v>
      </c>
      <c r="G5" s="21" t="s">
        <v>106</v>
      </c>
      <c r="H5" s="20" t="s">
        <v>125</v>
      </c>
      <c r="I5" s="20" t="s">
        <v>127</v>
      </c>
      <c r="J5" s="20" t="s">
        <v>126</v>
      </c>
      <c r="K5" s="67" t="s">
        <v>172</v>
      </c>
      <c r="M5" s="21" t="str">
        <f>F5</f>
        <v>Initially Planned</v>
      </c>
      <c r="N5" s="21" t="str">
        <f>G5</f>
        <v>Pulled after Start</v>
      </c>
      <c r="O5" s="31" t="str">
        <f>H5</f>
        <v>Completed</v>
      </c>
      <c r="P5" s="31" t="str">
        <f>J5</f>
        <v>Removed</v>
      </c>
      <c r="Q5" s="31" t="str">
        <f>I5</f>
        <v>Not Completed</v>
      </c>
      <c r="R5" s="39" t="s">
        <v>173</v>
      </c>
      <c r="V5" t="s">
        <v>107</v>
      </c>
      <c r="W5"/>
      <c r="X5" s="263">
        <v>208</v>
      </c>
      <c r="Y5" s="98">
        <v>0.14092140921409213</v>
      </c>
    </row>
    <row r="6" spans="2:25" ht="15">
      <c r="B6" s="415" t="s">
        <v>174</v>
      </c>
      <c r="C6" s="59" t="s">
        <v>35</v>
      </c>
      <c r="D6" s="61">
        <f>COUNTIFS(Tabelle132456891011121314151617[Team],$C6)</f>
        <v>19</v>
      </c>
      <c r="E6" s="74">
        <f>COUNTIFS(Tabelle132456891011121314151617[Team],$C6,Tabelle132456891011121314151617[Status],$E$5)</f>
        <v>7</v>
      </c>
      <c r="F6" s="68">
        <f>SUMIFS(Tabelle132456891011121314151617[Jira Story Points],Tabelle132456891011121314151617[Pulled after Start],"",Tabelle132456891011121314151617[Team],$C6)</f>
        <v>85</v>
      </c>
      <c r="G6" s="6">
        <f>SUMIFS(Tabelle132456891011121314151617[Jira Story Points],Tabelle132456891011121314151617[Pulled after Start],"yes",Tabelle132456891011121314151617[Team],$C6)</f>
        <v>59</v>
      </c>
      <c r="H6" s="7">
        <f>SUMIFS(Tabelle132456891011121314151617[Jira Story Points],Tabelle132456891011121314151617[Status],$H$5,Tabelle132456891011121314151617[Team],$C6)</f>
        <v>54</v>
      </c>
      <c r="I6" s="6">
        <f>SUMIFS(Tabelle132456891011121314151617[Jira Story Points],Tabelle132456891011121314151617[Status],$I$5,Tabelle132456891011121314151617[Team],$C6)</f>
        <v>28</v>
      </c>
      <c r="J6" s="6">
        <f>SUMIFS(Tabelle132456891011121314151617[Jira Story Points],Tabelle132456891011121314151617[Status],$J$5,Tabelle132456891011121314151617[Team],$C6)</f>
        <v>62</v>
      </c>
      <c r="K6" s="69">
        <f>SUMIFS(Tabelle132456891011121314151617[Jira Story Points],Tabelle132456891011121314151617[Team],$C6)</f>
        <v>144</v>
      </c>
      <c r="M6" s="6">
        <f>SUMIFS(Tabelle132456891011121314151617[COsSP Initially Planned],Tabelle132456891011121314151617[Pulled after Start],"",Tabelle132456891011121314151617[Team],$C6)</f>
        <v>32</v>
      </c>
      <c r="N6" s="6">
        <f>SUMIFS(Tabelle132456891011121314151617[COsSP Pulled after Start],Tabelle132456891011121314151617[Team],$C6)</f>
        <v>76</v>
      </c>
      <c r="O6" s="25">
        <f>SUMIFS(Tabelle132456891011121314151617[CSOsSP Completed],Tabelle132456891011121314151617[Team],$C6)</f>
        <v>68</v>
      </c>
      <c r="P6" s="25">
        <f>SUMIFS(Tabelle132456891011121314151617[CSOsSP Removed],Tabelle132456891011121314151617[Team],$C6)</f>
        <v>17</v>
      </c>
      <c r="Q6" s="41">
        <f>SUMIFS(Tabelle132456891011121314151617[CSOsSP Not Completed],Tabelle132456891011121314151617[Team],$C6)</f>
        <v>23</v>
      </c>
      <c r="R6" s="40">
        <f t="shared" ref="R6:R15" si="0">IFERROR(O6/$M6," ")</f>
        <v>2.125</v>
      </c>
      <c r="T6" s="43"/>
      <c r="V6"/>
      <c r="W6" t="s">
        <v>175</v>
      </c>
      <c r="X6" s="263">
        <v>26</v>
      </c>
      <c r="Y6" s="98">
        <v>0.125</v>
      </c>
    </row>
    <row r="7" spans="2:25" ht="15">
      <c r="B7" s="415"/>
      <c r="C7" s="59" t="s">
        <v>12</v>
      </c>
      <c r="D7" s="61">
        <f>COUNTIFS(Tabelle132456891011121314151617[Team],$C7)</f>
        <v>24</v>
      </c>
      <c r="E7" s="74">
        <f>COUNTIFS(Tabelle132456891011121314151617[Team],$C7,Tabelle132456891011121314151617[Status],$E$5)</f>
        <v>8</v>
      </c>
      <c r="F7" s="68">
        <f>SUMIFS(Tabelle132456891011121314151617[Jira Story Points],Tabelle132456891011121314151617[Pulled after Start],"",Tabelle132456891011121314151617[Team],$C7)</f>
        <v>121</v>
      </c>
      <c r="G7" s="6">
        <f>SUMIFS(Tabelle132456891011121314151617[Jira Story Points],Tabelle132456891011121314151617[Pulled after Start],"yes",Tabelle132456891011121314151617[Team],$C7)</f>
        <v>57</v>
      </c>
      <c r="H7" s="7">
        <f>SUMIFS(Tabelle132456891011121314151617[Jira Story Points],Tabelle132456891011121314151617[Status],$H$5,Tabelle132456891011121314151617[Team],$C7)</f>
        <v>83</v>
      </c>
      <c r="I7" s="6">
        <f>SUMIFS(Tabelle132456891011121314151617[Jira Story Points],Tabelle132456891011121314151617[Status],$I$5,Tabelle132456891011121314151617[Team],$C7)</f>
        <v>51</v>
      </c>
      <c r="J7" s="6">
        <f>SUMIFS(Tabelle132456891011121314151617[Jira Story Points],Tabelle132456891011121314151617[Status],$J$5,Tabelle132456891011121314151617[Team],$C7)</f>
        <v>44</v>
      </c>
      <c r="K7" s="69">
        <f>SUMIFS(Tabelle132456891011121314151617[Jira Story Points],Tabelle132456891011121314151617[Team],$C7)</f>
        <v>178</v>
      </c>
      <c r="M7" s="6">
        <f>SUMIFS(Tabelle132456891011121314151617[COsSP Initially Planned],Tabelle132456891011121314151617[Pulled after Start],"",Tabelle132456891011121314151617[Team],$C7)</f>
        <v>63</v>
      </c>
      <c r="N7" s="6">
        <f>SUMIFS(Tabelle132456891011121314151617[COsSP Pulled after Start],Tabelle132456891011121314151617[Team],$C7)</f>
        <v>76</v>
      </c>
      <c r="O7" s="25">
        <f>SUMIFS(Tabelle132456891011121314151617[CSOsSP Completed],Tabelle132456891011121314151617[Team],$C7)</f>
        <v>105</v>
      </c>
      <c r="P7" s="25">
        <f>SUMIFS(Tabelle132456891011121314151617[CSOsSP Removed],Tabelle132456891011121314151617[Team],$C7)</f>
        <v>19</v>
      </c>
      <c r="Q7" s="41">
        <f>SUMIFS(Tabelle132456891011121314151617[CSOsSP Not Completed],Tabelle132456891011121314151617[Team],$C7)</f>
        <v>15</v>
      </c>
      <c r="R7" s="40">
        <f t="shared" si="0"/>
        <v>1.6666666666666667</v>
      </c>
      <c r="T7" s="43"/>
      <c r="V7"/>
      <c r="W7" t="s">
        <v>176</v>
      </c>
      <c r="X7" s="263">
        <v>32</v>
      </c>
      <c r="Y7" s="98">
        <v>0.15384615384615385</v>
      </c>
    </row>
    <row r="8" spans="2:25" ht="15">
      <c r="B8" s="415"/>
      <c r="C8" s="59" t="s">
        <v>27</v>
      </c>
      <c r="D8" s="61">
        <f>COUNTIFS(Tabelle132456891011121314151617[Team],$C8)</f>
        <v>26</v>
      </c>
      <c r="E8" s="74">
        <f>COUNTIFS(Tabelle132456891011121314151617[Team],$C8,Tabelle132456891011121314151617[Status],$E$5)</f>
        <v>9</v>
      </c>
      <c r="F8" s="68">
        <f>SUMIFS(Tabelle132456891011121314151617[Jira Story Points],Tabelle132456891011121314151617[Pulled after Start],"",Tabelle132456891011121314151617[Team],$C8)</f>
        <v>64</v>
      </c>
      <c r="G8" s="6">
        <f>SUMIFS(Tabelle132456891011121314151617[Jira Story Points],Tabelle132456891011121314151617[Pulled after Start],"yes",Tabelle132456891011121314151617[Team],$C8)</f>
        <v>79</v>
      </c>
      <c r="H8" s="7">
        <f>SUMIFS(Tabelle132456891011121314151617[Jira Story Points],Tabelle132456891011121314151617[Status],$H$5,Tabelle132456891011121314151617[Team],$C8)</f>
        <v>41</v>
      </c>
      <c r="I8" s="6">
        <f>SUMIFS(Tabelle132456891011121314151617[Jira Story Points],Tabelle132456891011121314151617[Status],$I$5,Tabelle132456891011121314151617[Team],$C8)</f>
        <v>43</v>
      </c>
      <c r="J8" s="6">
        <f>SUMIFS(Tabelle132456891011121314151617[Jira Story Points],Tabelle132456891011121314151617[Status],$J$5,Tabelle132456891011121314151617[Team],$C8)</f>
        <v>59</v>
      </c>
      <c r="K8" s="69">
        <f>SUMIFS(Tabelle132456891011121314151617[Jira Story Points],Tabelle132456891011121314151617[Team],$C8)</f>
        <v>143</v>
      </c>
      <c r="M8" s="6">
        <f>SUMIFS(Tabelle132456891011121314151617[COsSP Initially Planned],Tabelle132456891011121314151617[Pulled after Start],"",Tabelle132456891011121314151617[Team],$C8)</f>
        <v>34</v>
      </c>
      <c r="N8" s="6">
        <f>SUMIFS(Tabelle132456891011121314151617[COsSP Pulled after Start],Tabelle132456891011121314151617[Team],$C8)</f>
        <v>146</v>
      </c>
      <c r="O8" s="25">
        <f>SUMIFS(Tabelle132456891011121314151617[CSOsSP Completed],Tabelle132456891011121314151617[Team],$C8)</f>
        <v>105</v>
      </c>
      <c r="P8" s="25">
        <f>SUMIFS(Tabelle132456891011121314151617[CSOsSP Removed],Tabelle132456891011121314151617[Team],$C8)</f>
        <v>38</v>
      </c>
      <c r="Q8" s="41">
        <f>SUMIFS(Tabelle132456891011121314151617[CSOsSP Not Completed],Tabelle132456891011121314151617[Team],$C8)</f>
        <v>37</v>
      </c>
      <c r="R8" s="40">
        <f t="shared" si="0"/>
        <v>3.0882352941176472</v>
      </c>
      <c r="T8" s="43"/>
      <c r="V8"/>
      <c r="W8" t="s">
        <v>177</v>
      </c>
      <c r="X8" s="263">
        <v>11</v>
      </c>
      <c r="Y8" s="98">
        <v>5.2884615384615384E-2</v>
      </c>
    </row>
    <row r="9" spans="2:25" ht="15">
      <c r="B9" s="415"/>
      <c r="C9" s="59" t="s">
        <v>5</v>
      </c>
      <c r="D9" s="61">
        <f>COUNTIFS(Tabelle132456891011121314151617[Team],$C9)</f>
        <v>31</v>
      </c>
      <c r="E9" s="74">
        <f>COUNTIFS(Tabelle132456891011121314151617[Team],$C9,Tabelle132456891011121314151617[Status],$E$5)</f>
        <v>14</v>
      </c>
      <c r="F9" s="68">
        <f>SUMIFS(Tabelle132456891011121314151617[Jira Story Points],Tabelle132456891011121314151617[Pulled after Start],"",Tabelle132456891011121314151617[Team],$C9)</f>
        <v>51</v>
      </c>
      <c r="G9" s="6">
        <f>SUMIFS(Tabelle132456891011121314151617[Jira Story Points],Tabelle132456891011121314151617[Pulled after Start],"yes",Tabelle132456891011121314151617[Team],$C9)</f>
        <v>123</v>
      </c>
      <c r="H9" s="7">
        <f>SUMIFS(Tabelle132456891011121314151617[Jira Story Points],Tabelle132456891011121314151617[Status],$H$5,Tabelle132456891011121314151617[Team],$C9)</f>
        <v>74</v>
      </c>
      <c r="I9" s="6">
        <f>SUMIFS(Tabelle132456891011121314151617[Jira Story Points],Tabelle132456891011121314151617[Status],$I$5,Tabelle132456891011121314151617[Team],$C9)</f>
        <v>41</v>
      </c>
      <c r="J9" s="6">
        <f>SUMIFS(Tabelle132456891011121314151617[Jira Story Points],Tabelle132456891011121314151617[Status],$J$5,Tabelle132456891011121314151617[Team],$C9)</f>
        <v>59</v>
      </c>
      <c r="K9" s="69">
        <f>SUMIFS(Tabelle132456891011121314151617[Jira Story Points],Tabelle132456891011121314151617[Team],$C9)</f>
        <v>174</v>
      </c>
      <c r="M9" s="6">
        <f>SUMIFS(Tabelle132456891011121314151617[COsSP Initially Planned],Tabelle132456891011121314151617[Pulled after Start],"",Tabelle132456891011121314151617[Team],$C9)</f>
        <v>21</v>
      </c>
      <c r="N9" s="6">
        <f>SUMIFS(Tabelle132456891011121314151617[COsSP Pulled after Start],Tabelle132456891011121314151617[Team],$C9)</f>
        <v>202</v>
      </c>
      <c r="O9" s="25">
        <f>SUMIFS(Tabelle132456891011121314151617[CSOsSP Completed],Tabelle132456891011121314151617[Team],$C9)</f>
        <v>178</v>
      </c>
      <c r="P9" s="25">
        <f>SUMIFS(Tabelle132456891011121314151617[CSOsSP Removed],Tabelle132456891011121314151617[Team],$C9)</f>
        <v>31</v>
      </c>
      <c r="Q9" s="41">
        <f>SUMIFS(Tabelle132456891011121314151617[CSOsSP Not Completed],Tabelle132456891011121314151617[Team],$C9)</f>
        <v>14</v>
      </c>
      <c r="R9" s="40">
        <f t="shared" si="0"/>
        <v>8.4761904761904763</v>
      </c>
      <c r="T9" s="43"/>
      <c r="V9"/>
      <c r="W9" t="s">
        <v>178</v>
      </c>
      <c r="X9" s="263">
        <v>5</v>
      </c>
      <c r="Y9" s="98">
        <v>2.403846153846154E-2</v>
      </c>
    </row>
    <row r="10" spans="2:25" ht="15">
      <c r="B10" s="415"/>
      <c r="C10" s="59" t="s">
        <v>32</v>
      </c>
      <c r="D10" s="61">
        <f>COUNTIFS(Tabelle132456891011121314151617[Team],$C10)</f>
        <v>29</v>
      </c>
      <c r="E10" s="74">
        <f>COUNTIFS(Tabelle132456891011121314151617[Team],$C10,Tabelle132456891011121314151617[Status],$E$5)</f>
        <v>9</v>
      </c>
      <c r="F10" s="68">
        <f>SUMIFS(Tabelle132456891011121314151617[Jira Story Points],Tabelle132456891011121314151617[Pulled after Start],"",Tabelle132456891011121314151617[Team],$C10)</f>
        <v>85</v>
      </c>
      <c r="G10" s="6">
        <f>SUMIFS(Tabelle132456891011121314151617[Jira Story Points],Tabelle132456891011121314151617[Pulled after Start],"yes",Tabelle132456891011121314151617[Team],$C10)</f>
        <v>64</v>
      </c>
      <c r="H10" s="7">
        <f>SUMIFS(Tabelle132456891011121314151617[Jira Story Points],Tabelle132456891011121314151617[Status],$H$5,Tabelle132456891011121314151617[Team],$C10)</f>
        <v>59</v>
      </c>
      <c r="I10" s="6">
        <f>SUMIFS(Tabelle132456891011121314151617[Jira Story Points],Tabelle132456891011121314151617[Status],$I$5,Tabelle132456891011121314151617[Team],$C10)</f>
        <v>28</v>
      </c>
      <c r="J10" s="6">
        <f>SUMIFS(Tabelle132456891011121314151617[Jira Story Points],Tabelle132456891011121314151617[Status],$J$5,Tabelle132456891011121314151617[Team],$C10)</f>
        <v>62</v>
      </c>
      <c r="K10" s="69">
        <f>SUMIFS(Tabelle132456891011121314151617[Jira Story Points],Tabelle132456891011121314151617[Team],$C10)</f>
        <v>149</v>
      </c>
      <c r="M10" s="6">
        <f>SUMIFS(Tabelle132456891011121314151617[COsSP Initially Planned],Tabelle132456891011121314151617[Pulled after Start],"",Tabelle132456891011121314151617[Team],$C10)</f>
        <v>68</v>
      </c>
      <c r="N10" s="6">
        <f>SUMIFS(Tabelle132456891011121314151617[COsSP Pulled after Start],Tabelle132456891011121314151617[Team],$C10)</f>
        <v>168</v>
      </c>
      <c r="O10" s="25">
        <f>SUMIFS(Tabelle132456891011121314151617[CSOsSP Completed],Tabelle132456891011121314151617[Team],$C10)</f>
        <v>190</v>
      </c>
      <c r="P10" s="25">
        <f>SUMIFS(Tabelle132456891011121314151617[CSOsSP Removed],Tabelle132456891011121314151617[Team],$C10)</f>
        <v>34</v>
      </c>
      <c r="Q10" s="41">
        <f>SUMIFS(Tabelle132456891011121314151617[CSOsSP Not Completed],Tabelle132456891011121314151617[Team],$C10)</f>
        <v>12</v>
      </c>
      <c r="R10" s="40">
        <f>IFERROR(O10/$M10," ")</f>
        <v>2.7941176470588234</v>
      </c>
      <c r="T10" s="43"/>
      <c r="V10"/>
      <c r="W10" t="s">
        <v>179</v>
      </c>
      <c r="X10" s="263">
        <v>8</v>
      </c>
      <c r="Y10" s="98">
        <v>3.8461538461538464E-2</v>
      </c>
    </row>
    <row r="11" spans="2:25" ht="15">
      <c r="B11" s="415"/>
      <c r="C11" s="59" t="s">
        <v>24</v>
      </c>
      <c r="D11" s="61">
        <f>COUNTIFS(Tabelle132456891011121314151617[Team],$C11)</f>
        <v>28</v>
      </c>
      <c r="E11" s="74">
        <f>COUNTIFS(Tabelle132456891011121314151617[Team],$C11,Tabelle132456891011121314151617[Status],$E$5)</f>
        <v>7</v>
      </c>
      <c r="F11" s="68">
        <f>SUMIFS(Tabelle132456891011121314151617[Jira Story Points],Tabelle132456891011121314151617[Pulled after Start],"",Tabelle132456891011121314151617[Team],$C11)</f>
        <v>103</v>
      </c>
      <c r="G11" s="6">
        <f>SUMIFS(Tabelle132456891011121314151617[Jira Story Points],Tabelle132456891011121314151617[Pulled after Start],"yes",Tabelle132456891011121314151617[Team],$C11)</f>
        <v>49</v>
      </c>
      <c r="H11" s="7">
        <f>SUMIFS(Tabelle132456891011121314151617[Jira Story Points],Tabelle132456891011121314151617[Status],$H$5,Tabelle132456891011121314151617[Team],$C11)</f>
        <v>36</v>
      </c>
      <c r="I11" s="6">
        <f>SUMIFS(Tabelle132456891011121314151617[Jira Story Points],Tabelle132456891011121314151617[Status],$I$5,Tabelle132456891011121314151617[Team],$C11)</f>
        <v>83</v>
      </c>
      <c r="J11" s="6">
        <f>SUMIFS(Tabelle132456891011121314151617[Jira Story Points],Tabelle132456891011121314151617[Status],$J$5,Tabelle132456891011121314151617[Team],$C11)</f>
        <v>33</v>
      </c>
      <c r="K11" s="69">
        <f>SUMIFS(Tabelle132456891011121314151617[Jira Story Points],Tabelle132456891011121314151617[Team],$C11)</f>
        <v>152</v>
      </c>
      <c r="M11" s="6">
        <f>SUMIFS(Tabelle132456891011121314151617[COsSP Initially Planned],Tabelle132456891011121314151617[Pulled after Start],"",Tabelle132456891011121314151617[Team],$C11)</f>
        <v>78</v>
      </c>
      <c r="N11" s="6">
        <f>SUMIFS(Tabelle132456891011121314151617[COsSP Pulled after Start],Tabelle132456891011121314151617[Team],$C11)</f>
        <v>162</v>
      </c>
      <c r="O11" s="25">
        <f>SUMIFS(Tabelle132456891011121314151617[CSOsSP Completed],Tabelle132456891011121314151617[Team],$C11)</f>
        <v>162</v>
      </c>
      <c r="P11" s="25">
        <f>SUMIFS(Tabelle132456891011121314151617[CSOsSP Removed],Tabelle132456891011121314151617[Team],$C11)</f>
        <v>15</v>
      </c>
      <c r="Q11" s="41">
        <f>SUMIFS(Tabelle132456891011121314151617[CSOsSP Not Completed],Tabelle132456891011121314151617[Team],$C11)</f>
        <v>63</v>
      </c>
      <c r="R11" s="40">
        <f t="shared" si="0"/>
        <v>2.0769230769230771</v>
      </c>
      <c r="T11" s="43"/>
      <c r="V11"/>
      <c r="W11" t="s">
        <v>180</v>
      </c>
      <c r="X11" s="263">
        <v>22</v>
      </c>
      <c r="Y11" s="98">
        <v>0.10576923076923077</v>
      </c>
    </row>
    <row r="12" spans="2:25" ht="15">
      <c r="B12" s="415"/>
      <c r="C12" s="59" t="s">
        <v>17</v>
      </c>
      <c r="D12" s="61">
        <f>COUNTIFS(Tabelle132456891011121314151617[Team],$C12)</f>
        <v>29</v>
      </c>
      <c r="E12" s="74">
        <f>COUNTIFS(Tabelle132456891011121314151617[Team],$C12,Tabelle132456891011121314151617[Status],$E$5)</f>
        <v>12</v>
      </c>
      <c r="F12" s="68">
        <f>SUMIFS(Tabelle132456891011121314151617[Jira Story Points],Tabelle132456891011121314151617[Pulled after Start],"",Tabelle132456891011121314151617[Team],$C12)</f>
        <v>38</v>
      </c>
      <c r="G12" s="6">
        <f>SUMIFS(Tabelle132456891011121314151617[Jira Story Points],Tabelle132456891011121314151617[Pulled after Start],"yes",Tabelle132456891011121314151617[Team],$C12)</f>
        <v>163</v>
      </c>
      <c r="H12" s="7">
        <f>SUMIFS(Tabelle132456891011121314151617[Jira Story Points],Tabelle132456891011121314151617[Status],$H$5,Tabelle132456891011121314151617[Team],$C12)</f>
        <v>69</v>
      </c>
      <c r="I12" s="6">
        <f>SUMIFS(Tabelle132456891011121314151617[Jira Story Points],Tabelle132456891011121314151617[Status],$I$5,Tabelle132456891011121314151617[Team],$C12)</f>
        <v>70</v>
      </c>
      <c r="J12" s="6">
        <f>SUMIFS(Tabelle132456891011121314151617[Jira Story Points],Tabelle132456891011121314151617[Status],$J$5,Tabelle132456891011121314151617[Team],$C12)</f>
        <v>62</v>
      </c>
      <c r="K12" s="69">
        <f>SUMIFS(Tabelle132456891011121314151617[Jira Story Points],Tabelle132456891011121314151617[Team],$C12)</f>
        <v>201</v>
      </c>
      <c r="M12" s="6">
        <f>SUMIFS(Tabelle132456891011121314151617[COsSP Initially Planned],Tabelle132456891011121314151617[Pulled after Start],"",Tabelle132456891011121314151617[Team],$C12)</f>
        <v>34</v>
      </c>
      <c r="N12" s="6">
        <f>SUMIFS(Tabelle132456891011121314151617[COsSP Pulled after Start],Tabelle132456891011121314151617[Team],$C12)</f>
        <v>234</v>
      </c>
      <c r="O12" s="25">
        <f>SUMIFS(Tabelle132456891011121314151617[CSOsSP Completed],Tabelle132456891011121314151617[Team],$C12)</f>
        <v>156</v>
      </c>
      <c r="P12" s="25">
        <f>SUMIFS(Tabelle132456891011121314151617[CSOsSP Removed],Tabelle132456891011121314151617[Team],$C12)</f>
        <v>43</v>
      </c>
      <c r="Q12" s="41">
        <f>SUMIFS(Tabelle132456891011121314151617[CSOsSP Not Completed],Tabelle132456891011121314151617[Team],$C12)</f>
        <v>69</v>
      </c>
      <c r="R12" s="40">
        <f t="shared" si="0"/>
        <v>4.5882352941176467</v>
      </c>
      <c r="T12" s="43"/>
      <c r="V12"/>
      <c r="W12" t="s">
        <v>181</v>
      </c>
      <c r="X12" s="263">
        <v>13</v>
      </c>
      <c r="Y12" s="98">
        <v>6.25E-2</v>
      </c>
    </row>
    <row r="13" spans="2:25" ht="15">
      <c r="B13" s="415"/>
      <c r="C13" s="64" t="s">
        <v>107</v>
      </c>
      <c r="D13" s="61">
        <f>COUNTIFS(Tabelle132456891011121314151617[Team],$C13)</f>
        <v>35</v>
      </c>
      <c r="E13" s="74">
        <f>COUNTIFS(Tabelle132456891011121314151617[Team],$C13,Tabelle132456891011121314151617[Status],$E$5)</f>
        <v>9</v>
      </c>
      <c r="F13" s="68">
        <f>SUMIFS(Tabelle132456891011121314151617[Jira Story Points],Tabelle132456891011121314151617[Pulled after Start],"",Tabelle132456891011121314151617[Team],$C13)</f>
        <v>90</v>
      </c>
      <c r="G13" s="6">
        <f>SUMIFS(Tabelle132456891011121314151617[Jira Story Points],Tabelle132456891011121314151617[Pulled after Start],"yes",Tabelle132456891011121314151617[Team],$C13)</f>
        <v>103</v>
      </c>
      <c r="H13" s="7">
        <f>SUMIFS(Tabelle132456891011121314151617[Jira Story Points],Tabelle132456891011121314151617[Status],$H$5,Tabelle132456891011121314151617[Team],$C13)</f>
        <v>44</v>
      </c>
      <c r="I13" s="6">
        <f>SUMIFS(Tabelle132456891011121314151617[Jira Story Points],Tabelle132456891011121314151617[Status],$I$5,Tabelle132456891011121314151617[Team],$C13)</f>
        <v>57</v>
      </c>
      <c r="J13" s="6">
        <f>SUMIFS(Tabelle132456891011121314151617[Jira Story Points],Tabelle132456891011121314151617[Status],$J$5,Tabelle132456891011121314151617[Team],$C13)</f>
        <v>92</v>
      </c>
      <c r="K13" s="69">
        <f>SUMIFS(Tabelle132456891011121314151617[Jira Story Points],Tabelle132456891011121314151617[Team],$C13)</f>
        <v>193</v>
      </c>
      <c r="M13" s="6">
        <f>SUMIFS(Tabelle132456891011121314151617[COsSP Initially Planned],Tabelle132456891011121314151617[Pulled after Start],"",Tabelle132456891011121314151617[Team],$C13)</f>
        <v>52</v>
      </c>
      <c r="N13" s="6">
        <f>SUMIFS(Tabelle132456891011121314151617[COsSP Pulled after Start],Tabelle132456891011121314151617[Team],$C13)</f>
        <v>219</v>
      </c>
      <c r="O13" s="25">
        <f>SUMIFS(Tabelle132456891011121314151617[CSOsSP Completed],Tabelle132456891011121314151617[Team],$C13)</f>
        <v>208</v>
      </c>
      <c r="P13" s="25">
        <f>SUMIFS(Tabelle132456891011121314151617[CSOsSP Removed],Tabelle132456891011121314151617[Team],$C13)</f>
        <v>61</v>
      </c>
      <c r="Q13" s="41">
        <f>SUMIFS(Tabelle132456891011121314151617[CSOsSP Not Completed],Tabelle132456891011121314151617[Team],$C13)</f>
        <v>2</v>
      </c>
      <c r="R13" s="40">
        <f>IFERROR(O13/$M13," ")</f>
        <v>4</v>
      </c>
      <c r="T13" s="43"/>
      <c r="V13"/>
      <c r="W13" t="s">
        <v>182</v>
      </c>
      <c r="X13" s="263">
        <v>16</v>
      </c>
      <c r="Y13" s="98">
        <v>7.6923076923076927E-2</v>
      </c>
    </row>
    <row r="14" spans="2:25" ht="15">
      <c r="B14" s="415"/>
      <c r="C14" s="41" t="s">
        <v>21</v>
      </c>
      <c r="D14" s="61">
        <f>COUNTIFS(Tabelle132456891011121314151617[Team],$C14)</f>
        <v>24</v>
      </c>
      <c r="E14" s="74">
        <f>COUNTIFS(Tabelle132456891011121314151617[Team],$C14,Tabelle132456891011121314151617[Status],$E$5)</f>
        <v>8</v>
      </c>
      <c r="F14" s="68">
        <f>SUMIFS(Tabelle132456891011121314151617[Jira Story Points],Tabelle132456891011121314151617[Pulled after Start],"",Tabelle132456891011121314151617[Team],$C14)</f>
        <v>80</v>
      </c>
      <c r="G14" s="6">
        <f>SUMIFS(Tabelle132456891011121314151617[Jira Story Points],Tabelle132456891011121314151617[Pulled after Start],"yes",Tabelle132456891011121314151617[Team],$C14)</f>
        <v>67</v>
      </c>
      <c r="H14" s="7">
        <f>SUMIFS(Tabelle132456891011121314151617[Jira Story Points],Tabelle132456891011121314151617[Status],$H$5,Tabelle132456891011121314151617[Team],$C14)</f>
        <v>39</v>
      </c>
      <c r="I14" s="6">
        <f>SUMIFS(Tabelle132456891011121314151617[Jira Story Points],Tabelle132456891011121314151617[Status],$I$5,Tabelle132456891011121314151617[Team],$C14)</f>
        <v>59</v>
      </c>
      <c r="J14" s="6">
        <f>SUMIFS(Tabelle132456891011121314151617[Jira Story Points],Tabelle132456891011121314151617[Status],$J$5,Tabelle132456891011121314151617[Team],$C14)</f>
        <v>49</v>
      </c>
      <c r="K14" s="69">
        <f>SUMIFS(Tabelle132456891011121314151617[Jira Story Points],Tabelle132456891011121314151617[Team],$C14)</f>
        <v>147</v>
      </c>
      <c r="M14" s="6">
        <f>SUMIFS(Tabelle132456891011121314151617[COsSP Initially Planned],Tabelle132456891011121314151617[Pulled after Start],"",Tabelle132456891011121314151617[Team],$C14)</f>
        <v>37</v>
      </c>
      <c r="N14" s="6">
        <f>SUMIFS(Tabelle132456891011121314151617[COsSP Pulled after Start],Tabelle132456891011121314151617[Team],$C14)</f>
        <v>128</v>
      </c>
      <c r="O14" s="25">
        <f>SUMIFS(Tabelle132456891011121314151617[CSOsSP Completed],Tabelle132456891011121314151617[Team],$C14)</f>
        <v>133</v>
      </c>
      <c r="P14" s="25">
        <f>SUMIFS(Tabelle132456891011121314151617[CSOsSP Removed],Tabelle132456891011121314151617[Team],$C14)</f>
        <v>7</v>
      </c>
      <c r="Q14" s="41">
        <f>SUMIFS(Tabelle132456891011121314151617[CSOsSP Not Completed],Tabelle132456891011121314151617[Team],$C14)</f>
        <v>25</v>
      </c>
      <c r="R14" s="40">
        <f t="shared" si="0"/>
        <v>3.5945945945945947</v>
      </c>
      <c r="T14" s="43"/>
      <c r="V14"/>
      <c r="W14" t="s">
        <v>183</v>
      </c>
      <c r="X14" s="263">
        <v>67</v>
      </c>
      <c r="Y14" s="98">
        <v>0.32211538461538464</v>
      </c>
    </row>
    <row r="15" spans="2:25" ht="15">
      <c r="B15" s="415"/>
      <c r="C15" s="41" t="s">
        <v>9</v>
      </c>
      <c r="D15" s="61">
        <f>COUNTIFS(Tabelle132456891011121314151617[Team],$C15)</f>
        <v>25</v>
      </c>
      <c r="E15" s="74">
        <f>COUNTIFS(Tabelle132456891011121314151617[Team],$C15,Tabelle132456891011121314151617[Status],$E$5)</f>
        <v>7</v>
      </c>
      <c r="F15" s="68">
        <f>SUMIFS(Tabelle132456891011121314151617[Jira Story Points],Tabelle132456891011121314151617[Pulled after Start],"",Tabelle132456891011121314151617[Team],$C15)</f>
        <v>93</v>
      </c>
      <c r="G15" s="6">
        <f>SUMIFS(Tabelle132456891011121314151617[Jira Story Points],Tabelle132456891011121314151617[Pulled after Start],"yes",Tabelle132456891011121314151617[Team],$C15)</f>
        <v>46</v>
      </c>
      <c r="H15" s="7">
        <f>SUMIFS(Tabelle132456891011121314151617[Jira Story Points],Tabelle132456891011121314151617[Status],$H$5,Tabelle132456891011121314151617[Team],$C15)</f>
        <v>41</v>
      </c>
      <c r="I15" s="6">
        <f>SUMIFS(Tabelle132456891011121314151617[Jira Story Points],Tabelle132456891011121314151617[Status],$I$5,Tabelle132456891011121314151617[Team],$C15)</f>
        <v>80</v>
      </c>
      <c r="J15" s="6">
        <f>SUMIFS(Tabelle132456891011121314151617[Jira Story Points],Tabelle132456891011121314151617[Status],$J$5,Tabelle132456891011121314151617[Team],$C15)</f>
        <v>18</v>
      </c>
      <c r="K15" s="69">
        <f>SUMIFS(Tabelle132456891011121314151617[Jira Story Points],Tabelle132456891011121314151617[Team],$C15)</f>
        <v>139</v>
      </c>
      <c r="M15" s="6">
        <f>SUMIFS(Tabelle132456891011121314151617[COsSP Initially Planned],Tabelle132456891011121314151617[Pulled after Start],"",Tabelle132456891011121314151617[Team],$C15)</f>
        <v>76</v>
      </c>
      <c r="N15" s="6">
        <f>SUMIFS(Tabelle132456891011121314151617[COsSP Pulled after Start],Tabelle132456891011121314151617[Team],$C15)</f>
        <v>146</v>
      </c>
      <c r="O15" s="25">
        <f>SUMIFS(Tabelle132456891011121314151617[CSOsSP Completed],Tabelle132456891011121314151617[Team],$C15)</f>
        <v>171</v>
      </c>
      <c r="P15" s="25">
        <f>SUMIFS(Tabelle132456891011121314151617[CSOsSP Removed],Tabelle132456891011121314151617[Team],$C15)</f>
        <v>23</v>
      </c>
      <c r="Q15" s="41">
        <f>SUMIFS(Tabelle132456891011121314151617[CSOsSP Not Completed],Tabelle132456891011121314151617[Team],$C15)</f>
        <v>28</v>
      </c>
      <c r="R15" s="40">
        <f t="shared" si="0"/>
        <v>2.25</v>
      </c>
      <c r="T15" s="43"/>
      <c r="V15"/>
      <c r="W15" t="s">
        <v>184</v>
      </c>
      <c r="X15" s="263">
        <v>8</v>
      </c>
      <c r="Y15" s="98">
        <v>3.8461538461538464E-2</v>
      </c>
    </row>
    <row r="16" spans="2:25" ht="15.75" thickBot="1">
      <c r="C16" s="65" t="s">
        <v>172</v>
      </c>
      <c r="D16" s="62">
        <f t="shared" ref="D16:K16" si="1">SUM(D6:D13)</f>
        <v>221</v>
      </c>
      <c r="E16" s="75">
        <f t="shared" si="1"/>
        <v>75</v>
      </c>
      <c r="F16" s="62">
        <f t="shared" si="1"/>
        <v>637</v>
      </c>
      <c r="G16" s="70">
        <f t="shared" si="1"/>
        <v>697</v>
      </c>
      <c r="H16" s="71">
        <f t="shared" si="1"/>
        <v>460</v>
      </c>
      <c r="I16" s="71">
        <f t="shared" si="1"/>
        <v>401</v>
      </c>
      <c r="J16" s="71">
        <f t="shared" si="1"/>
        <v>473</v>
      </c>
      <c r="K16" s="72">
        <f t="shared" si="1"/>
        <v>1334</v>
      </c>
      <c r="M16" s="23">
        <f t="shared" ref="M16:N16" si="2">SUM(M6:M13)</f>
        <v>382</v>
      </c>
      <c r="N16" s="21">
        <f t="shared" si="2"/>
        <v>1283</v>
      </c>
      <c r="O16" s="31">
        <f>SUM(O6:O13)</f>
        <v>1172</v>
      </c>
      <c r="P16" s="31">
        <f>SUM(P6:P13)</f>
        <v>258</v>
      </c>
      <c r="Q16" s="22">
        <f>SUM(Q6:Q13)</f>
        <v>235</v>
      </c>
      <c r="R16" s="38" t="s">
        <v>185</v>
      </c>
      <c r="T16" s="42"/>
      <c r="U16" s="42"/>
      <c r="V16" t="s">
        <v>35</v>
      </c>
      <c r="W16"/>
      <c r="X16" s="263">
        <v>68</v>
      </c>
      <c r="Y16" s="98">
        <v>4.6070460704607047E-2</v>
      </c>
    </row>
    <row r="17" spans="1:25" ht="15">
      <c r="T17" s="5"/>
      <c r="U17" s="5"/>
      <c r="V17"/>
      <c r="W17" t="s">
        <v>175</v>
      </c>
      <c r="X17" s="263">
        <v>0</v>
      </c>
      <c r="Y17" s="98">
        <v>0</v>
      </c>
    </row>
    <row r="18" spans="1:25" ht="15">
      <c r="T18" s="5"/>
      <c r="U18" s="5"/>
      <c r="V18"/>
      <c r="W18" t="s">
        <v>176</v>
      </c>
      <c r="X18" s="263">
        <v>6</v>
      </c>
      <c r="Y18" s="98">
        <v>8.8235294117647065E-2</v>
      </c>
    </row>
    <row r="19" spans="1:25" ht="15">
      <c r="T19" s="5"/>
      <c r="U19" s="5"/>
      <c r="V19"/>
      <c r="W19" t="s">
        <v>177</v>
      </c>
      <c r="X19" s="263">
        <v>-4</v>
      </c>
      <c r="Y19" s="98">
        <v>-5.8823529411764705E-2</v>
      </c>
    </row>
    <row r="20" spans="1:25" ht="15">
      <c r="T20" s="5"/>
      <c r="U20" s="5"/>
      <c r="V20"/>
      <c r="W20" t="s">
        <v>178</v>
      </c>
      <c r="X20" s="263">
        <v>5</v>
      </c>
      <c r="Y20" s="98">
        <v>7.3529411764705885E-2</v>
      </c>
    </row>
    <row r="21" spans="1:25" ht="15">
      <c r="C21" s="33" t="s">
        <v>186</v>
      </c>
      <c r="D21" s="9"/>
      <c r="E21" s="9"/>
      <c r="F21" s="9"/>
      <c r="G21" s="9"/>
      <c r="H21" s="9"/>
      <c r="I21" s="9"/>
      <c r="J21" s="9"/>
      <c r="K21" s="9"/>
      <c r="L21" s="9"/>
      <c r="M21" s="9"/>
      <c r="N21" s="9"/>
      <c r="O21" s="9"/>
      <c r="T21" s="5"/>
      <c r="U21" s="5"/>
      <c r="V21"/>
      <c r="W21" t="s">
        <v>179</v>
      </c>
      <c r="X21" s="263">
        <v>5</v>
      </c>
      <c r="Y21" s="98">
        <v>7.3529411764705885E-2</v>
      </c>
    </row>
    <row r="22" spans="1:25" ht="15">
      <c r="C22" s="10"/>
      <c r="D22" s="425" t="s">
        <v>187</v>
      </c>
      <c r="E22" s="425"/>
      <c r="F22" s="425" t="s">
        <v>106</v>
      </c>
      <c r="G22" s="425"/>
      <c r="H22" s="425" t="s">
        <v>172</v>
      </c>
      <c r="I22" s="425"/>
      <c r="J22" s="426" t="s">
        <v>188</v>
      </c>
      <c r="K22" s="426"/>
      <c r="L22" s="426" t="s">
        <v>189</v>
      </c>
      <c r="M22" s="426"/>
      <c r="N22" s="416" t="s">
        <v>172</v>
      </c>
      <c r="O22" s="416"/>
      <c r="V22"/>
      <c r="W22" t="s">
        <v>180</v>
      </c>
      <c r="X22" s="263">
        <v>21</v>
      </c>
      <c r="Y22" s="98">
        <v>0.30882352941176472</v>
      </c>
    </row>
    <row r="23" spans="1:25" ht="15">
      <c r="C23" s="10"/>
      <c r="D23" s="11" t="s">
        <v>190</v>
      </c>
      <c r="E23" s="12" t="s">
        <v>191</v>
      </c>
      <c r="F23" s="11" t="s">
        <v>190</v>
      </c>
      <c r="G23" s="12" t="s">
        <v>191</v>
      </c>
      <c r="H23" s="12" t="s">
        <v>190</v>
      </c>
      <c r="I23" s="12" t="s">
        <v>191</v>
      </c>
      <c r="J23" s="34" t="s">
        <v>190</v>
      </c>
      <c r="K23" s="13" t="s">
        <v>191</v>
      </c>
      <c r="L23" s="14" t="s">
        <v>190</v>
      </c>
      <c r="M23" s="14" t="s">
        <v>191</v>
      </c>
      <c r="N23" s="14" t="s">
        <v>190</v>
      </c>
      <c r="O23" s="14" t="s">
        <v>191</v>
      </c>
      <c r="V23"/>
      <c r="W23" t="s">
        <v>181</v>
      </c>
      <c r="X23" s="263">
        <v>8</v>
      </c>
      <c r="Y23" s="98">
        <v>0.11764705882352941</v>
      </c>
    </row>
    <row r="24" spans="1:25" ht="15">
      <c r="C24" s="15" t="s">
        <v>192</v>
      </c>
      <c r="D24" s="7">
        <f>COUNTIFS(Tabelle132456891011121314151617[Team],"*",Tabelle132456891011121314151617[Pulled after Start],"&lt;&gt;yes")</f>
        <v>135</v>
      </c>
      <c r="E24" s="7">
        <f>SUMIFS(Tabelle132456891011121314151617[Jira Story Points],Tabelle132456891011121314151617[Team],"*",Tabelle132456891011121314151617[Pulled after Start],"&lt;&gt;yes")+COUNTIFS(Tabelle132456891011121314151617[Team],"*",Tabelle132456891011121314151617[Jira Story Points],"-",Tabelle132456891011121314151617[Pulled after Start],"&lt;&gt;yes")*$M$28</f>
        <v>900</v>
      </c>
      <c r="F24" s="7">
        <f>COUNTIF(Tabelle132456891011121314151617[Pulled after Start],"yes")</f>
        <v>135</v>
      </c>
      <c r="G24" s="7">
        <f>SUMIFS(Tabelle132456891011121314151617[Jira Story Points],Tabelle132456891011121314151617[Team],"*",Tabelle132456891011121314151617[Pulled after Start],"yes")+COUNTIFS(Tabelle132456891011121314151617[Team],"*",Tabelle132456891011121314151617[Jira Story Points],"-",Tabelle132456891011121314151617[Pulled after Start],"yes")*$M$28</f>
        <v>900</v>
      </c>
      <c r="H24" s="7">
        <f t="shared" ref="H24:I27" si="3">D24+F24</f>
        <v>270</v>
      </c>
      <c r="I24" s="7">
        <f t="shared" si="3"/>
        <v>1800</v>
      </c>
      <c r="J24" s="7">
        <f>COUNTIFS(Tabelle132456891011121314151617[Team],"*",Tabelle132456891011121314151617[Jira Story Points],"&lt;&gt;-")</f>
        <v>180</v>
      </c>
      <c r="K24" s="16">
        <f>SUMIFS(Tabelle132456891011121314151617[Jira Story Points],Tabelle132456891011121314151617[Team],"*",Tabelle132456891011121314151617[Jira Story Points],"&lt;&gt;-")</f>
        <v>1620</v>
      </c>
      <c r="L24" s="8">
        <f>COUNTIFS(Tabelle132456891011121314151617[Team],"*",Tabelle132456891011121314151617[Jira Story Points],"-")</f>
        <v>90</v>
      </c>
      <c r="M24" s="8">
        <f>L24*$M$28</f>
        <v>180</v>
      </c>
      <c r="N24" s="35">
        <f t="shared" ref="N24:O27" si="4">J24+L24</f>
        <v>270</v>
      </c>
      <c r="O24" s="7">
        <f t="shared" si="4"/>
        <v>1800</v>
      </c>
      <c r="V24"/>
      <c r="W24" t="s">
        <v>182</v>
      </c>
      <c r="X24" s="263">
        <v>0</v>
      </c>
      <c r="Y24" s="98">
        <v>0</v>
      </c>
    </row>
    <row r="25" spans="1:25" ht="15">
      <c r="C25" s="15" t="s">
        <v>125</v>
      </c>
      <c r="D25" s="7">
        <f>COUNTIFS(Tabelle132456891011121314151617[Team],"*",Tabelle132456891011121314151617[Pulled after Start],"&lt;&gt;yes",Tabelle132456891011121314151617[Status],H5)</f>
        <v>45</v>
      </c>
      <c r="E25" s="7">
        <f>SUMIFS(Tabelle132456891011121314151617[Jira Story Points],Tabelle132456891011121314151617[Team],"*",Tabelle132456891011121314151617[Pulled after Start],"&lt;&gt;yes",Tabelle132456891011121314151617[Status],H5)+COUNTIFS(Tabelle132456891011121314151617[Team],"*",Tabelle132456891011121314151617[Jira Story Points],"-",Tabelle132456891011121314151617[Pulled after Start],"&lt;&gt;yes",Tabelle132456891011121314151617[Status],H5)*$M$28</f>
        <v>300</v>
      </c>
      <c r="F25" s="7">
        <f>COUNTIFS(Tabelle132456891011121314151617[Pulled after Start],"yes",Tabelle132456891011121314151617[Status],H5)</f>
        <v>45</v>
      </c>
      <c r="G25" s="7">
        <f>SUMIFS(Tabelle132456891011121314151617[Jira Story Points],Tabelle132456891011121314151617[Team],"*",Tabelle132456891011121314151617[Pulled after Start],"yes",Tabelle132456891011121314151617[Status],H5)+COUNTIFS(Tabelle132456891011121314151617[Team],"*",Tabelle132456891011121314151617[Jira Story Points],"-",Tabelle132456891011121314151617[Pulled after Start],"yes",Tabelle132456891011121314151617[Status],H5)*$M$28</f>
        <v>300</v>
      </c>
      <c r="H25" s="7">
        <f t="shared" si="3"/>
        <v>90</v>
      </c>
      <c r="I25" s="7">
        <f t="shared" si="3"/>
        <v>600</v>
      </c>
      <c r="J25" s="7">
        <f>COUNTIFS(Tabelle132456891011121314151617[Team],"*",Tabelle132456891011121314151617[Jira Story Points],"&lt;&gt;-",Tabelle132456891011121314151617[Status],H5)</f>
        <v>60</v>
      </c>
      <c r="K25" s="7">
        <f>SUMIFS(Tabelle132456891011121314151617[Jira Story Points],Tabelle132456891011121314151617[Team],"*",Tabelle132456891011121314151617[Jira Story Points],"&lt;&gt;-",Tabelle132456891011121314151617[Status],H5)</f>
        <v>540</v>
      </c>
      <c r="L25" s="17">
        <f>COUNTIFS(Tabelle132456891011121314151617[Team],"*",Tabelle132456891011121314151617[Jira Story Points],"-",Tabelle132456891011121314151617[Status],H5)</f>
        <v>30</v>
      </c>
      <c r="M25" s="8">
        <f>L25*$M$28</f>
        <v>60</v>
      </c>
      <c r="N25" s="7">
        <f t="shared" si="4"/>
        <v>90</v>
      </c>
      <c r="O25" s="7">
        <f t="shared" si="4"/>
        <v>600</v>
      </c>
      <c r="V25"/>
      <c r="W25" t="s">
        <v>183</v>
      </c>
      <c r="X25" s="263">
        <v>21</v>
      </c>
      <c r="Y25" s="98">
        <v>0.30882352941176472</v>
      </c>
    </row>
    <row r="26" spans="1:25" ht="15">
      <c r="C26" s="15" t="s">
        <v>127</v>
      </c>
      <c r="D26" s="7">
        <f>COUNTIFS(Tabelle132456891011121314151617[Team],"*",Tabelle132456891011121314151617[Pulled after Start],"&lt;&gt;yes",Tabelle132456891011121314151617[Status],I5)</f>
        <v>45</v>
      </c>
      <c r="E26" s="7">
        <f>SUMIFS(Tabelle132456891011121314151617[Jira Story Points],Tabelle132456891011121314151617[Team],"*",Tabelle132456891011121314151617[Pulled after Start],"&lt;&gt;yes",Tabelle132456891011121314151617[Status],I5)+COUNTIFS(Tabelle132456891011121314151617[Team],"*",Tabelle132456891011121314151617[Jira Story Points],"-",Tabelle132456891011121314151617[Pulled after Start],"&lt;&gt;yes",Tabelle132456891011121314151617[Status],I5)*$M$28</f>
        <v>300</v>
      </c>
      <c r="F26" s="7">
        <f>COUNTIFS(Tabelle132456891011121314151617[Pulled after Start],"yes",Tabelle132456891011121314151617[Status],I5)</f>
        <v>45</v>
      </c>
      <c r="G26" s="7">
        <f>SUMIFS(Tabelle132456891011121314151617[Jira Story Points],Tabelle132456891011121314151617[Team],"*",Tabelle132456891011121314151617[Pulled after Start],"yes",Tabelle132456891011121314151617[Status],I5)+COUNTIFS(Tabelle132456891011121314151617[Team],"*",Tabelle132456891011121314151617[Jira Story Points],"-",Tabelle132456891011121314151617[Pulled after Start],"yes",Tabelle132456891011121314151617[Status],I5)*$M$28</f>
        <v>300</v>
      </c>
      <c r="H26" s="7">
        <f t="shared" si="3"/>
        <v>90</v>
      </c>
      <c r="I26" s="7">
        <f t="shared" si="3"/>
        <v>600</v>
      </c>
      <c r="J26" s="7">
        <f>COUNTIFS(Tabelle132456891011121314151617[Team],"*",Tabelle132456891011121314151617[Jira Story Points],"&lt;&gt;-",Tabelle132456891011121314151617[Status],I5)</f>
        <v>60</v>
      </c>
      <c r="K26" s="7">
        <f>SUMIFS(Tabelle132456891011121314151617[Jira Story Points],Tabelle132456891011121314151617[Team],"*",Tabelle132456891011121314151617[Jira Story Points],"&lt;&gt;-",Tabelle132456891011121314151617[Status],I5)</f>
        <v>540</v>
      </c>
      <c r="L26" s="17">
        <f>COUNTIFS(Tabelle132456891011121314151617[Team],"*",Tabelle132456891011121314151617[Jira Story Points],"-",Tabelle132456891011121314151617[Status],I5)</f>
        <v>30</v>
      </c>
      <c r="M26" s="8">
        <f>L26*$M$28</f>
        <v>60</v>
      </c>
      <c r="N26" s="7">
        <f t="shared" si="4"/>
        <v>90</v>
      </c>
      <c r="O26" s="7">
        <f t="shared" si="4"/>
        <v>600</v>
      </c>
      <c r="V26"/>
      <c r="W26" t="s">
        <v>184</v>
      </c>
      <c r="X26" s="263">
        <v>6</v>
      </c>
      <c r="Y26" s="98">
        <v>8.8235294117647065E-2</v>
      </c>
    </row>
    <row r="27" spans="1:25" ht="15">
      <c r="C27" s="15" t="s">
        <v>126</v>
      </c>
      <c r="D27" s="7">
        <f>COUNTIFS(Tabelle132456891011121314151617[Team],"*",Tabelle132456891011121314151617[Pulled after Start],"&lt;&gt;yes",Tabelle132456891011121314151617[Status],J5)</f>
        <v>45</v>
      </c>
      <c r="E27" s="7">
        <f>SUMIFS(Tabelle132456891011121314151617[Jira Story Points],Tabelle132456891011121314151617[Team],"*",Tabelle132456891011121314151617[Pulled after Start],"&lt;&gt;yes",Tabelle132456891011121314151617[Status],J5)+COUNTIFS(Tabelle132456891011121314151617[Team],"*",Tabelle132456891011121314151617[Jira Story Points],"-",Tabelle132456891011121314151617[Pulled after Start],"&lt;&gt;yes",Tabelle132456891011121314151617[Status],J5)*$M$28</f>
        <v>300</v>
      </c>
      <c r="F27" s="7">
        <f>COUNTIFS(Tabelle132456891011121314151617[Pulled after Start],"yes",Tabelle132456891011121314151617[Status],J5)</f>
        <v>45</v>
      </c>
      <c r="G27" s="7">
        <f>SUMIFS(Tabelle132456891011121314151617[Jira Story Points],Tabelle132456891011121314151617[Team],"*",Tabelle132456891011121314151617[Pulled after Start],"yes",Tabelle132456891011121314151617[Status],J5)+COUNTIFS(Tabelle132456891011121314151617[Team],"*",Tabelle132456891011121314151617[Jira Story Points],"-",Tabelle132456891011121314151617[Pulled after Start],"yes",Tabelle132456891011121314151617[Status],J5)*$M$28</f>
        <v>300</v>
      </c>
      <c r="H27" s="7">
        <f t="shared" si="3"/>
        <v>90</v>
      </c>
      <c r="I27" s="7">
        <f t="shared" si="3"/>
        <v>600</v>
      </c>
      <c r="J27" s="7">
        <f>COUNTIFS(Tabelle132456891011121314151617[Team],"*",Tabelle132456891011121314151617[Jira Story Points],"&lt;&gt;-",Tabelle132456891011121314151617[Status],J5)</f>
        <v>60</v>
      </c>
      <c r="K27" s="7">
        <f>SUMIFS(Tabelle132456891011121314151617[Jira Story Points],Tabelle132456891011121314151617[Team],"*",Tabelle132456891011121314151617[Jira Story Points],"&lt;&gt;-",Tabelle132456891011121314151617[Status],J5)</f>
        <v>540</v>
      </c>
      <c r="L27" s="17">
        <f>COUNTIFS(Tabelle132456891011121314151617[Team],"*",Tabelle132456891011121314151617[Jira Story Points],"-",Tabelle132456891011121314151617[Status],J5)</f>
        <v>30</v>
      </c>
      <c r="M27" s="8">
        <f>L27*$M$28</f>
        <v>60</v>
      </c>
      <c r="N27" s="7">
        <f t="shared" si="4"/>
        <v>90</v>
      </c>
      <c r="O27" s="7">
        <f t="shared" si="4"/>
        <v>600</v>
      </c>
      <c r="V27" t="s">
        <v>9</v>
      </c>
      <c r="W27"/>
      <c r="X27" s="263">
        <v>171</v>
      </c>
      <c r="Y27" s="98">
        <v>0.11585365853658537</v>
      </c>
    </row>
    <row r="28" spans="1:25" ht="15.75" thickBot="1">
      <c r="C28" s="1"/>
      <c r="D28" s="1"/>
      <c r="E28" s="1"/>
      <c r="F28" s="1"/>
      <c r="G28" s="1"/>
      <c r="H28" s="1"/>
      <c r="I28" s="1"/>
      <c r="J28" s="1"/>
      <c r="K28" s="1"/>
      <c r="L28" s="24" t="s">
        <v>193</v>
      </c>
      <c r="M28" s="45">
        <v>2</v>
      </c>
      <c r="V28"/>
      <c r="W28" t="s">
        <v>175</v>
      </c>
      <c r="X28" s="263">
        <v>12</v>
      </c>
      <c r="Y28" s="98">
        <v>7.0175438596491224E-2</v>
      </c>
    </row>
    <row r="29" spans="1:25" ht="15.75" thickTop="1">
      <c r="V29"/>
      <c r="W29" t="s">
        <v>176</v>
      </c>
      <c r="X29" s="263">
        <v>21</v>
      </c>
      <c r="Y29" s="98">
        <v>0.12280701754385964</v>
      </c>
    </row>
    <row r="30" spans="1:25" ht="15">
      <c r="F30" s="28">
        <v>1</v>
      </c>
      <c r="H30" s="28">
        <v>4</v>
      </c>
      <c r="I30" s="28"/>
      <c r="J30" s="28"/>
      <c r="K30" s="28">
        <v>5</v>
      </c>
      <c r="L30" s="28">
        <v>2</v>
      </c>
      <c r="M30" s="28">
        <v>3</v>
      </c>
      <c r="V30"/>
      <c r="W30" t="s">
        <v>177</v>
      </c>
      <c r="X30" s="263">
        <v>19</v>
      </c>
      <c r="Y30" s="98">
        <v>0.1111111111111111</v>
      </c>
    </row>
    <row r="31" spans="1:25" s="201" customFormat="1" ht="27">
      <c r="A31" s="197" t="s">
        <v>194</v>
      </c>
      <c r="B31" s="197" t="s">
        <v>195</v>
      </c>
      <c r="C31" s="197" t="s">
        <v>196</v>
      </c>
      <c r="D31" s="197" t="s">
        <v>197</v>
      </c>
      <c r="E31" s="197" t="s">
        <v>198</v>
      </c>
      <c r="F31" s="197" t="s">
        <v>199</v>
      </c>
      <c r="G31" s="197" t="s">
        <v>167</v>
      </c>
      <c r="H31" s="197" t="s">
        <v>106</v>
      </c>
      <c r="I31" s="197" t="s">
        <v>200</v>
      </c>
      <c r="J31" s="197" t="s">
        <v>168</v>
      </c>
      <c r="K31" s="197" t="s">
        <v>201</v>
      </c>
      <c r="L31" s="197" t="s">
        <v>202</v>
      </c>
      <c r="M31" s="197" t="s">
        <v>203</v>
      </c>
      <c r="N31" s="198" t="s">
        <v>204</v>
      </c>
      <c r="O31" s="199" t="s">
        <v>205</v>
      </c>
      <c r="P31" s="199" t="s">
        <v>206</v>
      </c>
      <c r="Q31" s="200" t="s">
        <v>207</v>
      </c>
      <c r="R31" s="199" t="s">
        <v>208</v>
      </c>
      <c r="V31"/>
      <c r="W31" t="s">
        <v>178</v>
      </c>
      <c r="X31" s="263">
        <v>40</v>
      </c>
      <c r="Y31" s="98">
        <v>0.23391812865497075</v>
      </c>
    </row>
    <row r="32" spans="1:25" s="201" customFormat="1" ht="15">
      <c r="A32" s="215"/>
      <c r="B32" s="47"/>
      <c r="C32" s="203"/>
      <c r="D32" s="203"/>
      <c r="E32" s="203"/>
      <c r="F32" s="204">
        <v>5</v>
      </c>
      <c r="G32" s="203" t="s">
        <v>5</v>
      </c>
      <c r="H32" s="205" t="s">
        <v>209</v>
      </c>
      <c r="I32" s="206"/>
      <c r="J32" s="1" t="s">
        <v>183</v>
      </c>
      <c r="K32" s="203" t="s">
        <v>125</v>
      </c>
      <c r="L32" s="204">
        <v>0</v>
      </c>
      <c r="M32" s="204">
        <v>0</v>
      </c>
      <c r="N32" s="286">
        <f>IF(OR(Tabelle132456891011121314151617[[#This Row],[Pulled after Start]]="yes",Tabelle132456891011121314151617[[#This Row],[Jira Story Points]]="-"),0,MIN(Tabelle132456891011121314151617[[#This Row],[Jira Story Points]],Tabelle132456891011121314151617[[#This Row],[Carry-over]]))</f>
        <v>0</v>
      </c>
      <c r="O32" s="210">
        <f>SUM(IF(ISBLANK(Tabelle132456891011121314151617[[#This Row],[Carry-over]]),Tabelle132456891011121314151617[[#This Row],[Jira Story Points]],Tabelle132456891011121314151617[[#This Row],[Carry-over]]),-Tabelle132456891011121314151617[[#This Row],[COsSP Initially Planned]])</f>
        <v>0</v>
      </c>
      <c r="P3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32" s="210">
        <f>IF(Tabelle132456891011121314151617[[#This Row],[Status]]=$J$5,Tabelle132456891011121314151617[[#This Row],[COsSP Initially Planned]]+Tabelle132456891011121314151617[[#This Row],[COsSP Pulled after Start]]-Tabelle132456891011121314151617[[#This Row],[CSOsSP Completed]],0)</f>
        <v>0</v>
      </c>
      <c r="R32" s="210">
        <f>Tabelle132456891011121314151617[[#This Row],[COsSP Initially Planned]]+Tabelle132456891011121314151617[[#This Row],[COsSP Pulled after Start]]-Tabelle132456891011121314151617[[#This Row],[CSOsSP Completed]]-Tabelle132456891011121314151617[[#This Row],[CSOsSP Removed]]</f>
        <v>0</v>
      </c>
      <c r="V32"/>
      <c r="W32" t="s">
        <v>179</v>
      </c>
      <c r="X32" s="263">
        <v>21</v>
      </c>
      <c r="Y32" s="98">
        <v>0.12280701754385964</v>
      </c>
    </row>
    <row r="33" spans="1:40" s="213" customFormat="1" ht="15">
      <c r="A33" s="215"/>
      <c r="B33" s="47"/>
      <c r="C33" s="203"/>
      <c r="D33" s="203"/>
      <c r="E33" s="203"/>
      <c r="F33" s="204">
        <v>13</v>
      </c>
      <c r="G33" s="203" t="s">
        <v>17</v>
      </c>
      <c r="H33" s="205" t="s">
        <v>209</v>
      </c>
      <c r="I33" s="206"/>
      <c r="J33" s="1" t="s">
        <v>182</v>
      </c>
      <c r="K33" s="203" t="s">
        <v>125</v>
      </c>
      <c r="L33" s="204">
        <v>0</v>
      </c>
      <c r="M33" s="204">
        <v>0</v>
      </c>
      <c r="N33" s="286">
        <f>IF(OR(Tabelle132456891011121314151617[[#This Row],[Pulled after Start]]="yes",Tabelle132456891011121314151617[[#This Row],[Jira Story Points]]="-"),0,MIN(Tabelle132456891011121314151617[[#This Row],[Jira Story Points]],Tabelle132456891011121314151617[[#This Row],[Carry-over]]))</f>
        <v>0</v>
      </c>
      <c r="O33" s="210">
        <f>SUM(IF(ISBLANK(Tabelle132456891011121314151617[[#This Row],[Carry-over]]),Tabelle132456891011121314151617[[#This Row],[Jira Story Points]],Tabelle132456891011121314151617[[#This Row],[Carry-over]]),-Tabelle132456891011121314151617[[#This Row],[COsSP Initially Planned]])</f>
        <v>0</v>
      </c>
      <c r="P3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33" s="210">
        <f>IF(Tabelle132456891011121314151617[[#This Row],[Status]]=$J$5,Tabelle132456891011121314151617[[#This Row],[COsSP Initially Planned]]+Tabelle132456891011121314151617[[#This Row],[COsSP Pulled after Start]]-Tabelle132456891011121314151617[[#This Row],[CSOsSP Completed]],0)</f>
        <v>0</v>
      </c>
      <c r="R33" s="210">
        <f>Tabelle132456891011121314151617[[#This Row],[COsSP Initially Planned]]+Tabelle132456891011121314151617[[#This Row],[COsSP Pulled after Start]]-Tabelle132456891011121314151617[[#This Row],[CSOsSP Completed]]-Tabelle132456891011121314151617[[#This Row],[CSOsSP Removed]]</f>
        <v>0</v>
      </c>
      <c r="T33" s="201"/>
      <c r="V33"/>
      <c r="W33" t="s">
        <v>180</v>
      </c>
      <c r="X33" s="263">
        <v>32</v>
      </c>
      <c r="Y33" s="98">
        <v>0.1871345029239766</v>
      </c>
      <c r="AB33" s="1"/>
      <c r="AC33" s="1"/>
      <c r="AD33" s="1"/>
      <c r="AE33" s="1"/>
      <c r="AF33" s="1"/>
      <c r="AG33" s="1"/>
      <c r="AH33" s="1"/>
      <c r="AI33" s="1"/>
      <c r="AJ33" s="1"/>
      <c r="AK33" s="1"/>
      <c r="AL33" s="1"/>
      <c r="AM33" s="1"/>
      <c r="AN33" s="1"/>
    </row>
    <row r="34" spans="1:40" s="213" customFormat="1" ht="15">
      <c r="A34" s="214"/>
      <c r="B34" s="47"/>
      <c r="C34" s="203"/>
      <c r="D34" s="203"/>
      <c r="E34" s="203"/>
      <c r="F34" s="204" t="s">
        <v>210</v>
      </c>
      <c r="G34" s="203" t="s">
        <v>24</v>
      </c>
      <c r="H34" s="205" t="s">
        <v>209</v>
      </c>
      <c r="I34" s="206"/>
      <c r="J34" s="1" t="s">
        <v>179</v>
      </c>
      <c r="K34" s="203" t="s">
        <v>125</v>
      </c>
      <c r="L34" s="204">
        <v>0</v>
      </c>
      <c r="M34" s="204">
        <v>0</v>
      </c>
      <c r="N34" s="286">
        <f>IF(OR(Tabelle132456891011121314151617[[#This Row],[Pulled after Start]]="yes",Tabelle132456891011121314151617[[#This Row],[Jira Story Points]]="-"),0,MIN(Tabelle132456891011121314151617[[#This Row],[Jira Story Points]],Tabelle132456891011121314151617[[#This Row],[Carry-over]]))</f>
        <v>0</v>
      </c>
      <c r="O34" s="210">
        <f>SUM(IF(ISBLANK(Tabelle132456891011121314151617[[#This Row],[Carry-over]]),Tabelle132456891011121314151617[[#This Row],[Jira Story Points]],Tabelle132456891011121314151617[[#This Row],[Carry-over]]),-Tabelle132456891011121314151617[[#This Row],[COsSP Initially Planned]])</f>
        <v>0</v>
      </c>
      <c r="P3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34" s="210">
        <f>IF(Tabelle132456891011121314151617[[#This Row],[Status]]=$J$5,Tabelle132456891011121314151617[[#This Row],[COsSP Initially Planned]]+Tabelle132456891011121314151617[[#This Row],[COsSP Pulled after Start]]-Tabelle132456891011121314151617[[#This Row],[CSOsSP Completed]],0)</f>
        <v>0</v>
      </c>
      <c r="R34" s="210">
        <f>Tabelle132456891011121314151617[[#This Row],[COsSP Initially Planned]]+Tabelle132456891011121314151617[[#This Row],[COsSP Pulled after Start]]-Tabelle132456891011121314151617[[#This Row],[CSOsSP Completed]]-Tabelle132456891011121314151617[[#This Row],[CSOsSP Removed]]</f>
        <v>0</v>
      </c>
      <c r="T34" s="201"/>
      <c r="V34"/>
      <c r="W34" t="s">
        <v>181</v>
      </c>
      <c r="X34" s="263">
        <v>8</v>
      </c>
      <c r="Y34" s="98">
        <v>4.6783625730994149E-2</v>
      </c>
      <c r="AB34" s="1"/>
      <c r="AC34" s="1"/>
      <c r="AD34" s="1"/>
      <c r="AE34" s="1"/>
      <c r="AF34" s="1"/>
      <c r="AG34" s="1"/>
      <c r="AH34" s="1"/>
      <c r="AI34" s="1"/>
      <c r="AJ34" s="1"/>
      <c r="AK34" s="1"/>
      <c r="AL34" s="1"/>
      <c r="AM34" s="1"/>
      <c r="AN34" s="1"/>
    </row>
    <row r="35" spans="1:40" s="213" customFormat="1" ht="15">
      <c r="A35" s="215"/>
      <c r="B35" s="47"/>
      <c r="C35" s="203"/>
      <c r="D35" s="203"/>
      <c r="E35" s="203"/>
      <c r="F35" s="204">
        <v>5</v>
      </c>
      <c r="G35" s="203" t="s">
        <v>17</v>
      </c>
      <c r="H35" s="205" t="s">
        <v>209</v>
      </c>
      <c r="I35" s="206"/>
      <c r="J35" s="1" t="s">
        <v>182</v>
      </c>
      <c r="K35" s="203" t="s">
        <v>125</v>
      </c>
      <c r="L35" s="204">
        <v>3</v>
      </c>
      <c r="M35" s="204">
        <v>0</v>
      </c>
      <c r="N35" s="286">
        <f>IF(OR(Tabelle132456891011121314151617[[#This Row],[Pulled after Start]]="yes",Tabelle132456891011121314151617[[#This Row],[Jira Story Points]]="-"),0,MIN(Tabelle132456891011121314151617[[#This Row],[Jira Story Points]],Tabelle132456891011121314151617[[#This Row],[Carry-over]]))</f>
        <v>0</v>
      </c>
      <c r="O35" s="210">
        <f>SUM(IF(ISBLANK(Tabelle132456891011121314151617[[#This Row],[Carry-over]]),Tabelle132456891011121314151617[[#This Row],[Jira Story Points]],Tabelle132456891011121314151617[[#This Row],[Carry-over]]),-Tabelle132456891011121314151617[[#This Row],[COsSP Initially Planned]])</f>
        <v>3</v>
      </c>
      <c r="P3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35" s="210">
        <f>IF(Tabelle132456891011121314151617[[#This Row],[Status]]=$J$5,Tabelle132456891011121314151617[[#This Row],[COsSP Initially Planned]]+Tabelle132456891011121314151617[[#This Row],[COsSP Pulled after Start]]-Tabelle132456891011121314151617[[#This Row],[CSOsSP Completed]],0)</f>
        <v>0</v>
      </c>
      <c r="R35" s="210">
        <f>Tabelle132456891011121314151617[[#This Row],[COsSP Initially Planned]]+Tabelle132456891011121314151617[[#This Row],[COsSP Pulled after Start]]-Tabelle132456891011121314151617[[#This Row],[CSOsSP Completed]]-Tabelle132456891011121314151617[[#This Row],[CSOsSP Removed]]</f>
        <v>0</v>
      </c>
      <c r="T35" s="201"/>
      <c r="V35"/>
      <c r="W35" t="s">
        <v>182</v>
      </c>
      <c r="X35" s="263">
        <v>6</v>
      </c>
      <c r="Y35" s="98">
        <v>3.5087719298245612E-2</v>
      </c>
      <c r="AB35" s="1"/>
      <c r="AC35" s="1"/>
      <c r="AD35" s="1"/>
      <c r="AE35" s="1"/>
      <c r="AF35" s="1"/>
      <c r="AG35" s="1"/>
      <c r="AH35" s="1"/>
      <c r="AI35" s="1"/>
      <c r="AJ35" s="1"/>
      <c r="AK35" s="1"/>
      <c r="AL35" s="1"/>
      <c r="AM35" s="1"/>
      <c r="AN35" s="1"/>
    </row>
    <row r="36" spans="1:40" s="213" customFormat="1" ht="15">
      <c r="A36" s="215"/>
      <c r="B36" s="47"/>
      <c r="C36" s="203"/>
      <c r="D36" s="203"/>
      <c r="E36" s="203"/>
      <c r="F36" s="204">
        <v>13</v>
      </c>
      <c r="G36" s="203" t="s">
        <v>17</v>
      </c>
      <c r="H36" s="205" t="s">
        <v>209</v>
      </c>
      <c r="I36" s="206"/>
      <c r="J36" s="1" t="s">
        <v>177</v>
      </c>
      <c r="K36" s="203" t="s">
        <v>125</v>
      </c>
      <c r="L36" s="204">
        <v>3</v>
      </c>
      <c r="M36" s="204">
        <v>0</v>
      </c>
      <c r="N36" s="286">
        <f>IF(OR(Tabelle132456891011121314151617[[#This Row],[Pulled after Start]]="yes",Tabelle132456891011121314151617[[#This Row],[Jira Story Points]]="-"),0,MIN(Tabelle132456891011121314151617[[#This Row],[Jira Story Points]],Tabelle132456891011121314151617[[#This Row],[Carry-over]]))</f>
        <v>0</v>
      </c>
      <c r="O36" s="210">
        <f>SUM(IF(ISBLANK(Tabelle132456891011121314151617[[#This Row],[Carry-over]]),Tabelle132456891011121314151617[[#This Row],[Jira Story Points]],Tabelle132456891011121314151617[[#This Row],[Carry-over]]),-Tabelle132456891011121314151617[[#This Row],[COsSP Initially Planned]])</f>
        <v>3</v>
      </c>
      <c r="P3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36" s="210">
        <f>IF(Tabelle132456891011121314151617[[#This Row],[Status]]=$J$5,Tabelle132456891011121314151617[[#This Row],[COsSP Initially Planned]]+Tabelle132456891011121314151617[[#This Row],[COsSP Pulled after Start]]-Tabelle132456891011121314151617[[#This Row],[CSOsSP Completed]],0)</f>
        <v>0</v>
      </c>
      <c r="R36" s="210">
        <f>Tabelle132456891011121314151617[[#This Row],[COsSP Initially Planned]]+Tabelle132456891011121314151617[[#This Row],[COsSP Pulled after Start]]-Tabelle132456891011121314151617[[#This Row],[CSOsSP Completed]]-Tabelle132456891011121314151617[[#This Row],[CSOsSP Removed]]</f>
        <v>0</v>
      </c>
      <c r="T36" s="201"/>
      <c r="V36"/>
      <c r="W36" t="s">
        <v>183</v>
      </c>
      <c r="X36" s="263">
        <v>6</v>
      </c>
      <c r="Y36" s="98">
        <v>3.5087719298245612E-2</v>
      </c>
      <c r="AB36" s="1"/>
      <c r="AC36" s="1"/>
      <c r="AD36" s="1"/>
      <c r="AE36" s="1"/>
      <c r="AF36" s="1"/>
      <c r="AG36" s="1"/>
      <c r="AH36" s="1"/>
      <c r="AI36" s="1"/>
      <c r="AJ36" s="1"/>
      <c r="AK36" s="1"/>
      <c r="AL36" s="1"/>
      <c r="AM36" s="1"/>
      <c r="AN36" s="1"/>
    </row>
    <row r="37" spans="1:40" s="213" customFormat="1" ht="15">
      <c r="A37" s="214"/>
      <c r="B37" s="47"/>
      <c r="C37" s="203"/>
      <c r="D37" s="203"/>
      <c r="E37" s="203"/>
      <c r="F37" s="204" t="s">
        <v>210</v>
      </c>
      <c r="G37" s="203" t="s">
        <v>107</v>
      </c>
      <c r="H37" s="205" t="s">
        <v>209</v>
      </c>
      <c r="I37" s="206"/>
      <c r="J37" s="1" t="s">
        <v>175</v>
      </c>
      <c r="K37" s="203" t="s">
        <v>125</v>
      </c>
      <c r="L37" s="204">
        <v>3</v>
      </c>
      <c r="M37" s="204">
        <v>0</v>
      </c>
      <c r="N37" s="286">
        <f>IF(OR(Tabelle132456891011121314151617[[#This Row],[Pulled after Start]]="yes",Tabelle132456891011121314151617[[#This Row],[Jira Story Points]]="-"),0,MIN(Tabelle132456891011121314151617[[#This Row],[Jira Story Points]],Tabelle132456891011121314151617[[#This Row],[Carry-over]]))</f>
        <v>0</v>
      </c>
      <c r="O37" s="210">
        <f>SUM(IF(ISBLANK(Tabelle132456891011121314151617[[#This Row],[Carry-over]]),Tabelle132456891011121314151617[[#This Row],[Jira Story Points]],Tabelle132456891011121314151617[[#This Row],[Carry-over]]),-Tabelle132456891011121314151617[[#This Row],[COsSP Initially Planned]])</f>
        <v>3</v>
      </c>
      <c r="P3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37" s="210">
        <f>IF(Tabelle132456891011121314151617[[#This Row],[Status]]=$J$5,Tabelle132456891011121314151617[[#This Row],[COsSP Initially Planned]]+Tabelle132456891011121314151617[[#This Row],[COsSP Pulled after Start]]-Tabelle132456891011121314151617[[#This Row],[CSOsSP Completed]],0)</f>
        <v>0</v>
      </c>
      <c r="R37" s="210">
        <f>Tabelle132456891011121314151617[[#This Row],[COsSP Initially Planned]]+Tabelle132456891011121314151617[[#This Row],[COsSP Pulled after Start]]-Tabelle132456891011121314151617[[#This Row],[CSOsSP Completed]]-Tabelle132456891011121314151617[[#This Row],[CSOsSP Removed]]</f>
        <v>0</v>
      </c>
      <c r="T37" s="201"/>
      <c r="V37"/>
      <c r="W37" t="s">
        <v>184</v>
      </c>
      <c r="X37" s="263">
        <v>6</v>
      </c>
      <c r="Y37" s="98">
        <v>3.5087719298245612E-2</v>
      </c>
      <c r="AB37" s="1"/>
      <c r="AC37" s="1"/>
      <c r="AD37" s="1"/>
      <c r="AE37" s="1"/>
      <c r="AF37" s="1"/>
      <c r="AG37" s="1"/>
      <c r="AH37" s="1"/>
      <c r="AI37" s="1"/>
      <c r="AJ37" s="1"/>
      <c r="AK37" s="1"/>
      <c r="AL37" s="1"/>
      <c r="AM37" s="1"/>
      <c r="AN37" s="1"/>
    </row>
    <row r="38" spans="1:40" s="213" customFormat="1" ht="15">
      <c r="A38" s="215"/>
      <c r="B38" s="47"/>
      <c r="C38" s="203"/>
      <c r="D38" s="203"/>
      <c r="E38" s="203"/>
      <c r="F38" s="204">
        <v>5</v>
      </c>
      <c r="G38" s="203" t="s">
        <v>32</v>
      </c>
      <c r="H38" s="205" t="s">
        <v>209</v>
      </c>
      <c r="I38" s="206"/>
      <c r="J38" s="1" t="s">
        <v>177</v>
      </c>
      <c r="K38" s="203" t="s">
        <v>125</v>
      </c>
      <c r="L38" s="204">
        <v>8</v>
      </c>
      <c r="M38" s="204">
        <v>0</v>
      </c>
      <c r="N38" s="286">
        <f>IF(OR(Tabelle132456891011121314151617[[#This Row],[Pulled after Start]]="yes",Tabelle132456891011121314151617[[#This Row],[Jira Story Points]]="-"),0,MIN(Tabelle132456891011121314151617[[#This Row],[Jira Story Points]],Tabelle132456891011121314151617[[#This Row],[Carry-over]]))</f>
        <v>0</v>
      </c>
      <c r="O38" s="210">
        <f>SUM(IF(ISBLANK(Tabelle132456891011121314151617[[#This Row],[Carry-over]]),Tabelle132456891011121314151617[[#This Row],[Jira Story Points]],Tabelle132456891011121314151617[[#This Row],[Carry-over]]),-Tabelle132456891011121314151617[[#This Row],[COsSP Initially Planned]])</f>
        <v>8</v>
      </c>
      <c r="P3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38" s="210">
        <f>IF(Tabelle132456891011121314151617[[#This Row],[Status]]=$J$5,Tabelle132456891011121314151617[[#This Row],[COsSP Initially Planned]]+Tabelle132456891011121314151617[[#This Row],[COsSP Pulled after Start]]-Tabelle132456891011121314151617[[#This Row],[CSOsSP Completed]],0)</f>
        <v>0</v>
      </c>
      <c r="R38" s="210">
        <f>Tabelle132456891011121314151617[[#This Row],[COsSP Initially Planned]]+Tabelle132456891011121314151617[[#This Row],[COsSP Pulled after Start]]-Tabelle132456891011121314151617[[#This Row],[CSOsSP Completed]]-Tabelle132456891011121314151617[[#This Row],[CSOsSP Removed]]</f>
        <v>0</v>
      </c>
      <c r="T38" s="201"/>
      <c r="V38" t="s">
        <v>12</v>
      </c>
      <c r="W38"/>
      <c r="X38" s="263">
        <v>105</v>
      </c>
      <c r="Y38" s="98">
        <v>7.113821138211382E-2</v>
      </c>
      <c r="AB38" s="2"/>
      <c r="AC38" s="2"/>
      <c r="AD38" s="2"/>
      <c r="AE38" s="2"/>
      <c r="AF38" s="2"/>
      <c r="AG38" s="2"/>
      <c r="AH38" s="2"/>
      <c r="AI38" s="2"/>
      <c r="AJ38" s="2"/>
      <c r="AK38" s="2"/>
      <c r="AL38" s="2"/>
      <c r="AM38" s="2"/>
      <c r="AN38" s="2"/>
    </row>
    <row r="39" spans="1:40" s="213" customFormat="1" ht="15">
      <c r="A39" s="215"/>
      <c r="B39" s="47"/>
      <c r="C39" s="203"/>
      <c r="D39" s="203"/>
      <c r="E39" s="203"/>
      <c r="F39" s="204">
        <v>13</v>
      </c>
      <c r="G39" s="203" t="s">
        <v>24</v>
      </c>
      <c r="H39" s="205" t="s">
        <v>209</v>
      </c>
      <c r="I39" s="206"/>
      <c r="J39" s="1" t="s">
        <v>183</v>
      </c>
      <c r="K39" s="203" t="s">
        <v>125</v>
      </c>
      <c r="L39" s="204">
        <v>8</v>
      </c>
      <c r="M39" s="204">
        <v>0</v>
      </c>
      <c r="N39" s="286">
        <f>IF(OR(Tabelle132456891011121314151617[[#This Row],[Pulled after Start]]="yes",Tabelle132456891011121314151617[[#This Row],[Jira Story Points]]="-"),0,MIN(Tabelle132456891011121314151617[[#This Row],[Jira Story Points]],Tabelle132456891011121314151617[[#This Row],[Carry-over]]))</f>
        <v>0</v>
      </c>
      <c r="O39" s="210">
        <f>SUM(IF(ISBLANK(Tabelle132456891011121314151617[[#This Row],[Carry-over]]),Tabelle132456891011121314151617[[#This Row],[Jira Story Points]],Tabelle132456891011121314151617[[#This Row],[Carry-over]]),-Tabelle132456891011121314151617[[#This Row],[COsSP Initially Planned]])</f>
        <v>8</v>
      </c>
      <c r="P3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39" s="210">
        <f>IF(Tabelle132456891011121314151617[[#This Row],[Status]]=$J$5,Tabelle132456891011121314151617[[#This Row],[COsSP Initially Planned]]+Tabelle132456891011121314151617[[#This Row],[COsSP Pulled after Start]]-Tabelle132456891011121314151617[[#This Row],[CSOsSP Completed]],0)</f>
        <v>0</v>
      </c>
      <c r="R39" s="210">
        <f>Tabelle132456891011121314151617[[#This Row],[COsSP Initially Planned]]+Tabelle132456891011121314151617[[#This Row],[COsSP Pulled after Start]]-Tabelle132456891011121314151617[[#This Row],[CSOsSP Completed]]-Tabelle132456891011121314151617[[#This Row],[CSOsSP Removed]]</f>
        <v>0</v>
      </c>
      <c r="T39" s="201"/>
      <c r="V39"/>
      <c r="W39" t="s">
        <v>175</v>
      </c>
      <c r="X39" s="263">
        <v>11</v>
      </c>
      <c r="Y39" s="98">
        <v>0.10476190476190476</v>
      </c>
      <c r="AB39" s="2"/>
      <c r="AC39" s="2"/>
      <c r="AD39" s="2"/>
      <c r="AE39" s="2"/>
      <c r="AF39" s="2"/>
      <c r="AG39" s="2"/>
      <c r="AH39" s="2"/>
      <c r="AI39" s="2"/>
      <c r="AJ39" s="2"/>
      <c r="AK39" s="2"/>
      <c r="AL39" s="2"/>
      <c r="AM39" s="2"/>
      <c r="AN39" s="2"/>
    </row>
    <row r="40" spans="1:40" s="213" customFormat="1" ht="15">
      <c r="A40" s="214"/>
      <c r="B40" s="47"/>
      <c r="C40" s="203"/>
      <c r="D40" s="203"/>
      <c r="E40" s="203"/>
      <c r="F40" s="204" t="s">
        <v>210</v>
      </c>
      <c r="G40" s="203" t="s">
        <v>107</v>
      </c>
      <c r="H40" s="205" t="s">
        <v>209</v>
      </c>
      <c r="I40" s="206"/>
      <c r="J40" s="1" t="s">
        <v>175</v>
      </c>
      <c r="K40" s="203" t="s">
        <v>125</v>
      </c>
      <c r="L40" s="204">
        <v>8</v>
      </c>
      <c r="M40" s="204">
        <v>0</v>
      </c>
      <c r="N40" s="286">
        <f>IF(OR(Tabelle132456891011121314151617[[#This Row],[Pulled after Start]]="yes",Tabelle132456891011121314151617[[#This Row],[Jira Story Points]]="-"),0,MIN(Tabelle132456891011121314151617[[#This Row],[Jira Story Points]],Tabelle132456891011121314151617[[#This Row],[Carry-over]]))</f>
        <v>0</v>
      </c>
      <c r="O40" s="210">
        <f>SUM(IF(ISBLANK(Tabelle132456891011121314151617[[#This Row],[Carry-over]]),Tabelle132456891011121314151617[[#This Row],[Jira Story Points]],Tabelle132456891011121314151617[[#This Row],[Carry-over]]),-Tabelle132456891011121314151617[[#This Row],[COsSP Initially Planned]])</f>
        <v>8</v>
      </c>
      <c r="P4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40" s="210">
        <f>IF(Tabelle132456891011121314151617[[#This Row],[Status]]=$J$5,Tabelle132456891011121314151617[[#This Row],[COsSP Initially Planned]]+Tabelle132456891011121314151617[[#This Row],[COsSP Pulled after Start]]-Tabelle132456891011121314151617[[#This Row],[CSOsSP Completed]],0)</f>
        <v>0</v>
      </c>
      <c r="R40" s="210">
        <f>Tabelle132456891011121314151617[[#This Row],[COsSP Initially Planned]]+Tabelle132456891011121314151617[[#This Row],[COsSP Pulled after Start]]-Tabelle132456891011121314151617[[#This Row],[CSOsSP Completed]]-Tabelle132456891011121314151617[[#This Row],[CSOsSP Removed]]</f>
        <v>0</v>
      </c>
      <c r="T40" s="201"/>
      <c r="V40"/>
      <c r="W40" t="s">
        <v>176</v>
      </c>
      <c r="X40" s="263">
        <v>10</v>
      </c>
      <c r="Y40" s="98">
        <v>9.5238095238095233E-2</v>
      </c>
      <c r="AB40" s="2"/>
      <c r="AC40" s="2"/>
      <c r="AD40" s="2"/>
      <c r="AE40" s="2"/>
      <c r="AF40" s="2"/>
      <c r="AG40" s="2"/>
      <c r="AH40" s="2"/>
      <c r="AI40" s="2"/>
      <c r="AJ40" s="2"/>
      <c r="AK40" s="2"/>
      <c r="AL40" s="2"/>
      <c r="AM40" s="2"/>
      <c r="AN40" s="2"/>
    </row>
    <row r="41" spans="1:40" s="213" customFormat="1" ht="15">
      <c r="A41" s="215"/>
      <c r="B41" s="47"/>
      <c r="C41" s="203"/>
      <c r="D41" s="203"/>
      <c r="E41" s="203"/>
      <c r="F41" s="204">
        <v>5</v>
      </c>
      <c r="G41" s="203" t="s">
        <v>5</v>
      </c>
      <c r="H41" s="205" t="s">
        <v>209</v>
      </c>
      <c r="I41" s="206"/>
      <c r="J41" s="1" t="s">
        <v>182</v>
      </c>
      <c r="K41" s="203" t="s">
        <v>125</v>
      </c>
      <c r="L41" s="204">
        <v>21</v>
      </c>
      <c r="M41" s="204">
        <v>0</v>
      </c>
      <c r="N41" s="286">
        <f>IF(OR(Tabelle132456891011121314151617[[#This Row],[Pulled after Start]]="yes",Tabelle132456891011121314151617[[#This Row],[Jira Story Points]]="-"),0,MIN(Tabelle132456891011121314151617[[#This Row],[Jira Story Points]],Tabelle132456891011121314151617[[#This Row],[Carry-over]]))</f>
        <v>0</v>
      </c>
      <c r="O41" s="210">
        <f>SUM(IF(ISBLANK(Tabelle132456891011121314151617[[#This Row],[Carry-over]]),Tabelle132456891011121314151617[[#This Row],[Jira Story Points]],Tabelle132456891011121314151617[[#This Row],[Carry-over]]),-Tabelle132456891011121314151617[[#This Row],[COsSP Initially Planned]])</f>
        <v>21</v>
      </c>
      <c r="P4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41" s="210">
        <f>IF(Tabelle132456891011121314151617[[#This Row],[Status]]=$J$5,Tabelle132456891011121314151617[[#This Row],[COsSP Initially Planned]]+Tabelle132456891011121314151617[[#This Row],[COsSP Pulled after Start]]-Tabelle132456891011121314151617[[#This Row],[CSOsSP Completed]],0)</f>
        <v>0</v>
      </c>
      <c r="R41" s="210">
        <f>Tabelle132456891011121314151617[[#This Row],[COsSP Initially Planned]]+Tabelle132456891011121314151617[[#This Row],[COsSP Pulled after Start]]-Tabelle132456891011121314151617[[#This Row],[CSOsSP Completed]]-Tabelle132456891011121314151617[[#This Row],[CSOsSP Removed]]</f>
        <v>0</v>
      </c>
      <c r="T41" s="201"/>
      <c r="V41"/>
      <c r="W41" t="s">
        <v>177</v>
      </c>
      <c r="X41" s="263">
        <v>8</v>
      </c>
      <c r="Y41" s="98">
        <v>7.6190476190476197E-2</v>
      </c>
      <c r="AB41" s="2"/>
      <c r="AC41" s="2"/>
      <c r="AD41" s="2"/>
      <c r="AE41" s="2"/>
      <c r="AF41" s="2"/>
      <c r="AG41" s="2"/>
      <c r="AH41" s="2"/>
      <c r="AI41" s="2"/>
      <c r="AJ41" s="2"/>
      <c r="AK41" s="2"/>
      <c r="AL41" s="2"/>
      <c r="AM41" s="2"/>
      <c r="AN41" s="2"/>
    </row>
    <row r="42" spans="1:40" s="213" customFormat="1" ht="15">
      <c r="A42" s="215"/>
      <c r="B42" s="47"/>
      <c r="C42" s="203"/>
      <c r="D42" s="203"/>
      <c r="E42" s="203"/>
      <c r="F42" s="204">
        <v>13</v>
      </c>
      <c r="G42" s="203" t="s">
        <v>32</v>
      </c>
      <c r="H42" s="205" t="s">
        <v>209</v>
      </c>
      <c r="I42" s="206"/>
      <c r="J42" s="1" t="s">
        <v>179</v>
      </c>
      <c r="K42" s="203" t="s">
        <v>125</v>
      </c>
      <c r="L42" s="204">
        <v>21</v>
      </c>
      <c r="M42" s="204">
        <v>0</v>
      </c>
      <c r="N42" s="286">
        <f>IF(OR(Tabelle132456891011121314151617[[#This Row],[Pulled after Start]]="yes",Tabelle132456891011121314151617[[#This Row],[Jira Story Points]]="-"),0,MIN(Tabelle132456891011121314151617[[#This Row],[Jira Story Points]],Tabelle132456891011121314151617[[#This Row],[Carry-over]]))</f>
        <v>0</v>
      </c>
      <c r="O42" s="210">
        <f>SUM(IF(ISBLANK(Tabelle132456891011121314151617[[#This Row],[Carry-over]]),Tabelle132456891011121314151617[[#This Row],[Jira Story Points]],Tabelle132456891011121314151617[[#This Row],[Carry-over]]),-Tabelle132456891011121314151617[[#This Row],[COsSP Initially Planned]])</f>
        <v>21</v>
      </c>
      <c r="P4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42" s="210">
        <f>IF(Tabelle132456891011121314151617[[#This Row],[Status]]=$J$5,Tabelle132456891011121314151617[[#This Row],[COsSP Initially Planned]]+Tabelle132456891011121314151617[[#This Row],[COsSP Pulled after Start]]-Tabelle132456891011121314151617[[#This Row],[CSOsSP Completed]],0)</f>
        <v>0</v>
      </c>
      <c r="R42" s="210">
        <f>Tabelle132456891011121314151617[[#This Row],[COsSP Initially Planned]]+Tabelle132456891011121314151617[[#This Row],[COsSP Pulled after Start]]-Tabelle132456891011121314151617[[#This Row],[CSOsSP Completed]]-Tabelle132456891011121314151617[[#This Row],[CSOsSP Removed]]</f>
        <v>0</v>
      </c>
      <c r="T42" s="201"/>
      <c r="V42"/>
      <c r="W42" t="s">
        <v>178</v>
      </c>
      <c r="X42" s="263">
        <v>13</v>
      </c>
      <c r="Y42" s="98">
        <v>0.12380952380952381</v>
      </c>
      <c r="AB42" s="2"/>
      <c r="AC42" s="2"/>
      <c r="AD42" s="2"/>
      <c r="AE42" s="2"/>
      <c r="AF42" s="2"/>
      <c r="AG42" s="2"/>
      <c r="AH42" s="2"/>
      <c r="AI42" s="2"/>
      <c r="AJ42" s="2"/>
      <c r="AK42" s="2"/>
      <c r="AL42" s="2"/>
      <c r="AM42" s="2"/>
      <c r="AN42" s="2"/>
    </row>
    <row r="43" spans="1:40" ht="15">
      <c r="A43" s="214"/>
      <c r="B43" s="47"/>
      <c r="C43" s="203"/>
      <c r="D43" s="203"/>
      <c r="E43" s="203"/>
      <c r="F43" s="204" t="s">
        <v>210</v>
      </c>
      <c r="G43" s="203" t="s">
        <v>32</v>
      </c>
      <c r="H43" s="205" t="s">
        <v>209</v>
      </c>
      <c r="I43" s="206"/>
      <c r="J43" s="1" t="s">
        <v>182</v>
      </c>
      <c r="K43" s="203" t="s">
        <v>125</v>
      </c>
      <c r="L43" s="204">
        <v>21</v>
      </c>
      <c r="M43" s="204">
        <v>0</v>
      </c>
      <c r="N43" s="286">
        <f>IF(OR(Tabelle132456891011121314151617[[#This Row],[Pulled after Start]]="yes",Tabelle132456891011121314151617[[#This Row],[Jira Story Points]]="-"),0,MIN(Tabelle132456891011121314151617[[#This Row],[Jira Story Points]],Tabelle132456891011121314151617[[#This Row],[Carry-over]]))</f>
        <v>0</v>
      </c>
      <c r="O43" s="210">
        <f>SUM(IF(ISBLANK(Tabelle132456891011121314151617[[#This Row],[Carry-over]]),Tabelle132456891011121314151617[[#This Row],[Jira Story Points]],Tabelle132456891011121314151617[[#This Row],[Carry-over]]),-Tabelle132456891011121314151617[[#This Row],[COsSP Initially Planned]])</f>
        <v>21</v>
      </c>
      <c r="P4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43" s="210">
        <f>IF(Tabelle132456891011121314151617[[#This Row],[Status]]=$J$5,Tabelle132456891011121314151617[[#This Row],[COsSP Initially Planned]]+Tabelle132456891011121314151617[[#This Row],[COsSP Pulled after Start]]-Tabelle132456891011121314151617[[#This Row],[CSOsSP Completed]],0)</f>
        <v>0</v>
      </c>
      <c r="R43" s="210">
        <f>Tabelle132456891011121314151617[[#This Row],[COsSP Initially Planned]]+Tabelle132456891011121314151617[[#This Row],[COsSP Pulled after Start]]-Tabelle132456891011121314151617[[#This Row],[CSOsSP Completed]]-Tabelle132456891011121314151617[[#This Row],[CSOsSP Removed]]</f>
        <v>0</v>
      </c>
      <c r="T43" s="201"/>
      <c r="V43"/>
      <c r="W43" t="s">
        <v>179</v>
      </c>
      <c r="X43" s="263">
        <v>19</v>
      </c>
      <c r="Y43" s="98">
        <v>0.18095238095238095</v>
      </c>
    </row>
    <row r="44" spans="1:40" ht="15">
      <c r="A44" s="285"/>
      <c r="B44" s="285"/>
      <c r="C44" s="203"/>
      <c r="D44" s="203"/>
      <c r="E44" s="203"/>
      <c r="F44" s="204">
        <v>5</v>
      </c>
      <c r="G44" s="203" t="s">
        <v>35</v>
      </c>
      <c r="H44" s="205" t="s">
        <v>209</v>
      </c>
      <c r="I44" s="206"/>
      <c r="J44" s="1" t="s">
        <v>179</v>
      </c>
      <c r="K44" s="203" t="s">
        <v>125</v>
      </c>
      <c r="L44" s="204"/>
      <c r="M44" s="204">
        <v>0</v>
      </c>
      <c r="N44" s="286">
        <f>IF(OR(Tabelle132456891011121314151617[[#This Row],[Pulled after Start]]="yes",Tabelle132456891011121314151617[[#This Row],[Jira Story Points]]="-"),0,MIN(Tabelle132456891011121314151617[[#This Row],[Jira Story Points]],Tabelle132456891011121314151617[[#This Row],[Carry-over]]))</f>
        <v>0</v>
      </c>
      <c r="O44" s="210">
        <f>SUM(IF(ISBLANK(Tabelle132456891011121314151617[[#This Row],[Carry-over]]),Tabelle132456891011121314151617[[#This Row],[Jira Story Points]],Tabelle132456891011121314151617[[#This Row],[Carry-over]]),-Tabelle132456891011121314151617[[#This Row],[COsSP Initially Planned]])</f>
        <v>5</v>
      </c>
      <c r="P4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5</v>
      </c>
      <c r="Q44" s="210">
        <f>IF(Tabelle132456891011121314151617[[#This Row],[Status]]=$J$5,Tabelle132456891011121314151617[[#This Row],[COsSP Initially Planned]]+Tabelle132456891011121314151617[[#This Row],[COsSP Pulled after Start]]-Tabelle132456891011121314151617[[#This Row],[CSOsSP Completed]],0)</f>
        <v>0</v>
      </c>
      <c r="R44" s="210">
        <f>Tabelle132456891011121314151617[[#This Row],[COsSP Initially Planned]]+Tabelle132456891011121314151617[[#This Row],[COsSP Pulled after Start]]-Tabelle132456891011121314151617[[#This Row],[CSOsSP Completed]]-Tabelle132456891011121314151617[[#This Row],[CSOsSP Removed]]</f>
        <v>0</v>
      </c>
      <c r="T44" s="201"/>
      <c r="V44"/>
      <c r="W44" t="s">
        <v>180</v>
      </c>
      <c r="X44" s="263">
        <v>21</v>
      </c>
      <c r="Y44" s="98">
        <v>0.2</v>
      </c>
    </row>
    <row r="45" spans="1:40" ht="15">
      <c r="A45" s="285"/>
      <c r="B45" s="285"/>
      <c r="C45" s="203"/>
      <c r="D45" s="203"/>
      <c r="E45" s="203"/>
      <c r="F45" s="204">
        <v>13</v>
      </c>
      <c r="G45" s="203" t="s">
        <v>5</v>
      </c>
      <c r="H45" s="205" t="s">
        <v>209</v>
      </c>
      <c r="I45" s="206"/>
      <c r="J45" s="1" t="s">
        <v>179</v>
      </c>
      <c r="K45" s="203" t="s">
        <v>125</v>
      </c>
      <c r="L45" s="204"/>
      <c r="M45" s="204">
        <v>0</v>
      </c>
      <c r="N45" s="286">
        <f>IF(OR(Tabelle132456891011121314151617[[#This Row],[Pulled after Start]]="yes",Tabelle132456891011121314151617[[#This Row],[Jira Story Points]]="-"),0,MIN(Tabelle132456891011121314151617[[#This Row],[Jira Story Points]],Tabelle132456891011121314151617[[#This Row],[Carry-over]]))</f>
        <v>0</v>
      </c>
      <c r="O45" s="210">
        <f>SUM(IF(ISBLANK(Tabelle132456891011121314151617[[#This Row],[Carry-over]]),Tabelle132456891011121314151617[[#This Row],[Jira Story Points]],Tabelle132456891011121314151617[[#This Row],[Carry-over]]),-Tabelle132456891011121314151617[[#This Row],[COsSP Initially Planned]])</f>
        <v>13</v>
      </c>
      <c r="P4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13</v>
      </c>
      <c r="Q45" s="210">
        <f>IF(Tabelle132456891011121314151617[[#This Row],[Status]]=$J$5,Tabelle132456891011121314151617[[#This Row],[COsSP Initially Planned]]+Tabelle132456891011121314151617[[#This Row],[COsSP Pulled after Start]]-Tabelle132456891011121314151617[[#This Row],[CSOsSP Completed]],0)</f>
        <v>0</v>
      </c>
      <c r="R45" s="210">
        <f>Tabelle132456891011121314151617[[#This Row],[COsSP Initially Planned]]+Tabelle132456891011121314151617[[#This Row],[COsSP Pulled after Start]]-Tabelle132456891011121314151617[[#This Row],[CSOsSP Completed]]-Tabelle132456891011121314151617[[#This Row],[CSOsSP Removed]]</f>
        <v>0</v>
      </c>
      <c r="T45" s="201"/>
      <c r="V45"/>
      <c r="W45" t="s">
        <v>181</v>
      </c>
      <c r="X45" s="263">
        <v>3</v>
      </c>
      <c r="Y45" s="98">
        <v>2.8571428571428571E-2</v>
      </c>
    </row>
    <row r="46" spans="1:40" ht="15">
      <c r="A46" s="214"/>
      <c r="B46" s="47"/>
      <c r="C46" s="203"/>
      <c r="D46" s="203"/>
      <c r="E46" s="203"/>
      <c r="F46" s="204" t="s">
        <v>210</v>
      </c>
      <c r="G46" s="203" t="s">
        <v>21</v>
      </c>
      <c r="H46" s="205" t="s">
        <v>209</v>
      </c>
      <c r="I46" s="206"/>
      <c r="J46" s="1" t="s">
        <v>182</v>
      </c>
      <c r="K46" s="203" t="s">
        <v>125</v>
      </c>
      <c r="L46" s="204"/>
      <c r="M46" s="204">
        <v>0</v>
      </c>
      <c r="N46" s="286">
        <f>IF(OR(Tabelle132456891011121314151617[[#This Row],[Pulled after Start]]="yes",Tabelle132456891011121314151617[[#This Row],[Jira Story Points]]="-"),0,MIN(Tabelle132456891011121314151617[[#This Row],[Jira Story Points]],Tabelle132456891011121314151617[[#This Row],[Carry-over]]))</f>
        <v>0</v>
      </c>
      <c r="O46" s="210">
        <f>SUM(IF(ISBLANK(Tabelle132456891011121314151617[[#This Row],[Carry-over]]),Tabelle132456891011121314151617[[#This Row],[Jira Story Points]],Tabelle132456891011121314151617[[#This Row],[Carry-over]]),-Tabelle132456891011121314151617[[#This Row],[COsSP Initially Planned]])</f>
        <v>0</v>
      </c>
      <c r="P4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46" s="210">
        <f>IF(Tabelle132456891011121314151617[[#This Row],[Status]]=$J$5,Tabelle132456891011121314151617[[#This Row],[COsSP Initially Planned]]+Tabelle132456891011121314151617[[#This Row],[COsSP Pulled after Start]]-Tabelle132456891011121314151617[[#This Row],[CSOsSP Completed]],0)</f>
        <v>0</v>
      </c>
      <c r="R46" s="210">
        <f>Tabelle132456891011121314151617[[#This Row],[COsSP Initially Planned]]+Tabelle132456891011121314151617[[#This Row],[COsSP Pulled after Start]]-Tabelle132456891011121314151617[[#This Row],[CSOsSP Completed]]-Tabelle132456891011121314151617[[#This Row],[CSOsSP Removed]]</f>
        <v>0</v>
      </c>
      <c r="T46" s="201"/>
      <c r="V46"/>
      <c r="W46" t="s">
        <v>182</v>
      </c>
      <c r="X46" s="263">
        <v>0</v>
      </c>
      <c r="Y46" s="98">
        <v>0</v>
      </c>
    </row>
    <row r="47" spans="1:40" ht="15">
      <c r="A47" s="215"/>
      <c r="B47" s="47"/>
      <c r="C47" s="203"/>
      <c r="D47" s="203"/>
      <c r="E47" s="203"/>
      <c r="F47" s="204">
        <v>5</v>
      </c>
      <c r="G47" s="203" t="s">
        <v>17</v>
      </c>
      <c r="H47" s="205" t="s">
        <v>209</v>
      </c>
      <c r="I47" s="206"/>
      <c r="J47" s="1" t="s">
        <v>184</v>
      </c>
      <c r="K47" s="203" t="s">
        <v>125</v>
      </c>
      <c r="L47" s="204">
        <v>0</v>
      </c>
      <c r="M47" s="204">
        <v>2</v>
      </c>
      <c r="N47" s="286">
        <f>IF(OR(Tabelle132456891011121314151617[[#This Row],[Pulled after Start]]="yes",Tabelle132456891011121314151617[[#This Row],[Jira Story Points]]="-"),0,MIN(Tabelle132456891011121314151617[[#This Row],[Jira Story Points]],Tabelle132456891011121314151617[[#This Row],[Carry-over]]))</f>
        <v>0</v>
      </c>
      <c r="O47" s="210">
        <f>SUM(IF(ISBLANK(Tabelle132456891011121314151617[[#This Row],[Carry-over]]),Tabelle132456891011121314151617[[#This Row],[Jira Story Points]],Tabelle132456891011121314151617[[#This Row],[Carry-over]]),-Tabelle132456891011121314151617[[#This Row],[COsSP Initially Planned]])</f>
        <v>0</v>
      </c>
      <c r="P4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47" s="210">
        <f>IF(Tabelle132456891011121314151617[[#This Row],[Status]]=$J$5,Tabelle132456891011121314151617[[#This Row],[COsSP Initially Planned]]+Tabelle132456891011121314151617[[#This Row],[COsSP Pulled after Start]]-Tabelle132456891011121314151617[[#This Row],[CSOsSP Completed]],0)</f>
        <v>0</v>
      </c>
      <c r="R47" s="210">
        <f>Tabelle132456891011121314151617[[#This Row],[COsSP Initially Planned]]+Tabelle132456891011121314151617[[#This Row],[COsSP Pulled after Start]]-Tabelle132456891011121314151617[[#This Row],[CSOsSP Completed]]-Tabelle132456891011121314151617[[#This Row],[CSOsSP Removed]]</f>
        <v>0</v>
      </c>
      <c r="T47" s="201"/>
      <c r="V47"/>
      <c r="W47" t="s">
        <v>183</v>
      </c>
      <c r="X47" s="263">
        <v>9</v>
      </c>
      <c r="Y47" s="98">
        <v>8.5714285714285715E-2</v>
      </c>
    </row>
    <row r="48" spans="1:40" ht="15">
      <c r="A48" s="215"/>
      <c r="B48" s="47"/>
      <c r="C48" s="203"/>
      <c r="D48" s="203"/>
      <c r="E48" s="203"/>
      <c r="F48" s="204">
        <v>13</v>
      </c>
      <c r="G48" s="203" t="s">
        <v>35</v>
      </c>
      <c r="H48" s="205" t="s">
        <v>209</v>
      </c>
      <c r="I48" s="206"/>
      <c r="J48" s="1" t="s">
        <v>175</v>
      </c>
      <c r="K48" s="203" t="s">
        <v>125</v>
      </c>
      <c r="L48" s="204">
        <v>0</v>
      </c>
      <c r="M48" s="204">
        <v>2</v>
      </c>
      <c r="N48" s="286">
        <f>IF(OR(Tabelle132456891011121314151617[[#This Row],[Pulled after Start]]="yes",Tabelle132456891011121314151617[[#This Row],[Jira Story Points]]="-"),0,MIN(Tabelle132456891011121314151617[[#This Row],[Jira Story Points]],Tabelle132456891011121314151617[[#This Row],[Carry-over]]))</f>
        <v>0</v>
      </c>
      <c r="O48" s="210">
        <f>SUM(IF(ISBLANK(Tabelle132456891011121314151617[[#This Row],[Carry-over]]),Tabelle132456891011121314151617[[#This Row],[Jira Story Points]],Tabelle132456891011121314151617[[#This Row],[Carry-over]]),-Tabelle132456891011121314151617[[#This Row],[COsSP Initially Planned]])</f>
        <v>0</v>
      </c>
      <c r="P4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48" s="210">
        <f>IF(Tabelle132456891011121314151617[[#This Row],[Status]]=$J$5,Tabelle132456891011121314151617[[#This Row],[COsSP Initially Planned]]+Tabelle132456891011121314151617[[#This Row],[COsSP Pulled after Start]]-Tabelle132456891011121314151617[[#This Row],[CSOsSP Completed]],0)</f>
        <v>0</v>
      </c>
      <c r="R48" s="210">
        <f>Tabelle132456891011121314151617[[#This Row],[COsSP Initially Planned]]+Tabelle132456891011121314151617[[#This Row],[COsSP Pulled after Start]]-Tabelle132456891011121314151617[[#This Row],[CSOsSP Completed]]-Tabelle132456891011121314151617[[#This Row],[CSOsSP Removed]]</f>
        <v>0</v>
      </c>
      <c r="T48" s="201"/>
      <c r="V48"/>
      <c r="W48" t="s">
        <v>184</v>
      </c>
      <c r="X48" s="263">
        <v>11</v>
      </c>
      <c r="Y48" s="98">
        <v>0.10476190476190476</v>
      </c>
    </row>
    <row r="49" spans="1:25" ht="15">
      <c r="A49" s="214"/>
      <c r="B49" s="47"/>
      <c r="C49" s="203"/>
      <c r="D49" s="203"/>
      <c r="E49" s="203"/>
      <c r="F49" s="204" t="s">
        <v>210</v>
      </c>
      <c r="G49" s="203" t="s">
        <v>35</v>
      </c>
      <c r="H49" s="205" t="s">
        <v>209</v>
      </c>
      <c r="I49" s="206"/>
      <c r="J49" s="1" t="s">
        <v>183</v>
      </c>
      <c r="K49" s="203" t="s">
        <v>125</v>
      </c>
      <c r="L49" s="204">
        <v>0</v>
      </c>
      <c r="M49" s="204">
        <v>2</v>
      </c>
      <c r="N49" s="286">
        <f>IF(OR(Tabelle132456891011121314151617[[#This Row],[Pulled after Start]]="yes",Tabelle132456891011121314151617[[#This Row],[Jira Story Points]]="-"),0,MIN(Tabelle132456891011121314151617[[#This Row],[Jira Story Points]],Tabelle132456891011121314151617[[#This Row],[Carry-over]]))</f>
        <v>0</v>
      </c>
      <c r="O49" s="210">
        <f>SUM(IF(ISBLANK(Tabelle132456891011121314151617[[#This Row],[Carry-over]]),Tabelle132456891011121314151617[[#This Row],[Jira Story Points]],Tabelle132456891011121314151617[[#This Row],[Carry-over]]),-Tabelle132456891011121314151617[[#This Row],[COsSP Initially Planned]])</f>
        <v>0</v>
      </c>
      <c r="P4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49" s="210">
        <f>IF(Tabelle132456891011121314151617[[#This Row],[Status]]=$J$5,Tabelle132456891011121314151617[[#This Row],[COsSP Initially Planned]]+Tabelle132456891011121314151617[[#This Row],[COsSP Pulled after Start]]-Tabelle132456891011121314151617[[#This Row],[CSOsSP Completed]],0)</f>
        <v>0</v>
      </c>
      <c r="R49" s="210">
        <f>Tabelle132456891011121314151617[[#This Row],[COsSP Initially Planned]]+Tabelle132456891011121314151617[[#This Row],[COsSP Pulled after Start]]-Tabelle132456891011121314151617[[#This Row],[CSOsSP Completed]]-Tabelle132456891011121314151617[[#This Row],[CSOsSP Removed]]</f>
        <v>0</v>
      </c>
      <c r="T49" s="201"/>
      <c r="V49" t="s">
        <v>27</v>
      </c>
      <c r="W49"/>
      <c r="X49" s="263">
        <v>105</v>
      </c>
      <c r="Y49" s="98">
        <v>7.113821138211382E-2</v>
      </c>
    </row>
    <row r="50" spans="1:25" ht="15">
      <c r="A50" s="215"/>
      <c r="B50" s="47"/>
      <c r="C50" s="203"/>
      <c r="D50" s="203"/>
      <c r="E50" s="203"/>
      <c r="F50" s="204">
        <v>5</v>
      </c>
      <c r="G50" s="203" t="s">
        <v>32</v>
      </c>
      <c r="H50" s="205" t="s">
        <v>209</v>
      </c>
      <c r="I50" s="206"/>
      <c r="J50" s="1" t="s">
        <v>180</v>
      </c>
      <c r="K50" s="203" t="s">
        <v>125</v>
      </c>
      <c r="L50" s="204">
        <v>3</v>
      </c>
      <c r="M50" s="204">
        <v>2</v>
      </c>
      <c r="N50" s="286">
        <f>IF(OR(Tabelle132456891011121314151617[[#This Row],[Pulled after Start]]="yes",Tabelle132456891011121314151617[[#This Row],[Jira Story Points]]="-"),0,MIN(Tabelle132456891011121314151617[[#This Row],[Jira Story Points]],Tabelle132456891011121314151617[[#This Row],[Carry-over]]))</f>
        <v>0</v>
      </c>
      <c r="O50" s="210">
        <f>SUM(IF(ISBLANK(Tabelle132456891011121314151617[[#This Row],[Carry-over]]),Tabelle132456891011121314151617[[#This Row],[Jira Story Points]],Tabelle132456891011121314151617[[#This Row],[Carry-over]]),-Tabelle132456891011121314151617[[#This Row],[COsSP Initially Planned]])</f>
        <v>3</v>
      </c>
      <c r="P5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50" s="210">
        <f>IF(Tabelle132456891011121314151617[[#This Row],[Status]]=$J$5,Tabelle132456891011121314151617[[#This Row],[COsSP Initially Planned]]+Tabelle132456891011121314151617[[#This Row],[COsSP Pulled after Start]]-Tabelle132456891011121314151617[[#This Row],[CSOsSP Completed]],0)</f>
        <v>0</v>
      </c>
      <c r="R50" s="210">
        <f>Tabelle132456891011121314151617[[#This Row],[COsSP Initially Planned]]+Tabelle132456891011121314151617[[#This Row],[COsSP Pulled after Start]]-Tabelle132456891011121314151617[[#This Row],[CSOsSP Completed]]-Tabelle132456891011121314151617[[#This Row],[CSOsSP Removed]]</f>
        <v>0</v>
      </c>
      <c r="T50" s="201"/>
      <c r="V50"/>
      <c r="W50" t="s">
        <v>175</v>
      </c>
      <c r="X50" s="263">
        <v>5</v>
      </c>
      <c r="Y50" s="98">
        <v>4.7619047619047616E-2</v>
      </c>
    </row>
    <row r="51" spans="1:25" ht="15">
      <c r="A51" s="285"/>
      <c r="B51" s="285"/>
      <c r="C51" s="203"/>
      <c r="D51" s="203"/>
      <c r="E51" s="203"/>
      <c r="F51" s="204">
        <v>13</v>
      </c>
      <c r="G51" s="203" t="s">
        <v>17</v>
      </c>
      <c r="H51" s="205" t="s">
        <v>209</v>
      </c>
      <c r="I51" s="206"/>
      <c r="J51" s="1" t="s">
        <v>184</v>
      </c>
      <c r="K51" s="203" t="s">
        <v>125</v>
      </c>
      <c r="L51" s="204">
        <v>3</v>
      </c>
      <c r="M51" s="204">
        <v>2</v>
      </c>
      <c r="N51" s="286">
        <f>IF(OR(Tabelle132456891011121314151617[[#This Row],[Pulled after Start]]="yes",Tabelle132456891011121314151617[[#This Row],[Jira Story Points]]="-"),0,MIN(Tabelle132456891011121314151617[[#This Row],[Jira Story Points]],Tabelle132456891011121314151617[[#This Row],[Carry-over]]))</f>
        <v>0</v>
      </c>
      <c r="O51" s="210">
        <f>SUM(IF(ISBLANK(Tabelle132456891011121314151617[[#This Row],[Carry-over]]),Tabelle132456891011121314151617[[#This Row],[Jira Story Points]],Tabelle132456891011121314151617[[#This Row],[Carry-over]]),-Tabelle132456891011121314151617[[#This Row],[COsSP Initially Planned]])</f>
        <v>3</v>
      </c>
      <c r="P5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51" s="210">
        <f>IF(Tabelle132456891011121314151617[[#This Row],[Status]]=$J$5,Tabelle132456891011121314151617[[#This Row],[COsSP Initially Planned]]+Tabelle132456891011121314151617[[#This Row],[COsSP Pulled after Start]]-Tabelle132456891011121314151617[[#This Row],[CSOsSP Completed]],0)</f>
        <v>0</v>
      </c>
      <c r="R51" s="210">
        <f>Tabelle132456891011121314151617[[#This Row],[COsSP Initially Planned]]+Tabelle132456891011121314151617[[#This Row],[COsSP Pulled after Start]]-Tabelle132456891011121314151617[[#This Row],[CSOsSP Completed]]-Tabelle132456891011121314151617[[#This Row],[CSOsSP Removed]]</f>
        <v>0</v>
      </c>
      <c r="T51" s="201"/>
      <c r="V51"/>
      <c r="W51" t="s">
        <v>176</v>
      </c>
      <c r="X51" s="263">
        <v>3</v>
      </c>
      <c r="Y51" s="98">
        <v>2.8571428571428571E-2</v>
      </c>
    </row>
    <row r="52" spans="1:25" ht="15">
      <c r="A52" s="214"/>
      <c r="B52" s="47"/>
      <c r="C52" s="203"/>
      <c r="D52" s="203"/>
      <c r="E52" s="203"/>
      <c r="F52" s="204" t="s">
        <v>210</v>
      </c>
      <c r="G52" s="203" t="s">
        <v>5</v>
      </c>
      <c r="H52" s="205" t="s">
        <v>209</v>
      </c>
      <c r="I52" s="206"/>
      <c r="J52" s="1" t="s">
        <v>181</v>
      </c>
      <c r="K52" s="203" t="s">
        <v>125</v>
      </c>
      <c r="L52" s="204">
        <v>3</v>
      </c>
      <c r="M52" s="204">
        <v>2</v>
      </c>
      <c r="N52" s="286">
        <f>IF(OR(Tabelle132456891011121314151617[[#This Row],[Pulled after Start]]="yes",Tabelle132456891011121314151617[[#This Row],[Jira Story Points]]="-"),0,MIN(Tabelle132456891011121314151617[[#This Row],[Jira Story Points]],Tabelle132456891011121314151617[[#This Row],[Carry-over]]))</f>
        <v>0</v>
      </c>
      <c r="O52" s="210">
        <f>SUM(IF(ISBLANK(Tabelle132456891011121314151617[[#This Row],[Carry-over]]),Tabelle132456891011121314151617[[#This Row],[Jira Story Points]],Tabelle132456891011121314151617[[#This Row],[Carry-over]]),-Tabelle132456891011121314151617[[#This Row],[COsSP Initially Planned]])</f>
        <v>3</v>
      </c>
      <c r="P5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52" s="210">
        <f>IF(Tabelle132456891011121314151617[[#This Row],[Status]]=$J$5,Tabelle132456891011121314151617[[#This Row],[COsSP Initially Planned]]+Tabelle132456891011121314151617[[#This Row],[COsSP Pulled after Start]]-Tabelle132456891011121314151617[[#This Row],[CSOsSP Completed]],0)</f>
        <v>0</v>
      </c>
      <c r="R52" s="210">
        <f>Tabelle132456891011121314151617[[#This Row],[COsSP Initially Planned]]+Tabelle132456891011121314151617[[#This Row],[COsSP Pulled after Start]]-Tabelle132456891011121314151617[[#This Row],[CSOsSP Completed]]-Tabelle132456891011121314151617[[#This Row],[CSOsSP Removed]]</f>
        <v>0</v>
      </c>
      <c r="T52" s="201"/>
      <c r="V52"/>
      <c r="W52" t="s">
        <v>177</v>
      </c>
      <c r="X52" s="263">
        <v>0</v>
      </c>
      <c r="Y52" s="98">
        <v>0</v>
      </c>
    </row>
    <row r="53" spans="1:25" ht="15">
      <c r="A53" s="285"/>
      <c r="B53" s="285"/>
      <c r="C53" s="203"/>
      <c r="D53" s="203"/>
      <c r="E53" s="203"/>
      <c r="F53" s="204">
        <v>5</v>
      </c>
      <c r="G53" s="203" t="s">
        <v>32</v>
      </c>
      <c r="H53" s="205" t="s">
        <v>209</v>
      </c>
      <c r="I53" s="206"/>
      <c r="J53" s="1" t="s">
        <v>184</v>
      </c>
      <c r="K53" s="203" t="s">
        <v>125</v>
      </c>
      <c r="L53" s="204">
        <v>8</v>
      </c>
      <c r="M53" s="204">
        <v>2</v>
      </c>
      <c r="N53" s="286">
        <f>IF(OR(Tabelle132456891011121314151617[[#This Row],[Pulled after Start]]="yes",Tabelle132456891011121314151617[[#This Row],[Jira Story Points]]="-"),0,MIN(Tabelle132456891011121314151617[[#This Row],[Jira Story Points]],Tabelle132456891011121314151617[[#This Row],[Carry-over]]))</f>
        <v>0</v>
      </c>
      <c r="O53" s="210">
        <f>SUM(IF(ISBLANK(Tabelle132456891011121314151617[[#This Row],[Carry-over]]),Tabelle132456891011121314151617[[#This Row],[Jira Story Points]],Tabelle132456891011121314151617[[#This Row],[Carry-over]]),-Tabelle132456891011121314151617[[#This Row],[COsSP Initially Planned]])</f>
        <v>8</v>
      </c>
      <c r="P5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53" s="210">
        <f>IF(Tabelle132456891011121314151617[[#This Row],[Status]]=$J$5,Tabelle132456891011121314151617[[#This Row],[COsSP Initially Planned]]+Tabelle132456891011121314151617[[#This Row],[COsSP Pulled after Start]]-Tabelle132456891011121314151617[[#This Row],[CSOsSP Completed]],0)</f>
        <v>0</v>
      </c>
      <c r="R53" s="210">
        <f>Tabelle132456891011121314151617[[#This Row],[COsSP Initially Planned]]+Tabelle132456891011121314151617[[#This Row],[COsSP Pulled after Start]]-Tabelle132456891011121314151617[[#This Row],[CSOsSP Completed]]-Tabelle132456891011121314151617[[#This Row],[CSOsSP Removed]]</f>
        <v>0</v>
      </c>
      <c r="T53" s="201"/>
      <c r="V53"/>
      <c r="W53" t="s">
        <v>178</v>
      </c>
      <c r="X53" s="263">
        <v>13</v>
      </c>
      <c r="Y53" s="98">
        <v>0.12380952380952381</v>
      </c>
    </row>
    <row r="54" spans="1:25" ht="15">
      <c r="A54" s="285"/>
      <c r="B54" s="285"/>
      <c r="C54" s="203"/>
      <c r="D54" s="203"/>
      <c r="E54" s="203"/>
      <c r="F54" s="204">
        <v>13</v>
      </c>
      <c r="G54" s="203" t="s">
        <v>32</v>
      </c>
      <c r="H54" s="205" t="s">
        <v>209</v>
      </c>
      <c r="I54" s="206"/>
      <c r="J54" s="1" t="s">
        <v>179</v>
      </c>
      <c r="K54" s="203" t="s">
        <v>125</v>
      </c>
      <c r="L54" s="204">
        <v>8</v>
      </c>
      <c r="M54" s="204">
        <v>2</v>
      </c>
      <c r="N54" s="286">
        <f>IF(OR(Tabelle132456891011121314151617[[#This Row],[Pulled after Start]]="yes",Tabelle132456891011121314151617[[#This Row],[Jira Story Points]]="-"),0,MIN(Tabelle132456891011121314151617[[#This Row],[Jira Story Points]],Tabelle132456891011121314151617[[#This Row],[Carry-over]]))</f>
        <v>0</v>
      </c>
      <c r="O54" s="210">
        <f>SUM(IF(ISBLANK(Tabelle132456891011121314151617[[#This Row],[Carry-over]]),Tabelle132456891011121314151617[[#This Row],[Jira Story Points]],Tabelle132456891011121314151617[[#This Row],[Carry-over]]),-Tabelle132456891011121314151617[[#This Row],[COsSP Initially Planned]])</f>
        <v>8</v>
      </c>
      <c r="P5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54" s="210">
        <f>IF(Tabelle132456891011121314151617[[#This Row],[Status]]=$J$5,Tabelle132456891011121314151617[[#This Row],[COsSP Initially Planned]]+Tabelle132456891011121314151617[[#This Row],[COsSP Pulled after Start]]-Tabelle132456891011121314151617[[#This Row],[CSOsSP Completed]],0)</f>
        <v>0</v>
      </c>
      <c r="R54" s="210">
        <f>Tabelle132456891011121314151617[[#This Row],[COsSP Initially Planned]]+Tabelle132456891011121314151617[[#This Row],[COsSP Pulled after Start]]-Tabelle132456891011121314151617[[#This Row],[CSOsSP Completed]]-Tabelle132456891011121314151617[[#This Row],[CSOsSP Removed]]</f>
        <v>0</v>
      </c>
      <c r="T54" s="201"/>
      <c r="V54"/>
      <c r="W54" t="s">
        <v>179</v>
      </c>
      <c r="X54" s="263">
        <v>1</v>
      </c>
      <c r="Y54" s="98">
        <v>9.5238095238095247E-3</v>
      </c>
    </row>
    <row r="55" spans="1:25" ht="15">
      <c r="A55" s="214"/>
      <c r="B55" s="47"/>
      <c r="C55" s="203"/>
      <c r="D55" s="203"/>
      <c r="E55" s="203"/>
      <c r="F55" s="204" t="s">
        <v>210</v>
      </c>
      <c r="G55" s="203" t="s">
        <v>17</v>
      </c>
      <c r="H55" s="205" t="s">
        <v>209</v>
      </c>
      <c r="I55" s="206"/>
      <c r="J55" s="1" t="s">
        <v>182</v>
      </c>
      <c r="K55" s="203" t="s">
        <v>125</v>
      </c>
      <c r="L55" s="204">
        <v>8</v>
      </c>
      <c r="M55" s="204">
        <v>2</v>
      </c>
      <c r="N55" s="286">
        <f>IF(OR(Tabelle132456891011121314151617[[#This Row],[Pulled after Start]]="yes",Tabelle132456891011121314151617[[#This Row],[Jira Story Points]]="-"),0,MIN(Tabelle132456891011121314151617[[#This Row],[Jira Story Points]],Tabelle132456891011121314151617[[#This Row],[Carry-over]]))</f>
        <v>0</v>
      </c>
      <c r="O55" s="210">
        <f>SUM(IF(ISBLANK(Tabelle132456891011121314151617[[#This Row],[Carry-over]]),Tabelle132456891011121314151617[[#This Row],[Jira Story Points]],Tabelle132456891011121314151617[[#This Row],[Carry-over]]),-Tabelle132456891011121314151617[[#This Row],[COsSP Initially Planned]])</f>
        <v>8</v>
      </c>
      <c r="P5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55" s="210">
        <f>IF(Tabelle132456891011121314151617[[#This Row],[Status]]=$J$5,Tabelle132456891011121314151617[[#This Row],[COsSP Initially Planned]]+Tabelle132456891011121314151617[[#This Row],[COsSP Pulled after Start]]-Tabelle132456891011121314151617[[#This Row],[CSOsSP Completed]],0)</f>
        <v>0</v>
      </c>
      <c r="R55" s="210">
        <f>Tabelle132456891011121314151617[[#This Row],[COsSP Initially Planned]]+Tabelle132456891011121314151617[[#This Row],[COsSP Pulled after Start]]-Tabelle132456891011121314151617[[#This Row],[CSOsSP Completed]]-Tabelle132456891011121314151617[[#This Row],[CSOsSP Removed]]</f>
        <v>0</v>
      </c>
      <c r="T55" s="201"/>
      <c r="V55"/>
      <c r="W55" t="s">
        <v>180</v>
      </c>
      <c r="X55" s="263">
        <v>11</v>
      </c>
      <c r="Y55" s="98">
        <v>0.10476190476190476</v>
      </c>
    </row>
    <row r="56" spans="1:25" ht="15">
      <c r="A56" s="285"/>
      <c r="B56" s="285"/>
      <c r="C56" s="203"/>
      <c r="D56" s="203"/>
      <c r="E56" s="203"/>
      <c r="F56" s="204">
        <v>5</v>
      </c>
      <c r="G56" s="203" t="s">
        <v>5</v>
      </c>
      <c r="H56" s="205" t="s">
        <v>209</v>
      </c>
      <c r="I56" s="206"/>
      <c r="J56" s="1" t="s">
        <v>177</v>
      </c>
      <c r="K56" s="203" t="s">
        <v>125</v>
      </c>
      <c r="L56" s="204">
        <v>21</v>
      </c>
      <c r="M56" s="204">
        <v>2</v>
      </c>
      <c r="N56" s="286">
        <f>IF(OR(Tabelle132456891011121314151617[[#This Row],[Pulled after Start]]="yes",Tabelle132456891011121314151617[[#This Row],[Jira Story Points]]="-"),0,MIN(Tabelle132456891011121314151617[[#This Row],[Jira Story Points]],Tabelle132456891011121314151617[[#This Row],[Carry-over]]))</f>
        <v>0</v>
      </c>
      <c r="O56" s="210">
        <f>SUM(IF(ISBLANK(Tabelle132456891011121314151617[[#This Row],[Carry-over]]),Tabelle132456891011121314151617[[#This Row],[Jira Story Points]],Tabelle132456891011121314151617[[#This Row],[Carry-over]]),-Tabelle132456891011121314151617[[#This Row],[COsSP Initially Planned]])</f>
        <v>21</v>
      </c>
      <c r="P5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56" s="210">
        <f>IF(Tabelle132456891011121314151617[[#This Row],[Status]]=$J$5,Tabelle132456891011121314151617[[#This Row],[COsSP Initially Planned]]+Tabelle132456891011121314151617[[#This Row],[COsSP Pulled after Start]]-Tabelle132456891011121314151617[[#This Row],[CSOsSP Completed]],0)</f>
        <v>0</v>
      </c>
      <c r="R56" s="210">
        <f>Tabelle132456891011121314151617[[#This Row],[COsSP Initially Planned]]+Tabelle132456891011121314151617[[#This Row],[COsSP Pulled after Start]]-Tabelle132456891011121314151617[[#This Row],[CSOsSP Completed]]-Tabelle132456891011121314151617[[#This Row],[CSOsSP Removed]]</f>
        <v>0</v>
      </c>
      <c r="T56" s="201"/>
      <c r="V56"/>
      <c r="W56" t="s">
        <v>181</v>
      </c>
      <c r="X56" s="263">
        <v>19</v>
      </c>
      <c r="Y56" s="98">
        <v>0.18095238095238095</v>
      </c>
    </row>
    <row r="57" spans="1:25" ht="15">
      <c r="A57" s="285"/>
      <c r="B57" s="285"/>
      <c r="C57" s="203"/>
      <c r="D57" s="203"/>
      <c r="E57" s="203"/>
      <c r="F57" s="204">
        <v>13</v>
      </c>
      <c r="G57" s="203" t="s">
        <v>21</v>
      </c>
      <c r="H57" s="205" t="s">
        <v>209</v>
      </c>
      <c r="I57" s="206"/>
      <c r="J57" s="1" t="s">
        <v>184</v>
      </c>
      <c r="K57" s="203" t="s">
        <v>125</v>
      </c>
      <c r="L57" s="204">
        <v>21</v>
      </c>
      <c r="M57" s="204">
        <v>2</v>
      </c>
      <c r="N57" s="286">
        <f>IF(OR(Tabelle132456891011121314151617[[#This Row],[Pulled after Start]]="yes",Tabelle132456891011121314151617[[#This Row],[Jira Story Points]]="-"),0,MIN(Tabelle132456891011121314151617[[#This Row],[Jira Story Points]],Tabelle132456891011121314151617[[#This Row],[Carry-over]]))</f>
        <v>0</v>
      </c>
      <c r="O57" s="210">
        <f>SUM(IF(ISBLANK(Tabelle132456891011121314151617[[#This Row],[Carry-over]]),Tabelle132456891011121314151617[[#This Row],[Jira Story Points]],Tabelle132456891011121314151617[[#This Row],[Carry-over]]),-Tabelle132456891011121314151617[[#This Row],[COsSP Initially Planned]])</f>
        <v>21</v>
      </c>
      <c r="P5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57" s="210">
        <f>IF(Tabelle132456891011121314151617[[#This Row],[Status]]=$J$5,Tabelle132456891011121314151617[[#This Row],[COsSP Initially Planned]]+Tabelle132456891011121314151617[[#This Row],[COsSP Pulled after Start]]-Tabelle132456891011121314151617[[#This Row],[CSOsSP Completed]],0)</f>
        <v>0</v>
      </c>
      <c r="R57" s="210">
        <f>Tabelle132456891011121314151617[[#This Row],[COsSP Initially Planned]]+Tabelle132456891011121314151617[[#This Row],[COsSP Pulled after Start]]-Tabelle132456891011121314151617[[#This Row],[CSOsSP Completed]]-Tabelle132456891011121314151617[[#This Row],[CSOsSP Removed]]</f>
        <v>0</v>
      </c>
      <c r="T57" s="201"/>
      <c r="V57"/>
      <c r="W57" t="s">
        <v>182</v>
      </c>
      <c r="X57" s="263">
        <v>54</v>
      </c>
      <c r="Y57" s="98">
        <v>0.51428571428571423</v>
      </c>
    </row>
    <row r="58" spans="1:25" ht="15">
      <c r="A58" s="214"/>
      <c r="B58" s="47"/>
      <c r="C58" s="203"/>
      <c r="D58" s="203"/>
      <c r="E58" s="203"/>
      <c r="F58" s="204" t="s">
        <v>210</v>
      </c>
      <c r="G58" s="203" t="s">
        <v>21</v>
      </c>
      <c r="H58" s="205" t="s">
        <v>209</v>
      </c>
      <c r="I58" s="206"/>
      <c r="J58" s="1" t="s">
        <v>177</v>
      </c>
      <c r="K58" s="203" t="s">
        <v>125</v>
      </c>
      <c r="L58" s="204">
        <v>21</v>
      </c>
      <c r="M58" s="204">
        <v>2</v>
      </c>
      <c r="N58" s="286">
        <f>IF(OR(Tabelle132456891011121314151617[[#This Row],[Pulled after Start]]="yes",Tabelle132456891011121314151617[[#This Row],[Jira Story Points]]="-"),0,MIN(Tabelle132456891011121314151617[[#This Row],[Jira Story Points]],Tabelle132456891011121314151617[[#This Row],[Carry-over]]))</f>
        <v>0</v>
      </c>
      <c r="O58" s="210">
        <f>SUM(IF(ISBLANK(Tabelle132456891011121314151617[[#This Row],[Carry-over]]),Tabelle132456891011121314151617[[#This Row],[Jira Story Points]],Tabelle132456891011121314151617[[#This Row],[Carry-over]]),-Tabelle132456891011121314151617[[#This Row],[COsSP Initially Planned]])</f>
        <v>21</v>
      </c>
      <c r="P5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58" s="210">
        <f>IF(Tabelle132456891011121314151617[[#This Row],[Status]]=$J$5,Tabelle132456891011121314151617[[#This Row],[COsSP Initially Planned]]+Tabelle132456891011121314151617[[#This Row],[COsSP Pulled after Start]]-Tabelle132456891011121314151617[[#This Row],[CSOsSP Completed]],0)</f>
        <v>0</v>
      </c>
      <c r="R58" s="210">
        <f>Tabelle132456891011121314151617[[#This Row],[COsSP Initially Planned]]+Tabelle132456891011121314151617[[#This Row],[COsSP Pulled after Start]]-Tabelle132456891011121314151617[[#This Row],[CSOsSP Completed]]-Tabelle132456891011121314151617[[#This Row],[CSOsSP Removed]]</f>
        <v>0</v>
      </c>
      <c r="T58" s="201"/>
      <c r="V58"/>
      <c r="W58" t="s">
        <v>183</v>
      </c>
      <c r="X58" s="263">
        <v>-1</v>
      </c>
      <c r="Y58" s="98">
        <v>-9.5238095238095247E-3</v>
      </c>
    </row>
    <row r="59" spans="1:25" ht="15">
      <c r="A59" s="215"/>
      <c r="B59" s="47"/>
      <c r="C59" s="203"/>
      <c r="D59" s="203"/>
      <c r="E59" s="203"/>
      <c r="F59" s="204">
        <v>5</v>
      </c>
      <c r="G59" s="203" t="s">
        <v>27</v>
      </c>
      <c r="H59" s="205" t="s">
        <v>209</v>
      </c>
      <c r="I59" s="206"/>
      <c r="J59" s="1" t="s">
        <v>180</v>
      </c>
      <c r="K59" s="203" t="s">
        <v>125</v>
      </c>
      <c r="L59" s="204"/>
      <c r="M59" s="204">
        <v>2</v>
      </c>
      <c r="N59" s="286">
        <f>IF(OR(Tabelle132456891011121314151617[[#This Row],[Pulled after Start]]="yes",Tabelle132456891011121314151617[[#This Row],[Jira Story Points]]="-"),0,MIN(Tabelle132456891011121314151617[[#This Row],[Jira Story Points]],Tabelle132456891011121314151617[[#This Row],[Carry-over]]))</f>
        <v>0</v>
      </c>
      <c r="O59" s="210">
        <f>SUM(IF(ISBLANK(Tabelle132456891011121314151617[[#This Row],[Carry-over]]),Tabelle132456891011121314151617[[#This Row],[Jira Story Points]],Tabelle132456891011121314151617[[#This Row],[Carry-over]]),-Tabelle132456891011121314151617[[#This Row],[COsSP Initially Planned]])</f>
        <v>5</v>
      </c>
      <c r="P5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5</v>
      </c>
      <c r="Q59" s="210">
        <f>IF(Tabelle132456891011121314151617[[#This Row],[Status]]=$J$5,Tabelle132456891011121314151617[[#This Row],[COsSP Initially Planned]]+Tabelle132456891011121314151617[[#This Row],[COsSP Pulled after Start]]-Tabelle132456891011121314151617[[#This Row],[CSOsSP Completed]],0)</f>
        <v>0</v>
      </c>
      <c r="R59" s="210">
        <f>Tabelle132456891011121314151617[[#This Row],[COsSP Initially Planned]]+Tabelle132456891011121314151617[[#This Row],[COsSP Pulled after Start]]-Tabelle132456891011121314151617[[#This Row],[CSOsSP Completed]]-Tabelle132456891011121314151617[[#This Row],[CSOsSP Removed]]</f>
        <v>0</v>
      </c>
      <c r="T59" s="201"/>
      <c r="V59"/>
      <c r="W59" t="s">
        <v>184</v>
      </c>
      <c r="X59" s="263">
        <v>0</v>
      </c>
      <c r="Y59" s="98">
        <v>0</v>
      </c>
    </row>
    <row r="60" spans="1:25" ht="15">
      <c r="A60" s="215"/>
      <c r="B60" s="47"/>
      <c r="C60" s="203"/>
      <c r="D60" s="203"/>
      <c r="E60" s="203"/>
      <c r="F60" s="204">
        <v>13</v>
      </c>
      <c r="G60" s="203" t="s">
        <v>27</v>
      </c>
      <c r="H60" s="205" t="s">
        <v>209</v>
      </c>
      <c r="I60" s="206"/>
      <c r="J60" s="1" t="s">
        <v>178</v>
      </c>
      <c r="K60" s="203" t="s">
        <v>125</v>
      </c>
      <c r="L60" s="204"/>
      <c r="M60" s="204">
        <v>2</v>
      </c>
      <c r="N60" s="286">
        <f>IF(OR(Tabelle132456891011121314151617[[#This Row],[Pulled after Start]]="yes",Tabelle132456891011121314151617[[#This Row],[Jira Story Points]]="-"),0,MIN(Tabelle132456891011121314151617[[#This Row],[Jira Story Points]],Tabelle132456891011121314151617[[#This Row],[Carry-over]]))</f>
        <v>0</v>
      </c>
      <c r="O60" s="210">
        <f>SUM(IF(ISBLANK(Tabelle132456891011121314151617[[#This Row],[Carry-over]]),Tabelle132456891011121314151617[[#This Row],[Jira Story Points]],Tabelle132456891011121314151617[[#This Row],[Carry-over]]),-Tabelle132456891011121314151617[[#This Row],[COsSP Initially Planned]])</f>
        <v>13</v>
      </c>
      <c r="P6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13</v>
      </c>
      <c r="Q60" s="210">
        <f>IF(Tabelle132456891011121314151617[[#This Row],[Status]]=$J$5,Tabelle132456891011121314151617[[#This Row],[COsSP Initially Planned]]+Tabelle132456891011121314151617[[#This Row],[COsSP Pulled after Start]]-Tabelle132456891011121314151617[[#This Row],[CSOsSP Completed]],0)</f>
        <v>0</v>
      </c>
      <c r="R60" s="210">
        <f>Tabelle132456891011121314151617[[#This Row],[COsSP Initially Planned]]+Tabelle132456891011121314151617[[#This Row],[COsSP Pulled after Start]]-Tabelle132456891011121314151617[[#This Row],[CSOsSP Completed]]-Tabelle132456891011121314151617[[#This Row],[CSOsSP Removed]]</f>
        <v>0</v>
      </c>
      <c r="T60" s="201"/>
      <c r="V60" t="s">
        <v>21</v>
      </c>
      <c r="W60"/>
      <c r="X60" s="263">
        <v>133</v>
      </c>
      <c r="Y60" s="98">
        <v>9.0108401084010845E-2</v>
      </c>
    </row>
    <row r="61" spans="1:25" ht="15">
      <c r="A61" s="214"/>
      <c r="B61" s="47"/>
      <c r="C61" s="203"/>
      <c r="D61" s="203"/>
      <c r="E61" s="203"/>
      <c r="F61" s="204" t="s">
        <v>210</v>
      </c>
      <c r="G61" s="203" t="s">
        <v>9</v>
      </c>
      <c r="H61" s="205" t="s">
        <v>209</v>
      </c>
      <c r="I61" s="206"/>
      <c r="J61" s="1" t="s">
        <v>184</v>
      </c>
      <c r="K61" s="203" t="s">
        <v>125</v>
      </c>
      <c r="L61" s="204"/>
      <c r="M61" s="204">
        <v>2</v>
      </c>
      <c r="N61" s="286">
        <f>IF(OR(Tabelle132456891011121314151617[[#This Row],[Pulled after Start]]="yes",Tabelle132456891011121314151617[[#This Row],[Jira Story Points]]="-"),0,MIN(Tabelle132456891011121314151617[[#This Row],[Jira Story Points]],Tabelle132456891011121314151617[[#This Row],[Carry-over]]))</f>
        <v>0</v>
      </c>
      <c r="O61" s="210">
        <f>SUM(IF(ISBLANK(Tabelle132456891011121314151617[[#This Row],[Carry-over]]),Tabelle132456891011121314151617[[#This Row],[Jira Story Points]],Tabelle132456891011121314151617[[#This Row],[Carry-over]]),-Tabelle132456891011121314151617[[#This Row],[COsSP Initially Planned]])</f>
        <v>0</v>
      </c>
      <c r="P6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61" s="210">
        <f>IF(Tabelle132456891011121314151617[[#This Row],[Status]]=$J$5,Tabelle132456891011121314151617[[#This Row],[COsSP Initially Planned]]+Tabelle132456891011121314151617[[#This Row],[COsSP Pulled after Start]]-Tabelle132456891011121314151617[[#This Row],[CSOsSP Completed]],0)</f>
        <v>0</v>
      </c>
      <c r="R61" s="210">
        <f>Tabelle132456891011121314151617[[#This Row],[COsSP Initially Planned]]+Tabelle132456891011121314151617[[#This Row],[COsSP Pulled after Start]]-Tabelle132456891011121314151617[[#This Row],[CSOsSP Completed]]-Tabelle132456891011121314151617[[#This Row],[CSOsSP Removed]]</f>
        <v>0</v>
      </c>
      <c r="T61" s="201"/>
      <c r="V61"/>
      <c r="W61" t="s">
        <v>175</v>
      </c>
      <c r="X61" s="263">
        <v>22</v>
      </c>
      <c r="Y61" s="98">
        <v>0.16541353383458646</v>
      </c>
    </row>
    <row r="62" spans="1:25" ht="15">
      <c r="A62" s="285"/>
      <c r="B62" s="285"/>
      <c r="C62" s="203"/>
      <c r="D62" s="203"/>
      <c r="E62" s="203"/>
      <c r="F62" s="204">
        <v>5</v>
      </c>
      <c r="G62" s="203" t="s">
        <v>32</v>
      </c>
      <c r="H62" s="205" t="s">
        <v>209</v>
      </c>
      <c r="I62" s="206"/>
      <c r="J62" s="1" t="s">
        <v>175</v>
      </c>
      <c r="K62" s="203" t="s">
        <v>125</v>
      </c>
      <c r="L62" s="204">
        <v>0</v>
      </c>
      <c r="M62" s="204"/>
      <c r="N62" s="286">
        <f>IF(OR(Tabelle132456891011121314151617[[#This Row],[Pulled after Start]]="yes",Tabelle132456891011121314151617[[#This Row],[Jira Story Points]]="-"),0,MIN(Tabelle132456891011121314151617[[#This Row],[Jira Story Points]],Tabelle132456891011121314151617[[#This Row],[Carry-over]]))</f>
        <v>0</v>
      </c>
      <c r="O62" s="210">
        <f>SUM(IF(ISBLANK(Tabelle132456891011121314151617[[#This Row],[Carry-over]]),Tabelle132456891011121314151617[[#This Row],[Jira Story Points]],Tabelle132456891011121314151617[[#This Row],[Carry-over]]),-Tabelle132456891011121314151617[[#This Row],[COsSP Initially Planned]])</f>
        <v>0</v>
      </c>
      <c r="P6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62" s="210">
        <f>IF(Tabelle132456891011121314151617[[#This Row],[Status]]=$J$5,Tabelle132456891011121314151617[[#This Row],[COsSP Initially Planned]]+Tabelle132456891011121314151617[[#This Row],[COsSP Pulled after Start]]-Tabelle132456891011121314151617[[#This Row],[CSOsSP Completed]],0)</f>
        <v>0</v>
      </c>
      <c r="R62" s="210">
        <f>Tabelle132456891011121314151617[[#This Row],[COsSP Initially Planned]]+Tabelle132456891011121314151617[[#This Row],[COsSP Pulled after Start]]-Tabelle132456891011121314151617[[#This Row],[CSOsSP Completed]]-Tabelle132456891011121314151617[[#This Row],[CSOsSP Removed]]</f>
        <v>0</v>
      </c>
      <c r="T62" s="201"/>
      <c r="V62"/>
      <c r="W62" t="s">
        <v>176</v>
      </c>
      <c r="X62" s="263">
        <v>19</v>
      </c>
      <c r="Y62" s="98">
        <v>0.14285714285714285</v>
      </c>
    </row>
    <row r="63" spans="1:25" ht="15">
      <c r="A63" s="285"/>
      <c r="B63" s="285"/>
      <c r="C63" s="203"/>
      <c r="D63" s="203"/>
      <c r="E63" s="203"/>
      <c r="F63" s="204">
        <v>13</v>
      </c>
      <c r="G63" s="203" t="s">
        <v>5</v>
      </c>
      <c r="H63" s="205" t="s">
        <v>209</v>
      </c>
      <c r="I63" s="206"/>
      <c r="J63" s="1" t="s">
        <v>178</v>
      </c>
      <c r="K63" s="203" t="s">
        <v>125</v>
      </c>
      <c r="L63" s="204">
        <v>0</v>
      </c>
      <c r="M63" s="204"/>
      <c r="N63" s="286">
        <f>IF(OR(Tabelle132456891011121314151617[[#This Row],[Pulled after Start]]="yes",Tabelle132456891011121314151617[[#This Row],[Jira Story Points]]="-"),0,MIN(Tabelle132456891011121314151617[[#This Row],[Jira Story Points]],Tabelle132456891011121314151617[[#This Row],[Carry-over]]))</f>
        <v>0</v>
      </c>
      <c r="O63" s="210">
        <f>SUM(IF(ISBLANK(Tabelle132456891011121314151617[[#This Row],[Carry-over]]),Tabelle132456891011121314151617[[#This Row],[Jira Story Points]],Tabelle132456891011121314151617[[#This Row],[Carry-over]]),-Tabelle132456891011121314151617[[#This Row],[COsSP Initially Planned]])</f>
        <v>0</v>
      </c>
      <c r="P6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63" s="210">
        <f>IF(Tabelle132456891011121314151617[[#This Row],[Status]]=$J$5,Tabelle132456891011121314151617[[#This Row],[COsSP Initially Planned]]+Tabelle132456891011121314151617[[#This Row],[COsSP Pulled after Start]]-Tabelle132456891011121314151617[[#This Row],[CSOsSP Completed]],0)</f>
        <v>0</v>
      </c>
      <c r="R63" s="210">
        <f>Tabelle132456891011121314151617[[#This Row],[COsSP Initially Planned]]+Tabelle132456891011121314151617[[#This Row],[COsSP Pulled after Start]]-Tabelle132456891011121314151617[[#This Row],[CSOsSP Completed]]-Tabelle132456891011121314151617[[#This Row],[CSOsSP Removed]]</f>
        <v>0</v>
      </c>
      <c r="T63" s="201"/>
      <c r="V63"/>
      <c r="W63" t="s">
        <v>177</v>
      </c>
      <c r="X63" s="263">
        <v>21</v>
      </c>
      <c r="Y63" s="98">
        <v>0.15789473684210525</v>
      </c>
    </row>
    <row r="64" spans="1:25" ht="15">
      <c r="A64" s="214"/>
      <c r="B64" s="47"/>
      <c r="C64" s="203"/>
      <c r="D64" s="203"/>
      <c r="E64" s="203"/>
      <c r="F64" s="204" t="s">
        <v>210</v>
      </c>
      <c r="G64" s="203" t="s">
        <v>24</v>
      </c>
      <c r="H64" s="205" t="s">
        <v>209</v>
      </c>
      <c r="I64" s="206"/>
      <c r="J64" s="1" t="s">
        <v>182</v>
      </c>
      <c r="K64" s="203" t="s">
        <v>125</v>
      </c>
      <c r="L64" s="204">
        <v>0</v>
      </c>
      <c r="M64" s="204"/>
      <c r="N64" s="286">
        <f>IF(OR(Tabelle132456891011121314151617[[#This Row],[Pulled after Start]]="yes",Tabelle132456891011121314151617[[#This Row],[Jira Story Points]]="-"),0,MIN(Tabelle132456891011121314151617[[#This Row],[Jira Story Points]],Tabelle132456891011121314151617[[#This Row],[Carry-over]]))</f>
        <v>0</v>
      </c>
      <c r="O64" s="210">
        <f>SUM(IF(ISBLANK(Tabelle132456891011121314151617[[#This Row],[Carry-over]]),Tabelle132456891011121314151617[[#This Row],[Jira Story Points]],Tabelle132456891011121314151617[[#This Row],[Carry-over]]),-Tabelle132456891011121314151617[[#This Row],[COsSP Initially Planned]])</f>
        <v>0</v>
      </c>
      <c r="P6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64" s="210">
        <f>IF(Tabelle132456891011121314151617[[#This Row],[Status]]=$J$5,Tabelle132456891011121314151617[[#This Row],[COsSP Initially Planned]]+Tabelle132456891011121314151617[[#This Row],[COsSP Pulled after Start]]-Tabelle132456891011121314151617[[#This Row],[CSOsSP Completed]],0)</f>
        <v>0</v>
      </c>
      <c r="R64" s="210">
        <f>Tabelle132456891011121314151617[[#This Row],[COsSP Initially Planned]]+Tabelle132456891011121314151617[[#This Row],[COsSP Pulled after Start]]-Tabelle132456891011121314151617[[#This Row],[CSOsSP Completed]]-Tabelle132456891011121314151617[[#This Row],[CSOsSP Removed]]</f>
        <v>0</v>
      </c>
      <c r="T64" s="201"/>
      <c r="V64"/>
      <c r="W64" t="s">
        <v>178</v>
      </c>
      <c r="X64" s="263">
        <v>-2</v>
      </c>
      <c r="Y64" s="98">
        <v>-1.5037593984962405E-2</v>
      </c>
    </row>
    <row r="65" spans="1:25" ht="15">
      <c r="A65" s="285"/>
      <c r="B65" s="285"/>
      <c r="C65" s="203"/>
      <c r="D65" s="203"/>
      <c r="E65" s="203"/>
      <c r="F65" s="204">
        <v>5</v>
      </c>
      <c r="G65" s="203" t="s">
        <v>5</v>
      </c>
      <c r="H65" s="205" t="s">
        <v>209</v>
      </c>
      <c r="I65" s="206"/>
      <c r="J65" s="1" t="s">
        <v>182</v>
      </c>
      <c r="K65" s="203" t="s">
        <v>125</v>
      </c>
      <c r="L65" s="204">
        <v>3</v>
      </c>
      <c r="M65" s="204"/>
      <c r="N65" s="286">
        <f>IF(OR(Tabelle132456891011121314151617[[#This Row],[Pulled after Start]]="yes",Tabelle132456891011121314151617[[#This Row],[Jira Story Points]]="-"),0,MIN(Tabelle132456891011121314151617[[#This Row],[Jira Story Points]],Tabelle132456891011121314151617[[#This Row],[Carry-over]]))</f>
        <v>0</v>
      </c>
      <c r="O65" s="210">
        <f>SUM(IF(ISBLANK(Tabelle132456891011121314151617[[#This Row],[Carry-over]]),Tabelle132456891011121314151617[[#This Row],[Jira Story Points]],Tabelle132456891011121314151617[[#This Row],[Carry-over]]),-Tabelle132456891011121314151617[[#This Row],[COsSP Initially Planned]])</f>
        <v>3</v>
      </c>
      <c r="P6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65" s="210">
        <f>IF(Tabelle132456891011121314151617[[#This Row],[Status]]=$J$5,Tabelle132456891011121314151617[[#This Row],[COsSP Initially Planned]]+Tabelle132456891011121314151617[[#This Row],[COsSP Pulled after Start]]-Tabelle132456891011121314151617[[#This Row],[CSOsSP Completed]],0)</f>
        <v>0</v>
      </c>
      <c r="R65" s="210">
        <f>Tabelle132456891011121314151617[[#This Row],[COsSP Initially Planned]]+Tabelle132456891011121314151617[[#This Row],[COsSP Pulled after Start]]-Tabelle132456891011121314151617[[#This Row],[CSOsSP Completed]]-Tabelle132456891011121314151617[[#This Row],[CSOsSP Removed]]</f>
        <v>0</v>
      </c>
      <c r="T65" s="201"/>
      <c r="V65"/>
      <c r="W65" t="s">
        <v>179</v>
      </c>
      <c r="X65" s="263">
        <v>29</v>
      </c>
      <c r="Y65" s="98">
        <v>0.21804511278195488</v>
      </c>
    </row>
    <row r="66" spans="1:25" ht="15">
      <c r="A66" s="285"/>
      <c r="B66" s="285"/>
      <c r="C66" s="203"/>
      <c r="D66" s="203"/>
      <c r="E66" s="203"/>
      <c r="F66" s="204">
        <v>13</v>
      </c>
      <c r="G66" s="203" t="s">
        <v>107</v>
      </c>
      <c r="H66" s="205" t="s">
        <v>209</v>
      </c>
      <c r="I66" s="206"/>
      <c r="J66" s="1" t="s">
        <v>183</v>
      </c>
      <c r="K66" s="203" t="s">
        <v>125</v>
      </c>
      <c r="L66" s="204">
        <v>3</v>
      </c>
      <c r="M66" s="204"/>
      <c r="N66" s="286">
        <f>IF(OR(Tabelle132456891011121314151617[[#This Row],[Pulled after Start]]="yes",Tabelle132456891011121314151617[[#This Row],[Jira Story Points]]="-"),0,MIN(Tabelle132456891011121314151617[[#This Row],[Jira Story Points]],Tabelle132456891011121314151617[[#This Row],[Carry-over]]))</f>
        <v>0</v>
      </c>
      <c r="O66" s="210">
        <f>SUM(IF(ISBLANK(Tabelle132456891011121314151617[[#This Row],[Carry-over]]),Tabelle132456891011121314151617[[#This Row],[Jira Story Points]],Tabelle132456891011121314151617[[#This Row],[Carry-over]]),-Tabelle132456891011121314151617[[#This Row],[COsSP Initially Planned]])</f>
        <v>3</v>
      </c>
      <c r="P6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66" s="210">
        <f>IF(Tabelle132456891011121314151617[[#This Row],[Status]]=$J$5,Tabelle132456891011121314151617[[#This Row],[COsSP Initially Planned]]+Tabelle132456891011121314151617[[#This Row],[COsSP Pulled after Start]]-Tabelle132456891011121314151617[[#This Row],[CSOsSP Completed]],0)</f>
        <v>0</v>
      </c>
      <c r="R66" s="210">
        <f>Tabelle132456891011121314151617[[#This Row],[COsSP Initially Planned]]+Tabelle132456891011121314151617[[#This Row],[COsSP Pulled after Start]]-Tabelle132456891011121314151617[[#This Row],[CSOsSP Completed]]-Tabelle132456891011121314151617[[#This Row],[CSOsSP Removed]]</f>
        <v>0</v>
      </c>
      <c r="T66" s="201"/>
      <c r="V66"/>
      <c r="W66" t="s">
        <v>180</v>
      </c>
      <c r="X66" s="263">
        <v>0</v>
      </c>
      <c r="Y66" s="98">
        <v>0</v>
      </c>
    </row>
    <row r="67" spans="1:25" ht="15">
      <c r="A67" s="214"/>
      <c r="B67" s="47"/>
      <c r="C67" s="203"/>
      <c r="D67" s="203"/>
      <c r="E67" s="203"/>
      <c r="F67" s="204" t="s">
        <v>210</v>
      </c>
      <c r="G67" s="203" t="s">
        <v>12</v>
      </c>
      <c r="H67" s="205" t="s">
        <v>209</v>
      </c>
      <c r="I67" s="206"/>
      <c r="J67" s="1" t="s">
        <v>179</v>
      </c>
      <c r="K67" s="203" t="s">
        <v>125</v>
      </c>
      <c r="L67" s="204">
        <v>3</v>
      </c>
      <c r="M67" s="204"/>
      <c r="N67" s="286">
        <f>IF(OR(Tabelle132456891011121314151617[[#This Row],[Pulled after Start]]="yes",Tabelle132456891011121314151617[[#This Row],[Jira Story Points]]="-"),0,MIN(Tabelle132456891011121314151617[[#This Row],[Jira Story Points]],Tabelle132456891011121314151617[[#This Row],[Carry-over]]))</f>
        <v>0</v>
      </c>
      <c r="O67" s="210">
        <f>SUM(IF(ISBLANK(Tabelle132456891011121314151617[[#This Row],[Carry-over]]),Tabelle132456891011121314151617[[#This Row],[Jira Story Points]],Tabelle132456891011121314151617[[#This Row],[Carry-over]]),-Tabelle132456891011121314151617[[#This Row],[COsSP Initially Planned]])</f>
        <v>3</v>
      </c>
      <c r="P6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67" s="210">
        <f>IF(Tabelle132456891011121314151617[[#This Row],[Status]]=$J$5,Tabelle132456891011121314151617[[#This Row],[COsSP Initially Planned]]+Tabelle132456891011121314151617[[#This Row],[COsSP Pulled after Start]]-Tabelle132456891011121314151617[[#This Row],[CSOsSP Completed]],0)</f>
        <v>0</v>
      </c>
      <c r="R67" s="210">
        <f>Tabelle132456891011121314151617[[#This Row],[COsSP Initially Planned]]+Tabelle132456891011121314151617[[#This Row],[COsSP Pulled after Start]]-Tabelle132456891011121314151617[[#This Row],[CSOsSP Completed]]-Tabelle132456891011121314151617[[#This Row],[CSOsSP Removed]]</f>
        <v>0</v>
      </c>
      <c r="T67" s="201"/>
      <c r="V67"/>
      <c r="W67" t="s">
        <v>181</v>
      </c>
      <c r="X67" s="263">
        <v>8</v>
      </c>
      <c r="Y67" s="98">
        <v>6.0150375939849621E-2</v>
      </c>
    </row>
    <row r="68" spans="1:25" ht="15">
      <c r="A68" s="285"/>
      <c r="B68" s="285"/>
      <c r="C68" s="203"/>
      <c r="D68" s="203"/>
      <c r="E68" s="203"/>
      <c r="F68" s="204">
        <v>5</v>
      </c>
      <c r="G68" s="203" t="s">
        <v>5</v>
      </c>
      <c r="H68" s="205" t="s">
        <v>209</v>
      </c>
      <c r="I68" s="206"/>
      <c r="J68" s="1" t="s">
        <v>176</v>
      </c>
      <c r="K68" s="203" t="s">
        <v>125</v>
      </c>
      <c r="L68" s="204">
        <v>8</v>
      </c>
      <c r="M68" s="204"/>
      <c r="N68" s="286">
        <f>IF(OR(Tabelle132456891011121314151617[[#This Row],[Pulled after Start]]="yes",Tabelle132456891011121314151617[[#This Row],[Jira Story Points]]="-"),0,MIN(Tabelle132456891011121314151617[[#This Row],[Jira Story Points]],Tabelle132456891011121314151617[[#This Row],[Carry-over]]))</f>
        <v>0</v>
      </c>
      <c r="O68" s="210">
        <f>SUM(IF(ISBLANK(Tabelle132456891011121314151617[[#This Row],[Carry-over]]),Tabelle132456891011121314151617[[#This Row],[Jira Story Points]],Tabelle132456891011121314151617[[#This Row],[Carry-over]]),-Tabelle132456891011121314151617[[#This Row],[COsSP Initially Planned]])</f>
        <v>8</v>
      </c>
      <c r="P6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68" s="210">
        <f>IF(Tabelle132456891011121314151617[[#This Row],[Status]]=$J$5,Tabelle132456891011121314151617[[#This Row],[COsSP Initially Planned]]+Tabelle132456891011121314151617[[#This Row],[COsSP Pulled after Start]]-Tabelle132456891011121314151617[[#This Row],[CSOsSP Completed]],0)</f>
        <v>0</v>
      </c>
      <c r="R68" s="210">
        <f>Tabelle132456891011121314151617[[#This Row],[COsSP Initially Planned]]+Tabelle132456891011121314151617[[#This Row],[COsSP Pulled after Start]]-Tabelle132456891011121314151617[[#This Row],[CSOsSP Completed]]-Tabelle132456891011121314151617[[#This Row],[CSOsSP Removed]]</f>
        <v>0</v>
      </c>
      <c r="T68" s="201"/>
      <c r="V68"/>
      <c r="W68" t="s">
        <v>182</v>
      </c>
      <c r="X68" s="263">
        <v>0</v>
      </c>
      <c r="Y68" s="98">
        <v>0</v>
      </c>
    </row>
    <row r="69" spans="1:25" ht="15">
      <c r="A69" s="285"/>
      <c r="B69" s="285"/>
      <c r="C69" s="203"/>
      <c r="D69" s="203"/>
      <c r="E69" s="203"/>
      <c r="F69" s="204">
        <v>13</v>
      </c>
      <c r="G69" s="203" t="s">
        <v>107</v>
      </c>
      <c r="H69" s="205" t="s">
        <v>209</v>
      </c>
      <c r="I69" s="206"/>
      <c r="J69" s="1" t="s">
        <v>177</v>
      </c>
      <c r="K69" s="203" t="s">
        <v>125</v>
      </c>
      <c r="L69" s="204">
        <v>8</v>
      </c>
      <c r="M69" s="204"/>
      <c r="N69" s="286">
        <f>IF(OR(Tabelle132456891011121314151617[[#This Row],[Pulled after Start]]="yes",Tabelle132456891011121314151617[[#This Row],[Jira Story Points]]="-"),0,MIN(Tabelle132456891011121314151617[[#This Row],[Jira Story Points]],Tabelle132456891011121314151617[[#This Row],[Carry-over]]))</f>
        <v>0</v>
      </c>
      <c r="O69" s="210">
        <f>SUM(IF(ISBLANK(Tabelle132456891011121314151617[[#This Row],[Carry-over]]),Tabelle132456891011121314151617[[#This Row],[Jira Story Points]],Tabelle132456891011121314151617[[#This Row],[Carry-over]]),-Tabelle132456891011121314151617[[#This Row],[COsSP Initially Planned]])</f>
        <v>8</v>
      </c>
      <c r="P6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69" s="210">
        <f>IF(Tabelle132456891011121314151617[[#This Row],[Status]]=$J$5,Tabelle132456891011121314151617[[#This Row],[COsSP Initially Planned]]+Tabelle132456891011121314151617[[#This Row],[COsSP Pulled after Start]]-Tabelle132456891011121314151617[[#This Row],[CSOsSP Completed]],0)</f>
        <v>0</v>
      </c>
      <c r="R69" s="210">
        <f>Tabelle132456891011121314151617[[#This Row],[COsSP Initially Planned]]+Tabelle132456891011121314151617[[#This Row],[COsSP Pulled after Start]]-Tabelle132456891011121314151617[[#This Row],[CSOsSP Completed]]-Tabelle132456891011121314151617[[#This Row],[CSOsSP Removed]]</f>
        <v>0</v>
      </c>
      <c r="T69" s="201"/>
      <c r="V69"/>
      <c r="W69" t="s">
        <v>183</v>
      </c>
      <c r="X69" s="263">
        <v>9</v>
      </c>
      <c r="Y69" s="98">
        <v>6.7669172932330823E-2</v>
      </c>
    </row>
    <row r="70" spans="1:25" ht="15">
      <c r="A70" s="214"/>
      <c r="B70" s="47"/>
      <c r="C70" s="203"/>
      <c r="D70" s="203"/>
      <c r="E70" s="203"/>
      <c r="F70" s="204" t="s">
        <v>210</v>
      </c>
      <c r="G70" s="203" t="s">
        <v>107</v>
      </c>
      <c r="H70" s="205" t="s">
        <v>209</v>
      </c>
      <c r="I70" s="206"/>
      <c r="J70" s="1" t="s">
        <v>184</v>
      </c>
      <c r="K70" s="203" t="s">
        <v>125</v>
      </c>
      <c r="L70" s="204">
        <v>8</v>
      </c>
      <c r="M70" s="204"/>
      <c r="N70" s="286">
        <f>IF(OR(Tabelle132456891011121314151617[[#This Row],[Pulled after Start]]="yes",Tabelle132456891011121314151617[[#This Row],[Jira Story Points]]="-"),0,MIN(Tabelle132456891011121314151617[[#This Row],[Jira Story Points]],Tabelle132456891011121314151617[[#This Row],[Carry-over]]))</f>
        <v>0</v>
      </c>
      <c r="O70" s="210">
        <f>SUM(IF(ISBLANK(Tabelle132456891011121314151617[[#This Row],[Carry-over]]),Tabelle132456891011121314151617[[#This Row],[Jira Story Points]],Tabelle132456891011121314151617[[#This Row],[Carry-over]]),-Tabelle132456891011121314151617[[#This Row],[COsSP Initially Planned]])</f>
        <v>8</v>
      </c>
      <c r="P7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70" s="210">
        <f>IF(Tabelle132456891011121314151617[[#This Row],[Status]]=$J$5,Tabelle132456891011121314151617[[#This Row],[COsSP Initially Planned]]+Tabelle132456891011121314151617[[#This Row],[COsSP Pulled after Start]]-Tabelle132456891011121314151617[[#This Row],[CSOsSP Completed]],0)</f>
        <v>0</v>
      </c>
      <c r="R70" s="210">
        <f>Tabelle132456891011121314151617[[#This Row],[COsSP Initially Planned]]+Tabelle132456891011121314151617[[#This Row],[COsSP Pulled after Start]]-Tabelle132456891011121314151617[[#This Row],[CSOsSP Completed]]-Tabelle132456891011121314151617[[#This Row],[CSOsSP Removed]]</f>
        <v>0</v>
      </c>
      <c r="T70" s="201"/>
      <c r="V70"/>
      <c r="W70" t="s">
        <v>184</v>
      </c>
      <c r="X70" s="263">
        <v>27</v>
      </c>
      <c r="Y70" s="98">
        <v>0.20300751879699247</v>
      </c>
    </row>
    <row r="71" spans="1:25" ht="15">
      <c r="A71" s="285"/>
      <c r="B71" s="285"/>
      <c r="C71" s="203"/>
      <c r="D71" s="203"/>
      <c r="E71" s="203"/>
      <c r="F71" s="204">
        <v>5</v>
      </c>
      <c r="G71" s="203" t="s">
        <v>17</v>
      </c>
      <c r="H71" s="205" t="s">
        <v>209</v>
      </c>
      <c r="I71" s="206"/>
      <c r="J71" s="1" t="s">
        <v>180</v>
      </c>
      <c r="K71" s="203" t="s">
        <v>125</v>
      </c>
      <c r="L71" s="204">
        <v>21</v>
      </c>
      <c r="M71" s="204"/>
      <c r="N71" s="286">
        <f>IF(OR(Tabelle132456891011121314151617[[#This Row],[Pulled after Start]]="yes",Tabelle132456891011121314151617[[#This Row],[Jira Story Points]]="-"),0,MIN(Tabelle132456891011121314151617[[#This Row],[Jira Story Points]],Tabelle132456891011121314151617[[#This Row],[Carry-over]]))</f>
        <v>0</v>
      </c>
      <c r="O71" s="210">
        <f>SUM(IF(ISBLANK(Tabelle132456891011121314151617[[#This Row],[Carry-over]]),Tabelle132456891011121314151617[[#This Row],[Jira Story Points]],Tabelle132456891011121314151617[[#This Row],[Carry-over]]),-Tabelle132456891011121314151617[[#This Row],[COsSP Initially Planned]])</f>
        <v>21</v>
      </c>
      <c r="P7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71" s="210">
        <f>IF(Tabelle132456891011121314151617[[#This Row],[Status]]=$J$5,Tabelle132456891011121314151617[[#This Row],[COsSP Initially Planned]]+Tabelle132456891011121314151617[[#This Row],[COsSP Pulled after Start]]-Tabelle132456891011121314151617[[#This Row],[CSOsSP Completed]],0)</f>
        <v>0</v>
      </c>
      <c r="R71" s="210">
        <f>Tabelle132456891011121314151617[[#This Row],[COsSP Initially Planned]]+Tabelle132456891011121314151617[[#This Row],[COsSP Pulled after Start]]-Tabelle132456891011121314151617[[#This Row],[CSOsSP Completed]]-Tabelle132456891011121314151617[[#This Row],[CSOsSP Removed]]</f>
        <v>0</v>
      </c>
      <c r="T71" s="201"/>
      <c r="V71" t="s">
        <v>17</v>
      </c>
      <c r="W71"/>
      <c r="X71" s="263">
        <v>156</v>
      </c>
      <c r="Y71" s="98">
        <v>0.10569105691056911</v>
      </c>
    </row>
    <row r="72" spans="1:25" ht="15">
      <c r="A72" s="285"/>
      <c r="B72" s="285"/>
      <c r="C72" s="203"/>
      <c r="D72" s="203"/>
      <c r="E72" s="203"/>
      <c r="F72" s="204">
        <v>13</v>
      </c>
      <c r="G72" s="203" t="s">
        <v>12</v>
      </c>
      <c r="H72" s="205" t="s">
        <v>209</v>
      </c>
      <c r="I72" s="206"/>
      <c r="J72" s="1" t="s">
        <v>180</v>
      </c>
      <c r="K72" s="203" t="s">
        <v>125</v>
      </c>
      <c r="L72" s="204">
        <v>21</v>
      </c>
      <c r="M72" s="204"/>
      <c r="N72" s="286">
        <f>IF(OR(Tabelle132456891011121314151617[[#This Row],[Pulled after Start]]="yes",Tabelle132456891011121314151617[[#This Row],[Jira Story Points]]="-"),0,MIN(Tabelle132456891011121314151617[[#This Row],[Jira Story Points]],Tabelle132456891011121314151617[[#This Row],[Carry-over]]))</f>
        <v>0</v>
      </c>
      <c r="O72" s="210">
        <f>SUM(IF(ISBLANK(Tabelle132456891011121314151617[[#This Row],[Carry-over]]),Tabelle132456891011121314151617[[#This Row],[Jira Story Points]],Tabelle132456891011121314151617[[#This Row],[Carry-over]]),-Tabelle132456891011121314151617[[#This Row],[COsSP Initially Planned]])</f>
        <v>21</v>
      </c>
      <c r="P7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72" s="210">
        <f>IF(Tabelle132456891011121314151617[[#This Row],[Status]]=$J$5,Tabelle132456891011121314151617[[#This Row],[COsSP Initially Planned]]+Tabelle132456891011121314151617[[#This Row],[COsSP Pulled after Start]]-Tabelle132456891011121314151617[[#This Row],[CSOsSP Completed]],0)</f>
        <v>0</v>
      </c>
      <c r="R72" s="210">
        <f>Tabelle132456891011121314151617[[#This Row],[COsSP Initially Planned]]+Tabelle132456891011121314151617[[#This Row],[COsSP Pulled after Start]]-Tabelle132456891011121314151617[[#This Row],[CSOsSP Completed]]-Tabelle132456891011121314151617[[#This Row],[CSOsSP Removed]]</f>
        <v>0</v>
      </c>
      <c r="T72" s="201"/>
      <c r="V72"/>
      <c r="W72" t="s">
        <v>175</v>
      </c>
      <c r="X72" s="263">
        <v>11</v>
      </c>
      <c r="Y72" s="98">
        <v>7.0512820512820512E-2</v>
      </c>
    </row>
    <row r="73" spans="1:25" ht="15">
      <c r="A73" s="214"/>
      <c r="B73" s="47"/>
      <c r="C73" s="203"/>
      <c r="D73" s="203"/>
      <c r="E73" s="203"/>
      <c r="F73" s="204" t="s">
        <v>210</v>
      </c>
      <c r="G73" s="203" t="s">
        <v>17</v>
      </c>
      <c r="H73" s="205" t="s">
        <v>209</v>
      </c>
      <c r="I73" s="206"/>
      <c r="J73" s="1" t="s">
        <v>178</v>
      </c>
      <c r="K73" s="203" t="s">
        <v>125</v>
      </c>
      <c r="L73" s="204">
        <v>21</v>
      </c>
      <c r="M73" s="204"/>
      <c r="N73" s="286">
        <f>IF(OR(Tabelle132456891011121314151617[[#This Row],[Pulled after Start]]="yes",Tabelle132456891011121314151617[[#This Row],[Jira Story Points]]="-"),0,MIN(Tabelle132456891011121314151617[[#This Row],[Jira Story Points]],Tabelle132456891011121314151617[[#This Row],[Carry-over]]))</f>
        <v>0</v>
      </c>
      <c r="O73" s="210">
        <f>SUM(IF(ISBLANK(Tabelle132456891011121314151617[[#This Row],[Carry-over]]),Tabelle132456891011121314151617[[#This Row],[Jira Story Points]],Tabelle132456891011121314151617[[#This Row],[Carry-over]]),-Tabelle132456891011121314151617[[#This Row],[COsSP Initially Planned]])</f>
        <v>21</v>
      </c>
      <c r="P7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73" s="210">
        <f>IF(Tabelle132456891011121314151617[[#This Row],[Status]]=$J$5,Tabelle132456891011121314151617[[#This Row],[COsSP Initially Planned]]+Tabelle132456891011121314151617[[#This Row],[COsSP Pulled after Start]]-Tabelle132456891011121314151617[[#This Row],[CSOsSP Completed]],0)</f>
        <v>0</v>
      </c>
      <c r="R73" s="210">
        <f>Tabelle132456891011121314151617[[#This Row],[COsSP Initially Planned]]+Tabelle132456891011121314151617[[#This Row],[COsSP Pulled after Start]]-Tabelle132456891011121314151617[[#This Row],[CSOsSP Completed]]-Tabelle132456891011121314151617[[#This Row],[CSOsSP Removed]]</f>
        <v>0</v>
      </c>
      <c r="T73" s="201"/>
      <c r="V73"/>
      <c r="W73" t="s">
        <v>176</v>
      </c>
      <c r="X73" s="263">
        <v>3</v>
      </c>
      <c r="Y73" s="98">
        <v>1.9230769230769232E-2</v>
      </c>
    </row>
    <row r="74" spans="1:25" ht="15">
      <c r="A74" s="285"/>
      <c r="B74"/>
      <c r="C74" s="203"/>
      <c r="D74" s="203"/>
      <c r="E74" s="203"/>
      <c r="F74" s="204">
        <v>5</v>
      </c>
      <c r="G74" s="203" t="s">
        <v>9</v>
      </c>
      <c r="H74" s="205" t="s">
        <v>209</v>
      </c>
      <c r="I74" s="206"/>
      <c r="J74" s="1" t="s">
        <v>175</v>
      </c>
      <c r="K74" s="203" t="s">
        <v>125</v>
      </c>
      <c r="L74" s="204"/>
      <c r="M74" s="204"/>
      <c r="N74" s="286">
        <f>IF(OR(Tabelle132456891011121314151617[[#This Row],[Pulled after Start]]="yes",Tabelle132456891011121314151617[[#This Row],[Jira Story Points]]="-"),0,MIN(Tabelle132456891011121314151617[[#This Row],[Jira Story Points]],Tabelle132456891011121314151617[[#This Row],[Carry-over]]))</f>
        <v>0</v>
      </c>
      <c r="O74" s="210">
        <f>SUM(IF(ISBLANK(Tabelle132456891011121314151617[[#This Row],[Carry-over]]),Tabelle132456891011121314151617[[#This Row],[Jira Story Points]],Tabelle132456891011121314151617[[#This Row],[Carry-over]]),-Tabelle132456891011121314151617[[#This Row],[COsSP Initially Planned]])</f>
        <v>5</v>
      </c>
      <c r="P7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5</v>
      </c>
      <c r="Q74" s="210">
        <f>IF(Tabelle132456891011121314151617[[#This Row],[Status]]=$J$5,Tabelle132456891011121314151617[[#This Row],[COsSP Initially Planned]]+Tabelle132456891011121314151617[[#This Row],[COsSP Pulled after Start]]-Tabelle132456891011121314151617[[#This Row],[CSOsSP Completed]],0)</f>
        <v>0</v>
      </c>
      <c r="R74" s="210">
        <f>Tabelle132456891011121314151617[[#This Row],[COsSP Initially Planned]]+Tabelle132456891011121314151617[[#This Row],[COsSP Pulled after Start]]-Tabelle132456891011121314151617[[#This Row],[CSOsSP Completed]]-Tabelle132456891011121314151617[[#This Row],[CSOsSP Removed]]</f>
        <v>0</v>
      </c>
      <c r="T74" s="201"/>
      <c r="V74"/>
      <c r="W74" t="s">
        <v>177</v>
      </c>
      <c r="X74" s="263">
        <v>22</v>
      </c>
      <c r="Y74" s="98">
        <v>0.14102564102564102</v>
      </c>
    </row>
    <row r="75" spans="1:25" ht="15">
      <c r="A75" s="285"/>
      <c r="B75"/>
      <c r="C75" s="203"/>
      <c r="D75" s="203"/>
      <c r="E75" s="203"/>
      <c r="F75" s="204">
        <v>13</v>
      </c>
      <c r="G75" s="203" t="s">
        <v>12</v>
      </c>
      <c r="H75" s="205" t="s">
        <v>209</v>
      </c>
      <c r="I75" s="206"/>
      <c r="J75" s="1" t="s">
        <v>179</v>
      </c>
      <c r="K75" s="203" t="s">
        <v>125</v>
      </c>
      <c r="L75" s="204"/>
      <c r="M75" s="204"/>
      <c r="N75" s="286">
        <f>IF(OR(Tabelle132456891011121314151617[[#This Row],[Pulled after Start]]="yes",Tabelle132456891011121314151617[[#This Row],[Jira Story Points]]="-"),0,MIN(Tabelle132456891011121314151617[[#This Row],[Jira Story Points]],Tabelle132456891011121314151617[[#This Row],[Carry-over]]))</f>
        <v>0</v>
      </c>
      <c r="O75" s="210">
        <f>SUM(IF(ISBLANK(Tabelle132456891011121314151617[[#This Row],[Carry-over]]),Tabelle132456891011121314151617[[#This Row],[Jira Story Points]],Tabelle132456891011121314151617[[#This Row],[Carry-over]]),-Tabelle132456891011121314151617[[#This Row],[COsSP Initially Planned]])</f>
        <v>13</v>
      </c>
      <c r="P7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13</v>
      </c>
      <c r="Q75" s="210">
        <f>IF(Tabelle132456891011121314151617[[#This Row],[Status]]=$J$5,Tabelle132456891011121314151617[[#This Row],[COsSP Initially Planned]]+Tabelle132456891011121314151617[[#This Row],[COsSP Pulled after Start]]-Tabelle132456891011121314151617[[#This Row],[CSOsSP Completed]],0)</f>
        <v>0</v>
      </c>
      <c r="R75" s="210">
        <f>Tabelle132456891011121314151617[[#This Row],[COsSP Initially Planned]]+Tabelle132456891011121314151617[[#This Row],[COsSP Pulled after Start]]-Tabelle132456891011121314151617[[#This Row],[CSOsSP Completed]]-Tabelle132456891011121314151617[[#This Row],[CSOsSP Removed]]</f>
        <v>0</v>
      </c>
      <c r="T75" s="201"/>
      <c r="V75"/>
      <c r="W75" t="s">
        <v>178</v>
      </c>
      <c r="X75" s="263">
        <v>21</v>
      </c>
      <c r="Y75" s="98">
        <v>0.13461538461538461</v>
      </c>
    </row>
    <row r="76" spans="1:25" ht="15">
      <c r="A76" s="214"/>
      <c r="B76" s="47"/>
      <c r="C76" s="203"/>
      <c r="D76" s="203"/>
      <c r="E76" s="203"/>
      <c r="F76" s="204" t="s">
        <v>210</v>
      </c>
      <c r="G76" s="203" t="s">
        <v>107</v>
      </c>
      <c r="H76" s="205" t="s">
        <v>209</v>
      </c>
      <c r="I76" s="206"/>
      <c r="J76" s="1" t="s">
        <v>182</v>
      </c>
      <c r="K76" s="203" t="s">
        <v>125</v>
      </c>
      <c r="L76" s="204"/>
      <c r="M76" s="204"/>
      <c r="N76" s="286">
        <f>IF(OR(Tabelle132456891011121314151617[[#This Row],[Pulled after Start]]="yes",Tabelle132456891011121314151617[[#This Row],[Jira Story Points]]="-"),0,MIN(Tabelle132456891011121314151617[[#This Row],[Jira Story Points]],Tabelle132456891011121314151617[[#This Row],[Carry-over]]))</f>
        <v>0</v>
      </c>
      <c r="O76" s="210">
        <f>SUM(IF(ISBLANK(Tabelle132456891011121314151617[[#This Row],[Carry-over]]),Tabelle132456891011121314151617[[#This Row],[Jira Story Points]],Tabelle132456891011121314151617[[#This Row],[Carry-over]]),-Tabelle132456891011121314151617[[#This Row],[COsSP Initially Planned]])</f>
        <v>0</v>
      </c>
      <c r="P7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76" s="210">
        <f>IF(Tabelle132456891011121314151617[[#This Row],[Status]]=$J$5,Tabelle132456891011121314151617[[#This Row],[COsSP Initially Planned]]+Tabelle132456891011121314151617[[#This Row],[COsSP Pulled after Start]]-Tabelle132456891011121314151617[[#This Row],[CSOsSP Completed]],0)</f>
        <v>0</v>
      </c>
      <c r="R76" s="210">
        <f>Tabelle132456891011121314151617[[#This Row],[COsSP Initially Planned]]+Tabelle132456891011121314151617[[#This Row],[COsSP Pulled after Start]]-Tabelle132456891011121314151617[[#This Row],[CSOsSP Completed]]-Tabelle132456891011121314151617[[#This Row],[CSOsSP Removed]]</f>
        <v>0</v>
      </c>
      <c r="T76" s="201"/>
      <c r="V76"/>
      <c r="W76" t="s">
        <v>179</v>
      </c>
      <c r="X76" s="263">
        <v>19</v>
      </c>
      <c r="Y76" s="98">
        <v>0.12179487179487179</v>
      </c>
    </row>
    <row r="77" spans="1:25" ht="15">
      <c r="A77" s="214"/>
      <c r="B77" s="47"/>
      <c r="C77" s="203"/>
      <c r="D77" s="203"/>
      <c r="E77" s="203"/>
      <c r="F77" s="204">
        <v>5</v>
      </c>
      <c r="G77" s="203" t="s">
        <v>5</v>
      </c>
      <c r="H77" s="205"/>
      <c r="I77" s="206"/>
      <c r="J77" s="1" t="s">
        <v>180</v>
      </c>
      <c r="K77" s="203" t="s">
        <v>125</v>
      </c>
      <c r="L77" s="204">
        <v>0</v>
      </c>
      <c r="M77" s="204">
        <v>0</v>
      </c>
      <c r="N77" s="286">
        <f>IF(OR(Tabelle132456891011121314151617[[#This Row],[Pulled after Start]]="yes",Tabelle132456891011121314151617[[#This Row],[Jira Story Points]]="-"),0,MIN(Tabelle132456891011121314151617[[#This Row],[Jira Story Points]],Tabelle132456891011121314151617[[#This Row],[Carry-over]]))</f>
        <v>0</v>
      </c>
      <c r="O77" s="210">
        <f>SUM(IF(ISBLANK(Tabelle132456891011121314151617[[#This Row],[Carry-over]]),Tabelle132456891011121314151617[[#This Row],[Jira Story Points]],Tabelle132456891011121314151617[[#This Row],[Carry-over]]),-Tabelle132456891011121314151617[[#This Row],[COsSP Initially Planned]])</f>
        <v>0</v>
      </c>
      <c r="P7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77" s="210">
        <f>IF(Tabelle132456891011121314151617[[#This Row],[Status]]=$J$5,Tabelle132456891011121314151617[[#This Row],[COsSP Initially Planned]]+Tabelle132456891011121314151617[[#This Row],[COsSP Pulled after Start]]-Tabelle132456891011121314151617[[#This Row],[CSOsSP Completed]],0)</f>
        <v>0</v>
      </c>
      <c r="R77" s="210">
        <f>Tabelle132456891011121314151617[[#This Row],[COsSP Initially Planned]]+Tabelle132456891011121314151617[[#This Row],[COsSP Pulled after Start]]-Tabelle132456891011121314151617[[#This Row],[CSOsSP Completed]]-Tabelle132456891011121314151617[[#This Row],[CSOsSP Removed]]</f>
        <v>0</v>
      </c>
      <c r="T77" s="201"/>
      <c r="V77"/>
      <c r="W77" t="s">
        <v>180</v>
      </c>
      <c r="X77" s="263">
        <v>21</v>
      </c>
      <c r="Y77" s="98">
        <v>0.13461538461538461</v>
      </c>
    </row>
    <row r="78" spans="1:25" ht="15">
      <c r="A78" s="214"/>
      <c r="B78" s="47"/>
      <c r="C78" s="203"/>
      <c r="D78" s="203"/>
      <c r="E78" s="203"/>
      <c r="F78" s="204">
        <v>13</v>
      </c>
      <c r="G78" s="203" t="s">
        <v>107</v>
      </c>
      <c r="H78" s="205"/>
      <c r="I78" s="206"/>
      <c r="J78" s="1" t="s">
        <v>179</v>
      </c>
      <c r="K78" s="203" t="s">
        <v>125</v>
      </c>
      <c r="L78" s="204">
        <v>0</v>
      </c>
      <c r="M78" s="204">
        <v>0</v>
      </c>
      <c r="N78" s="286">
        <f>IF(OR(Tabelle132456891011121314151617[[#This Row],[Pulled after Start]]="yes",Tabelle132456891011121314151617[[#This Row],[Jira Story Points]]="-"),0,MIN(Tabelle132456891011121314151617[[#This Row],[Jira Story Points]],Tabelle132456891011121314151617[[#This Row],[Carry-over]]))</f>
        <v>0</v>
      </c>
      <c r="O78" s="210">
        <f>SUM(IF(ISBLANK(Tabelle132456891011121314151617[[#This Row],[Carry-over]]),Tabelle132456891011121314151617[[#This Row],[Jira Story Points]],Tabelle132456891011121314151617[[#This Row],[Carry-over]]),-Tabelle132456891011121314151617[[#This Row],[COsSP Initially Planned]])</f>
        <v>0</v>
      </c>
      <c r="P7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78" s="210">
        <f>IF(Tabelle132456891011121314151617[[#This Row],[Status]]=$J$5,Tabelle132456891011121314151617[[#This Row],[COsSP Initially Planned]]+Tabelle132456891011121314151617[[#This Row],[COsSP Pulled after Start]]-Tabelle132456891011121314151617[[#This Row],[CSOsSP Completed]],0)</f>
        <v>0</v>
      </c>
      <c r="R78" s="210">
        <f>Tabelle132456891011121314151617[[#This Row],[COsSP Initially Planned]]+Tabelle132456891011121314151617[[#This Row],[COsSP Pulled after Start]]-Tabelle132456891011121314151617[[#This Row],[CSOsSP Completed]]-Tabelle132456891011121314151617[[#This Row],[CSOsSP Removed]]</f>
        <v>0</v>
      </c>
      <c r="T78" s="201"/>
      <c r="V78"/>
      <c r="W78" t="s">
        <v>181</v>
      </c>
      <c r="X78" s="263">
        <v>11</v>
      </c>
      <c r="Y78" s="98">
        <v>7.0512820512820512E-2</v>
      </c>
    </row>
    <row r="79" spans="1:25" ht="15">
      <c r="A79" s="214"/>
      <c r="B79" s="47"/>
      <c r="C79" s="203"/>
      <c r="D79" s="203"/>
      <c r="E79" s="203"/>
      <c r="F79" s="204" t="s">
        <v>210</v>
      </c>
      <c r="G79" s="203" t="s">
        <v>5</v>
      </c>
      <c r="H79" s="205"/>
      <c r="I79" s="206"/>
      <c r="J79" s="1" t="s">
        <v>184</v>
      </c>
      <c r="K79" s="203" t="s">
        <v>125</v>
      </c>
      <c r="L79" s="204">
        <v>0</v>
      </c>
      <c r="M79" s="204">
        <v>0</v>
      </c>
      <c r="N79" s="286">
        <f>IF(OR(Tabelle132456891011121314151617[[#This Row],[Pulled after Start]]="yes",Tabelle132456891011121314151617[[#This Row],[Jira Story Points]]="-"),0,MIN(Tabelle132456891011121314151617[[#This Row],[Jira Story Points]],Tabelle132456891011121314151617[[#This Row],[Carry-over]]))</f>
        <v>0</v>
      </c>
      <c r="O79" s="210">
        <f>SUM(IF(ISBLANK(Tabelle132456891011121314151617[[#This Row],[Carry-over]]),Tabelle132456891011121314151617[[#This Row],[Jira Story Points]],Tabelle132456891011121314151617[[#This Row],[Carry-over]]),-Tabelle132456891011121314151617[[#This Row],[COsSP Initially Planned]])</f>
        <v>0</v>
      </c>
      <c r="P7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79" s="210">
        <f>IF(Tabelle132456891011121314151617[[#This Row],[Status]]=$J$5,Tabelle132456891011121314151617[[#This Row],[COsSP Initially Planned]]+Tabelle132456891011121314151617[[#This Row],[COsSP Pulled after Start]]-Tabelle132456891011121314151617[[#This Row],[CSOsSP Completed]],0)</f>
        <v>0</v>
      </c>
      <c r="R79" s="210">
        <f>Tabelle132456891011121314151617[[#This Row],[COsSP Initially Planned]]+Tabelle132456891011121314151617[[#This Row],[COsSP Pulled after Start]]-Tabelle132456891011121314151617[[#This Row],[CSOsSP Completed]]-Tabelle132456891011121314151617[[#This Row],[CSOsSP Removed]]</f>
        <v>0</v>
      </c>
      <c r="T79" s="201"/>
      <c r="V79"/>
      <c r="W79" t="s">
        <v>182</v>
      </c>
      <c r="X79" s="263">
        <v>19</v>
      </c>
      <c r="Y79" s="98">
        <v>0.12179487179487179</v>
      </c>
    </row>
    <row r="80" spans="1:25" ht="15">
      <c r="A80" s="214"/>
      <c r="B80" s="47"/>
      <c r="C80" s="203"/>
      <c r="D80" s="203"/>
      <c r="E80" s="203"/>
      <c r="F80" s="204">
        <v>5</v>
      </c>
      <c r="G80" s="203" t="s">
        <v>17</v>
      </c>
      <c r="H80" s="205"/>
      <c r="I80" s="206"/>
      <c r="J80" s="1" t="s">
        <v>176</v>
      </c>
      <c r="K80" s="203" t="s">
        <v>125</v>
      </c>
      <c r="L80" s="204">
        <v>3</v>
      </c>
      <c r="M80" s="204">
        <v>0</v>
      </c>
      <c r="N80" s="286">
        <f>IF(OR(Tabelle132456891011121314151617[[#This Row],[Pulled after Start]]="yes",Tabelle132456891011121314151617[[#This Row],[Jira Story Points]]="-"),0,MIN(Tabelle132456891011121314151617[[#This Row],[Jira Story Points]],Tabelle132456891011121314151617[[#This Row],[Carry-over]]))</f>
        <v>3</v>
      </c>
      <c r="O80" s="210">
        <f>SUM(IF(ISBLANK(Tabelle132456891011121314151617[[#This Row],[Carry-over]]),Tabelle132456891011121314151617[[#This Row],[Jira Story Points]],Tabelle132456891011121314151617[[#This Row],[Carry-over]]),-Tabelle132456891011121314151617[[#This Row],[COsSP Initially Planned]])</f>
        <v>0</v>
      </c>
      <c r="P8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80" s="210">
        <f>IF(Tabelle132456891011121314151617[[#This Row],[Status]]=$J$5,Tabelle132456891011121314151617[[#This Row],[COsSP Initially Planned]]+Tabelle132456891011121314151617[[#This Row],[COsSP Pulled after Start]]-Tabelle132456891011121314151617[[#This Row],[CSOsSP Completed]],0)</f>
        <v>0</v>
      </c>
      <c r="R80" s="210">
        <f>Tabelle132456891011121314151617[[#This Row],[COsSP Initially Planned]]+Tabelle132456891011121314151617[[#This Row],[COsSP Pulled after Start]]-Tabelle132456891011121314151617[[#This Row],[CSOsSP Completed]]-Tabelle132456891011121314151617[[#This Row],[CSOsSP Removed]]</f>
        <v>0</v>
      </c>
      <c r="T80" s="201"/>
      <c r="V80"/>
      <c r="W80" t="s">
        <v>183</v>
      </c>
      <c r="X80" s="263">
        <v>1</v>
      </c>
      <c r="Y80" s="98">
        <v>6.41025641025641E-3</v>
      </c>
    </row>
    <row r="81" spans="1:25" ht="15">
      <c r="A81" s="214"/>
      <c r="B81" s="47"/>
      <c r="C81" s="203"/>
      <c r="D81" s="203"/>
      <c r="E81" s="203"/>
      <c r="F81" s="204">
        <v>13</v>
      </c>
      <c r="G81" s="203" t="s">
        <v>12</v>
      </c>
      <c r="H81" s="205"/>
      <c r="I81" s="206"/>
      <c r="J81" s="1" t="s">
        <v>181</v>
      </c>
      <c r="K81" s="203" t="s">
        <v>125</v>
      </c>
      <c r="L81" s="204">
        <v>3</v>
      </c>
      <c r="M81" s="204">
        <v>0</v>
      </c>
      <c r="N81" s="286">
        <f>IF(OR(Tabelle132456891011121314151617[[#This Row],[Pulled after Start]]="yes",Tabelle132456891011121314151617[[#This Row],[Jira Story Points]]="-"),0,MIN(Tabelle132456891011121314151617[[#This Row],[Jira Story Points]],Tabelle132456891011121314151617[[#This Row],[Carry-over]]))</f>
        <v>3</v>
      </c>
      <c r="O81" s="210">
        <f>SUM(IF(ISBLANK(Tabelle132456891011121314151617[[#This Row],[Carry-over]]),Tabelle132456891011121314151617[[#This Row],[Jira Story Points]],Tabelle132456891011121314151617[[#This Row],[Carry-over]]),-Tabelle132456891011121314151617[[#This Row],[COsSP Initially Planned]])</f>
        <v>0</v>
      </c>
      <c r="P8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81" s="210">
        <f>IF(Tabelle132456891011121314151617[[#This Row],[Status]]=$J$5,Tabelle132456891011121314151617[[#This Row],[COsSP Initially Planned]]+Tabelle132456891011121314151617[[#This Row],[COsSP Pulled after Start]]-Tabelle132456891011121314151617[[#This Row],[CSOsSP Completed]],0)</f>
        <v>0</v>
      </c>
      <c r="R81" s="210">
        <f>Tabelle132456891011121314151617[[#This Row],[COsSP Initially Planned]]+Tabelle132456891011121314151617[[#This Row],[COsSP Pulled after Start]]-Tabelle132456891011121314151617[[#This Row],[CSOsSP Completed]]-Tabelle132456891011121314151617[[#This Row],[CSOsSP Removed]]</f>
        <v>0</v>
      </c>
      <c r="T81" s="201"/>
      <c r="V81"/>
      <c r="W81" t="s">
        <v>184</v>
      </c>
      <c r="X81" s="263">
        <v>28</v>
      </c>
      <c r="Y81" s="98">
        <v>0.17948717948717949</v>
      </c>
    </row>
    <row r="82" spans="1:25" ht="15">
      <c r="A82" s="214"/>
      <c r="B82" s="47"/>
      <c r="C82" s="203"/>
      <c r="D82" s="203"/>
      <c r="E82" s="203"/>
      <c r="F82" s="204" t="s">
        <v>210</v>
      </c>
      <c r="G82" s="203" t="s">
        <v>107</v>
      </c>
      <c r="H82" s="205"/>
      <c r="I82" s="206"/>
      <c r="J82" s="1" t="s">
        <v>183</v>
      </c>
      <c r="K82" s="203" t="s">
        <v>125</v>
      </c>
      <c r="L82" s="204">
        <v>3</v>
      </c>
      <c r="M82" s="204">
        <v>0</v>
      </c>
      <c r="N82" s="286">
        <f>IF(OR(Tabelle132456891011121314151617[[#This Row],[Pulled after Start]]="yes",Tabelle132456891011121314151617[[#This Row],[Jira Story Points]]="-"),0,MIN(Tabelle132456891011121314151617[[#This Row],[Jira Story Points]],Tabelle132456891011121314151617[[#This Row],[Carry-over]]))</f>
        <v>0</v>
      </c>
      <c r="O82" s="210">
        <f>SUM(IF(ISBLANK(Tabelle132456891011121314151617[[#This Row],[Carry-over]]),Tabelle132456891011121314151617[[#This Row],[Jira Story Points]],Tabelle132456891011121314151617[[#This Row],[Carry-over]]),-Tabelle132456891011121314151617[[#This Row],[COsSP Initially Planned]])</f>
        <v>3</v>
      </c>
      <c r="P8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82" s="210">
        <f>IF(Tabelle132456891011121314151617[[#This Row],[Status]]=$J$5,Tabelle132456891011121314151617[[#This Row],[COsSP Initially Planned]]+Tabelle132456891011121314151617[[#This Row],[COsSP Pulled after Start]]-Tabelle132456891011121314151617[[#This Row],[CSOsSP Completed]],0)</f>
        <v>0</v>
      </c>
      <c r="R82" s="210">
        <f>Tabelle132456891011121314151617[[#This Row],[COsSP Initially Planned]]+Tabelle132456891011121314151617[[#This Row],[COsSP Pulled after Start]]-Tabelle132456891011121314151617[[#This Row],[CSOsSP Completed]]-Tabelle132456891011121314151617[[#This Row],[CSOsSP Removed]]</f>
        <v>0</v>
      </c>
      <c r="T82" s="201"/>
      <c r="V82" t="s">
        <v>24</v>
      </c>
      <c r="W82"/>
      <c r="X82" s="263">
        <v>162</v>
      </c>
      <c r="Y82" s="98">
        <v>0.10975609756097561</v>
      </c>
    </row>
    <row r="83" spans="1:25" ht="15">
      <c r="A83" s="214"/>
      <c r="B83" s="47"/>
      <c r="C83" s="203"/>
      <c r="D83" s="203"/>
      <c r="E83" s="203"/>
      <c r="F83" s="204">
        <v>5</v>
      </c>
      <c r="G83" s="203" t="s">
        <v>12</v>
      </c>
      <c r="H83" s="205"/>
      <c r="I83" s="206"/>
      <c r="J83" s="1" t="s">
        <v>177</v>
      </c>
      <c r="K83" s="203" t="s">
        <v>125</v>
      </c>
      <c r="L83" s="204">
        <v>8</v>
      </c>
      <c r="M83" s="204">
        <v>0</v>
      </c>
      <c r="N83" s="286">
        <f>IF(OR(Tabelle132456891011121314151617[[#This Row],[Pulled after Start]]="yes",Tabelle132456891011121314151617[[#This Row],[Jira Story Points]]="-"),0,MIN(Tabelle132456891011121314151617[[#This Row],[Jira Story Points]],Tabelle132456891011121314151617[[#This Row],[Carry-over]]))</f>
        <v>5</v>
      </c>
      <c r="O83" s="210">
        <f>SUM(IF(ISBLANK(Tabelle132456891011121314151617[[#This Row],[Carry-over]]),Tabelle132456891011121314151617[[#This Row],[Jira Story Points]],Tabelle132456891011121314151617[[#This Row],[Carry-over]]),-Tabelle132456891011121314151617[[#This Row],[COsSP Initially Planned]])</f>
        <v>3</v>
      </c>
      <c r="P8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83" s="210">
        <f>IF(Tabelle132456891011121314151617[[#This Row],[Status]]=$J$5,Tabelle132456891011121314151617[[#This Row],[COsSP Initially Planned]]+Tabelle132456891011121314151617[[#This Row],[COsSP Pulled after Start]]-Tabelle132456891011121314151617[[#This Row],[CSOsSP Completed]],0)</f>
        <v>0</v>
      </c>
      <c r="R83" s="210">
        <f>Tabelle132456891011121314151617[[#This Row],[COsSP Initially Planned]]+Tabelle132456891011121314151617[[#This Row],[COsSP Pulled after Start]]-Tabelle132456891011121314151617[[#This Row],[CSOsSP Completed]]-Tabelle132456891011121314151617[[#This Row],[CSOsSP Removed]]</f>
        <v>0</v>
      </c>
      <c r="T83" s="201"/>
      <c r="V83"/>
      <c r="W83" t="s">
        <v>175</v>
      </c>
      <c r="X83" s="263">
        <v>-2</v>
      </c>
      <c r="Y83" s="98">
        <v>-1.2345679012345678E-2</v>
      </c>
    </row>
    <row r="84" spans="1:25" ht="15">
      <c r="A84" s="214"/>
      <c r="B84" s="47"/>
      <c r="C84" s="203"/>
      <c r="D84" s="203"/>
      <c r="E84" s="203"/>
      <c r="F84" s="204">
        <v>13</v>
      </c>
      <c r="G84" s="203" t="s">
        <v>35</v>
      </c>
      <c r="H84" s="205"/>
      <c r="I84" s="206"/>
      <c r="J84" s="1" t="s">
        <v>181</v>
      </c>
      <c r="K84" s="203" t="s">
        <v>125</v>
      </c>
      <c r="L84" s="204">
        <v>8</v>
      </c>
      <c r="M84" s="204">
        <v>0</v>
      </c>
      <c r="N84" s="286">
        <f>IF(OR(Tabelle132456891011121314151617[[#This Row],[Pulled after Start]]="yes",Tabelle132456891011121314151617[[#This Row],[Jira Story Points]]="-"),0,MIN(Tabelle132456891011121314151617[[#This Row],[Jira Story Points]],Tabelle132456891011121314151617[[#This Row],[Carry-over]]))</f>
        <v>8</v>
      </c>
      <c r="O84" s="210">
        <f>SUM(IF(ISBLANK(Tabelle132456891011121314151617[[#This Row],[Carry-over]]),Tabelle132456891011121314151617[[#This Row],[Jira Story Points]],Tabelle132456891011121314151617[[#This Row],[Carry-over]]),-Tabelle132456891011121314151617[[#This Row],[COsSP Initially Planned]])</f>
        <v>0</v>
      </c>
      <c r="P8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84" s="210">
        <f>IF(Tabelle132456891011121314151617[[#This Row],[Status]]=$J$5,Tabelle132456891011121314151617[[#This Row],[COsSP Initially Planned]]+Tabelle132456891011121314151617[[#This Row],[COsSP Pulled after Start]]-Tabelle132456891011121314151617[[#This Row],[CSOsSP Completed]],0)</f>
        <v>0</v>
      </c>
      <c r="R84" s="210">
        <f>Tabelle132456891011121314151617[[#This Row],[COsSP Initially Planned]]+Tabelle132456891011121314151617[[#This Row],[COsSP Pulled after Start]]-Tabelle132456891011121314151617[[#This Row],[CSOsSP Completed]]-Tabelle132456891011121314151617[[#This Row],[CSOsSP Removed]]</f>
        <v>0</v>
      </c>
      <c r="T84" s="201"/>
      <c r="V84"/>
      <c r="W84" t="s">
        <v>176</v>
      </c>
      <c r="X84" s="263">
        <v>1</v>
      </c>
      <c r="Y84" s="98">
        <v>6.1728395061728392E-3</v>
      </c>
    </row>
    <row r="85" spans="1:25" ht="15">
      <c r="A85" s="214"/>
      <c r="B85" s="47"/>
      <c r="C85" s="203"/>
      <c r="D85" s="203"/>
      <c r="E85" s="203"/>
      <c r="F85" s="204" t="s">
        <v>210</v>
      </c>
      <c r="G85" s="203" t="s">
        <v>21</v>
      </c>
      <c r="H85" s="205"/>
      <c r="I85" s="206"/>
      <c r="J85" s="1" t="s">
        <v>179</v>
      </c>
      <c r="K85" s="203" t="s">
        <v>125</v>
      </c>
      <c r="L85" s="204">
        <v>8</v>
      </c>
      <c r="M85" s="204">
        <v>0</v>
      </c>
      <c r="N85" s="286">
        <f>IF(OR(Tabelle132456891011121314151617[[#This Row],[Pulled after Start]]="yes",Tabelle132456891011121314151617[[#This Row],[Jira Story Points]]="-"),0,MIN(Tabelle132456891011121314151617[[#This Row],[Jira Story Points]],Tabelle132456891011121314151617[[#This Row],[Carry-over]]))</f>
        <v>0</v>
      </c>
      <c r="O85" s="210">
        <f>SUM(IF(ISBLANK(Tabelle132456891011121314151617[[#This Row],[Carry-over]]),Tabelle132456891011121314151617[[#This Row],[Jira Story Points]],Tabelle132456891011121314151617[[#This Row],[Carry-over]]),-Tabelle132456891011121314151617[[#This Row],[COsSP Initially Planned]])</f>
        <v>8</v>
      </c>
      <c r="P8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85" s="210">
        <f>IF(Tabelle132456891011121314151617[[#This Row],[Status]]=$J$5,Tabelle132456891011121314151617[[#This Row],[COsSP Initially Planned]]+Tabelle132456891011121314151617[[#This Row],[COsSP Pulled after Start]]-Tabelle132456891011121314151617[[#This Row],[CSOsSP Completed]],0)</f>
        <v>0</v>
      </c>
      <c r="R85" s="210">
        <f>Tabelle132456891011121314151617[[#This Row],[COsSP Initially Planned]]+Tabelle132456891011121314151617[[#This Row],[COsSP Pulled after Start]]-Tabelle132456891011121314151617[[#This Row],[CSOsSP Completed]]-Tabelle132456891011121314151617[[#This Row],[CSOsSP Removed]]</f>
        <v>0</v>
      </c>
      <c r="T85" s="201"/>
      <c r="V85"/>
      <c r="W85" t="s">
        <v>177</v>
      </c>
      <c r="X85" s="263">
        <v>30</v>
      </c>
      <c r="Y85" s="98">
        <v>0.18518518518518517</v>
      </c>
    </row>
    <row r="86" spans="1:25" ht="15">
      <c r="A86" s="214"/>
      <c r="B86" s="47"/>
      <c r="C86" s="203"/>
      <c r="D86" s="203"/>
      <c r="E86" s="203"/>
      <c r="F86" s="204">
        <v>5</v>
      </c>
      <c r="G86" s="203" t="s">
        <v>27</v>
      </c>
      <c r="H86" s="205"/>
      <c r="I86" s="206"/>
      <c r="J86" s="1" t="s">
        <v>182</v>
      </c>
      <c r="K86" s="203" t="s">
        <v>125</v>
      </c>
      <c r="L86" s="204">
        <v>21</v>
      </c>
      <c r="M86" s="204">
        <v>0</v>
      </c>
      <c r="N86" s="286">
        <f>IF(OR(Tabelle132456891011121314151617[[#This Row],[Pulled after Start]]="yes",Tabelle132456891011121314151617[[#This Row],[Jira Story Points]]="-"),0,MIN(Tabelle132456891011121314151617[[#This Row],[Jira Story Points]],Tabelle132456891011121314151617[[#This Row],[Carry-over]]))</f>
        <v>5</v>
      </c>
      <c r="O86" s="210">
        <f>SUM(IF(ISBLANK(Tabelle132456891011121314151617[[#This Row],[Carry-over]]),Tabelle132456891011121314151617[[#This Row],[Jira Story Points]],Tabelle132456891011121314151617[[#This Row],[Carry-over]]),-Tabelle132456891011121314151617[[#This Row],[COsSP Initially Planned]])</f>
        <v>16</v>
      </c>
      <c r="P8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86" s="210">
        <f>IF(Tabelle132456891011121314151617[[#This Row],[Status]]=$J$5,Tabelle132456891011121314151617[[#This Row],[COsSP Initially Planned]]+Tabelle132456891011121314151617[[#This Row],[COsSP Pulled after Start]]-Tabelle132456891011121314151617[[#This Row],[CSOsSP Completed]],0)</f>
        <v>0</v>
      </c>
      <c r="R86" s="210">
        <f>Tabelle132456891011121314151617[[#This Row],[COsSP Initially Planned]]+Tabelle132456891011121314151617[[#This Row],[COsSP Pulled after Start]]-Tabelle132456891011121314151617[[#This Row],[CSOsSP Completed]]-Tabelle132456891011121314151617[[#This Row],[CSOsSP Removed]]</f>
        <v>0</v>
      </c>
      <c r="T86" s="201"/>
      <c r="V86"/>
      <c r="W86" t="s">
        <v>178</v>
      </c>
      <c r="X86" s="263">
        <v>0</v>
      </c>
      <c r="Y86" s="98">
        <v>0</v>
      </c>
    </row>
    <row r="87" spans="1:25" ht="15">
      <c r="A87" s="214"/>
      <c r="B87" s="47"/>
      <c r="C87" s="203"/>
      <c r="D87" s="203"/>
      <c r="E87" s="203"/>
      <c r="F87" s="204">
        <v>13</v>
      </c>
      <c r="G87" s="203" t="s">
        <v>9</v>
      </c>
      <c r="H87" s="205"/>
      <c r="I87" s="206"/>
      <c r="J87" s="1" t="s">
        <v>178</v>
      </c>
      <c r="K87" s="203" t="s">
        <v>125</v>
      </c>
      <c r="L87" s="204">
        <v>21</v>
      </c>
      <c r="M87" s="204">
        <v>0</v>
      </c>
      <c r="N87" s="286">
        <f>IF(OR(Tabelle132456891011121314151617[[#This Row],[Pulled after Start]]="yes",Tabelle132456891011121314151617[[#This Row],[Jira Story Points]]="-"),0,MIN(Tabelle132456891011121314151617[[#This Row],[Jira Story Points]],Tabelle132456891011121314151617[[#This Row],[Carry-over]]))</f>
        <v>13</v>
      </c>
      <c r="O87" s="210">
        <f>SUM(IF(ISBLANK(Tabelle132456891011121314151617[[#This Row],[Carry-over]]),Tabelle132456891011121314151617[[#This Row],[Jira Story Points]],Tabelle132456891011121314151617[[#This Row],[Carry-over]]),-Tabelle132456891011121314151617[[#This Row],[COsSP Initially Planned]])</f>
        <v>8</v>
      </c>
      <c r="P8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87" s="210">
        <f>IF(Tabelle132456891011121314151617[[#This Row],[Status]]=$J$5,Tabelle132456891011121314151617[[#This Row],[COsSP Initially Planned]]+Tabelle132456891011121314151617[[#This Row],[COsSP Pulled after Start]]-Tabelle132456891011121314151617[[#This Row],[CSOsSP Completed]],0)</f>
        <v>0</v>
      </c>
      <c r="R87" s="210">
        <f>Tabelle132456891011121314151617[[#This Row],[COsSP Initially Planned]]+Tabelle132456891011121314151617[[#This Row],[COsSP Pulled after Start]]-Tabelle132456891011121314151617[[#This Row],[CSOsSP Completed]]-Tabelle132456891011121314151617[[#This Row],[CSOsSP Removed]]</f>
        <v>0</v>
      </c>
      <c r="T87" s="201"/>
      <c r="V87"/>
      <c r="W87" t="s">
        <v>179</v>
      </c>
      <c r="X87" s="263">
        <v>30</v>
      </c>
      <c r="Y87" s="98">
        <v>0.18518518518518517</v>
      </c>
    </row>
    <row r="88" spans="1:25" ht="15">
      <c r="A88" s="214"/>
      <c r="B88" s="47"/>
      <c r="C88" s="203"/>
      <c r="D88" s="203"/>
      <c r="E88" s="203"/>
      <c r="F88" s="204" t="s">
        <v>210</v>
      </c>
      <c r="G88" s="203" t="s">
        <v>5</v>
      </c>
      <c r="H88" s="205"/>
      <c r="I88" s="206"/>
      <c r="J88" s="1" t="s">
        <v>176</v>
      </c>
      <c r="K88" s="203" t="s">
        <v>125</v>
      </c>
      <c r="L88" s="204">
        <v>21</v>
      </c>
      <c r="M88" s="204">
        <v>0</v>
      </c>
      <c r="N88" s="286">
        <f>IF(OR(Tabelle132456891011121314151617[[#This Row],[Pulled after Start]]="yes",Tabelle132456891011121314151617[[#This Row],[Jira Story Points]]="-"),0,MIN(Tabelle132456891011121314151617[[#This Row],[Jira Story Points]],Tabelle132456891011121314151617[[#This Row],[Carry-over]]))</f>
        <v>0</v>
      </c>
      <c r="O88" s="210">
        <f>SUM(IF(ISBLANK(Tabelle132456891011121314151617[[#This Row],[Carry-over]]),Tabelle132456891011121314151617[[#This Row],[Jira Story Points]],Tabelle132456891011121314151617[[#This Row],[Carry-over]]),-Tabelle132456891011121314151617[[#This Row],[COsSP Initially Planned]])</f>
        <v>21</v>
      </c>
      <c r="P8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88" s="210">
        <f>IF(Tabelle132456891011121314151617[[#This Row],[Status]]=$J$5,Tabelle132456891011121314151617[[#This Row],[COsSP Initially Planned]]+Tabelle132456891011121314151617[[#This Row],[COsSP Pulled after Start]]-Tabelle132456891011121314151617[[#This Row],[CSOsSP Completed]],0)</f>
        <v>0</v>
      </c>
      <c r="R88" s="210">
        <f>Tabelle132456891011121314151617[[#This Row],[COsSP Initially Planned]]+Tabelle132456891011121314151617[[#This Row],[COsSP Pulled after Start]]-Tabelle132456891011121314151617[[#This Row],[CSOsSP Completed]]-Tabelle132456891011121314151617[[#This Row],[CSOsSP Removed]]</f>
        <v>0</v>
      </c>
      <c r="T88" s="201"/>
      <c r="V88"/>
      <c r="W88" t="s">
        <v>180</v>
      </c>
      <c r="X88" s="263">
        <v>3</v>
      </c>
      <c r="Y88" s="98">
        <v>1.8518518518518517E-2</v>
      </c>
    </row>
    <row r="89" spans="1:25" ht="15">
      <c r="A89" s="214"/>
      <c r="B89" s="47"/>
      <c r="C89" s="203"/>
      <c r="D89" s="203"/>
      <c r="E89" s="203"/>
      <c r="F89" s="204">
        <v>5</v>
      </c>
      <c r="G89" s="203" t="s">
        <v>17</v>
      </c>
      <c r="H89" s="205"/>
      <c r="I89" s="206"/>
      <c r="J89" s="1" t="s">
        <v>175</v>
      </c>
      <c r="K89" s="203" t="s">
        <v>125</v>
      </c>
      <c r="L89" s="204"/>
      <c r="M89" s="204">
        <v>0</v>
      </c>
      <c r="N89" s="286">
        <f>IF(OR(Tabelle132456891011121314151617[[#This Row],[Pulled after Start]]="yes",Tabelle132456891011121314151617[[#This Row],[Jira Story Points]]="-"),0,MIN(Tabelle132456891011121314151617[[#This Row],[Jira Story Points]],Tabelle132456891011121314151617[[#This Row],[Carry-over]]))</f>
        <v>5</v>
      </c>
      <c r="O89" s="210">
        <f>SUM(IF(ISBLANK(Tabelle132456891011121314151617[[#This Row],[Carry-over]]),Tabelle132456891011121314151617[[#This Row],[Jira Story Points]],Tabelle132456891011121314151617[[#This Row],[Carry-over]]),-Tabelle132456891011121314151617[[#This Row],[COsSP Initially Planned]])</f>
        <v>0</v>
      </c>
      <c r="P8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5</v>
      </c>
      <c r="Q89" s="210">
        <f>IF(Tabelle132456891011121314151617[[#This Row],[Status]]=$J$5,Tabelle132456891011121314151617[[#This Row],[COsSP Initially Planned]]+Tabelle132456891011121314151617[[#This Row],[COsSP Pulled after Start]]-Tabelle132456891011121314151617[[#This Row],[CSOsSP Completed]],0)</f>
        <v>0</v>
      </c>
      <c r="R89" s="210">
        <f>Tabelle132456891011121314151617[[#This Row],[COsSP Initially Planned]]+Tabelle132456891011121314151617[[#This Row],[COsSP Pulled after Start]]-Tabelle132456891011121314151617[[#This Row],[CSOsSP Completed]]-Tabelle132456891011121314151617[[#This Row],[CSOsSP Removed]]</f>
        <v>0</v>
      </c>
      <c r="T89" s="201"/>
      <c r="V89"/>
      <c r="W89" t="s">
        <v>181</v>
      </c>
      <c r="X89" s="263">
        <v>40</v>
      </c>
      <c r="Y89" s="98">
        <v>0.24691358024691357</v>
      </c>
    </row>
    <row r="90" spans="1:25" ht="15">
      <c r="A90" s="214"/>
      <c r="B90" s="47"/>
      <c r="C90" s="203"/>
      <c r="D90" s="203"/>
      <c r="E90" s="203"/>
      <c r="F90" s="204">
        <v>13</v>
      </c>
      <c r="G90" s="203" t="s">
        <v>24</v>
      </c>
      <c r="H90" s="205"/>
      <c r="I90" s="206"/>
      <c r="J90" s="1" t="s">
        <v>183</v>
      </c>
      <c r="K90" s="203" t="s">
        <v>125</v>
      </c>
      <c r="L90" s="204"/>
      <c r="M90" s="204">
        <v>0</v>
      </c>
      <c r="N90" s="286">
        <f>IF(OR(Tabelle132456891011121314151617[[#This Row],[Pulled after Start]]="yes",Tabelle132456891011121314151617[[#This Row],[Jira Story Points]]="-"),0,MIN(Tabelle132456891011121314151617[[#This Row],[Jira Story Points]],Tabelle132456891011121314151617[[#This Row],[Carry-over]]))</f>
        <v>13</v>
      </c>
      <c r="O90" s="210">
        <f>SUM(IF(ISBLANK(Tabelle132456891011121314151617[[#This Row],[Carry-over]]),Tabelle132456891011121314151617[[#This Row],[Jira Story Points]],Tabelle132456891011121314151617[[#This Row],[Carry-over]]),-Tabelle132456891011121314151617[[#This Row],[COsSP Initially Planned]])</f>
        <v>0</v>
      </c>
      <c r="P9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13</v>
      </c>
      <c r="Q90" s="210">
        <f>IF(Tabelle132456891011121314151617[[#This Row],[Status]]=$J$5,Tabelle132456891011121314151617[[#This Row],[COsSP Initially Planned]]+Tabelle132456891011121314151617[[#This Row],[COsSP Pulled after Start]]-Tabelle132456891011121314151617[[#This Row],[CSOsSP Completed]],0)</f>
        <v>0</v>
      </c>
      <c r="R90" s="210">
        <f>Tabelle132456891011121314151617[[#This Row],[COsSP Initially Planned]]+Tabelle132456891011121314151617[[#This Row],[COsSP Pulled after Start]]-Tabelle132456891011121314151617[[#This Row],[CSOsSP Completed]]-Tabelle132456891011121314151617[[#This Row],[CSOsSP Removed]]</f>
        <v>0</v>
      </c>
      <c r="T90" s="201"/>
      <c r="V90"/>
      <c r="W90" t="s">
        <v>182</v>
      </c>
      <c r="X90" s="263">
        <v>38</v>
      </c>
      <c r="Y90" s="98">
        <v>0.23456790123456789</v>
      </c>
    </row>
    <row r="91" spans="1:25" ht="15">
      <c r="A91" s="214"/>
      <c r="B91" s="47"/>
      <c r="C91" s="203"/>
      <c r="D91" s="203"/>
      <c r="E91" s="203"/>
      <c r="F91" s="204" t="s">
        <v>210</v>
      </c>
      <c r="G91" s="203" t="s">
        <v>24</v>
      </c>
      <c r="H91" s="205"/>
      <c r="I91" s="206"/>
      <c r="J91" s="1" t="s">
        <v>176</v>
      </c>
      <c r="K91" s="203" t="s">
        <v>125</v>
      </c>
      <c r="L91" s="204"/>
      <c r="M91" s="204">
        <v>0</v>
      </c>
      <c r="N91" s="286">
        <f>IF(OR(Tabelle132456891011121314151617[[#This Row],[Pulled after Start]]="yes",Tabelle132456891011121314151617[[#This Row],[Jira Story Points]]="-"),0,MIN(Tabelle132456891011121314151617[[#This Row],[Jira Story Points]],Tabelle132456891011121314151617[[#This Row],[Carry-over]]))</f>
        <v>0</v>
      </c>
      <c r="O91" s="210">
        <f>SUM(IF(ISBLANK(Tabelle132456891011121314151617[[#This Row],[Carry-over]]),Tabelle132456891011121314151617[[#This Row],[Jira Story Points]],Tabelle132456891011121314151617[[#This Row],[Carry-over]]),-Tabelle132456891011121314151617[[#This Row],[COsSP Initially Planned]])</f>
        <v>0</v>
      </c>
      <c r="P9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91" s="210">
        <f>IF(Tabelle132456891011121314151617[[#This Row],[Status]]=$J$5,Tabelle132456891011121314151617[[#This Row],[COsSP Initially Planned]]+Tabelle132456891011121314151617[[#This Row],[COsSP Pulled after Start]]-Tabelle132456891011121314151617[[#This Row],[CSOsSP Completed]],0)</f>
        <v>0</v>
      </c>
      <c r="R91" s="210">
        <f>Tabelle132456891011121314151617[[#This Row],[COsSP Initially Planned]]+Tabelle132456891011121314151617[[#This Row],[COsSP Pulled after Start]]-Tabelle132456891011121314151617[[#This Row],[CSOsSP Completed]]-Tabelle132456891011121314151617[[#This Row],[CSOsSP Removed]]</f>
        <v>0</v>
      </c>
      <c r="T91" s="201"/>
      <c r="V91"/>
      <c r="W91" t="s">
        <v>183</v>
      </c>
      <c r="X91" s="263">
        <v>22</v>
      </c>
      <c r="Y91" s="98">
        <v>0.13580246913580246</v>
      </c>
    </row>
    <row r="92" spans="1:25" ht="15">
      <c r="A92" s="285"/>
      <c r="B92"/>
      <c r="C92" s="212"/>
      <c r="D92" s="212"/>
      <c r="E92" s="212"/>
      <c r="F92" s="204">
        <v>5</v>
      </c>
      <c r="G92" s="203" t="s">
        <v>24</v>
      </c>
      <c r="H92" s="205"/>
      <c r="I92" s="206"/>
      <c r="J92" s="1" t="s">
        <v>179</v>
      </c>
      <c r="K92" s="203" t="s">
        <v>125</v>
      </c>
      <c r="L92" s="204">
        <v>0</v>
      </c>
      <c r="M92" s="204">
        <v>2</v>
      </c>
      <c r="N92" s="286">
        <f>IF(OR(Tabelle132456891011121314151617[[#This Row],[Pulled after Start]]="yes",Tabelle132456891011121314151617[[#This Row],[Jira Story Points]]="-"),0,MIN(Tabelle132456891011121314151617[[#This Row],[Jira Story Points]],Tabelle132456891011121314151617[[#This Row],[Carry-over]]))</f>
        <v>0</v>
      </c>
      <c r="O92" s="210">
        <f>SUM(IF(ISBLANK(Tabelle132456891011121314151617[[#This Row],[Carry-over]]),Tabelle132456891011121314151617[[#This Row],[Jira Story Points]],Tabelle132456891011121314151617[[#This Row],[Carry-over]]),-Tabelle132456891011121314151617[[#This Row],[COsSP Initially Planned]])</f>
        <v>0</v>
      </c>
      <c r="P9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92" s="210">
        <f>IF(Tabelle132456891011121314151617[[#This Row],[Status]]=$J$5,Tabelle132456891011121314151617[[#This Row],[COsSP Initially Planned]]+Tabelle132456891011121314151617[[#This Row],[COsSP Pulled after Start]]-Tabelle132456891011121314151617[[#This Row],[CSOsSP Completed]],0)</f>
        <v>0</v>
      </c>
      <c r="R92" s="210">
        <f>Tabelle132456891011121314151617[[#This Row],[COsSP Initially Planned]]+Tabelle132456891011121314151617[[#This Row],[COsSP Pulled after Start]]-Tabelle132456891011121314151617[[#This Row],[CSOsSP Completed]]-Tabelle132456891011121314151617[[#This Row],[CSOsSP Removed]]</f>
        <v>0</v>
      </c>
      <c r="T92" s="201"/>
      <c r="V92"/>
      <c r="W92" t="s">
        <v>184</v>
      </c>
      <c r="X92" s="263">
        <v>0</v>
      </c>
      <c r="Y92" s="98">
        <v>0</v>
      </c>
    </row>
    <row r="93" spans="1:25" ht="15">
      <c r="A93" s="285"/>
      <c r="B93"/>
      <c r="C93" s="212"/>
      <c r="D93" s="212"/>
      <c r="E93" s="212"/>
      <c r="F93" s="204">
        <v>13</v>
      </c>
      <c r="G93" s="203" t="s">
        <v>5</v>
      </c>
      <c r="H93" s="205"/>
      <c r="I93" s="206"/>
      <c r="J93" s="1" t="s">
        <v>178</v>
      </c>
      <c r="K93" s="203" t="s">
        <v>125</v>
      </c>
      <c r="L93" s="204">
        <v>0</v>
      </c>
      <c r="M93" s="204">
        <v>2</v>
      </c>
      <c r="N93" s="286">
        <f>IF(OR(Tabelle132456891011121314151617[[#This Row],[Pulled after Start]]="yes",Tabelle132456891011121314151617[[#This Row],[Jira Story Points]]="-"),0,MIN(Tabelle132456891011121314151617[[#This Row],[Jira Story Points]],Tabelle132456891011121314151617[[#This Row],[Carry-over]]))</f>
        <v>0</v>
      </c>
      <c r="O93" s="210">
        <f>SUM(IF(ISBLANK(Tabelle132456891011121314151617[[#This Row],[Carry-over]]),Tabelle132456891011121314151617[[#This Row],[Jira Story Points]],Tabelle132456891011121314151617[[#This Row],[Carry-over]]),-Tabelle132456891011121314151617[[#This Row],[COsSP Initially Planned]])</f>
        <v>0</v>
      </c>
      <c r="P9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93" s="210">
        <f>IF(Tabelle132456891011121314151617[[#This Row],[Status]]=$J$5,Tabelle132456891011121314151617[[#This Row],[COsSP Initially Planned]]+Tabelle132456891011121314151617[[#This Row],[COsSP Pulled after Start]]-Tabelle132456891011121314151617[[#This Row],[CSOsSP Completed]],0)</f>
        <v>0</v>
      </c>
      <c r="R93" s="210">
        <f>Tabelle132456891011121314151617[[#This Row],[COsSP Initially Planned]]+Tabelle132456891011121314151617[[#This Row],[COsSP Pulled after Start]]-Tabelle132456891011121314151617[[#This Row],[CSOsSP Completed]]-Tabelle132456891011121314151617[[#This Row],[CSOsSP Removed]]</f>
        <v>0</v>
      </c>
      <c r="T93" s="201"/>
      <c r="V93" t="s">
        <v>32</v>
      </c>
      <c r="W93"/>
      <c r="X93" s="263">
        <v>190</v>
      </c>
      <c r="Y93" s="98">
        <v>0.12872628726287264</v>
      </c>
    </row>
    <row r="94" spans="1:25" ht="15">
      <c r="A94" s="214"/>
      <c r="B94" s="47"/>
      <c r="C94" s="203"/>
      <c r="D94" s="203"/>
      <c r="E94" s="203"/>
      <c r="F94" s="204" t="s">
        <v>210</v>
      </c>
      <c r="G94" s="203" t="s">
        <v>27</v>
      </c>
      <c r="H94" s="205"/>
      <c r="I94" s="206"/>
      <c r="J94" s="1" t="s">
        <v>183</v>
      </c>
      <c r="K94" s="203" t="s">
        <v>125</v>
      </c>
      <c r="L94" s="204">
        <v>0</v>
      </c>
      <c r="M94" s="204">
        <v>2</v>
      </c>
      <c r="N94" s="286">
        <f>IF(OR(Tabelle132456891011121314151617[[#This Row],[Pulled after Start]]="yes",Tabelle132456891011121314151617[[#This Row],[Jira Story Points]]="-"),0,MIN(Tabelle132456891011121314151617[[#This Row],[Jira Story Points]],Tabelle132456891011121314151617[[#This Row],[Carry-over]]))</f>
        <v>0</v>
      </c>
      <c r="O94" s="210">
        <f>SUM(IF(ISBLANK(Tabelle132456891011121314151617[[#This Row],[Carry-over]]),Tabelle132456891011121314151617[[#This Row],[Jira Story Points]],Tabelle132456891011121314151617[[#This Row],[Carry-over]]),-Tabelle132456891011121314151617[[#This Row],[COsSP Initially Planned]])</f>
        <v>0</v>
      </c>
      <c r="P9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94" s="210">
        <f>IF(Tabelle132456891011121314151617[[#This Row],[Status]]=$J$5,Tabelle132456891011121314151617[[#This Row],[COsSP Initially Planned]]+Tabelle132456891011121314151617[[#This Row],[COsSP Pulled after Start]]-Tabelle132456891011121314151617[[#This Row],[CSOsSP Completed]],0)</f>
        <v>0</v>
      </c>
      <c r="R94" s="210">
        <f>Tabelle132456891011121314151617[[#This Row],[COsSP Initially Planned]]+Tabelle132456891011121314151617[[#This Row],[COsSP Pulled after Start]]-Tabelle132456891011121314151617[[#This Row],[CSOsSP Completed]]-Tabelle132456891011121314151617[[#This Row],[CSOsSP Removed]]</f>
        <v>0</v>
      </c>
      <c r="T94" s="201"/>
      <c r="V94"/>
      <c r="W94" t="s">
        <v>175</v>
      </c>
      <c r="X94" s="263">
        <v>21</v>
      </c>
      <c r="Y94" s="98">
        <v>0.11052631578947368</v>
      </c>
    </row>
    <row r="95" spans="1:25" ht="15">
      <c r="A95" s="285"/>
      <c r="B95"/>
      <c r="C95" s="212"/>
      <c r="D95" s="212"/>
      <c r="E95" s="212"/>
      <c r="F95" s="204">
        <v>5</v>
      </c>
      <c r="G95" s="203" t="s">
        <v>9</v>
      </c>
      <c r="H95" s="205"/>
      <c r="I95" s="206"/>
      <c r="J95" s="1" t="s">
        <v>180</v>
      </c>
      <c r="K95" s="203" t="s">
        <v>125</v>
      </c>
      <c r="L95" s="204">
        <v>3</v>
      </c>
      <c r="M95" s="204">
        <v>2</v>
      </c>
      <c r="N95" s="286">
        <f>IF(OR(Tabelle132456891011121314151617[[#This Row],[Pulled after Start]]="yes",Tabelle132456891011121314151617[[#This Row],[Jira Story Points]]="-"),0,MIN(Tabelle132456891011121314151617[[#This Row],[Jira Story Points]],Tabelle132456891011121314151617[[#This Row],[Carry-over]]))</f>
        <v>3</v>
      </c>
      <c r="O95" s="210">
        <f>SUM(IF(ISBLANK(Tabelle132456891011121314151617[[#This Row],[Carry-over]]),Tabelle132456891011121314151617[[#This Row],[Jira Story Points]],Tabelle132456891011121314151617[[#This Row],[Carry-over]]),-Tabelle132456891011121314151617[[#This Row],[COsSP Initially Planned]])</f>
        <v>0</v>
      </c>
      <c r="P9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95" s="210">
        <f>IF(Tabelle132456891011121314151617[[#This Row],[Status]]=$J$5,Tabelle132456891011121314151617[[#This Row],[COsSP Initially Planned]]+Tabelle132456891011121314151617[[#This Row],[COsSP Pulled after Start]]-Tabelle132456891011121314151617[[#This Row],[CSOsSP Completed]],0)</f>
        <v>0</v>
      </c>
      <c r="R95" s="210">
        <f>Tabelle132456891011121314151617[[#This Row],[COsSP Initially Planned]]+Tabelle132456891011121314151617[[#This Row],[COsSP Pulled after Start]]-Tabelle132456891011121314151617[[#This Row],[CSOsSP Completed]]-Tabelle132456891011121314151617[[#This Row],[CSOsSP Removed]]</f>
        <v>0</v>
      </c>
      <c r="T95" s="201"/>
      <c r="V95"/>
      <c r="W95" t="s">
        <v>176</v>
      </c>
      <c r="X95" s="263">
        <v>-2</v>
      </c>
      <c r="Y95" s="98">
        <v>-1.0526315789473684E-2</v>
      </c>
    </row>
    <row r="96" spans="1:25" ht="15">
      <c r="A96" s="285"/>
      <c r="B96"/>
      <c r="C96" s="212"/>
      <c r="D96" s="212"/>
      <c r="E96" s="212"/>
      <c r="F96" s="204">
        <v>13</v>
      </c>
      <c r="G96" s="203" t="s">
        <v>9</v>
      </c>
      <c r="H96" s="205"/>
      <c r="I96" s="206"/>
      <c r="J96" s="1" t="s">
        <v>183</v>
      </c>
      <c r="K96" s="203" t="s">
        <v>125</v>
      </c>
      <c r="L96" s="204">
        <v>3</v>
      </c>
      <c r="M96" s="204">
        <v>2</v>
      </c>
      <c r="N96" s="286">
        <f>IF(OR(Tabelle132456891011121314151617[[#This Row],[Pulled after Start]]="yes",Tabelle132456891011121314151617[[#This Row],[Jira Story Points]]="-"),0,MIN(Tabelle132456891011121314151617[[#This Row],[Jira Story Points]],Tabelle132456891011121314151617[[#This Row],[Carry-over]]))</f>
        <v>3</v>
      </c>
      <c r="O96" s="210">
        <f>SUM(IF(ISBLANK(Tabelle132456891011121314151617[[#This Row],[Carry-over]]),Tabelle132456891011121314151617[[#This Row],[Jira Story Points]],Tabelle132456891011121314151617[[#This Row],[Carry-over]]),-Tabelle132456891011121314151617[[#This Row],[COsSP Initially Planned]])</f>
        <v>0</v>
      </c>
      <c r="P9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96" s="210">
        <f>IF(Tabelle132456891011121314151617[[#This Row],[Status]]=$J$5,Tabelle132456891011121314151617[[#This Row],[COsSP Initially Planned]]+Tabelle132456891011121314151617[[#This Row],[COsSP Pulled after Start]]-Tabelle132456891011121314151617[[#This Row],[CSOsSP Completed]],0)</f>
        <v>0</v>
      </c>
      <c r="R96" s="210">
        <f>Tabelle132456891011121314151617[[#This Row],[COsSP Initially Planned]]+Tabelle132456891011121314151617[[#This Row],[COsSP Pulled after Start]]-Tabelle132456891011121314151617[[#This Row],[CSOsSP Completed]]-Tabelle132456891011121314151617[[#This Row],[CSOsSP Removed]]</f>
        <v>0</v>
      </c>
      <c r="T96" s="201"/>
      <c r="V96"/>
      <c r="W96" t="s">
        <v>177</v>
      </c>
      <c r="X96" s="263">
        <v>8</v>
      </c>
      <c r="Y96" s="98">
        <v>4.2105263157894736E-2</v>
      </c>
    </row>
    <row r="97" spans="1:25" ht="15">
      <c r="A97" s="214"/>
      <c r="B97" s="47"/>
      <c r="C97" s="203"/>
      <c r="D97" s="203"/>
      <c r="E97" s="203"/>
      <c r="F97" s="204" t="s">
        <v>210</v>
      </c>
      <c r="G97" s="203" t="s">
        <v>21</v>
      </c>
      <c r="H97" s="205"/>
      <c r="I97" s="206"/>
      <c r="J97" s="1" t="s">
        <v>175</v>
      </c>
      <c r="K97" s="203" t="s">
        <v>125</v>
      </c>
      <c r="L97" s="204">
        <v>3</v>
      </c>
      <c r="M97" s="204">
        <v>2</v>
      </c>
      <c r="N97" s="286">
        <f>IF(OR(Tabelle132456891011121314151617[[#This Row],[Pulled after Start]]="yes",Tabelle132456891011121314151617[[#This Row],[Jira Story Points]]="-"),0,MIN(Tabelle132456891011121314151617[[#This Row],[Jira Story Points]],Tabelle132456891011121314151617[[#This Row],[Carry-over]]))</f>
        <v>0</v>
      </c>
      <c r="O97" s="210">
        <f>SUM(IF(ISBLANK(Tabelle132456891011121314151617[[#This Row],[Carry-over]]),Tabelle132456891011121314151617[[#This Row],[Jira Story Points]],Tabelle132456891011121314151617[[#This Row],[Carry-over]]),-Tabelle132456891011121314151617[[#This Row],[COsSP Initially Planned]])</f>
        <v>3</v>
      </c>
      <c r="P9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97" s="210">
        <f>IF(Tabelle132456891011121314151617[[#This Row],[Status]]=$J$5,Tabelle132456891011121314151617[[#This Row],[COsSP Initially Planned]]+Tabelle132456891011121314151617[[#This Row],[COsSP Pulled after Start]]-Tabelle132456891011121314151617[[#This Row],[CSOsSP Completed]],0)</f>
        <v>0</v>
      </c>
      <c r="R97" s="210">
        <f>Tabelle132456891011121314151617[[#This Row],[COsSP Initially Planned]]+Tabelle132456891011121314151617[[#This Row],[COsSP Pulled after Start]]-Tabelle132456891011121314151617[[#This Row],[CSOsSP Completed]]-Tabelle132456891011121314151617[[#This Row],[CSOsSP Removed]]</f>
        <v>0</v>
      </c>
      <c r="T97" s="201"/>
      <c r="V97"/>
      <c r="W97" t="s">
        <v>178</v>
      </c>
      <c r="X97" s="263">
        <v>27</v>
      </c>
      <c r="Y97" s="98">
        <v>0.14210526315789473</v>
      </c>
    </row>
    <row r="98" spans="1:25" ht="15">
      <c r="A98" s="285"/>
      <c r="B98"/>
      <c r="C98" s="203"/>
      <c r="D98" s="203"/>
      <c r="E98" s="203"/>
      <c r="F98" s="204">
        <v>5</v>
      </c>
      <c r="G98" s="203" t="s">
        <v>107</v>
      </c>
      <c r="H98" s="205"/>
      <c r="I98" s="206"/>
      <c r="J98" s="1" t="s">
        <v>181</v>
      </c>
      <c r="K98" s="203" t="s">
        <v>125</v>
      </c>
      <c r="L98" s="204">
        <v>8</v>
      </c>
      <c r="M98" s="204">
        <v>2</v>
      </c>
      <c r="N98" s="286">
        <f>IF(OR(Tabelle132456891011121314151617[[#This Row],[Pulled after Start]]="yes",Tabelle132456891011121314151617[[#This Row],[Jira Story Points]]="-"),0,MIN(Tabelle132456891011121314151617[[#This Row],[Jira Story Points]],Tabelle132456891011121314151617[[#This Row],[Carry-over]]))</f>
        <v>5</v>
      </c>
      <c r="O98" s="210">
        <f>SUM(IF(ISBLANK(Tabelle132456891011121314151617[[#This Row],[Carry-over]]),Tabelle132456891011121314151617[[#This Row],[Jira Story Points]],Tabelle132456891011121314151617[[#This Row],[Carry-over]]),-Tabelle132456891011121314151617[[#This Row],[COsSP Initially Planned]])</f>
        <v>3</v>
      </c>
      <c r="P9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98" s="210">
        <f>IF(Tabelle132456891011121314151617[[#This Row],[Status]]=$J$5,Tabelle132456891011121314151617[[#This Row],[COsSP Initially Planned]]+Tabelle132456891011121314151617[[#This Row],[COsSP Pulled after Start]]-Tabelle132456891011121314151617[[#This Row],[CSOsSP Completed]],0)</f>
        <v>0</v>
      </c>
      <c r="R98" s="210">
        <f>Tabelle132456891011121314151617[[#This Row],[COsSP Initially Planned]]+Tabelle132456891011121314151617[[#This Row],[COsSP Pulled after Start]]-Tabelle132456891011121314151617[[#This Row],[CSOsSP Completed]]-Tabelle132456891011121314151617[[#This Row],[CSOsSP Removed]]</f>
        <v>0</v>
      </c>
      <c r="T98" s="201"/>
      <c r="V98"/>
      <c r="W98" t="s">
        <v>179</v>
      </c>
      <c r="X98" s="263">
        <v>37</v>
      </c>
      <c r="Y98" s="98">
        <v>0.19473684210526315</v>
      </c>
    </row>
    <row r="99" spans="1:25" ht="15">
      <c r="A99" s="285"/>
      <c r="B99"/>
      <c r="C99" s="212"/>
      <c r="D99" s="212"/>
      <c r="E99" s="212"/>
      <c r="F99" s="204">
        <v>13</v>
      </c>
      <c r="G99" s="203" t="s">
        <v>12</v>
      </c>
      <c r="H99" s="205"/>
      <c r="I99" s="206"/>
      <c r="J99" s="1" t="s">
        <v>176</v>
      </c>
      <c r="K99" s="203" t="s">
        <v>125</v>
      </c>
      <c r="L99" s="204">
        <v>8</v>
      </c>
      <c r="M99" s="204">
        <v>2</v>
      </c>
      <c r="N99" s="286">
        <f>IF(OR(Tabelle132456891011121314151617[[#This Row],[Pulled after Start]]="yes",Tabelle132456891011121314151617[[#This Row],[Jira Story Points]]="-"),0,MIN(Tabelle132456891011121314151617[[#This Row],[Jira Story Points]],Tabelle132456891011121314151617[[#This Row],[Carry-over]]))</f>
        <v>8</v>
      </c>
      <c r="O99" s="210">
        <f>SUM(IF(ISBLANK(Tabelle132456891011121314151617[[#This Row],[Carry-over]]),Tabelle132456891011121314151617[[#This Row],[Jira Story Points]],Tabelle132456891011121314151617[[#This Row],[Carry-over]]),-Tabelle132456891011121314151617[[#This Row],[COsSP Initially Planned]])</f>
        <v>0</v>
      </c>
      <c r="P9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99" s="210">
        <f>IF(Tabelle132456891011121314151617[[#This Row],[Status]]=$J$5,Tabelle132456891011121314151617[[#This Row],[COsSP Initially Planned]]+Tabelle132456891011121314151617[[#This Row],[COsSP Pulled after Start]]-Tabelle132456891011121314151617[[#This Row],[CSOsSP Completed]],0)</f>
        <v>0</v>
      </c>
      <c r="R99" s="210">
        <f>Tabelle132456891011121314151617[[#This Row],[COsSP Initially Planned]]+Tabelle132456891011121314151617[[#This Row],[COsSP Pulled after Start]]-Tabelle132456891011121314151617[[#This Row],[CSOsSP Completed]]-Tabelle132456891011121314151617[[#This Row],[CSOsSP Removed]]</f>
        <v>0</v>
      </c>
      <c r="T99" s="201"/>
      <c r="V99"/>
      <c r="W99" t="s">
        <v>180</v>
      </c>
      <c r="X99" s="263">
        <v>48</v>
      </c>
      <c r="Y99" s="98">
        <v>0.25263157894736843</v>
      </c>
    </row>
    <row r="100" spans="1:25" ht="15">
      <c r="A100" s="214"/>
      <c r="B100" s="47"/>
      <c r="C100" s="203"/>
      <c r="D100" s="203"/>
      <c r="E100" s="203"/>
      <c r="F100" s="204" t="s">
        <v>210</v>
      </c>
      <c r="G100" s="203" t="s">
        <v>27</v>
      </c>
      <c r="H100" s="205"/>
      <c r="I100" s="206"/>
      <c r="J100" s="1" t="s">
        <v>181</v>
      </c>
      <c r="K100" s="203" t="s">
        <v>125</v>
      </c>
      <c r="L100" s="204">
        <v>8</v>
      </c>
      <c r="M100" s="204">
        <v>2</v>
      </c>
      <c r="N100" s="286">
        <f>IF(OR(Tabelle132456891011121314151617[[#This Row],[Pulled after Start]]="yes",Tabelle132456891011121314151617[[#This Row],[Jira Story Points]]="-"),0,MIN(Tabelle132456891011121314151617[[#This Row],[Jira Story Points]],Tabelle132456891011121314151617[[#This Row],[Carry-over]]))</f>
        <v>0</v>
      </c>
      <c r="O100" s="210">
        <f>SUM(IF(ISBLANK(Tabelle132456891011121314151617[[#This Row],[Carry-over]]),Tabelle132456891011121314151617[[#This Row],[Jira Story Points]],Tabelle132456891011121314151617[[#This Row],[Carry-over]]),-Tabelle132456891011121314151617[[#This Row],[COsSP Initially Planned]])</f>
        <v>8</v>
      </c>
      <c r="P10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100" s="210">
        <f>IF(Tabelle132456891011121314151617[[#This Row],[Status]]=$J$5,Tabelle132456891011121314151617[[#This Row],[COsSP Initially Planned]]+Tabelle132456891011121314151617[[#This Row],[COsSP Pulled after Start]]-Tabelle132456891011121314151617[[#This Row],[CSOsSP Completed]],0)</f>
        <v>0</v>
      </c>
      <c r="R100" s="210">
        <f>Tabelle132456891011121314151617[[#This Row],[COsSP Initially Planned]]+Tabelle132456891011121314151617[[#This Row],[COsSP Pulled after Start]]-Tabelle132456891011121314151617[[#This Row],[CSOsSP Completed]]-Tabelle132456891011121314151617[[#This Row],[CSOsSP Removed]]</f>
        <v>0</v>
      </c>
      <c r="T100" s="201"/>
      <c r="V100"/>
      <c r="W100" t="s">
        <v>181</v>
      </c>
      <c r="X100" s="263">
        <v>1</v>
      </c>
      <c r="Y100" s="98">
        <v>5.263157894736842E-3</v>
      </c>
    </row>
    <row r="101" spans="1:25" ht="15">
      <c r="A101" s="285"/>
      <c r="B101"/>
      <c r="C101" s="212"/>
      <c r="D101" s="212"/>
      <c r="E101" s="212"/>
      <c r="F101" s="204">
        <v>5</v>
      </c>
      <c r="G101" s="203" t="s">
        <v>35</v>
      </c>
      <c r="H101" s="205"/>
      <c r="I101" s="206"/>
      <c r="J101" s="1" t="s">
        <v>180</v>
      </c>
      <c r="K101" s="203" t="s">
        <v>125</v>
      </c>
      <c r="L101" s="204">
        <v>21</v>
      </c>
      <c r="M101" s="204">
        <v>2</v>
      </c>
      <c r="N101" s="286">
        <f>IF(OR(Tabelle132456891011121314151617[[#This Row],[Pulled after Start]]="yes",Tabelle132456891011121314151617[[#This Row],[Jira Story Points]]="-"),0,MIN(Tabelle132456891011121314151617[[#This Row],[Jira Story Points]],Tabelle132456891011121314151617[[#This Row],[Carry-over]]))</f>
        <v>5</v>
      </c>
      <c r="O101" s="210">
        <f>SUM(IF(ISBLANK(Tabelle132456891011121314151617[[#This Row],[Carry-over]]),Tabelle132456891011121314151617[[#This Row],[Jira Story Points]],Tabelle132456891011121314151617[[#This Row],[Carry-over]]),-Tabelle132456891011121314151617[[#This Row],[COsSP Initially Planned]])</f>
        <v>16</v>
      </c>
      <c r="P10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101" s="210">
        <f>IF(Tabelle132456891011121314151617[[#This Row],[Status]]=$J$5,Tabelle132456891011121314151617[[#This Row],[COsSP Initially Planned]]+Tabelle132456891011121314151617[[#This Row],[COsSP Pulled after Start]]-Tabelle132456891011121314151617[[#This Row],[CSOsSP Completed]],0)</f>
        <v>0</v>
      </c>
      <c r="R101" s="210">
        <f>Tabelle132456891011121314151617[[#This Row],[COsSP Initially Planned]]+Tabelle132456891011121314151617[[#This Row],[COsSP Pulled after Start]]-Tabelle132456891011121314151617[[#This Row],[CSOsSP Completed]]-Tabelle132456891011121314151617[[#This Row],[CSOsSP Removed]]</f>
        <v>0</v>
      </c>
      <c r="T101" s="201"/>
      <c r="V101"/>
      <c r="W101" t="s">
        <v>182</v>
      </c>
      <c r="X101" s="263">
        <v>42</v>
      </c>
      <c r="Y101" s="98">
        <v>0.22105263157894736</v>
      </c>
    </row>
    <row r="102" spans="1:25" ht="15">
      <c r="A102" s="285"/>
      <c r="B102"/>
      <c r="C102" s="203"/>
      <c r="D102" s="203"/>
      <c r="E102" s="203"/>
      <c r="F102" s="204">
        <v>13</v>
      </c>
      <c r="G102" s="203" t="s">
        <v>21</v>
      </c>
      <c r="H102" s="205"/>
      <c r="I102" s="206"/>
      <c r="J102" s="1" t="s">
        <v>179</v>
      </c>
      <c r="K102" s="203" t="s">
        <v>125</v>
      </c>
      <c r="L102" s="204">
        <v>21</v>
      </c>
      <c r="M102" s="204">
        <v>2</v>
      </c>
      <c r="N102" s="286">
        <f>IF(OR(Tabelle132456891011121314151617[[#This Row],[Pulled after Start]]="yes",Tabelle132456891011121314151617[[#This Row],[Jira Story Points]]="-"),0,MIN(Tabelle132456891011121314151617[[#This Row],[Jira Story Points]],Tabelle132456891011121314151617[[#This Row],[Carry-over]]))</f>
        <v>13</v>
      </c>
      <c r="O102" s="210">
        <f>SUM(IF(ISBLANK(Tabelle132456891011121314151617[[#This Row],[Carry-over]]),Tabelle132456891011121314151617[[#This Row],[Jira Story Points]],Tabelle132456891011121314151617[[#This Row],[Carry-over]]),-Tabelle132456891011121314151617[[#This Row],[COsSP Initially Planned]])</f>
        <v>8</v>
      </c>
      <c r="P10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102" s="210">
        <f>IF(Tabelle132456891011121314151617[[#This Row],[Status]]=$J$5,Tabelle132456891011121314151617[[#This Row],[COsSP Initially Planned]]+Tabelle132456891011121314151617[[#This Row],[COsSP Pulled after Start]]-Tabelle132456891011121314151617[[#This Row],[CSOsSP Completed]],0)</f>
        <v>0</v>
      </c>
      <c r="R102" s="210">
        <f>Tabelle132456891011121314151617[[#This Row],[COsSP Initially Planned]]+Tabelle132456891011121314151617[[#This Row],[COsSP Pulled after Start]]-Tabelle132456891011121314151617[[#This Row],[CSOsSP Completed]]-Tabelle132456891011121314151617[[#This Row],[CSOsSP Removed]]</f>
        <v>0</v>
      </c>
      <c r="T102" s="201"/>
      <c r="V102"/>
      <c r="W102" t="s">
        <v>184</v>
      </c>
      <c r="X102" s="263">
        <v>8</v>
      </c>
      <c r="Y102" s="98">
        <v>4.2105263157894736E-2</v>
      </c>
    </row>
    <row r="103" spans="1:25" ht="15">
      <c r="A103" s="214"/>
      <c r="B103" s="47"/>
      <c r="C103" s="203"/>
      <c r="D103" s="203"/>
      <c r="E103" s="203"/>
      <c r="F103" s="204" t="s">
        <v>210</v>
      </c>
      <c r="G103" s="203" t="s">
        <v>32</v>
      </c>
      <c r="H103" s="205"/>
      <c r="I103" s="206"/>
      <c r="J103" s="1" t="s">
        <v>178</v>
      </c>
      <c r="K103" s="203" t="s">
        <v>125</v>
      </c>
      <c r="L103" s="204">
        <v>21</v>
      </c>
      <c r="M103" s="204">
        <v>2</v>
      </c>
      <c r="N103" s="286">
        <f>IF(OR(Tabelle132456891011121314151617[[#This Row],[Pulled after Start]]="yes",Tabelle132456891011121314151617[[#This Row],[Jira Story Points]]="-"),0,MIN(Tabelle132456891011121314151617[[#This Row],[Jira Story Points]],Tabelle132456891011121314151617[[#This Row],[Carry-over]]))</f>
        <v>0</v>
      </c>
      <c r="O103" s="210">
        <f>SUM(IF(ISBLANK(Tabelle132456891011121314151617[[#This Row],[Carry-over]]),Tabelle132456891011121314151617[[#This Row],[Jira Story Points]],Tabelle132456891011121314151617[[#This Row],[Carry-over]]),-Tabelle132456891011121314151617[[#This Row],[COsSP Initially Planned]])</f>
        <v>21</v>
      </c>
      <c r="P10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103" s="210">
        <f>IF(Tabelle132456891011121314151617[[#This Row],[Status]]=$J$5,Tabelle132456891011121314151617[[#This Row],[COsSP Initially Planned]]+Tabelle132456891011121314151617[[#This Row],[COsSP Pulled after Start]]-Tabelle132456891011121314151617[[#This Row],[CSOsSP Completed]],0)</f>
        <v>0</v>
      </c>
      <c r="R103" s="210">
        <f>Tabelle132456891011121314151617[[#This Row],[COsSP Initially Planned]]+Tabelle132456891011121314151617[[#This Row],[COsSP Pulled after Start]]-Tabelle132456891011121314151617[[#This Row],[CSOsSP Completed]]-Tabelle132456891011121314151617[[#This Row],[CSOsSP Removed]]</f>
        <v>0</v>
      </c>
      <c r="T103" s="201"/>
      <c r="V103" t="s">
        <v>5</v>
      </c>
      <c r="W103"/>
      <c r="X103" s="263">
        <v>178</v>
      </c>
      <c r="Y103" s="98">
        <v>0.12059620596205962</v>
      </c>
    </row>
    <row r="104" spans="1:25" ht="15">
      <c r="A104" s="214"/>
      <c r="B104" s="47"/>
      <c r="C104" s="203"/>
      <c r="D104" s="203"/>
      <c r="E104" s="203"/>
      <c r="F104" s="204">
        <v>5</v>
      </c>
      <c r="G104" s="203" t="s">
        <v>9</v>
      </c>
      <c r="H104" s="205"/>
      <c r="I104" s="206"/>
      <c r="J104" s="1" t="s">
        <v>183</v>
      </c>
      <c r="K104" s="203" t="s">
        <v>125</v>
      </c>
      <c r="L104" s="204"/>
      <c r="M104" s="204">
        <v>2</v>
      </c>
      <c r="N104" s="286">
        <f>IF(OR(Tabelle132456891011121314151617[[#This Row],[Pulled after Start]]="yes",Tabelle132456891011121314151617[[#This Row],[Jira Story Points]]="-"),0,MIN(Tabelle132456891011121314151617[[#This Row],[Jira Story Points]],Tabelle132456891011121314151617[[#This Row],[Carry-over]]))</f>
        <v>5</v>
      </c>
      <c r="O104" s="210">
        <f>SUM(IF(ISBLANK(Tabelle132456891011121314151617[[#This Row],[Carry-over]]),Tabelle132456891011121314151617[[#This Row],[Jira Story Points]],Tabelle132456891011121314151617[[#This Row],[Carry-over]]),-Tabelle132456891011121314151617[[#This Row],[COsSP Initially Planned]])</f>
        <v>0</v>
      </c>
      <c r="P10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5</v>
      </c>
      <c r="Q104" s="210">
        <f>IF(Tabelle132456891011121314151617[[#This Row],[Status]]=$J$5,Tabelle132456891011121314151617[[#This Row],[COsSP Initially Planned]]+Tabelle132456891011121314151617[[#This Row],[COsSP Pulled after Start]]-Tabelle132456891011121314151617[[#This Row],[CSOsSP Completed]],0)</f>
        <v>0</v>
      </c>
      <c r="R104" s="210">
        <f>Tabelle132456891011121314151617[[#This Row],[COsSP Initially Planned]]+Tabelle132456891011121314151617[[#This Row],[COsSP Pulled after Start]]-Tabelle132456891011121314151617[[#This Row],[CSOsSP Completed]]-Tabelle132456891011121314151617[[#This Row],[CSOsSP Removed]]</f>
        <v>0</v>
      </c>
      <c r="T104" s="201"/>
      <c r="V104"/>
      <c r="W104" t="s">
        <v>175</v>
      </c>
      <c r="X104" s="263">
        <v>3</v>
      </c>
      <c r="Y104" s="98">
        <v>1.6853932584269662E-2</v>
      </c>
    </row>
    <row r="105" spans="1:25" ht="15">
      <c r="A105" s="285"/>
      <c r="B105"/>
      <c r="C105" s="203"/>
      <c r="D105" s="203"/>
      <c r="E105" s="203"/>
      <c r="F105" s="204">
        <v>13</v>
      </c>
      <c r="G105" s="203" t="s">
        <v>27</v>
      </c>
      <c r="H105" s="205"/>
      <c r="I105" s="206"/>
      <c r="J105" s="1" t="s">
        <v>182</v>
      </c>
      <c r="K105" s="203" t="s">
        <v>125</v>
      </c>
      <c r="L105" s="204"/>
      <c r="M105" s="204">
        <v>2</v>
      </c>
      <c r="N105" s="286">
        <f>IF(OR(Tabelle132456891011121314151617[[#This Row],[Pulled after Start]]="yes",Tabelle132456891011121314151617[[#This Row],[Jira Story Points]]="-"),0,MIN(Tabelle132456891011121314151617[[#This Row],[Jira Story Points]],Tabelle132456891011121314151617[[#This Row],[Carry-over]]))</f>
        <v>13</v>
      </c>
      <c r="O105" s="210">
        <f>SUM(IF(ISBLANK(Tabelle132456891011121314151617[[#This Row],[Carry-over]]),Tabelle132456891011121314151617[[#This Row],[Jira Story Points]],Tabelle132456891011121314151617[[#This Row],[Carry-over]]),-Tabelle132456891011121314151617[[#This Row],[COsSP Initially Planned]])</f>
        <v>0</v>
      </c>
      <c r="P10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13</v>
      </c>
      <c r="Q105" s="210">
        <f>IF(Tabelle132456891011121314151617[[#This Row],[Status]]=$J$5,Tabelle132456891011121314151617[[#This Row],[COsSP Initially Planned]]+Tabelle132456891011121314151617[[#This Row],[COsSP Pulled after Start]]-Tabelle132456891011121314151617[[#This Row],[CSOsSP Completed]],0)</f>
        <v>0</v>
      </c>
      <c r="R105" s="210">
        <f>Tabelle132456891011121314151617[[#This Row],[COsSP Initially Planned]]+Tabelle132456891011121314151617[[#This Row],[COsSP Pulled after Start]]-Tabelle132456891011121314151617[[#This Row],[CSOsSP Completed]]-Tabelle132456891011121314151617[[#This Row],[CSOsSP Removed]]</f>
        <v>0</v>
      </c>
      <c r="T105" s="201"/>
      <c r="V105"/>
      <c r="W105" t="s">
        <v>176</v>
      </c>
      <c r="X105" s="263">
        <v>53</v>
      </c>
      <c r="Y105" s="98">
        <v>0.29775280898876405</v>
      </c>
    </row>
    <row r="106" spans="1:25" ht="15">
      <c r="A106" s="214"/>
      <c r="B106" s="47"/>
      <c r="C106" s="203"/>
      <c r="D106" s="203"/>
      <c r="E106" s="203"/>
      <c r="F106" s="204" t="s">
        <v>210</v>
      </c>
      <c r="G106" s="203" t="s">
        <v>21</v>
      </c>
      <c r="H106" s="205"/>
      <c r="I106" s="206"/>
      <c r="J106" s="1" t="s">
        <v>183</v>
      </c>
      <c r="K106" s="203" t="s">
        <v>125</v>
      </c>
      <c r="L106" s="204"/>
      <c r="M106" s="204">
        <v>2</v>
      </c>
      <c r="N106" s="286">
        <f>IF(OR(Tabelle132456891011121314151617[[#This Row],[Pulled after Start]]="yes",Tabelle132456891011121314151617[[#This Row],[Jira Story Points]]="-"),0,MIN(Tabelle132456891011121314151617[[#This Row],[Jira Story Points]],Tabelle132456891011121314151617[[#This Row],[Carry-over]]))</f>
        <v>0</v>
      </c>
      <c r="O106" s="210">
        <f>SUM(IF(ISBLANK(Tabelle132456891011121314151617[[#This Row],[Carry-over]]),Tabelle132456891011121314151617[[#This Row],[Jira Story Points]],Tabelle132456891011121314151617[[#This Row],[Carry-over]]),-Tabelle132456891011121314151617[[#This Row],[COsSP Initially Planned]])</f>
        <v>0</v>
      </c>
      <c r="P10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06" s="210">
        <f>IF(Tabelle132456891011121314151617[[#This Row],[Status]]=$J$5,Tabelle132456891011121314151617[[#This Row],[COsSP Initially Planned]]+Tabelle132456891011121314151617[[#This Row],[COsSP Pulled after Start]]-Tabelle132456891011121314151617[[#This Row],[CSOsSP Completed]],0)</f>
        <v>0</v>
      </c>
      <c r="R106" s="210">
        <f>Tabelle132456891011121314151617[[#This Row],[COsSP Initially Planned]]+Tabelle132456891011121314151617[[#This Row],[COsSP Pulled after Start]]-Tabelle132456891011121314151617[[#This Row],[CSOsSP Completed]]-Tabelle132456891011121314151617[[#This Row],[CSOsSP Removed]]</f>
        <v>0</v>
      </c>
      <c r="T106" s="201"/>
      <c r="V106"/>
      <c r="W106" t="s">
        <v>177</v>
      </c>
      <c r="X106" s="263">
        <v>40</v>
      </c>
      <c r="Y106" s="98">
        <v>0.2247191011235955</v>
      </c>
    </row>
    <row r="107" spans="1:25" ht="15">
      <c r="A107" s="285"/>
      <c r="B107"/>
      <c r="C107" s="203"/>
      <c r="D107" s="203"/>
      <c r="E107" s="203"/>
      <c r="F107" s="204">
        <v>5</v>
      </c>
      <c r="G107" s="203" t="s">
        <v>35</v>
      </c>
      <c r="H107" s="205"/>
      <c r="I107" s="206"/>
      <c r="J107" s="1" t="s">
        <v>177</v>
      </c>
      <c r="K107" s="203" t="s">
        <v>125</v>
      </c>
      <c r="L107" s="204">
        <v>0</v>
      </c>
      <c r="M107" s="204"/>
      <c r="N107" s="286">
        <f>IF(OR(Tabelle132456891011121314151617[[#This Row],[Pulled after Start]]="yes",Tabelle132456891011121314151617[[#This Row],[Jira Story Points]]="-"),0,MIN(Tabelle132456891011121314151617[[#This Row],[Jira Story Points]],Tabelle132456891011121314151617[[#This Row],[Carry-over]]))</f>
        <v>0</v>
      </c>
      <c r="O107" s="210">
        <f>SUM(IF(ISBLANK(Tabelle132456891011121314151617[[#This Row],[Carry-over]]),Tabelle132456891011121314151617[[#This Row],[Jira Story Points]],Tabelle132456891011121314151617[[#This Row],[Carry-over]]),-Tabelle132456891011121314151617[[#This Row],[COsSP Initially Planned]])</f>
        <v>0</v>
      </c>
      <c r="P10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07" s="210">
        <f>IF(Tabelle132456891011121314151617[[#This Row],[Status]]=$J$5,Tabelle132456891011121314151617[[#This Row],[COsSP Initially Planned]]+Tabelle132456891011121314151617[[#This Row],[COsSP Pulled after Start]]-Tabelle132456891011121314151617[[#This Row],[CSOsSP Completed]],0)</f>
        <v>0</v>
      </c>
      <c r="R107" s="210">
        <f>Tabelle132456891011121314151617[[#This Row],[COsSP Initially Planned]]+Tabelle132456891011121314151617[[#This Row],[COsSP Pulled after Start]]-Tabelle132456891011121314151617[[#This Row],[CSOsSP Completed]]-Tabelle132456891011121314151617[[#This Row],[CSOsSP Removed]]</f>
        <v>0</v>
      </c>
      <c r="T107" s="201"/>
      <c r="V107"/>
      <c r="W107" t="s">
        <v>178</v>
      </c>
      <c r="X107" s="263">
        <v>0</v>
      </c>
      <c r="Y107" s="98">
        <v>0</v>
      </c>
    </row>
    <row r="108" spans="1:25" ht="15">
      <c r="A108" s="285"/>
      <c r="B108"/>
      <c r="C108" s="203"/>
      <c r="D108" s="203"/>
      <c r="E108" s="203"/>
      <c r="F108" s="204">
        <v>13</v>
      </c>
      <c r="G108" s="203" t="s">
        <v>35</v>
      </c>
      <c r="H108" s="205"/>
      <c r="I108" s="206"/>
      <c r="J108" s="1" t="s">
        <v>180</v>
      </c>
      <c r="K108" s="203" t="s">
        <v>125</v>
      </c>
      <c r="L108" s="204">
        <v>0</v>
      </c>
      <c r="M108" s="204"/>
      <c r="N108" s="286">
        <f>IF(OR(Tabelle132456891011121314151617[[#This Row],[Pulled after Start]]="yes",Tabelle132456891011121314151617[[#This Row],[Jira Story Points]]="-"),0,MIN(Tabelle132456891011121314151617[[#This Row],[Jira Story Points]],Tabelle132456891011121314151617[[#This Row],[Carry-over]]))</f>
        <v>0</v>
      </c>
      <c r="O108" s="210">
        <f>SUM(IF(ISBLANK(Tabelle132456891011121314151617[[#This Row],[Carry-over]]),Tabelle132456891011121314151617[[#This Row],[Jira Story Points]],Tabelle132456891011121314151617[[#This Row],[Carry-over]]),-Tabelle132456891011121314151617[[#This Row],[COsSP Initially Planned]])</f>
        <v>0</v>
      </c>
      <c r="P10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08" s="210">
        <f>IF(Tabelle132456891011121314151617[[#This Row],[Status]]=$J$5,Tabelle132456891011121314151617[[#This Row],[COsSP Initially Planned]]+Tabelle132456891011121314151617[[#This Row],[COsSP Pulled after Start]]-Tabelle132456891011121314151617[[#This Row],[CSOsSP Completed]],0)</f>
        <v>0</v>
      </c>
      <c r="R108" s="210">
        <f>Tabelle132456891011121314151617[[#This Row],[COsSP Initially Planned]]+Tabelle132456891011121314151617[[#This Row],[COsSP Pulled after Start]]-Tabelle132456891011121314151617[[#This Row],[CSOsSP Completed]]-Tabelle132456891011121314151617[[#This Row],[CSOsSP Removed]]</f>
        <v>0</v>
      </c>
      <c r="T108" s="201"/>
      <c r="V108"/>
      <c r="W108" t="s">
        <v>179</v>
      </c>
      <c r="X108" s="263">
        <v>32</v>
      </c>
      <c r="Y108" s="98">
        <v>0.1797752808988764</v>
      </c>
    </row>
    <row r="109" spans="1:25" ht="15">
      <c r="A109" s="214"/>
      <c r="B109" s="47"/>
      <c r="C109" s="203"/>
      <c r="D109" s="203"/>
      <c r="E109" s="203"/>
      <c r="F109" s="204" t="s">
        <v>210</v>
      </c>
      <c r="G109" s="203" t="s">
        <v>5</v>
      </c>
      <c r="H109" s="205"/>
      <c r="I109" s="206"/>
      <c r="J109" s="1" t="s">
        <v>182</v>
      </c>
      <c r="K109" s="203" t="s">
        <v>125</v>
      </c>
      <c r="L109" s="204">
        <v>0</v>
      </c>
      <c r="M109" s="204"/>
      <c r="N109" s="286">
        <f>IF(OR(Tabelle132456891011121314151617[[#This Row],[Pulled after Start]]="yes",Tabelle132456891011121314151617[[#This Row],[Jira Story Points]]="-"),0,MIN(Tabelle132456891011121314151617[[#This Row],[Jira Story Points]],Tabelle132456891011121314151617[[#This Row],[Carry-over]]))</f>
        <v>0</v>
      </c>
      <c r="O109" s="210">
        <f>SUM(IF(ISBLANK(Tabelle132456891011121314151617[[#This Row],[Carry-over]]),Tabelle132456891011121314151617[[#This Row],[Jira Story Points]],Tabelle132456891011121314151617[[#This Row],[Carry-over]]),-Tabelle132456891011121314151617[[#This Row],[COsSP Initially Planned]])</f>
        <v>0</v>
      </c>
      <c r="P10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09" s="210">
        <f>IF(Tabelle132456891011121314151617[[#This Row],[Status]]=$J$5,Tabelle132456891011121314151617[[#This Row],[COsSP Initially Planned]]+Tabelle132456891011121314151617[[#This Row],[COsSP Pulled after Start]]-Tabelle132456891011121314151617[[#This Row],[CSOsSP Completed]],0)</f>
        <v>0</v>
      </c>
      <c r="R109" s="210">
        <f>Tabelle132456891011121314151617[[#This Row],[COsSP Initially Planned]]+Tabelle132456891011121314151617[[#This Row],[COsSP Pulled after Start]]-Tabelle132456891011121314151617[[#This Row],[CSOsSP Completed]]-Tabelle132456891011121314151617[[#This Row],[CSOsSP Removed]]</f>
        <v>0</v>
      </c>
      <c r="T109" s="201"/>
      <c r="V109"/>
      <c r="W109" t="s">
        <v>180</v>
      </c>
      <c r="X109" s="263">
        <v>1</v>
      </c>
      <c r="Y109" s="98">
        <v>5.6179775280898875E-3</v>
      </c>
    </row>
    <row r="110" spans="1:25" ht="15">
      <c r="A110" s="285"/>
      <c r="B110"/>
      <c r="C110" s="203"/>
      <c r="D110" s="203"/>
      <c r="E110" s="203"/>
      <c r="F110" s="204">
        <v>5</v>
      </c>
      <c r="G110" s="203" t="s">
        <v>5</v>
      </c>
      <c r="H110" s="205"/>
      <c r="I110" s="206"/>
      <c r="J110" s="1" t="s">
        <v>175</v>
      </c>
      <c r="K110" s="203" t="s">
        <v>125</v>
      </c>
      <c r="L110" s="204">
        <v>3</v>
      </c>
      <c r="M110" s="204"/>
      <c r="N110" s="286">
        <f>IF(OR(Tabelle132456891011121314151617[[#This Row],[Pulled after Start]]="yes",Tabelle132456891011121314151617[[#This Row],[Jira Story Points]]="-"),0,MIN(Tabelle132456891011121314151617[[#This Row],[Jira Story Points]],Tabelle132456891011121314151617[[#This Row],[Carry-over]]))</f>
        <v>3</v>
      </c>
      <c r="O110" s="210">
        <f>SUM(IF(ISBLANK(Tabelle132456891011121314151617[[#This Row],[Carry-over]]),Tabelle132456891011121314151617[[#This Row],[Jira Story Points]],Tabelle132456891011121314151617[[#This Row],[Carry-over]]),-Tabelle132456891011121314151617[[#This Row],[COsSP Initially Planned]])</f>
        <v>0</v>
      </c>
      <c r="P11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110" s="210">
        <f>IF(Tabelle132456891011121314151617[[#This Row],[Status]]=$J$5,Tabelle132456891011121314151617[[#This Row],[COsSP Initially Planned]]+Tabelle132456891011121314151617[[#This Row],[COsSP Pulled after Start]]-Tabelle132456891011121314151617[[#This Row],[CSOsSP Completed]],0)</f>
        <v>0</v>
      </c>
      <c r="R110" s="210">
        <f>Tabelle132456891011121314151617[[#This Row],[COsSP Initially Planned]]+Tabelle132456891011121314151617[[#This Row],[COsSP Pulled after Start]]-Tabelle132456891011121314151617[[#This Row],[CSOsSP Completed]]-Tabelle132456891011121314151617[[#This Row],[CSOsSP Removed]]</f>
        <v>0</v>
      </c>
      <c r="T110" s="201"/>
      <c r="V110"/>
      <c r="W110" t="s">
        <v>181</v>
      </c>
      <c r="X110" s="263">
        <v>5</v>
      </c>
      <c r="Y110" s="98">
        <v>2.8089887640449437E-2</v>
      </c>
    </row>
    <row r="111" spans="1:25" ht="15">
      <c r="A111" s="285"/>
      <c r="B111"/>
      <c r="C111" s="203"/>
      <c r="D111" s="203"/>
      <c r="E111" s="203"/>
      <c r="F111" s="204">
        <v>13</v>
      </c>
      <c r="G111" s="203" t="s">
        <v>12</v>
      </c>
      <c r="H111" s="205"/>
      <c r="I111" s="206"/>
      <c r="J111" s="1" t="s">
        <v>184</v>
      </c>
      <c r="K111" s="203" t="s">
        <v>125</v>
      </c>
      <c r="L111" s="204">
        <v>3</v>
      </c>
      <c r="M111" s="204"/>
      <c r="N111" s="286">
        <f>IF(OR(Tabelle132456891011121314151617[[#This Row],[Pulled after Start]]="yes",Tabelle132456891011121314151617[[#This Row],[Jira Story Points]]="-"),0,MIN(Tabelle132456891011121314151617[[#This Row],[Jira Story Points]],Tabelle132456891011121314151617[[#This Row],[Carry-over]]))</f>
        <v>3</v>
      </c>
      <c r="O111" s="210">
        <f>SUM(IF(ISBLANK(Tabelle132456891011121314151617[[#This Row],[Carry-over]]),Tabelle132456891011121314151617[[#This Row],[Jira Story Points]],Tabelle132456891011121314151617[[#This Row],[Carry-over]]),-Tabelle132456891011121314151617[[#This Row],[COsSP Initially Planned]])</f>
        <v>0</v>
      </c>
      <c r="P11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111" s="210">
        <f>IF(Tabelle132456891011121314151617[[#This Row],[Status]]=$J$5,Tabelle132456891011121314151617[[#This Row],[COsSP Initially Planned]]+Tabelle132456891011121314151617[[#This Row],[COsSP Pulled after Start]]-Tabelle132456891011121314151617[[#This Row],[CSOsSP Completed]],0)</f>
        <v>0</v>
      </c>
      <c r="R111" s="210">
        <f>Tabelle132456891011121314151617[[#This Row],[COsSP Initially Planned]]+Tabelle132456891011121314151617[[#This Row],[COsSP Pulled after Start]]-Tabelle132456891011121314151617[[#This Row],[CSOsSP Completed]]-Tabelle132456891011121314151617[[#This Row],[CSOsSP Removed]]</f>
        <v>0</v>
      </c>
      <c r="T111" s="201"/>
      <c r="V111"/>
      <c r="W111" t="s">
        <v>182</v>
      </c>
      <c r="X111" s="263">
        <v>43</v>
      </c>
      <c r="Y111" s="98">
        <v>0.24157303370786518</v>
      </c>
    </row>
    <row r="112" spans="1:25" ht="15">
      <c r="A112" s="214"/>
      <c r="B112" s="47"/>
      <c r="C112" s="203"/>
      <c r="D112" s="203"/>
      <c r="E112" s="203"/>
      <c r="F112" s="204" t="s">
        <v>210</v>
      </c>
      <c r="G112" s="203" t="s">
        <v>27</v>
      </c>
      <c r="H112" s="205"/>
      <c r="I112" s="206"/>
      <c r="J112" s="1" t="s">
        <v>182</v>
      </c>
      <c r="K112" s="203" t="s">
        <v>125</v>
      </c>
      <c r="L112" s="204">
        <v>3</v>
      </c>
      <c r="M112" s="204"/>
      <c r="N112" s="286">
        <f>IF(OR(Tabelle132456891011121314151617[[#This Row],[Pulled after Start]]="yes",Tabelle132456891011121314151617[[#This Row],[Jira Story Points]]="-"),0,MIN(Tabelle132456891011121314151617[[#This Row],[Jira Story Points]],Tabelle132456891011121314151617[[#This Row],[Carry-over]]))</f>
        <v>0</v>
      </c>
      <c r="O112" s="210">
        <f>SUM(IF(ISBLANK(Tabelle132456891011121314151617[[#This Row],[Carry-over]]),Tabelle132456891011121314151617[[#This Row],[Jira Story Points]],Tabelle132456891011121314151617[[#This Row],[Carry-over]]),-Tabelle132456891011121314151617[[#This Row],[COsSP Initially Planned]])</f>
        <v>3</v>
      </c>
      <c r="P11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112" s="210">
        <f>IF(Tabelle132456891011121314151617[[#This Row],[Status]]=$J$5,Tabelle132456891011121314151617[[#This Row],[COsSP Initially Planned]]+Tabelle132456891011121314151617[[#This Row],[COsSP Pulled after Start]]-Tabelle132456891011121314151617[[#This Row],[CSOsSP Completed]],0)</f>
        <v>0</v>
      </c>
      <c r="R112" s="210">
        <f>Tabelle132456891011121314151617[[#This Row],[COsSP Initially Planned]]+Tabelle132456891011121314151617[[#This Row],[COsSP Pulled after Start]]-Tabelle132456891011121314151617[[#This Row],[CSOsSP Completed]]-Tabelle132456891011121314151617[[#This Row],[CSOsSP Removed]]</f>
        <v>0</v>
      </c>
      <c r="T112" s="201"/>
      <c r="V112"/>
      <c r="W112" t="s">
        <v>183</v>
      </c>
      <c r="X112" s="263">
        <v>1</v>
      </c>
      <c r="Y112" s="98">
        <v>5.6179775280898875E-3</v>
      </c>
    </row>
    <row r="113" spans="1:25" ht="15">
      <c r="A113" s="285"/>
      <c r="B113"/>
      <c r="C113" s="203"/>
      <c r="D113" s="203"/>
      <c r="E113" s="203"/>
      <c r="F113" s="204">
        <v>5</v>
      </c>
      <c r="G113" s="203" t="s">
        <v>17</v>
      </c>
      <c r="H113" s="205"/>
      <c r="I113" s="206"/>
      <c r="J113" s="1" t="s">
        <v>182</v>
      </c>
      <c r="K113" s="203" t="s">
        <v>125</v>
      </c>
      <c r="L113" s="204">
        <v>8</v>
      </c>
      <c r="M113" s="204"/>
      <c r="N113" s="286">
        <f>IF(OR(Tabelle132456891011121314151617[[#This Row],[Pulled after Start]]="yes",Tabelle132456891011121314151617[[#This Row],[Jira Story Points]]="-"),0,MIN(Tabelle132456891011121314151617[[#This Row],[Jira Story Points]],Tabelle132456891011121314151617[[#This Row],[Carry-over]]))</f>
        <v>5</v>
      </c>
      <c r="O113" s="210">
        <f>SUM(IF(ISBLANK(Tabelle132456891011121314151617[[#This Row],[Carry-over]]),Tabelle132456891011121314151617[[#This Row],[Jira Story Points]],Tabelle132456891011121314151617[[#This Row],[Carry-over]]),-Tabelle132456891011121314151617[[#This Row],[COsSP Initially Planned]])</f>
        <v>3</v>
      </c>
      <c r="P11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113" s="210">
        <f>IF(Tabelle132456891011121314151617[[#This Row],[Status]]=$J$5,Tabelle132456891011121314151617[[#This Row],[COsSP Initially Planned]]+Tabelle132456891011121314151617[[#This Row],[COsSP Pulled after Start]]-Tabelle132456891011121314151617[[#This Row],[CSOsSP Completed]],0)</f>
        <v>0</v>
      </c>
      <c r="R113" s="210">
        <f>Tabelle132456891011121314151617[[#This Row],[COsSP Initially Planned]]+Tabelle132456891011121314151617[[#This Row],[COsSP Pulled after Start]]-Tabelle132456891011121314151617[[#This Row],[CSOsSP Completed]]-Tabelle132456891011121314151617[[#This Row],[CSOsSP Removed]]</f>
        <v>0</v>
      </c>
      <c r="T113" s="201"/>
      <c r="V113"/>
      <c r="W113" t="s">
        <v>184</v>
      </c>
      <c r="X113" s="263">
        <v>0</v>
      </c>
      <c r="Y113" s="98">
        <v>0</v>
      </c>
    </row>
    <row r="114" spans="1:25" ht="13.5" customHeight="1">
      <c r="A114" s="285"/>
      <c r="B114"/>
      <c r="C114" s="203"/>
      <c r="D114" s="203"/>
      <c r="E114" s="203"/>
      <c r="F114" s="204">
        <v>13</v>
      </c>
      <c r="G114" s="203" t="s">
        <v>21</v>
      </c>
      <c r="H114" s="205"/>
      <c r="I114" s="206"/>
      <c r="J114" s="1" t="s">
        <v>183</v>
      </c>
      <c r="K114" s="203" t="s">
        <v>125</v>
      </c>
      <c r="L114" s="204">
        <v>8</v>
      </c>
      <c r="M114" s="204"/>
      <c r="N114" s="286">
        <f>IF(OR(Tabelle132456891011121314151617[[#This Row],[Pulled after Start]]="yes",Tabelle132456891011121314151617[[#This Row],[Jira Story Points]]="-"),0,MIN(Tabelle132456891011121314151617[[#This Row],[Jira Story Points]],Tabelle132456891011121314151617[[#This Row],[Carry-over]]))</f>
        <v>8</v>
      </c>
      <c r="O114" s="210">
        <f>SUM(IF(ISBLANK(Tabelle132456891011121314151617[[#This Row],[Carry-over]]),Tabelle132456891011121314151617[[#This Row],[Jira Story Points]],Tabelle132456891011121314151617[[#This Row],[Carry-over]]),-Tabelle132456891011121314151617[[#This Row],[COsSP Initially Planned]])</f>
        <v>0</v>
      </c>
      <c r="P11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114" s="210">
        <f>IF(Tabelle132456891011121314151617[[#This Row],[Status]]=$J$5,Tabelle132456891011121314151617[[#This Row],[COsSP Initially Planned]]+Tabelle132456891011121314151617[[#This Row],[COsSP Pulled after Start]]-Tabelle132456891011121314151617[[#This Row],[CSOsSP Completed]],0)</f>
        <v>0</v>
      </c>
      <c r="R114" s="210">
        <f>Tabelle132456891011121314151617[[#This Row],[COsSP Initially Planned]]+Tabelle132456891011121314151617[[#This Row],[COsSP Pulled after Start]]-Tabelle132456891011121314151617[[#This Row],[CSOsSP Completed]]-Tabelle132456891011121314151617[[#This Row],[CSOsSP Removed]]</f>
        <v>0</v>
      </c>
      <c r="T114" s="201"/>
    </row>
    <row r="115" spans="1:25" ht="13.5" customHeight="1">
      <c r="A115" s="214"/>
      <c r="B115" s="47"/>
      <c r="C115" s="203"/>
      <c r="D115" s="203"/>
      <c r="E115" s="203"/>
      <c r="F115" s="204" t="s">
        <v>210</v>
      </c>
      <c r="G115" s="203" t="s">
        <v>9</v>
      </c>
      <c r="H115" s="205"/>
      <c r="I115" s="206"/>
      <c r="J115" s="1" t="s">
        <v>180</v>
      </c>
      <c r="K115" s="203" t="s">
        <v>125</v>
      </c>
      <c r="L115" s="204">
        <v>8</v>
      </c>
      <c r="M115" s="204"/>
      <c r="N115" s="286">
        <f>IF(OR(Tabelle132456891011121314151617[[#This Row],[Pulled after Start]]="yes",Tabelle132456891011121314151617[[#This Row],[Jira Story Points]]="-"),0,MIN(Tabelle132456891011121314151617[[#This Row],[Jira Story Points]],Tabelle132456891011121314151617[[#This Row],[Carry-over]]))</f>
        <v>0</v>
      </c>
      <c r="O115" s="210">
        <f>SUM(IF(ISBLANK(Tabelle132456891011121314151617[[#This Row],[Carry-over]]),Tabelle132456891011121314151617[[#This Row],[Jira Story Points]],Tabelle132456891011121314151617[[#This Row],[Carry-over]]),-Tabelle132456891011121314151617[[#This Row],[COsSP Initially Planned]])</f>
        <v>8</v>
      </c>
      <c r="P11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115" s="210">
        <f>IF(Tabelle132456891011121314151617[[#This Row],[Status]]=$J$5,Tabelle132456891011121314151617[[#This Row],[COsSP Initially Planned]]+Tabelle132456891011121314151617[[#This Row],[COsSP Pulled after Start]]-Tabelle132456891011121314151617[[#This Row],[CSOsSP Completed]],0)</f>
        <v>0</v>
      </c>
      <c r="R115" s="210">
        <f>Tabelle132456891011121314151617[[#This Row],[COsSP Initially Planned]]+Tabelle132456891011121314151617[[#This Row],[COsSP Pulled after Start]]-Tabelle132456891011121314151617[[#This Row],[CSOsSP Completed]]-Tabelle132456891011121314151617[[#This Row],[CSOsSP Removed]]</f>
        <v>0</v>
      </c>
      <c r="T115" s="201"/>
    </row>
    <row r="116" spans="1:25" ht="13.5" customHeight="1">
      <c r="A116" s="285"/>
      <c r="B116"/>
      <c r="C116" s="203"/>
      <c r="D116" s="203"/>
      <c r="E116" s="203"/>
      <c r="F116" s="204">
        <v>5</v>
      </c>
      <c r="G116" s="203" t="s">
        <v>24</v>
      </c>
      <c r="H116" s="205"/>
      <c r="I116" s="206"/>
      <c r="J116" s="1" t="s">
        <v>182</v>
      </c>
      <c r="K116" s="203" t="s">
        <v>125</v>
      </c>
      <c r="L116" s="204">
        <v>21</v>
      </c>
      <c r="M116" s="204"/>
      <c r="N116" s="286">
        <f>IF(OR(Tabelle132456891011121314151617[[#This Row],[Pulled after Start]]="yes",Tabelle132456891011121314151617[[#This Row],[Jira Story Points]]="-"),0,MIN(Tabelle132456891011121314151617[[#This Row],[Jira Story Points]],Tabelle132456891011121314151617[[#This Row],[Carry-over]]))</f>
        <v>5</v>
      </c>
      <c r="O116" s="210">
        <f>SUM(IF(ISBLANK(Tabelle132456891011121314151617[[#This Row],[Carry-over]]),Tabelle132456891011121314151617[[#This Row],[Jira Story Points]],Tabelle132456891011121314151617[[#This Row],[Carry-over]]),-Tabelle132456891011121314151617[[#This Row],[COsSP Initially Planned]])</f>
        <v>16</v>
      </c>
      <c r="P11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116" s="210">
        <f>IF(Tabelle132456891011121314151617[[#This Row],[Status]]=$J$5,Tabelle132456891011121314151617[[#This Row],[COsSP Initially Planned]]+Tabelle132456891011121314151617[[#This Row],[COsSP Pulled after Start]]-Tabelle132456891011121314151617[[#This Row],[CSOsSP Completed]],0)</f>
        <v>0</v>
      </c>
      <c r="R116" s="210">
        <f>Tabelle132456891011121314151617[[#This Row],[COsSP Initially Planned]]+Tabelle132456891011121314151617[[#This Row],[COsSP Pulled after Start]]-Tabelle132456891011121314151617[[#This Row],[CSOsSP Completed]]-Tabelle132456891011121314151617[[#This Row],[CSOsSP Removed]]</f>
        <v>0</v>
      </c>
      <c r="T116" s="201"/>
    </row>
    <row r="117" spans="1:25" ht="13.5" customHeight="1">
      <c r="A117" s="285"/>
      <c r="B117"/>
      <c r="C117" s="203"/>
      <c r="D117" s="203"/>
      <c r="E117" s="203"/>
      <c r="F117" s="204">
        <v>13</v>
      </c>
      <c r="G117" s="203" t="s">
        <v>32</v>
      </c>
      <c r="H117" s="205"/>
      <c r="I117" s="206"/>
      <c r="J117" s="1" t="s">
        <v>180</v>
      </c>
      <c r="K117" s="203" t="s">
        <v>125</v>
      </c>
      <c r="L117" s="204">
        <v>21</v>
      </c>
      <c r="M117" s="204"/>
      <c r="N117" s="286">
        <f>IF(OR(Tabelle132456891011121314151617[[#This Row],[Pulled after Start]]="yes",Tabelle132456891011121314151617[[#This Row],[Jira Story Points]]="-"),0,MIN(Tabelle132456891011121314151617[[#This Row],[Jira Story Points]],Tabelle132456891011121314151617[[#This Row],[Carry-over]]))</f>
        <v>13</v>
      </c>
      <c r="O117" s="210">
        <f>SUM(IF(ISBLANK(Tabelle132456891011121314151617[[#This Row],[Carry-over]]),Tabelle132456891011121314151617[[#This Row],[Jira Story Points]],Tabelle132456891011121314151617[[#This Row],[Carry-over]]),-Tabelle132456891011121314151617[[#This Row],[COsSP Initially Planned]])</f>
        <v>8</v>
      </c>
      <c r="P11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117" s="210">
        <f>IF(Tabelle132456891011121314151617[[#This Row],[Status]]=$J$5,Tabelle132456891011121314151617[[#This Row],[COsSP Initially Planned]]+Tabelle132456891011121314151617[[#This Row],[COsSP Pulled after Start]]-Tabelle132456891011121314151617[[#This Row],[CSOsSP Completed]],0)</f>
        <v>0</v>
      </c>
      <c r="R117" s="210">
        <f>Tabelle132456891011121314151617[[#This Row],[COsSP Initially Planned]]+Tabelle132456891011121314151617[[#This Row],[COsSP Pulled after Start]]-Tabelle132456891011121314151617[[#This Row],[CSOsSP Completed]]-Tabelle132456891011121314151617[[#This Row],[CSOsSP Removed]]</f>
        <v>0</v>
      </c>
      <c r="T117" s="201"/>
    </row>
    <row r="118" spans="1:25" ht="13.5" customHeight="1">
      <c r="A118" s="214"/>
      <c r="B118" s="47"/>
      <c r="C118" s="203"/>
      <c r="D118" s="203"/>
      <c r="E118" s="203"/>
      <c r="F118" s="204" t="s">
        <v>210</v>
      </c>
      <c r="G118" s="203" t="s">
        <v>27</v>
      </c>
      <c r="H118" s="205"/>
      <c r="I118" s="206"/>
      <c r="J118" s="1" t="s">
        <v>182</v>
      </c>
      <c r="K118" s="203" t="s">
        <v>125</v>
      </c>
      <c r="L118" s="204">
        <v>21</v>
      </c>
      <c r="M118" s="204"/>
      <c r="N118" s="286">
        <f>IF(OR(Tabelle132456891011121314151617[[#This Row],[Pulled after Start]]="yes",Tabelle132456891011121314151617[[#This Row],[Jira Story Points]]="-"),0,MIN(Tabelle132456891011121314151617[[#This Row],[Jira Story Points]],Tabelle132456891011121314151617[[#This Row],[Carry-over]]))</f>
        <v>0</v>
      </c>
      <c r="O118" s="210">
        <f>SUM(IF(ISBLANK(Tabelle132456891011121314151617[[#This Row],[Carry-over]]),Tabelle132456891011121314151617[[#This Row],[Jira Story Points]],Tabelle132456891011121314151617[[#This Row],[Carry-over]]),-Tabelle132456891011121314151617[[#This Row],[COsSP Initially Planned]])</f>
        <v>21</v>
      </c>
      <c r="P11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118" s="210">
        <f>IF(Tabelle132456891011121314151617[[#This Row],[Status]]=$J$5,Tabelle132456891011121314151617[[#This Row],[COsSP Initially Planned]]+Tabelle132456891011121314151617[[#This Row],[COsSP Pulled after Start]]-Tabelle132456891011121314151617[[#This Row],[CSOsSP Completed]],0)</f>
        <v>0</v>
      </c>
      <c r="R118" s="210">
        <f>Tabelle132456891011121314151617[[#This Row],[COsSP Initially Planned]]+Tabelle132456891011121314151617[[#This Row],[COsSP Pulled after Start]]-Tabelle132456891011121314151617[[#This Row],[CSOsSP Completed]]-Tabelle132456891011121314151617[[#This Row],[CSOsSP Removed]]</f>
        <v>0</v>
      </c>
      <c r="T118" s="201"/>
    </row>
    <row r="119" spans="1:25" ht="13.5" customHeight="1">
      <c r="A119" s="285"/>
      <c r="B119"/>
      <c r="C119" s="203"/>
      <c r="D119" s="203"/>
      <c r="E119" s="203"/>
      <c r="F119" s="204">
        <v>5</v>
      </c>
      <c r="G119" s="203" t="s">
        <v>27</v>
      </c>
      <c r="H119" s="205"/>
      <c r="I119" s="206"/>
      <c r="J119" s="1" t="s">
        <v>175</v>
      </c>
      <c r="K119" s="203" t="s">
        <v>125</v>
      </c>
      <c r="L119" s="204"/>
      <c r="M119" s="204"/>
      <c r="N119" s="286">
        <f>IF(OR(Tabelle132456891011121314151617[[#This Row],[Pulled after Start]]="yes",Tabelle132456891011121314151617[[#This Row],[Jira Story Points]]="-"),0,MIN(Tabelle132456891011121314151617[[#This Row],[Jira Story Points]],Tabelle132456891011121314151617[[#This Row],[Carry-over]]))</f>
        <v>5</v>
      </c>
      <c r="O119" s="210">
        <f>SUM(IF(ISBLANK(Tabelle132456891011121314151617[[#This Row],[Carry-over]]),Tabelle132456891011121314151617[[#This Row],[Jira Story Points]],Tabelle132456891011121314151617[[#This Row],[Carry-over]]),-Tabelle132456891011121314151617[[#This Row],[COsSP Initially Planned]])</f>
        <v>0</v>
      </c>
      <c r="P11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5</v>
      </c>
      <c r="Q119" s="210">
        <f>IF(Tabelle132456891011121314151617[[#This Row],[Status]]=$J$5,Tabelle132456891011121314151617[[#This Row],[COsSP Initially Planned]]+Tabelle132456891011121314151617[[#This Row],[COsSP Pulled after Start]]-Tabelle132456891011121314151617[[#This Row],[CSOsSP Completed]],0)</f>
        <v>0</v>
      </c>
      <c r="R119" s="210">
        <f>Tabelle132456891011121314151617[[#This Row],[COsSP Initially Planned]]+Tabelle132456891011121314151617[[#This Row],[COsSP Pulled after Start]]-Tabelle132456891011121314151617[[#This Row],[CSOsSP Completed]]-Tabelle132456891011121314151617[[#This Row],[CSOsSP Removed]]</f>
        <v>0</v>
      </c>
      <c r="T119" s="201"/>
    </row>
    <row r="120" spans="1:25" ht="13.5" customHeight="1">
      <c r="A120" s="285"/>
      <c r="B120"/>
      <c r="C120" s="203"/>
      <c r="D120" s="203"/>
      <c r="E120" s="203"/>
      <c r="F120" s="204">
        <v>13</v>
      </c>
      <c r="G120" s="203" t="s">
        <v>12</v>
      </c>
      <c r="H120" s="205"/>
      <c r="I120" s="206"/>
      <c r="J120" s="1" t="s">
        <v>178</v>
      </c>
      <c r="K120" s="203" t="s">
        <v>125</v>
      </c>
      <c r="L120" s="204"/>
      <c r="M120" s="204"/>
      <c r="N120" s="286">
        <f>IF(OR(Tabelle132456891011121314151617[[#This Row],[Pulled after Start]]="yes",Tabelle132456891011121314151617[[#This Row],[Jira Story Points]]="-"),0,MIN(Tabelle132456891011121314151617[[#This Row],[Jira Story Points]],Tabelle132456891011121314151617[[#This Row],[Carry-over]]))</f>
        <v>13</v>
      </c>
      <c r="O120" s="210">
        <f>SUM(IF(ISBLANK(Tabelle132456891011121314151617[[#This Row],[Carry-over]]),Tabelle132456891011121314151617[[#This Row],[Jira Story Points]],Tabelle132456891011121314151617[[#This Row],[Carry-over]]),-Tabelle132456891011121314151617[[#This Row],[COsSP Initially Planned]])</f>
        <v>0</v>
      </c>
      <c r="P12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13</v>
      </c>
      <c r="Q120" s="210">
        <f>IF(Tabelle132456891011121314151617[[#This Row],[Status]]=$J$5,Tabelle132456891011121314151617[[#This Row],[COsSP Initially Planned]]+Tabelle132456891011121314151617[[#This Row],[COsSP Pulled after Start]]-Tabelle132456891011121314151617[[#This Row],[CSOsSP Completed]],0)</f>
        <v>0</v>
      </c>
      <c r="R120" s="210">
        <f>Tabelle132456891011121314151617[[#This Row],[COsSP Initially Planned]]+Tabelle132456891011121314151617[[#This Row],[COsSP Pulled after Start]]-Tabelle132456891011121314151617[[#This Row],[CSOsSP Completed]]-Tabelle132456891011121314151617[[#This Row],[CSOsSP Removed]]</f>
        <v>0</v>
      </c>
      <c r="T120" s="201"/>
    </row>
    <row r="121" spans="1:25" ht="13.5" customHeight="1">
      <c r="A121" s="214"/>
      <c r="B121" s="47"/>
      <c r="C121" s="203"/>
      <c r="D121" s="203"/>
      <c r="E121" s="203"/>
      <c r="F121" s="204" t="s">
        <v>210</v>
      </c>
      <c r="G121" s="203" t="s">
        <v>17</v>
      </c>
      <c r="H121" s="205"/>
      <c r="I121" s="206"/>
      <c r="J121" s="1" t="s">
        <v>176</v>
      </c>
      <c r="K121" s="203" t="s">
        <v>125</v>
      </c>
      <c r="L121" s="204"/>
      <c r="M121" s="204"/>
      <c r="N121" s="286">
        <f>IF(OR(Tabelle132456891011121314151617[[#This Row],[Pulled after Start]]="yes",Tabelle132456891011121314151617[[#This Row],[Jira Story Points]]="-"),0,MIN(Tabelle132456891011121314151617[[#This Row],[Jira Story Points]],Tabelle132456891011121314151617[[#This Row],[Carry-over]]))</f>
        <v>0</v>
      </c>
      <c r="O121" s="210">
        <f>SUM(IF(ISBLANK(Tabelle132456891011121314151617[[#This Row],[Carry-over]]),Tabelle132456891011121314151617[[#This Row],[Jira Story Points]],Tabelle132456891011121314151617[[#This Row],[Carry-over]]),-Tabelle132456891011121314151617[[#This Row],[COsSP Initially Planned]])</f>
        <v>0</v>
      </c>
      <c r="P12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21" s="210">
        <f>IF(Tabelle132456891011121314151617[[#This Row],[Status]]=$J$5,Tabelle132456891011121314151617[[#This Row],[COsSP Initially Planned]]+Tabelle132456891011121314151617[[#This Row],[COsSP Pulled after Start]]-Tabelle132456891011121314151617[[#This Row],[CSOsSP Completed]],0)</f>
        <v>0</v>
      </c>
      <c r="R121" s="210">
        <f>Tabelle132456891011121314151617[[#This Row],[COsSP Initially Planned]]+Tabelle132456891011121314151617[[#This Row],[COsSP Pulled after Start]]-Tabelle132456891011121314151617[[#This Row],[CSOsSP Completed]]-Tabelle132456891011121314151617[[#This Row],[CSOsSP Removed]]</f>
        <v>0</v>
      </c>
      <c r="T121" s="201"/>
    </row>
    <row r="122" spans="1:25" ht="13.5" customHeight="1">
      <c r="A122" s="215"/>
      <c r="B122" s="47"/>
      <c r="C122" s="203"/>
      <c r="D122" s="203"/>
      <c r="E122" s="203"/>
      <c r="F122" s="204">
        <v>5</v>
      </c>
      <c r="G122" s="203" t="s">
        <v>9</v>
      </c>
      <c r="H122" s="205" t="s">
        <v>209</v>
      </c>
      <c r="I122" s="206"/>
      <c r="J122" s="1" t="s">
        <v>184</v>
      </c>
      <c r="K122" s="203" t="s">
        <v>127</v>
      </c>
      <c r="L122" s="204">
        <v>0</v>
      </c>
      <c r="M122" s="204">
        <v>0</v>
      </c>
      <c r="N122" s="286">
        <f>IF(OR(Tabelle132456891011121314151617[[#This Row],[Pulled after Start]]="yes",Tabelle132456891011121314151617[[#This Row],[Jira Story Points]]="-"),0,MIN(Tabelle132456891011121314151617[[#This Row],[Jira Story Points]],Tabelle132456891011121314151617[[#This Row],[Carry-over]]))</f>
        <v>0</v>
      </c>
      <c r="O122" s="210">
        <f>SUM(IF(ISBLANK(Tabelle132456891011121314151617[[#This Row],[Carry-over]]),Tabelle132456891011121314151617[[#This Row],[Jira Story Points]],Tabelle132456891011121314151617[[#This Row],[Carry-over]]),-Tabelle132456891011121314151617[[#This Row],[COsSP Initially Planned]])</f>
        <v>0</v>
      </c>
      <c r="P12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22" s="210">
        <f>IF(Tabelle132456891011121314151617[[#This Row],[Status]]=$J$5,Tabelle132456891011121314151617[[#This Row],[COsSP Initially Planned]]+Tabelle132456891011121314151617[[#This Row],[COsSP Pulled after Start]]-Tabelle132456891011121314151617[[#This Row],[CSOsSP Completed]],0)</f>
        <v>0</v>
      </c>
      <c r="R122" s="210">
        <f>Tabelle132456891011121314151617[[#This Row],[COsSP Initially Planned]]+Tabelle132456891011121314151617[[#This Row],[COsSP Pulled after Start]]-Tabelle132456891011121314151617[[#This Row],[CSOsSP Completed]]-Tabelle132456891011121314151617[[#This Row],[CSOsSP Removed]]</f>
        <v>0</v>
      </c>
      <c r="T122" s="201"/>
    </row>
    <row r="123" spans="1:25" ht="13.5" customHeight="1">
      <c r="A123" s="215"/>
      <c r="B123" s="47"/>
      <c r="C123" s="203"/>
      <c r="D123" s="203"/>
      <c r="E123" s="203"/>
      <c r="F123" s="204">
        <v>13</v>
      </c>
      <c r="G123" s="203" t="s">
        <v>35</v>
      </c>
      <c r="H123" s="205" t="s">
        <v>209</v>
      </c>
      <c r="I123" s="206"/>
      <c r="J123" s="1" t="s">
        <v>182</v>
      </c>
      <c r="K123" s="203" t="s">
        <v>127</v>
      </c>
      <c r="L123" s="204">
        <v>0</v>
      </c>
      <c r="M123" s="204">
        <v>0</v>
      </c>
      <c r="N123" s="286">
        <f>IF(OR(Tabelle132456891011121314151617[[#This Row],[Pulled after Start]]="yes",Tabelle132456891011121314151617[[#This Row],[Jira Story Points]]="-"),0,MIN(Tabelle132456891011121314151617[[#This Row],[Jira Story Points]],Tabelle132456891011121314151617[[#This Row],[Carry-over]]))</f>
        <v>0</v>
      </c>
      <c r="O123" s="210">
        <f>SUM(IF(ISBLANK(Tabelle132456891011121314151617[[#This Row],[Carry-over]]),Tabelle132456891011121314151617[[#This Row],[Jira Story Points]],Tabelle132456891011121314151617[[#This Row],[Carry-over]]),-Tabelle132456891011121314151617[[#This Row],[COsSP Initially Planned]])</f>
        <v>0</v>
      </c>
      <c r="P12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23" s="210">
        <f>IF(Tabelle132456891011121314151617[[#This Row],[Status]]=$J$5,Tabelle132456891011121314151617[[#This Row],[COsSP Initially Planned]]+Tabelle132456891011121314151617[[#This Row],[COsSP Pulled after Start]]-Tabelle132456891011121314151617[[#This Row],[CSOsSP Completed]],0)</f>
        <v>0</v>
      </c>
      <c r="R123" s="210">
        <f>Tabelle132456891011121314151617[[#This Row],[COsSP Initially Planned]]+Tabelle132456891011121314151617[[#This Row],[COsSP Pulled after Start]]-Tabelle132456891011121314151617[[#This Row],[CSOsSP Completed]]-Tabelle132456891011121314151617[[#This Row],[CSOsSP Removed]]</f>
        <v>0</v>
      </c>
      <c r="T123" s="201"/>
    </row>
    <row r="124" spans="1:25" ht="13.5" customHeight="1">
      <c r="A124" s="214"/>
      <c r="B124" s="47"/>
      <c r="C124" s="203"/>
      <c r="D124" s="203"/>
      <c r="E124" s="203"/>
      <c r="F124" s="204" t="s">
        <v>210</v>
      </c>
      <c r="G124" s="203" t="s">
        <v>21</v>
      </c>
      <c r="H124" s="205" t="s">
        <v>209</v>
      </c>
      <c r="I124" s="206"/>
      <c r="J124" s="1" t="s">
        <v>181</v>
      </c>
      <c r="K124" s="203" t="s">
        <v>127</v>
      </c>
      <c r="L124" s="204">
        <v>0</v>
      </c>
      <c r="M124" s="204">
        <v>0</v>
      </c>
      <c r="N124" s="286">
        <f>IF(OR(Tabelle132456891011121314151617[[#This Row],[Pulled after Start]]="yes",Tabelle132456891011121314151617[[#This Row],[Jira Story Points]]="-"),0,MIN(Tabelle132456891011121314151617[[#This Row],[Jira Story Points]],Tabelle132456891011121314151617[[#This Row],[Carry-over]]))</f>
        <v>0</v>
      </c>
      <c r="O124" s="210">
        <f>SUM(IF(ISBLANK(Tabelle132456891011121314151617[[#This Row],[Carry-over]]),Tabelle132456891011121314151617[[#This Row],[Jira Story Points]],Tabelle132456891011121314151617[[#This Row],[Carry-over]]),-Tabelle132456891011121314151617[[#This Row],[COsSP Initially Planned]])</f>
        <v>0</v>
      </c>
      <c r="P12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24" s="210">
        <f>IF(Tabelle132456891011121314151617[[#This Row],[Status]]=$J$5,Tabelle132456891011121314151617[[#This Row],[COsSP Initially Planned]]+Tabelle132456891011121314151617[[#This Row],[COsSP Pulled after Start]]-Tabelle132456891011121314151617[[#This Row],[CSOsSP Completed]],0)</f>
        <v>0</v>
      </c>
      <c r="R124" s="210">
        <f>Tabelle132456891011121314151617[[#This Row],[COsSP Initially Planned]]+Tabelle132456891011121314151617[[#This Row],[COsSP Pulled after Start]]-Tabelle132456891011121314151617[[#This Row],[CSOsSP Completed]]-Tabelle132456891011121314151617[[#This Row],[CSOsSP Removed]]</f>
        <v>0</v>
      </c>
      <c r="T124" s="201"/>
    </row>
    <row r="125" spans="1:25" ht="13.5" customHeight="1">
      <c r="A125" s="215"/>
      <c r="B125" s="47"/>
      <c r="C125" s="203"/>
      <c r="D125" s="203"/>
      <c r="E125" s="203"/>
      <c r="F125" s="204">
        <v>5</v>
      </c>
      <c r="G125" s="203" t="s">
        <v>21</v>
      </c>
      <c r="H125" s="205" t="s">
        <v>209</v>
      </c>
      <c r="I125" s="206"/>
      <c r="J125" s="1" t="s">
        <v>184</v>
      </c>
      <c r="K125" s="203" t="s">
        <v>127</v>
      </c>
      <c r="L125" s="204">
        <v>3</v>
      </c>
      <c r="M125" s="204">
        <v>0</v>
      </c>
      <c r="N125" s="286">
        <f>IF(OR(Tabelle132456891011121314151617[[#This Row],[Pulled after Start]]="yes",Tabelle132456891011121314151617[[#This Row],[Jira Story Points]]="-"),0,MIN(Tabelle132456891011121314151617[[#This Row],[Jira Story Points]],Tabelle132456891011121314151617[[#This Row],[Carry-over]]))</f>
        <v>0</v>
      </c>
      <c r="O125" s="210">
        <f>SUM(IF(ISBLANK(Tabelle132456891011121314151617[[#This Row],[Carry-over]]),Tabelle132456891011121314151617[[#This Row],[Jira Story Points]],Tabelle132456891011121314151617[[#This Row],[Carry-over]]),-Tabelle132456891011121314151617[[#This Row],[COsSP Initially Planned]])</f>
        <v>3</v>
      </c>
      <c r="P12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125" s="210">
        <f>IF(Tabelle132456891011121314151617[[#This Row],[Status]]=$J$5,Tabelle132456891011121314151617[[#This Row],[COsSP Initially Planned]]+Tabelle132456891011121314151617[[#This Row],[COsSP Pulled after Start]]-Tabelle132456891011121314151617[[#This Row],[CSOsSP Completed]],0)</f>
        <v>0</v>
      </c>
      <c r="R125" s="210">
        <f>Tabelle132456891011121314151617[[#This Row],[COsSP Initially Planned]]+Tabelle132456891011121314151617[[#This Row],[COsSP Pulled after Start]]-Tabelle132456891011121314151617[[#This Row],[CSOsSP Completed]]-Tabelle132456891011121314151617[[#This Row],[CSOsSP Removed]]</f>
        <v>0</v>
      </c>
      <c r="T125" s="201"/>
    </row>
    <row r="126" spans="1:25" ht="13.5" customHeight="1">
      <c r="A126" s="215"/>
      <c r="B126" s="47"/>
      <c r="C126" s="203"/>
      <c r="D126" s="203"/>
      <c r="E126" s="203"/>
      <c r="F126" s="204">
        <v>13</v>
      </c>
      <c r="G126" s="203" t="s">
        <v>107</v>
      </c>
      <c r="H126" s="205" t="s">
        <v>209</v>
      </c>
      <c r="I126" s="206"/>
      <c r="J126" s="1" t="s">
        <v>180</v>
      </c>
      <c r="K126" s="203" t="s">
        <v>127</v>
      </c>
      <c r="L126" s="204">
        <v>3</v>
      </c>
      <c r="M126" s="204">
        <v>0</v>
      </c>
      <c r="N126" s="286">
        <f>IF(OR(Tabelle132456891011121314151617[[#This Row],[Pulled after Start]]="yes",Tabelle132456891011121314151617[[#This Row],[Jira Story Points]]="-"),0,MIN(Tabelle132456891011121314151617[[#This Row],[Jira Story Points]],Tabelle132456891011121314151617[[#This Row],[Carry-over]]))</f>
        <v>0</v>
      </c>
      <c r="O126" s="210">
        <f>SUM(IF(ISBLANK(Tabelle132456891011121314151617[[#This Row],[Carry-over]]),Tabelle132456891011121314151617[[#This Row],[Jira Story Points]],Tabelle132456891011121314151617[[#This Row],[Carry-over]]),-Tabelle132456891011121314151617[[#This Row],[COsSP Initially Planned]])</f>
        <v>3</v>
      </c>
      <c r="P12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126" s="210">
        <f>IF(Tabelle132456891011121314151617[[#This Row],[Status]]=$J$5,Tabelle132456891011121314151617[[#This Row],[COsSP Initially Planned]]+Tabelle132456891011121314151617[[#This Row],[COsSP Pulled after Start]]-Tabelle132456891011121314151617[[#This Row],[CSOsSP Completed]],0)</f>
        <v>0</v>
      </c>
      <c r="R126" s="210">
        <f>Tabelle132456891011121314151617[[#This Row],[COsSP Initially Planned]]+Tabelle132456891011121314151617[[#This Row],[COsSP Pulled after Start]]-Tabelle132456891011121314151617[[#This Row],[CSOsSP Completed]]-Tabelle132456891011121314151617[[#This Row],[CSOsSP Removed]]</f>
        <v>0</v>
      </c>
      <c r="T126" s="201"/>
    </row>
    <row r="127" spans="1:25" ht="13.5" customHeight="1">
      <c r="A127" s="214"/>
      <c r="B127" s="47"/>
      <c r="C127" s="203"/>
      <c r="D127" s="203"/>
      <c r="E127" s="203"/>
      <c r="F127" s="204" t="s">
        <v>210</v>
      </c>
      <c r="G127" s="203" t="s">
        <v>5</v>
      </c>
      <c r="H127" s="205" t="s">
        <v>209</v>
      </c>
      <c r="I127" s="206"/>
      <c r="J127" s="1" t="s">
        <v>180</v>
      </c>
      <c r="K127" s="203" t="s">
        <v>127</v>
      </c>
      <c r="L127" s="204">
        <v>3</v>
      </c>
      <c r="M127" s="204">
        <v>0</v>
      </c>
      <c r="N127" s="286">
        <f>IF(OR(Tabelle132456891011121314151617[[#This Row],[Pulled after Start]]="yes",Tabelle132456891011121314151617[[#This Row],[Jira Story Points]]="-"),0,MIN(Tabelle132456891011121314151617[[#This Row],[Jira Story Points]],Tabelle132456891011121314151617[[#This Row],[Carry-over]]))</f>
        <v>0</v>
      </c>
      <c r="O127" s="210">
        <f>SUM(IF(ISBLANK(Tabelle132456891011121314151617[[#This Row],[Carry-over]]),Tabelle132456891011121314151617[[#This Row],[Jira Story Points]],Tabelle132456891011121314151617[[#This Row],[Carry-over]]),-Tabelle132456891011121314151617[[#This Row],[COsSP Initially Planned]])</f>
        <v>3</v>
      </c>
      <c r="P12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127" s="210">
        <f>IF(Tabelle132456891011121314151617[[#This Row],[Status]]=$J$5,Tabelle132456891011121314151617[[#This Row],[COsSP Initially Planned]]+Tabelle132456891011121314151617[[#This Row],[COsSP Pulled after Start]]-Tabelle132456891011121314151617[[#This Row],[CSOsSP Completed]],0)</f>
        <v>0</v>
      </c>
      <c r="R127" s="210">
        <f>Tabelle132456891011121314151617[[#This Row],[COsSP Initially Planned]]+Tabelle132456891011121314151617[[#This Row],[COsSP Pulled after Start]]-Tabelle132456891011121314151617[[#This Row],[CSOsSP Completed]]-Tabelle132456891011121314151617[[#This Row],[CSOsSP Removed]]</f>
        <v>0</v>
      </c>
      <c r="T127" s="201"/>
    </row>
    <row r="128" spans="1:25" ht="13.5" customHeight="1">
      <c r="A128" s="215"/>
      <c r="B128" s="47"/>
      <c r="C128" s="203"/>
      <c r="D128" s="203"/>
      <c r="E128" s="203"/>
      <c r="F128" s="204">
        <v>5</v>
      </c>
      <c r="G128" s="203" t="s">
        <v>32</v>
      </c>
      <c r="H128" s="205" t="s">
        <v>209</v>
      </c>
      <c r="I128" s="206"/>
      <c r="J128" s="1" t="s">
        <v>182</v>
      </c>
      <c r="K128" s="203" t="s">
        <v>127</v>
      </c>
      <c r="L128" s="204">
        <v>8</v>
      </c>
      <c r="M128" s="204">
        <v>0</v>
      </c>
      <c r="N128" s="286">
        <f>IF(OR(Tabelle132456891011121314151617[[#This Row],[Pulled after Start]]="yes",Tabelle132456891011121314151617[[#This Row],[Jira Story Points]]="-"),0,MIN(Tabelle132456891011121314151617[[#This Row],[Jira Story Points]],Tabelle132456891011121314151617[[#This Row],[Carry-over]]))</f>
        <v>0</v>
      </c>
      <c r="O128" s="210">
        <f>SUM(IF(ISBLANK(Tabelle132456891011121314151617[[#This Row],[Carry-over]]),Tabelle132456891011121314151617[[#This Row],[Jira Story Points]],Tabelle132456891011121314151617[[#This Row],[Carry-over]]),-Tabelle132456891011121314151617[[#This Row],[COsSP Initially Planned]])</f>
        <v>8</v>
      </c>
      <c r="P12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128" s="210">
        <f>IF(Tabelle132456891011121314151617[[#This Row],[Status]]=$J$5,Tabelle132456891011121314151617[[#This Row],[COsSP Initially Planned]]+Tabelle132456891011121314151617[[#This Row],[COsSP Pulled after Start]]-Tabelle132456891011121314151617[[#This Row],[CSOsSP Completed]],0)</f>
        <v>0</v>
      </c>
      <c r="R128" s="210">
        <f>Tabelle132456891011121314151617[[#This Row],[COsSP Initially Planned]]+Tabelle132456891011121314151617[[#This Row],[COsSP Pulled after Start]]-Tabelle132456891011121314151617[[#This Row],[CSOsSP Completed]]-Tabelle132456891011121314151617[[#This Row],[CSOsSP Removed]]</f>
        <v>0</v>
      </c>
      <c r="T128" s="201"/>
    </row>
    <row r="129" spans="1:40" ht="13.5" customHeight="1">
      <c r="A129" s="215"/>
      <c r="B129" s="47"/>
      <c r="C129" s="203"/>
      <c r="D129" s="203"/>
      <c r="E129" s="203"/>
      <c r="F129" s="204">
        <v>13</v>
      </c>
      <c r="G129" s="203" t="s">
        <v>107</v>
      </c>
      <c r="H129" s="205" t="s">
        <v>209</v>
      </c>
      <c r="I129" s="206"/>
      <c r="J129" s="1" t="s">
        <v>179</v>
      </c>
      <c r="K129" s="203" t="s">
        <v>127</v>
      </c>
      <c r="L129" s="204">
        <v>8</v>
      </c>
      <c r="M129" s="204">
        <v>0</v>
      </c>
      <c r="N129" s="286">
        <f>IF(OR(Tabelle132456891011121314151617[[#This Row],[Pulled after Start]]="yes",Tabelle132456891011121314151617[[#This Row],[Jira Story Points]]="-"),0,MIN(Tabelle132456891011121314151617[[#This Row],[Jira Story Points]],Tabelle132456891011121314151617[[#This Row],[Carry-over]]))</f>
        <v>0</v>
      </c>
      <c r="O129" s="210">
        <f>SUM(IF(ISBLANK(Tabelle132456891011121314151617[[#This Row],[Carry-over]]),Tabelle132456891011121314151617[[#This Row],[Jira Story Points]],Tabelle132456891011121314151617[[#This Row],[Carry-over]]),-Tabelle132456891011121314151617[[#This Row],[COsSP Initially Planned]])</f>
        <v>8</v>
      </c>
      <c r="P12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129" s="210">
        <f>IF(Tabelle132456891011121314151617[[#This Row],[Status]]=$J$5,Tabelle132456891011121314151617[[#This Row],[COsSP Initially Planned]]+Tabelle132456891011121314151617[[#This Row],[COsSP Pulled after Start]]-Tabelle132456891011121314151617[[#This Row],[CSOsSP Completed]],0)</f>
        <v>0</v>
      </c>
      <c r="R129" s="210">
        <f>Tabelle132456891011121314151617[[#This Row],[COsSP Initially Planned]]+Tabelle132456891011121314151617[[#This Row],[COsSP Pulled after Start]]-Tabelle132456891011121314151617[[#This Row],[CSOsSP Completed]]-Tabelle132456891011121314151617[[#This Row],[CSOsSP Removed]]</f>
        <v>0</v>
      </c>
      <c r="T129" s="201"/>
    </row>
    <row r="130" spans="1:40" ht="13.5" customHeight="1">
      <c r="A130" s="214"/>
      <c r="B130" s="47"/>
      <c r="C130" s="203"/>
      <c r="D130" s="203"/>
      <c r="E130" s="203"/>
      <c r="F130" s="204" t="s">
        <v>210</v>
      </c>
      <c r="G130" s="203" t="s">
        <v>107</v>
      </c>
      <c r="H130" s="205" t="s">
        <v>209</v>
      </c>
      <c r="I130" s="206"/>
      <c r="J130" s="1" t="s">
        <v>182</v>
      </c>
      <c r="K130" s="203" t="s">
        <v>127</v>
      </c>
      <c r="L130" s="204">
        <v>8</v>
      </c>
      <c r="M130" s="204">
        <v>0</v>
      </c>
      <c r="N130" s="286">
        <f>IF(OR(Tabelle132456891011121314151617[[#This Row],[Pulled after Start]]="yes",Tabelle132456891011121314151617[[#This Row],[Jira Story Points]]="-"),0,MIN(Tabelle132456891011121314151617[[#This Row],[Jira Story Points]],Tabelle132456891011121314151617[[#This Row],[Carry-over]]))</f>
        <v>0</v>
      </c>
      <c r="O130" s="210">
        <f>SUM(IF(ISBLANK(Tabelle132456891011121314151617[[#This Row],[Carry-over]]),Tabelle132456891011121314151617[[#This Row],[Jira Story Points]],Tabelle132456891011121314151617[[#This Row],[Carry-over]]),-Tabelle132456891011121314151617[[#This Row],[COsSP Initially Planned]])</f>
        <v>8</v>
      </c>
      <c r="P13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130" s="210">
        <f>IF(Tabelle132456891011121314151617[[#This Row],[Status]]=$J$5,Tabelle132456891011121314151617[[#This Row],[COsSP Initially Planned]]+Tabelle132456891011121314151617[[#This Row],[COsSP Pulled after Start]]-Tabelle132456891011121314151617[[#This Row],[CSOsSP Completed]],0)</f>
        <v>0</v>
      </c>
      <c r="R130" s="210">
        <f>Tabelle132456891011121314151617[[#This Row],[COsSP Initially Planned]]+Tabelle132456891011121314151617[[#This Row],[COsSP Pulled after Start]]-Tabelle132456891011121314151617[[#This Row],[CSOsSP Completed]]-Tabelle132456891011121314151617[[#This Row],[CSOsSP Removed]]</f>
        <v>0</v>
      </c>
      <c r="T130" s="201"/>
    </row>
    <row r="131" spans="1:40" ht="13.5" customHeight="1">
      <c r="A131" s="215"/>
      <c r="B131" s="47"/>
      <c r="C131" s="203"/>
      <c r="D131" s="203"/>
      <c r="E131" s="203"/>
      <c r="F131" s="204">
        <v>5</v>
      </c>
      <c r="G131" s="203" t="s">
        <v>35</v>
      </c>
      <c r="H131" s="205" t="s">
        <v>209</v>
      </c>
      <c r="I131" s="206"/>
      <c r="J131" s="1" t="s">
        <v>183</v>
      </c>
      <c r="K131" s="203" t="s">
        <v>127</v>
      </c>
      <c r="L131" s="204">
        <v>21</v>
      </c>
      <c r="M131" s="204">
        <v>0</v>
      </c>
      <c r="N131" s="286">
        <f>IF(OR(Tabelle132456891011121314151617[[#This Row],[Pulled after Start]]="yes",Tabelle132456891011121314151617[[#This Row],[Jira Story Points]]="-"),0,MIN(Tabelle132456891011121314151617[[#This Row],[Jira Story Points]],Tabelle132456891011121314151617[[#This Row],[Carry-over]]))</f>
        <v>0</v>
      </c>
      <c r="O131" s="210">
        <f>SUM(IF(ISBLANK(Tabelle132456891011121314151617[[#This Row],[Carry-over]]),Tabelle132456891011121314151617[[#This Row],[Jira Story Points]],Tabelle132456891011121314151617[[#This Row],[Carry-over]]),-Tabelle132456891011121314151617[[#This Row],[COsSP Initially Planned]])</f>
        <v>21</v>
      </c>
      <c r="P13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131" s="210">
        <f>IF(Tabelle132456891011121314151617[[#This Row],[Status]]=$J$5,Tabelle132456891011121314151617[[#This Row],[COsSP Initially Planned]]+Tabelle132456891011121314151617[[#This Row],[COsSP Pulled after Start]]-Tabelle132456891011121314151617[[#This Row],[CSOsSP Completed]],0)</f>
        <v>0</v>
      </c>
      <c r="R131" s="210">
        <f>Tabelle132456891011121314151617[[#This Row],[COsSP Initially Planned]]+Tabelle132456891011121314151617[[#This Row],[COsSP Pulled after Start]]-Tabelle132456891011121314151617[[#This Row],[CSOsSP Completed]]-Tabelle132456891011121314151617[[#This Row],[CSOsSP Removed]]</f>
        <v>0</v>
      </c>
      <c r="T131" s="201"/>
    </row>
    <row r="132" spans="1:40" ht="13.5" customHeight="1">
      <c r="A132" s="215"/>
      <c r="B132" s="47"/>
      <c r="C132" s="203"/>
      <c r="D132" s="203"/>
      <c r="E132" s="203"/>
      <c r="F132" s="204">
        <v>13</v>
      </c>
      <c r="G132" s="203" t="s">
        <v>17</v>
      </c>
      <c r="H132" s="205" t="s">
        <v>209</v>
      </c>
      <c r="I132" s="206"/>
      <c r="J132" s="1" t="s">
        <v>184</v>
      </c>
      <c r="K132" s="203" t="s">
        <v>127</v>
      </c>
      <c r="L132" s="204">
        <v>21</v>
      </c>
      <c r="M132" s="204">
        <v>0</v>
      </c>
      <c r="N132" s="286">
        <f>IF(OR(Tabelle132456891011121314151617[[#This Row],[Pulled after Start]]="yes",Tabelle132456891011121314151617[[#This Row],[Jira Story Points]]="-"),0,MIN(Tabelle132456891011121314151617[[#This Row],[Jira Story Points]],Tabelle132456891011121314151617[[#This Row],[Carry-over]]))</f>
        <v>0</v>
      </c>
      <c r="O132" s="210">
        <f>SUM(IF(ISBLANK(Tabelle132456891011121314151617[[#This Row],[Carry-over]]),Tabelle132456891011121314151617[[#This Row],[Jira Story Points]],Tabelle132456891011121314151617[[#This Row],[Carry-over]]),-Tabelle132456891011121314151617[[#This Row],[COsSP Initially Planned]])</f>
        <v>21</v>
      </c>
      <c r="P13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132" s="210">
        <f>IF(Tabelle132456891011121314151617[[#This Row],[Status]]=$J$5,Tabelle132456891011121314151617[[#This Row],[COsSP Initially Planned]]+Tabelle132456891011121314151617[[#This Row],[COsSP Pulled after Start]]-Tabelle132456891011121314151617[[#This Row],[CSOsSP Completed]],0)</f>
        <v>0</v>
      </c>
      <c r="R132" s="210">
        <f>Tabelle132456891011121314151617[[#This Row],[COsSP Initially Planned]]+Tabelle132456891011121314151617[[#This Row],[COsSP Pulled after Start]]-Tabelle132456891011121314151617[[#This Row],[CSOsSP Completed]]-Tabelle132456891011121314151617[[#This Row],[CSOsSP Removed]]</f>
        <v>0</v>
      </c>
      <c r="T132" s="201"/>
    </row>
    <row r="133" spans="1:40" ht="13.5" customHeight="1">
      <c r="A133" s="214"/>
      <c r="B133" s="47"/>
      <c r="C133" s="203"/>
      <c r="D133" s="203"/>
      <c r="E133" s="203"/>
      <c r="F133" s="204" t="s">
        <v>210</v>
      </c>
      <c r="G133" s="203" t="s">
        <v>9</v>
      </c>
      <c r="H133" s="205" t="s">
        <v>209</v>
      </c>
      <c r="I133" s="206"/>
      <c r="J133" s="1" t="s">
        <v>178</v>
      </c>
      <c r="K133" s="203" t="s">
        <v>127</v>
      </c>
      <c r="L133" s="204">
        <v>21</v>
      </c>
      <c r="M133" s="204">
        <v>0</v>
      </c>
      <c r="N133" s="286">
        <f>IF(OR(Tabelle132456891011121314151617[[#This Row],[Pulled after Start]]="yes",Tabelle132456891011121314151617[[#This Row],[Jira Story Points]]="-"),0,MIN(Tabelle132456891011121314151617[[#This Row],[Jira Story Points]],Tabelle132456891011121314151617[[#This Row],[Carry-over]]))</f>
        <v>0</v>
      </c>
      <c r="O133" s="210">
        <f>SUM(IF(ISBLANK(Tabelle132456891011121314151617[[#This Row],[Carry-over]]),Tabelle132456891011121314151617[[#This Row],[Jira Story Points]],Tabelle132456891011121314151617[[#This Row],[Carry-over]]),-Tabelle132456891011121314151617[[#This Row],[COsSP Initially Planned]])</f>
        <v>21</v>
      </c>
      <c r="P13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133" s="210">
        <f>IF(Tabelle132456891011121314151617[[#This Row],[Status]]=$J$5,Tabelle132456891011121314151617[[#This Row],[COsSP Initially Planned]]+Tabelle132456891011121314151617[[#This Row],[COsSP Pulled after Start]]-Tabelle132456891011121314151617[[#This Row],[CSOsSP Completed]],0)</f>
        <v>0</v>
      </c>
      <c r="R133" s="210">
        <f>Tabelle132456891011121314151617[[#This Row],[COsSP Initially Planned]]+Tabelle132456891011121314151617[[#This Row],[COsSP Pulled after Start]]-Tabelle132456891011121314151617[[#This Row],[CSOsSP Completed]]-Tabelle132456891011121314151617[[#This Row],[CSOsSP Removed]]</f>
        <v>0</v>
      </c>
      <c r="T133" s="201"/>
    </row>
    <row r="134" spans="1:40" ht="13.5" customHeight="1">
      <c r="A134" s="215"/>
      <c r="B134" s="47"/>
      <c r="C134" s="203"/>
      <c r="D134" s="203"/>
      <c r="E134" s="203"/>
      <c r="F134" s="204">
        <v>5</v>
      </c>
      <c r="G134" s="203" t="s">
        <v>35</v>
      </c>
      <c r="H134" s="205" t="s">
        <v>209</v>
      </c>
      <c r="I134" s="206"/>
      <c r="J134" s="1" t="s">
        <v>178</v>
      </c>
      <c r="K134" s="203" t="s">
        <v>127</v>
      </c>
      <c r="L134" s="204"/>
      <c r="M134" s="204">
        <v>0</v>
      </c>
      <c r="N134" s="286">
        <f>IF(OR(Tabelle132456891011121314151617[[#This Row],[Pulled after Start]]="yes",Tabelle132456891011121314151617[[#This Row],[Jira Story Points]]="-"),0,MIN(Tabelle132456891011121314151617[[#This Row],[Jira Story Points]],Tabelle132456891011121314151617[[#This Row],[Carry-over]]))</f>
        <v>0</v>
      </c>
      <c r="O134" s="210">
        <f>SUM(IF(ISBLANK(Tabelle132456891011121314151617[[#This Row],[Carry-over]]),Tabelle132456891011121314151617[[#This Row],[Jira Story Points]],Tabelle132456891011121314151617[[#This Row],[Carry-over]]),-Tabelle132456891011121314151617[[#This Row],[COsSP Initially Planned]])</f>
        <v>5</v>
      </c>
      <c r="P13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5</v>
      </c>
      <c r="Q134" s="210">
        <f>IF(Tabelle132456891011121314151617[[#This Row],[Status]]=$J$5,Tabelle132456891011121314151617[[#This Row],[COsSP Initially Planned]]+Tabelle132456891011121314151617[[#This Row],[COsSP Pulled after Start]]-Tabelle132456891011121314151617[[#This Row],[CSOsSP Completed]],0)</f>
        <v>0</v>
      </c>
      <c r="R134" s="210">
        <f>Tabelle132456891011121314151617[[#This Row],[COsSP Initially Planned]]+Tabelle132456891011121314151617[[#This Row],[COsSP Pulled after Start]]-Tabelle132456891011121314151617[[#This Row],[CSOsSP Completed]]-Tabelle132456891011121314151617[[#This Row],[CSOsSP Removed]]</f>
        <v>0</v>
      </c>
      <c r="T134" s="201"/>
    </row>
    <row r="135" spans="1:40" ht="13.5" customHeight="1">
      <c r="A135" s="215"/>
      <c r="B135" s="47"/>
      <c r="C135" s="203"/>
      <c r="D135" s="203"/>
      <c r="E135" s="203"/>
      <c r="F135" s="204">
        <v>13</v>
      </c>
      <c r="G135" s="203" t="s">
        <v>5</v>
      </c>
      <c r="H135" s="205" t="s">
        <v>209</v>
      </c>
      <c r="I135" s="206"/>
      <c r="J135" s="1" t="s">
        <v>177</v>
      </c>
      <c r="K135" s="203" t="s">
        <v>127</v>
      </c>
      <c r="L135" s="204"/>
      <c r="M135" s="204">
        <v>0</v>
      </c>
      <c r="N135" s="286">
        <f>IF(OR(Tabelle132456891011121314151617[[#This Row],[Pulled after Start]]="yes",Tabelle132456891011121314151617[[#This Row],[Jira Story Points]]="-"),0,MIN(Tabelle132456891011121314151617[[#This Row],[Jira Story Points]],Tabelle132456891011121314151617[[#This Row],[Carry-over]]))</f>
        <v>0</v>
      </c>
      <c r="O135" s="210">
        <f>SUM(IF(ISBLANK(Tabelle132456891011121314151617[[#This Row],[Carry-over]]),Tabelle132456891011121314151617[[#This Row],[Jira Story Points]],Tabelle132456891011121314151617[[#This Row],[Carry-over]]),-Tabelle132456891011121314151617[[#This Row],[COsSP Initially Planned]])</f>
        <v>13</v>
      </c>
      <c r="P13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13</v>
      </c>
      <c r="Q135" s="210">
        <f>IF(Tabelle132456891011121314151617[[#This Row],[Status]]=$J$5,Tabelle132456891011121314151617[[#This Row],[COsSP Initially Planned]]+Tabelle132456891011121314151617[[#This Row],[COsSP Pulled after Start]]-Tabelle132456891011121314151617[[#This Row],[CSOsSP Completed]],0)</f>
        <v>0</v>
      </c>
      <c r="R135" s="210">
        <f>Tabelle132456891011121314151617[[#This Row],[COsSP Initially Planned]]+Tabelle132456891011121314151617[[#This Row],[COsSP Pulled after Start]]-Tabelle132456891011121314151617[[#This Row],[CSOsSP Completed]]-Tabelle132456891011121314151617[[#This Row],[CSOsSP Removed]]</f>
        <v>0</v>
      </c>
      <c r="T135" s="201"/>
    </row>
    <row r="136" spans="1:40" s="252" customFormat="1" ht="13.5" customHeight="1">
      <c r="A136" s="214"/>
      <c r="B136" s="47"/>
      <c r="C136" s="203"/>
      <c r="D136" s="203"/>
      <c r="E136" s="203"/>
      <c r="F136" s="204" t="s">
        <v>210</v>
      </c>
      <c r="G136" s="203" t="s">
        <v>32</v>
      </c>
      <c r="H136" s="205" t="s">
        <v>209</v>
      </c>
      <c r="I136" s="206"/>
      <c r="J136" s="1" t="s">
        <v>176</v>
      </c>
      <c r="K136" s="203" t="s">
        <v>127</v>
      </c>
      <c r="L136" s="204"/>
      <c r="M136" s="204">
        <v>0</v>
      </c>
      <c r="N136" s="286">
        <f>IF(OR(Tabelle132456891011121314151617[[#This Row],[Pulled after Start]]="yes",Tabelle132456891011121314151617[[#This Row],[Jira Story Points]]="-"),0,MIN(Tabelle132456891011121314151617[[#This Row],[Jira Story Points]],Tabelle132456891011121314151617[[#This Row],[Carry-over]]))</f>
        <v>0</v>
      </c>
      <c r="O136" s="210">
        <f>SUM(IF(ISBLANK(Tabelle132456891011121314151617[[#This Row],[Carry-over]]),Tabelle132456891011121314151617[[#This Row],[Jira Story Points]],Tabelle132456891011121314151617[[#This Row],[Carry-over]]),-Tabelle132456891011121314151617[[#This Row],[COsSP Initially Planned]])</f>
        <v>0</v>
      </c>
      <c r="P13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36" s="210">
        <f>IF(Tabelle132456891011121314151617[[#This Row],[Status]]=$J$5,Tabelle132456891011121314151617[[#This Row],[COsSP Initially Planned]]+Tabelle132456891011121314151617[[#This Row],[COsSP Pulled after Start]]-Tabelle132456891011121314151617[[#This Row],[CSOsSP Completed]],0)</f>
        <v>0</v>
      </c>
      <c r="R136" s="210">
        <f>Tabelle132456891011121314151617[[#This Row],[COsSP Initially Planned]]+Tabelle132456891011121314151617[[#This Row],[COsSP Pulled after Start]]-Tabelle132456891011121314151617[[#This Row],[CSOsSP Completed]]-Tabelle132456891011121314151617[[#This Row],[CSOsSP Removed]]</f>
        <v>0</v>
      </c>
      <c r="S136" s="1"/>
      <c r="T136" s="201"/>
      <c r="U136" s="1"/>
      <c r="V136" s="1"/>
      <c r="W136" s="1"/>
      <c r="X136" s="1"/>
      <c r="Y136" s="1"/>
      <c r="Z136" s="1"/>
      <c r="AA136" s="1"/>
      <c r="AB136" s="1"/>
      <c r="AC136" s="1"/>
      <c r="AD136" s="1"/>
      <c r="AE136" s="1"/>
      <c r="AF136" s="1"/>
      <c r="AG136" s="1"/>
      <c r="AH136" s="1"/>
      <c r="AI136" s="1"/>
      <c r="AJ136" s="1"/>
      <c r="AK136" s="1"/>
      <c r="AL136" s="1"/>
      <c r="AM136" s="1"/>
      <c r="AN136" s="1"/>
    </row>
    <row r="137" spans="1:40" s="252" customFormat="1" ht="13.5" customHeight="1">
      <c r="A137" s="215"/>
      <c r="B137" s="47"/>
      <c r="C137" s="203"/>
      <c r="D137" s="203"/>
      <c r="E137" s="203"/>
      <c r="F137" s="204">
        <v>5</v>
      </c>
      <c r="G137" s="203" t="s">
        <v>9</v>
      </c>
      <c r="H137" s="205" t="s">
        <v>209</v>
      </c>
      <c r="I137" s="206"/>
      <c r="J137" s="1" t="s">
        <v>178</v>
      </c>
      <c r="K137" s="203" t="s">
        <v>127</v>
      </c>
      <c r="L137" s="204">
        <v>0</v>
      </c>
      <c r="M137" s="204">
        <v>2</v>
      </c>
      <c r="N137" s="286">
        <f>IF(OR(Tabelle132456891011121314151617[[#This Row],[Pulled after Start]]="yes",Tabelle132456891011121314151617[[#This Row],[Jira Story Points]]="-"),0,MIN(Tabelle132456891011121314151617[[#This Row],[Jira Story Points]],Tabelle132456891011121314151617[[#This Row],[Carry-over]]))</f>
        <v>0</v>
      </c>
      <c r="O137" s="210">
        <f>SUM(IF(ISBLANK(Tabelle132456891011121314151617[[#This Row],[Carry-over]]),Tabelle132456891011121314151617[[#This Row],[Jira Story Points]],Tabelle132456891011121314151617[[#This Row],[Carry-over]]),-Tabelle132456891011121314151617[[#This Row],[COsSP Initially Planned]])</f>
        <v>0</v>
      </c>
      <c r="P13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v>
      </c>
      <c r="Q137" s="210">
        <f>IF(Tabelle132456891011121314151617[[#This Row],[Status]]=$J$5,Tabelle132456891011121314151617[[#This Row],[COsSP Initially Planned]]+Tabelle132456891011121314151617[[#This Row],[COsSP Pulled after Start]]-Tabelle132456891011121314151617[[#This Row],[CSOsSP Completed]],0)</f>
        <v>0</v>
      </c>
      <c r="R137" s="210">
        <f>Tabelle132456891011121314151617[[#This Row],[COsSP Initially Planned]]+Tabelle132456891011121314151617[[#This Row],[COsSP Pulled after Start]]-Tabelle132456891011121314151617[[#This Row],[CSOsSP Completed]]-Tabelle132456891011121314151617[[#This Row],[CSOsSP Removed]]</f>
        <v>2</v>
      </c>
      <c r="S137" s="1"/>
      <c r="T137" s="201"/>
      <c r="U137" s="1"/>
      <c r="V137" s="1"/>
      <c r="W137" s="1"/>
      <c r="X137" s="1"/>
      <c r="Y137" s="1"/>
      <c r="Z137" s="1"/>
      <c r="AA137" s="1"/>
      <c r="AB137" s="1"/>
      <c r="AC137" s="1"/>
      <c r="AD137" s="1"/>
      <c r="AE137" s="1"/>
      <c r="AF137" s="1"/>
      <c r="AG137" s="1"/>
      <c r="AH137" s="1"/>
      <c r="AI137" s="1"/>
      <c r="AJ137" s="1"/>
      <c r="AK137" s="1"/>
      <c r="AL137" s="1"/>
      <c r="AM137" s="1"/>
      <c r="AN137" s="1"/>
    </row>
    <row r="138" spans="1:40" ht="13.5" customHeight="1">
      <c r="A138" s="215"/>
      <c r="B138" s="47"/>
      <c r="C138" s="203"/>
      <c r="D138" s="203"/>
      <c r="E138" s="203"/>
      <c r="F138" s="204">
        <v>13</v>
      </c>
      <c r="G138" s="203" t="s">
        <v>21</v>
      </c>
      <c r="H138" s="205" t="s">
        <v>209</v>
      </c>
      <c r="I138" s="206"/>
      <c r="J138" s="1" t="s">
        <v>178</v>
      </c>
      <c r="K138" s="203" t="s">
        <v>127</v>
      </c>
      <c r="L138" s="204">
        <v>0</v>
      </c>
      <c r="M138" s="204">
        <v>2</v>
      </c>
      <c r="N138" s="286">
        <f>IF(OR(Tabelle132456891011121314151617[[#This Row],[Pulled after Start]]="yes",Tabelle132456891011121314151617[[#This Row],[Jira Story Points]]="-"),0,MIN(Tabelle132456891011121314151617[[#This Row],[Jira Story Points]],Tabelle132456891011121314151617[[#This Row],[Carry-over]]))</f>
        <v>0</v>
      </c>
      <c r="O138" s="210">
        <f>SUM(IF(ISBLANK(Tabelle132456891011121314151617[[#This Row],[Carry-over]]),Tabelle132456891011121314151617[[#This Row],[Jira Story Points]],Tabelle132456891011121314151617[[#This Row],[Carry-over]]),-Tabelle132456891011121314151617[[#This Row],[COsSP Initially Planned]])</f>
        <v>0</v>
      </c>
      <c r="P13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v>
      </c>
      <c r="Q138" s="210">
        <f>IF(Tabelle132456891011121314151617[[#This Row],[Status]]=$J$5,Tabelle132456891011121314151617[[#This Row],[COsSP Initially Planned]]+Tabelle132456891011121314151617[[#This Row],[COsSP Pulled after Start]]-Tabelle132456891011121314151617[[#This Row],[CSOsSP Completed]],0)</f>
        <v>0</v>
      </c>
      <c r="R138" s="210">
        <f>Tabelle132456891011121314151617[[#This Row],[COsSP Initially Planned]]+Tabelle132456891011121314151617[[#This Row],[COsSP Pulled after Start]]-Tabelle132456891011121314151617[[#This Row],[CSOsSP Completed]]-Tabelle132456891011121314151617[[#This Row],[CSOsSP Removed]]</f>
        <v>2</v>
      </c>
      <c r="T138" s="201"/>
    </row>
    <row r="139" spans="1:40" ht="13.5" customHeight="1">
      <c r="A139" s="214"/>
      <c r="B139" s="47"/>
      <c r="C139" s="203"/>
      <c r="D139" s="203"/>
      <c r="E139" s="203"/>
      <c r="F139" s="204" t="s">
        <v>210</v>
      </c>
      <c r="G139" s="203" t="s">
        <v>24</v>
      </c>
      <c r="H139" s="205" t="s">
        <v>209</v>
      </c>
      <c r="I139" s="206"/>
      <c r="J139" s="1" t="s">
        <v>175</v>
      </c>
      <c r="K139" s="203" t="s">
        <v>127</v>
      </c>
      <c r="L139" s="204">
        <v>0</v>
      </c>
      <c r="M139" s="204">
        <v>2</v>
      </c>
      <c r="N139" s="286">
        <f>IF(OR(Tabelle132456891011121314151617[[#This Row],[Pulled after Start]]="yes",Tabelle132456891011121314151617[[#This Row],[Jira Story Points]]="-"),0,MIN(Tabelle132456891011121314151617[[#This Row],[Jira Story Points]],Tabelle132456891011121314151617[[#This Row],[Carry-over]]))</f>
        <v>0</v>
      </c>
      <c r="O139" s="210">
        <f>SUM(IF(ISBLANK(Tabelle132456891011121314151617[[#This Row],[Carry-over]]),Tabelle132456891011121314151617[[#This Row],[Jira Story Points]],Tabelle132456891011121314151617[[#This Row],[Carry-over]]),-Tabelle132456891011121314151617[[#This Row],[COsSP Initially Planned]])</f>
        <v>0</v>
      </c>
      <c r="P13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v>
      </c>
      <c r="Q139" s="210">
        <f>IF(Tabelle132456891011121314151617[[#This Row],[Status]]=$J$5,Tabelle132456891011121314151617[[#This Row],[COsSP Initially Planned]]+Tabelle132456891011121314151617[[#This Row],[COsSP Pulled after Start]]-Tabelle132456891011121314151617[[#This Row],[CSOsSP Completed]],0)</f>
        <v>0</v>
      </c>
      <c r="R139" s="210">
        <f>Tabelle132456891011121314151617[[#This Row],[COsSP Initially Planned]]+Tabelle132456891011121314151617[[#This Row],[COsSP Pulled after Start]]-Tabelle132456891011121314151617[[#This Row],[CSOsSP Completed]]-Tabelle132456891011121314151617[[#This Row],[CSOsSP Removed]]</f>
        <v>2</v>
      </c>
      <c r="T139" s="201"/>
    </row>
    <row r="140" spans="1:40" ht="13.5" customHeight="1">
      <c r="A140" s="215"/>
      <c r="B140" s="47"/>
      <c r="C140" s="203"/>
      <c r="D140" s="203"/>
      <c r="E140" s="203"/>
      <c r="F140" s="204">
        <v>5</v>
      </c>
      <c r="G140" s="203" t="s">
        <v>27</v>
      </c>
      <c r="H140" s="205" t="s">
        <v>209</v>
      </c>
      <c r="I140" s="206"/>
      <c r="J140" s="1" t="s">
        <v>179</v>
      </c>
      <c r="K140" s="203" t="s">
        <v>127</v>
      </c>
      <c r="L140" s="204">
        <v>3</v>
      </c>
      <c r="M140" s="204">
        <v>2</v>
      </c>
      <c r="N140" s="286">
        <f>IF(OR(Tabelle132456891011121314151617[[#This Row],[Pulled after Start]]="yes",Tabelle132456891011121314151617[[#This Row],[Jira Story Points]]="-"),0,MIN(Tabelle132456891011121314151617[[#This Row],[Jira Story Points]],Tabelle132456891011121314151617[[#This Row],[Carry-over]]))</f>
        <v>0</v>
      </c>
      <c r="O140" s="210">
        <f>SUM(IF(ISBLANK(Tabelle132456891011121314151617[[#This Row],[Carry-over]]),Tabelle132456891011121314151617[[#This Row],[Jira Story Points]],Tabelle132456891011121314151617[[#This Row],[Carry-over]]),-Tabelle132456891011121314151617[[#This Row],[COsSP Initially Planned]])</f>
        <v>3</v>
      </c>
      <c r="P14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v>
      </c>
      <c r="Q140" s="210">
        <f>IF(Tabelle132456891011121314151617[[#This Row],[Status]]=$J$5,Tabelle132456891011121314151617[[#This Row],[COsSP Initially Planned]]+Tabelle132456891011121314151617[[#This Row],[COsSP Pulled after Start]]-Tabelle132456891011121314151617[[#This Row],[CSOsSP Completed]],0)</f>
        <v>0</v>
      </c>
      <c r="R140" s="210">
        <f>Tabelle132456891011121314151617[[#This Row],[COsSP Initially Planned]]+Tabelle132456891011121314151617[[#This Row],[COsSP Pulled after Start]]-Tabelle132456891011121314151617[[#This Row],[CSOsSP Completed]]-Tabelle132456891011121314151617[[#This Row],[CSOsSP Removed]]</f>
        <v>2</v>
      </c>
      <c r="T140" s="201"/>
    </row>
    <row r="141" spans="1:40" ht="13.5" customHeight="1">
      <c r="A141" s="215"/>
      <c r="B141" s="47"/>
      <c r="C141" s="203"/>
      <c r="D141" s="203"/>
      <c r="E141" s="203"/>
      <c r="F141" s="204">
        <v>13</v>
      </c>
      <c r="G141" s="203" t="s">
        <v>107</v>
      </c>
      <c r="H141" s="205" t="s">
        <v>209</v>
      </c>
      <c r="I141" s="206"/>
      <c r="J141" s="1" t="s">
        <v>175</v>
      </c>
      <c r="K141" s="203" t="s">
        <v>127</v>
      </c>
      <c r="L141" s="204">
        <v>3</v>
      </c>
      <c r="M141" s="204">
        <v>2</v>
      </c>
      <c r="N141" s="286">
        <f>IF(OR(Tabelle132456891011121314151617[[#This Row],[Pulled after Start]]="yes",Tabelle132456891011121314151617[[#This Row],[Jira Story Points]]="-"),0,MIN(Tabelle132456891011121314151617[[#This Row],[Jira Story Points]],Tabelle132456891011121314151617[[#This Row],[Carry-over]]))</f>
        <v>0</v>
      </c>
      <c r="O141" s="210">
        <f>SUM(IF(ISBLANK(Tabelle132456891011121314151617[[#This Row],[Carry-over]]),Tabelle132456891011121314151617[[#This Row],[Jira Story Points]],Tabelle132456891011121314151617[[#This Row],[Carry-over]]),-Tabelle132456891011121314151617[[#This Row],[COsSP Initially Planned]])</f>
        <v>3</v>
      </c>
      <c r="P14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v>
      </c>
      <c r="Q141" s="210">
        <f>IF(Tabelle132456891011121314151617[[#This Row],[Status]]=$J$5,Tabelle132456891011121314151617[[#This Row],[COsSP Initially Planned]]+Tabelle132456891011121314151617[[#This Row],[COsSP Pulled after Start]]-Tabelle132456891011121314151617[[#This Row],[CSOsSP Completed]],0)</f>
        <v>0</v>
      </c>
      <c r="R141" s="210">
        <f>Tabelle132456891011121314151617[[#This Row],[COsSP Initially Planned]]+Tabelle132456891011121314151617[[#This Row],[COsSP Pulled after Start]]-Tabelle132456891011121314151617[[#This Row],[CSOsSP Completed]]-Tabelle132456891011121314151617[[#This Row],[CSOsSP Removed]]</f>
        <v>2</v>
      </c>
      <c r="T141" s="201"/>
    </row>
    <row r="142" spans="1:40" ht="13.5" customHeight="1">
      <c r="A142" s="214"/>
      <c r="B142" s="47"/>
      <c r="C142" s="203"/>
      <c r="D142" s="203"/>
      <c r="E142" s="203"/>
      <c r="F142" s="204" t="s">
        <v>210</v>
      </c>
      <c r="G142" s="203" t="s">
        <v>5</v>
      </c>
      <c r="H142" s="205" t="s">
        <v>209</v>
      </c>
      <c r="I142" s="206"/>
      <c r="J142" s="1" t="s">
        <v>183</v>
      </c>
      <c r="K142" s="203" t="s">
        <v>127</v>
      </c>
      <c r="L142" s="204">
        <v>3</v>
      </c>
      <c r="M142" s="204">
        <v>2</v>
      </c>
      <c r="N142" s="286">
        <f>IF(OR(Tabelle132456891011121314151617[[#This Row],[Pulled after Start]]="yes",Tabelle132456891011121314151617[[#This Row],[Jira Story Points]]="-"),0,MIN(Tabelle132456891011121314151617[[#This Row],[Jira Story Points]],Tabelle132456891011121314151617[[#This Row],[Carry-over]]))</f>
        <v>0</v>
      </c>
      <c r="O142" s="210">
        <f>SUM(IF(ISBLANK(Tabelle132456891011121314151617[[#This Row],[Carry-over]]),Tabelle132456891011121314151617[[#This Row],[Jira Story Points]],Tabelle132456891011121314151617[[#This Row],[Carry-over]]),-Tabelle132456891011121314151617[[#This Row],[COsSP Initially Planned]])</f>
        <v>3</v>
      </c>
      <c r="P14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v>
      </c>
      <c r="Q142" s="210">
        <f>IF(Tabelle132456891011121314151617[[#This Row],[Status]]=$J$5,Tabelle132456891011121314151617[[#This Row],[COsSP Initially Planned]]+Tabelle132456891011121314151617[[#This Row],[COsSP Pulled after Start]]-Tabelle132456891011121314151617[[#This Row],[CSOsSP Completed]],0)</f>
        <v>0</v>
      </c>
      <c r="R142" s="210">
        <f>Tabelle132456891011121314151617[[#This Row],[COsSP Initially Planned]]+Tabelle132456891011121314151617[[#This Row],[COsSP Pulled after Start]]-Tabelle132456891011121314151617[[#This Row],[CSOsSP Completed]]-Tabelle132456891011121314151617[[#This Row],[CSOsSP Removed]]</f>
        <v>2</v>
      </c>
      <c r="T142" s="201"/>
    </row>
    <row r="143" spans="1:40" ht="13.5" customHeight="1">
      <c r="A143" s="214"/>
      <c r="B143" s="47"/>
      <c r="C143" s="203"/>
      <c r="D143" s="203"/>
      <c r="E143" s="203"/>
      <c r="F143" s="204">
        <v>5</v>
      </c>
      <c r="G143" s="203" t="s">
        <v>5</v>
      </c>
      <c r="H143" s="205" t="s">
        <v>209</v>
      </c>
      <c r="I143" s="206"/>
      <c r="J143" s="1" t="s">
        <v>181</v>
      </c>
      <c r="K143" s="203" t="s">
        <v>127</v>
      </c>
      <c r="L143" s="204">
        <v>8</v>
      </c>
      <c r="M143" s="204">
        <v>2</v>
      </c>
      <c r="N143" s="286">
        <f>IF(OR(Tabelle132456891011121314151617[[#This Row],[Pulled after Start]]="yes",Tabelle132456891011121314151617[[#This Row],[Jira Story Points]]="-"),0,MIN(Tabelle132456891011121314151617[[#This Row],[Jira Story Points]],Tabelle132456891011121314151617[[#This Row],[Carry-over]]))</f>
        <v>0</v>
      </c>
      <c r="O143" s="210">
        <f>SUM(IF(ISBLANK(Tabelle132456891011121314151617[[#This Row],[Carry-over]]),Tabelle132456891011121314151617[[#This Row],[Jira Story Points]],Tabelle132456891011121314151617[[#This Row],[Carry-over]]),-Tabelle132456891011121314151617[[#This Row],[COsSP Initially Planned]])</f>
        <v>8</v>
      </c>
      <c r="P14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6</v>
      </c>
      <c r="Q143" s="210">
        <f>IF(Tabelle132456891011121314151617[[#This Row],[Status]]=$J$5,Tabelle132456891011121314151617[[#This Row],[COsSP Initially Planned]]+Tabelle132456891011121314151617[[#This Row],[COsSP Pulled after Start]]-Tabelle132456891011121314151617[[#This Row],[CSOsSP Completed]],0)</f>
        <v>0</v>
      </c>
      <c r="R143" s="210">
        <f>Tabelle132456891011121314151617[[#This Row],[COsSP Initially Planned]]+Tabelle132456891011121314151617[[#This Row],[COsSP Pulled after Start]]-Tabelle132456891011121314151617[[#This Row],[CSOsSP Completed]]-Tabelle132456891011121314151617[[#This Row],[CSOsSP Removed]]</f>
        <v>2</v>
      </c>
      <c r="T143" s="201"/>
    </row>
    <row r="144" spans="1:40" ht="13.5" customHeight="1">
      <c r="A144" s="214"/>
      <c r="B144" s="47"/>
      <c r="C144" s="203"/>
      <c r="D144" s="203"/>
      <c r="E144" s="203"/>
      <c r="F144" s="204">
        <v>13</v>
      </c>
      <c r="G144" s="203" t="s">
        <v>9</v>
      </c>
      <c r="H144" s="205" t="s">
        <v>209</v>
      </c>
      <c r="I144" s="206"/>
      <c r="J144" s="1" t="s">
        <v>182</v>
      </c>
      <c r="K144" s="203" t="s">
        <v>127</v>
      </c>
      <c r="L144" s="204">
        <v>8</v>
      </c>
      <c r="M144" s="204">
        <v>2</v>
      </c>
      <c r="N144" s="286">
        <f>IF(OR(Tabelle132456891011121314151617[[#This Row],[Pulled after Start]]="yes",Tabelle132456891011121314151617[[#This Row],[Jira Story Points]]="-"),0,MIN(Tabelle132456891011121314151617[[#This Row],[Jira Story Points]],Tabelle132456891011121314151617[[#This Row],[Carry-over]]))</f>
        <v>0</v>
      </c>
      <c r="O144" s="210">
        <f>SUM(IF(ISBLANK(Tabelle132456891011121314151617[[#This Row],[Carry-over]]),Tabelle132456891011121314151617[[#This Row],[Jira Story Points]],Tabelle132456891011121314151617[[#This Row],[Carry-over]]),-Tabelle132456891011121314151617[[#This Row],[COsSP Initially Planned]])</f>
        <v>8</v>
      </c>
      <c r="P14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6</v>
      </c>
      <c r="Q144" s="210">
        <f>IF(Tabelle132456891011121314151617[[#This Row],[Status]]=$J$5,Tabelle132456891011121314151617[[#This Row],[COsSP Initially Planned]]+Tabelle132456891011121314151617[[#This Row],[COsSP Pulled after Start]]-Tabelle132456891011121314151617[[#This Row],[CSOsSP Completed]],0)</f>
        <v>0</v>
      </c>
      <c r="R144" s="210">
        <f>Tabelle132456891011121314151617[[#This Row],[COsSP Initially Planned]]+Tabelle132456891011121314151617[[#This Row],[COsSP Pulled after Start]]-Tabelle132456891011121314151617[[#This Row],[CSOsSP Completed]]-Tabelle132456891011121314151617[[#This Row],[CSOsSP Removed]]</f>
        <v>2</v>
      </c>
      <c r="T144" s="201"/>
    </row>
    <row r="145" spans="1:20" ht="13.5" customHeight="1">
      <c r="A145" s="214"/>
      <c r="B145" s="47"/>
      <c r="C145" s="203"/>
      <c r="D145" s="203"/>
      <c r="E145" s="203"/>
      <c r="F145" s="204" t="s">
        <v>210</v>
      </c>
      <c r="G145" s="203" t="s">
        <v>27</v>
      </c>
      <c r="H145" s="205" t="s">
        <v>209</v>
      </c>
      <c r="I145" s="206"/>
      <c r="J145" s="1" t="s">
        <v>180</v>
      </c>
      <c r="K145" s="203" t="s">
        <v>127</v>
      </c>
      <c r="L145" s="204">
        <v>8</v>
      </c>
      <c r="M145" s="204">
        <v>2</v>
      </c>
      <c r="N145" s="286">
        <f>IF(OR(Tabelle132456891011121314151617[[#This Row],[Pulled after Start]]="yes",Tabelle132456891011121314151617[[#This Row],[Jira Story Points]]="-"),0,MIN(Tabelle132456891011121314151617[[#This Row],[Jira Story Points]],Tabelle132456891011121314151617[[#This Row],[Carry-over]]))</f>
        <v>0</v>
      </c>
      <c r="O145" s="210">
        <f>SUM(IF(ISBLANK(Tabelle132456891011121314151617[[#This Row],[Carry-over]]),Tabelle132456891011121314151617[[#This Row],[Jira Story Points]],Tabelle132456891011121314151617[[#This Row],[Carry-over]]),-Tabelle132456891011121314151617[[#This Row],[COsSP Initially Planned]])</f>
        <v>8</v>
      </c>
      <c r="P14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6</v>
      </c>
      <c r="Q145" s="210">
        <f>IF(Tabelle132456891011121314151617[[#This Row],[Status]]=$J$5,Tabelle132456891011121314151617[[#This Row],[COsSP Initially Planned]]+Tabelle132456891011121314151617[[#This Row],[COsSP Pulled after Start]]-Tabelle132456891011121314151617[[#This Row],[CSOsSP Completed]],0)</f>
        <v>0</v>
      </c>
      <c r="R145" s="210">
        <f>Tabelle132456891011121314151617[[#This Row],[COsSP Initially Planned]]+Tabelle132456891011121314151617[[#This Row],[COsSP Pulled after Start]]-Tabelle132456891011121314151617[[#This Row],[CSOsSP Completed]]-Tabelle132456891011121314151617[[#This Row],[CSOsSP Removed]]</f>
        <v>2</v>
      </c>
      <c r="T145" s="201"/>
    </row>
    <row r="146" spans="1:20" ht="13.5" customHeight="1">
      <c r="A146" s="214"/>
      <c r="B146" s="47"/>
      <c r="C146" s="203"/>
      <c r="D146" s="203"/>
      <c r="E146" s="203"/>
      <c r="F146" s="204">
        <v>5</v>
      </c>
      <c r="G146" s="203" t="s">
        <v>5</v>
      </c>
      <c r="H146" s="205" t="s">
        <v>209</v>
      </c>
      <c r="I146" s="206"/>
      <c r="J146" s="1" t="s">
        <v>179</v>
      </c>
      <c r="K146" s="203" t="s">
        <v>127</v>
      </c>
      <c r="L146" s="204">
        <v>21</v>
      </c>
      <c r="M146" s="204">
        <v>2</v>
      </c>
      <c r="N146" s="286">
        <f>IF(OR(Tabelle132456891011121314151617[[#This Row],[Pulled after Start]]="yes",Tabelle132456891011121314151617[[#This Row],[Jira Story Points]]="-"),0,MIN(Tabelle132456891011121314151617[[#This Row],[Jira Story Points]],Tabelle132456891011121314151617[[#This Row],[Carry-over]]))</f>
        <v>0</v>
      </c>
      <c r="O146" s="210">
        <f>SUM(IF(ISBLANK(Tabelle132456891011121314151617[[#This Row],[Carry-over]]),Tabelle132456891011121314151617[[#This Row],[Jira Story Points]],Tabelle132456891011121314151617[[#This Row],[Carry-over]]),-Tabelle132456891011121314151617[[#This Row],[COsSP Initially Planned]])</f>
        <v>21</v>
      </c>
      <c r="P14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19</v>
      </c>
      <c r="Q146" s="210">
        <f>IF(Tabelle132456891011121314151617[[#This Row],[Status]]=$J$5,Tabelle132456891011121314151617[[#This Row],[COsSP Initially Planned]]+Tabelle132456891011121314151617[[#This Row],[COsSP Pulled after Start]]-Tabelle132456891011121314151617[[#This Row],[CSOsSP Completed]],0)</f>
        <v>0</v>
      </c>
      <c r="R146" s="210">
        <f>Tabelle132456891011121314151617[[#This Row],[COsSP Initially Planned]]+Tabelle132456891011121314151617[[#This Row],[COsSP Pulled after Start]]-Tabelle132456891011121314151617[[#This Row],[CSOsSP Completed]]-Tabelle132456891011121314151617[[#This Row],[CSOsSP Removed]]</f>
        <v>2</v>
      </c>
      <c r="T146" s="201"/>
    </row>
    <row r="147" spans="1:20" ht="13.5" customHeight="1">
      <c r="A147" s="214"/>
      <c r="B147" s="47"/>
      <c r="C147" s="203"/>
      <c r="D147" s="203"/>
      <c r="E147" s="203"/>
      <c r="F147" s="204">
        <v>13</v>
      </c>
      <c r="G147" s="203" t="s">
        <v>9</v>
      </c>
      <c r="H147" s="205" t="s">
        <v>209</v>
      </c>
      <c r="I147" s="206"/>
      <c r="J147" s="1" t="s">
        <v>177</v>
      </c>
      <c r="K147" s="203" t="s">
        <v>127</v>
      </c>
      <c r="L147" s="204">
        <v>21</v>
      </c>
      <c r="M147" s="204">
        <v>2</v>
      </c>
      <c r="N147" s="286">
        <f>IF(OR(Tabelle132456891011121314151617[[#This Row],[Pulled after Start]]="yes",Tabelle132456891011121314151617[[#This Row],[Jira Story Points]]="-"),0,MIN(Tabelle132456891011121314151617[[#This Row],[Jira Story Points]],Tabelle132456891011121314151617[[#This Row],[Carry-over]]))</f>
        <v>0</v>
      </c>
      <c r="O147" s="210">
        <f>SUM(IF(ISBLANK(Tabelle132456891011121314151617[[#This Row],[Carry-over]]),Tabelle132456891011121314151617[[#This Row],[Jira Story Points]],Tabelle132456891011121314151617[[#This Row],[Carry-over]]),-Tabelle132456891011121314151617[[#This Row],[COsSP Initially Planned]])</f>
        <v>21</v>
      </c>
      <c r="P14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19</v>
      </c>
      <c r="Q147" s="210">
        <f>IF(Tabelle132456891011121314151617[[#This Row],[Status]]=$J$5,Tabelle132456891011121314151617[[#This Row],[COsSP Initially Planned]]+Tabelle132456891011121314151617[[#This Row],[COsSP Pulled after Start]]-Tabelle132456891011121314151617[[#This Row],[CSOsSP Completed]],0)</f>
        <v>0</v>
      </c>
      <c r="R147" s="210">
        <f>Tabelle132456891011121314151617[[#This Row],[COsSP Initially Planned]]+Tabelle132456891011121314151617[[#This Row],[COsSP Pulled after Start]]-Tabelle132456891011121314151617[[#This Row],[CSOsSP Completed]]-Tabelle132456891011121314151617[[#This Row],[CSOsSP Removed]]</f>
        <v>2</v>
      </c>
      <c r="T147" s="201"/>
    </row>
    <row r="148" spans="1:20" ht="13.5" customHeight="1">
      <c r="A148" s="214"/>
      <c r="B148" s="47"/>
      <c r="C148" s="203"/>
      <c r="D148" s="203"/>
      <c r="E148" s="203"/>
      <c r="F148" s="204" t="s">
        <v>210</v>
      </c>
      <c r="G148" s="203" t="s">
        <v>17</v>
      </c>
      <c r="H148" s="205" t="s">
        <v>209</v>
      </c>
      <c r="I148" s="206"/>
      <c r="J148" s="1" t="s">
        <v>177</v>
      </c>
      <c r="K148" s="203" t="s">
        <v>127</v>
      </c>
      <c r="L148" s="204">
        <v>21</v>
      </c>
      <c r="M148" s="204">
        <v>2</v>
      </c>
      <c r="N148" s="286">
        <f>IF(OR(Tabelle132456891011121314151617[[#This Row],[Pulled after Start]]="yes",Tabelle132456891011121314151617[[#This Row],[Jira Story Points]]="-"),0,MIN(Tabelle132456891011121314151617[[#This Row],[Jira Story Points]],Tabelle132456891011121314151617[[#This Row],[Carry-over]]))</f>
        <v>0</v>
      </c>
      <c r="O148" s="210">
        <f>SUM(IF(ISBLANK(Tabelle132456891011121314151617[[#This Row],[Carry-over]]),Tabelle132456891011121314151617[[#This Row],[Jira Story Points]],Tabelle132456891011121314151617[[#This Row],[Carry-over]]),-Tabelle132456891011121314151617[[#This Row],[COsSP Initially Planned]])</f>
        <v>21</v>
      </c>
      <c r="P14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19</v>
      </c>
      <c r="Q148" s="210">
        <f>IF(Tabelle132456891011121314151617[[#This Row],[Status]]=$J$5,Tabelle132456891011121314151617[[#This Row],[COsSP Initially Planned]]+Tabelle132456891011121314151617[[#This Row],[COsSP Pulled after Start]]-Tabelle132456891011121314151617[[#This Row],[CSOsSP Completed]],0)</f>
        <v>0</v>
      </c>
      <c r="R148" s="210">
        <f>Tabelle132456891011121314151617[[#This Row],[COsSP Initially Planned]]+Tabelle132456891011121314151617[[#This Row],[COsSP Pulled after Start]]-Tabelle132456891011121314151617[[#This Row],[CSOsSP Completed]]-Tabelle132456891011121314151617[[#This Row],[CSOsSP Removed]]</f>
        <v>2</v>
      </c>
      <c r="T148" s="201"/>
    </row>
    <row r="149" spans="1:20" ht="13.5" customHeight="1">
      <c r="A149" s="215"/>
      <c r="B149" s="47"/>
      <c r="C149" s="203"/>
      <c r="D149" s="203"/>
      <c r="E149" s="203"/>
      <c r="F149" s="204">
        <v>5</v>
      </c>
      <c r="G149" s="203" t="s">
        <v>27</v>
      </c>
      <c r="H149" s="205" t="s">
        <v>209</v>
      </c>
      <c r="I149" s="206"/>
      <c r="J149" s="1" t="s">
        <v>181</v>
      </c>
      <c r="K149" s="203" t="s">
        <v>127</v>
      </c>
      <c r="L149" s="204"/>
      <c r="M149" s="204">
        <v>2</v>
      </c>
      <c r="N149" s="286">
        <f>IF(OR(Tabelle132456891011121314151617[[#This Row],[Pulled after Start]]="yes",Tabelle132456891011121314151617[[#This Row],[Jira Story Points]]="-"),0,MIN(Tabelle132456891011121314151617[[#This Row],[Jira Story Points]],Tabelle132456891011121314151617[[#This Row],[Carry-over]]))</f>
        <v>0</v>
      </c>
      <c r="O149" s="210">
        <f>SUM(IF(ISBLANK(Tabelle132456891011121314151617[[#This Row],[Carry-over]]),Tabelle132456891011121314151617[[#This Row],[Jira Story Points]],Tabelle132456891011121314151617[[#This Row],[Carry-over]]),-Tabelle132456891011121314151617[[#This Row],[COsSP Initially Planned]])</f>
        <v>5</v>
      </c>
      <c r="P14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149" s="210">
        <f>IF(Tabelle132456891011121314151617[[#This Row],[Status]]=$J$5,Tabelle132456891011121314151617[[#This Row],[COsSP Initially Planned]]+Tabelle132456891011121314151617[[#This Row],[COsSP Pulled after Start]]-Tabelle132456891011121314151617[[#This Row],[CSOsSP Completed]],0)</f>
        <v>0</v>
      </c>
      <c r="R149" s="210">
        <f>Tabelle132456891011121314151617[[#This Row],[COsSP Initially Planned]]+Tabelle132456891011121314151617[[#This Row],[COsSP Pulled after Start]]-Tabelle132456891011121314151617[[#This Row],[CSOsSP Completed]]-Tabelle132456891011121314151617[[#This Row],[CSOsSP Removed]]</f>
        <v>2</v>
      </c>
      <c r="T149" s="201"/>
    </row>
    <row r="150" spans="1:20" ht="13.5" customHeight="1">
      <c r="A150" s="215"/>
      <c r="B150" s="47"/>
      <c r="C150" s="203"/>
      <c r="D150" s="203"/>
      <c r="E150" s="203"/>
      <c r="F150" s="204">
        <v>13</v>
      </c>
      <c r="G150" s="203" t="s">
        <v>24</v>
      </c>
      <c r="H150" s="205" t="s">
        <v>209</v>
      </c>
      <c r="I150" s="206"/>
      <c r="J150" s="1" t="s">
        <v>177</v>
      </c>
      <c r="K150" s="203" t="s">
        <v>127</v>
      </c>
      <c r="L150" s="204"/>
      <c r="M150" s="204">
        <v>2</v>
      </c>
      <c r="N150" s="286">
        <f>IF(OR(Tabelle132456891011121314151617[[#This Row],[Pulled after Start]]="yes",Tabelle132456891011121314151617[[#This Row],[Jira Story Points]]="-"),0,MIN(Tabelle132456891011121314151617[[#This Row],[Jira Story Points]],Tabelle132456891011121314151617[[#This Row],[Carry-over]]))</f>
        <v>0</v>
      </c>
      <c r="O150" s="210">
        <f>SUM(IF(ISBLANK(Tabelle132456891011121314151617[[#This Row],[Carry-over]]),Tabelle132456891011121314151617[[#This Row],[Jira Story Points]],Tabelle132456891011121314151617[[#This Row],[Carry-over]]),-Tabelle132456891011121314151617[[#This Row],[COsSP Initially Planned]])</f>
        <v>13</v>
      </c>
      <c r="P15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11</v>
      </c>
      <c r="Q150" s="210">
        <f>IF(Tabelle132456891011121314151617[[#This Row],[Status]]=$J$5,Tabelle132456891011121314151617[[#This Row],[COsSP Initially Planned]]+Tabelle132456891011121314151617[[#This Row],[COsSP Pulled after Start]]-Tabelle132456891011121314151617[[#This Row],[CSOsSP Completed]],0)</f>
        <v>0</v>
      </c>
      <c r="R150" s="210">
        <f>Tabelle132456891011121314151617[[#This Row],[COsSP Initially Planned]]+Tabelle132456891011121314151617[[#This Row],[COsSP Pulled after Start]]-Tabelle132456891011121314151617[[#This Row],[CSOsSP Completed]]-Tabelle132456891011121314151617[[#This Row],[CSOsSP Removed]]</f>
        <v>2</v>
      </c>
      <c r="T150" s="201"/>
    </row>
    <row r="151" spans="1:20" ht="13.5" customHeight="1">
      <c r="A151" s="214"/>
      <c r="B151" s="47"/>
      <c r="C151" s="203"/>
      <c r="D151" s="203"/>
      <c r="E151" s="203"/>
      <c r="F151" s="204" t="s">
        <v>210</v>
      </c>
      <c r="G151" s="203" t="s">
        <v>35</v>
      </c>
      <c r="H151" s="205" t="s">
        <v>209</v>
      </c>
      <c r="I151" s="206"/>
      <c r="J151" s="1" t="s">
        <v>177</v>
      </c>
      <c r="K151" s="203" t="s">
        <v>127</v>
      </c>
      <c r="L151" s="204"/>
      <c r="M151" s="204">
        <v>2</v>
      </c>
      <c r="N151" s="286">
        <f>IF(OR(Tabelle132456891011121314151617[[#This Row],[Pulled after Start]]="yes",Tabelle132456891011121314151617[[#This Row],[Jira Story Points]]="-"),0,MIN(Tabelle132456891011121314151617[[#This Row],[Jira Story Points]],Tabelle132456891011121314151617[[#This Row],[Carry-over]]))</f>
        <v>0</v>
      </c>
      <c r="O151" s="210">
        <f>SUM(IF(ISBLANK(Tabelle132456891011121314151617[[#This Row],[Carry-over]]),Tabelle132456891011121314151617[[#This Row],[Jira Story Points]],Tabelle132456891011121314151617[[#This Row],[Carry-over]]),-Tabelle132456891011121314151617[[#This Row],[COsSP Initially Planned]])</f>
        <v>0</v>
      </c>
      <c r="P15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v>
      </c>
      <c r="Q151" s="210">
        <f>IF(Tabelle132456891011121314151617[[#This Row],[Status]]=$J$5,Tabelle132456891011121314151617[[#This Row],[COsSP Initially Planned]]+Tabelle132456891011121314151617[[#This Row],[COsSP Pulled after Start]]-Tabelle132456891011121314151617[[#This Row],[CSOsSP Completed]],0)</f>
        <v>0</v>
      </c>
      <c r="R151" s="210">
        <f>Tabelle132456891011121314151617[[#This Row],[COsSP Initially Planned]]+Tabelle132456891011121314151617[[#This Row],[COsSP Pulled after Start]]-Tabelle132456891011121314151617[[#This Row],[CSOsSP Completed]]-Tabelle132456891011121314151617[[#This Row],[CSOsSP Removed]]</f>
        <v>2</v>
      </c>
      <c r="T151" s="201"/>
    </row>
    <row r="152" spans="1:20" ht="13.5" customHeight="1">
      <c r="A152" s="214"/>
      <c r="B152" s="47"/>
      <c r="C152" s="203"/>
      <c r="D152" s="203"/>
      <c r="E152" s="203"/>
      <c r="F152" s="204">
        <v>5</v>
      </c>
      <c r="G152" s="203" t="s">
        <v>12</v>
      </c>
      <c r="H152" s="205" t="s">
        <v>209</v>
      </c>
      <c r="I152" s="206"/>
      <c r="J152" s="1" t="s">
        <v>177</v>
      </c>
      <c r="K152" s="203" t="s">
        <v>127</v>
      </c>
      <c r="L152" s="204">
        <v>0</v>
      </c>
      <c r="M152" s="204"/>
      <c r="N152" s="286">
        <f>IF(OR(Tabelle132456891011121314151617[[#This Row],[Pulled after Start]]="yes",Tabelle132456891011121314151617[[#This Row],[Jira Story Points]]="-"),0,MIN(Tabelle132456891011121314151617[[#This Row],[Jira Story Points]],Tabelle132456891011121314151617[[#This Row],[Carry-over]]))</f>
        <v>0</v>
      </c>
      <c r="O152" s="210">
        <f>SUM(IF(ISBLANK(Tabelle132456891011121314151617[[#This Row],[Carry-over]]),Tabelle132456891011121314151617[[#This Row],[Jira Story Points]],Tabelle132456891011121314151617[[#This Row],[Carry-over]]),-Tabelle132456891011121314151617[[#This Row],[COsSP Initially Planned]])</f>
        <v>0</v>
      </c>
      <c r="P15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52" s="210">
        <f>IF(Tabelle132456891011121314151617[[#This Row],[Status]]=$J$5,Tabelle132456891011121314151617[[#This Row],[COsSP Initially Planned]]+Tabelle132456891011121314151617[[#This Row],[COsSP Pulled after Start]]-Tabelle132456891011121314151617[[#This Row],[CSOsSP Completed]],0)</f>
        <v>0</v>
      </c>
      <c r="R152" s="210">
        <f>Tabelle132456891011121314151617[[#This Row],[COsSP Initially Planned]]+Tabelle132456891011121314151617[[#This Row],[COsSP Pulled after Start]]-Tabelle132456891011121314151617[[#This Row],[CSOsSP Completed]]-Tabelle132456891011121314151617[[#This Row],[CSOsSP Removed]]</f>
        <v>0</v>
      </c>
      <c r="T152" s="201"/>
    </row>
    <row r="153" spans="1:20" ht="13.5" customHeight="1">
      <c r="A153" s="214"/>
      <c r="B153" s="47"/>
      <c r="C153" s="203"/>
      <c r="D153" s="203"/>
      <c r="E153" s="203"/>
      <c r="F153" s="204">
        <v>13</v>
      </c>
      <c r="G153" s="203" t="s">
        <v>12</v>
      </c>
      <c r="H153" s="205" t="s">
        <v>209</v>
      </c>
      <c r="I153" s="206"/>
      <c r="J153" s="1" t="s">
        <v>179</v>
      </c>
      <c r="K153" s="203" t="s">
        <v>127</v>
      </c>
      <c r="L153" s="204">
        <v>0</v>
      </c>
      <c r="M153" s="204"/>
      <c r="N153" s="286">
        <f>IF(OR(Tabelle132456891011121314151617[[#This Row],[Pulled after Start]]="yes",Tabelle132456891011121314151617[[#This Row],[Jira Story Points]]="-"),0,MIN(Tabelle132456891011121314151617[[#This Row],[Jira Story Points]],Tabelle132456891011121314151617[[#This Row],[Carry-over]]))</f>
        <v>0</v>
      </c>
      <c r="O153" s="210">
        <f>SUM(IF(ISBLANK(Tabelle132456891011121314151617[[#This Row],[Carry-over]]),Tabelle132456891011121314151617[[#This Row],[Jira Story Points]],Tabelle132456891011121314151617[[#This Row],[Carry-over]]),-Tabelle132456891011121314151617[[#This Row],[COsSP Initially Planned]])</f>
        <v>0</v>
      </c>
      <c r="P15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53" s="210">
        <f>IF(Tabelle132456891011121314151617[[#This Row],[Status]]=$J$5,Tabelle132456891011121314151617[[#This Row],[COsSP Initially Planned]]+Tabelle132456891011121314151617[[#This Row],[COsSP Pulled after Start]]-Tabelle132456891011121314151617[[#This Row],[CSOsSP Completed]],0)</f>
        <v>0</v>
      </c>
      <c r="R153" s="210">
        <f>Tabelle132456891011121314151617[[#This Row],[COsSP Initially Planned]]+Tabelle132456891011121314151617[[#This Row],[COsSP Pulled after Start]]-Tabelle132456891011121314151617[[#This Row],[CSOsSP Completed]]-Tabelle132456891011121314151617[[#This Row],[CSOsSP Removed]]</f>
        <v>0</v>
      </c>
      <c r="T153" s="201"/>
    </row>
    <row r="154" spans="1:20" ht="13.5" customHeight="1">
      <c r="A154" s="214"/>
      <c r="B154" s="47"/>
      <c r="C154" s="203"/>
      <c r="D154" s="203"/>
      <c r="E154" s="203"/>
      <c r="F154" s="204" t="s">
        <v>210</v>
      </c>
      <c r="G154" s="203" t="s">
        <v>17</v>
      </c>
      <c r="H154" s="205" t="s">
        <v>209</v>
      </c>
      <c r="I154" s="206"/>
      <c r="J154" s="1" t="s">
        <v>179</v>
      </c>
      <c r="K154" s="203" t="s">
        <v>127</v>
      </c>
      <c r="L154" s="204">
        <v>0</v>
      </c>
      <c r="M154" s="204"/>
      <c r="N154" s="286">
        <f>IF(OR(Tabelle132456891011121314151617[[#This Row],[Pulled after Start]]="yes",Tabelle132456891011121314151617[[#This Row],[Jira Story Points]]="-"),0,MIN(Tabelle132456891011121314151617[[#This Row],[Jira Story Points]],Tabelle132456891011121314151617[[#This Row],[Carry-over]]))</f>
        <v>0</v>
      </c>
      <c r="O154" s="210">
        <f>SUM(IF(ISBLANK(Tabelle132456891011121314151617[[#This Row],[Carry-over]]),Tabelle132456891011121314151617[[#This Row],[Jira Story Points]],Tabelle132456891011121314151617[[#This Row],[Carry-over]]),-Tabelle132456891011121314151617[[#This Row],[COsSP Initially Planned]])</f>
        <v>0</v>
      </c>
      <c r="P15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54" s="210">
        <f>IF(Tabelle132456891011121314151617[[#This Row],[Status]]=$J$5,Tabelle132456891011121314151617[[#This Row],[COsSP Initially Planned]]+Tabelle132456891011121314151617[[#This Row],[COsSP Pulled after Start]]-Tabelle132456891011121314151617[[#This Row],[CSOsSP Completed]],0)</f>
        <v>0</v>
      </c>
      <c r="R154" s="210">
        <f>Tabelle132456891011121314151617[[#This Row],[COsSP Initially Planned]]+Tabelle132456891011121314151617[[#This Row],[COsSP Pulled after Start]]-Tabelle132456891011121314151617[[#This Row],[CSOsSP Completed]]-Tabelle132456891011121314151617[[#This Row],[CSOsSP Removed]]</f>
        <v>0</v>
      </c>
      <c r="T154" s="201"/>
    </row>
    <row r="155" spans="1:20" ht="13.5" customHeight="1">
      <c r="A155" s="214"/>
      <c r="B155" s="47"/>
      <c r="C155" s="203"/>
      <c r="D155" s="203"/>
      <c r="E155" s="203"/>
      <c r="F155" s="204">
        <v>5</v>
      </c>
      <c r="G155" s="203" t="s">
        <v>5</v>
      </c>
      <c r="H155" s="205" t="s">
        <v>209</v>
      </c>
      <c r="I155" s="206"/>
      <c r="J155" s="1" t="s">
        <v>181</v>
      </c>
      <c r="K155" s="203" t="s">
        <v>127</v>
      </c>
      <c r="L155" s="204">
        <v>3</v>
      </c>
      <c r="M155" s="204"/>
      <c r="N155" s="286">
        <f>IF(OR(Tabelle132456891011121314151617[[#This Row],[Pulled after Start]]="yes",Tabelle132456891011121314151617[[#This Row],[Jira Story Points]]="-"),0,MIN(Tabelle132456891011121314151617[[#This Row],[Jira Story Points]],Tabelle132456891011121314151617[[#This Row],[Carry-over]]))</f>
        <v>0</v>
      </c>
      <c r="O155" s="210">
        <f>SUM(IF(ISBLANK(Tabelle132456891011121314151617[[#This Row],[Carry-over]]),Tabelle132456891011121314151617[[#This Row],[Jira Story Points]],Tabelle132456891011121314151617[[#This Row],[Carry-over]]),-Tabelle132456891011121314151617[[#This Row],[COsSP Initially Planned]])</f>
        <v>3</v>
      </c>
      <c r="P15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55" s="210">
        <f>IF(Tabelle132456891011121314151617[[#This Row],[Status]]=$J$5,Tabelle132456891011121314151617[[#This Row],[COsSP Initially Planned]]+Tabelle132456891011121314151617[[#This Row],[COsSP Pulled after Start]]-Tabelle132456891011121314151617[[#This Row],[CSOsSP Completed]],0)</f>
        <v>0</v>
      </c>
      <c r="R155" s="210">
        <f>Tabelle132456891011121314151617[[#This Row],[COsSP Initially Planned]]+Tabelle132456891011121314151617[[#This Row],[COsSP Pulled after Start]]-Tabelle132456891011121314151617[[#This Row],[CSOsSP Completed]]-Tabelle132456891011121314151617[[#This Row],[CSOsSP Removed]]</f>
        <v>3</v>
      </c>
      <c r="T155" s="201"/>
    </row>
    <row r="156" spans="1:20" ht="13.5" customHeight="1">
      <c r="A156" s="214"/>
      <c r="B156" s="47"/>
      <c r="C156" s="203"/>
      <c r="D156" s="203"/>
      <c r="E156" s="203"/>
      <c r="F156" s="204">
        <v>13</v>
      </c>
      <c r="G156" s="203" t="s">
        <v>5</v>
      </c>
      <c r="H156" s="205" t="s">
        <v>209</v>
      </c>
      <c r="I156" s="206"/>
      <c r="J156" s="1" t="s">
        <v>182</v>
      </c>
      <c r="K156" s="203" t="s">
        <v>127</v>
      </c>
      <c r="L156" s="204">
        <v>3</v>
      </c>
      <c r="M156" s="204"/>
      <c r="N156" s="286">
        <f>IF(OR(Tabelle132456891011121314151617[[#This Row],[Pulled after Start]]="yes",Tabelle132456891011121314151617[[#This Row],[Jira Story Points]]="-"),0,MIN(Tabelle132456891011121314151617[[#This Row],[Jira Story Points]],Tabelle132456891011121314151617[[#This Row],[Carry-over]]))</f>
        <v>0</v>
      </c>
      <c r="O156" s="210">
        <f>SUM(IF(ISBLANK(Tabelle132456891011121314151617[[#This Row],[Carry-over]]),Tabelle132456891011121314151617[[#This Row],[Jira Story Points]],Tabelle132456891011121314151617[[#This Row],[Carry-over]]),-Tabelle132456891011121314151617[[#This Row],[COsSP Initially Planned]])</f>
        <v>3</v>
      </c>
      <c r="P15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56" s="210">
        <f>IF(Tabelle132456891011121314151617[[#This Row],[Status]]=$J$5,Tabelle132456891011121314151617[[#This Row],[COsSP Initially Planned]]+Tabelle132456891011121314151617[[#This Row],[COsSP Pulled after Start]]-Tabelle132456891011121314151617[[#This Row],[CSOsSP Completed]],0)</f>
        <v>0</v>
      </c>
      <c r="R156" s="210">
        <f>Tabelle132456891011121314151617[[#This Row],[COsSP Initially Planned]]+Tabelle132456891011121314151617[[#This Row],[COsSP Pulled after Start]]-Tabelle132456891011121314151617[[#This Row],[CSOsSP Completed]]-Tabelle132456891011121314151617[[#This Row],[CSOsSP Removed]]</f>
        <v>3</v>
      </c>
      <c r="T156" s="201"/>
    </row>
    <row r="157" spans="1:20" ht="13.5" customHeight="1">
      <c r="A157" s="214"/>
      <c r="B157" s="47"/>
      <c r="C157" s="203"/>
      <c r="D157" s="203"/>
      <c r="E157" s="203"/>
      <c r="F157" s="204" t="s">
        <v>210</v>
      </c>
      <c r="G157" s="203" t="s">
        <v>12</v>
      </c>
      <c r="H157" s="205" t="s">
        <v>209</v>
      </c>
      <c r="I157" s="206"/>
      <c r="J157" s="1" t="s">
        <v>176</v>
      </c>
      <c r="K157" s="203" t="s">
        <v>127</v>
      </c>
      <c r="L157" s="204">
        <v>3</v>
      </c>
      <c r="M157" s="204"/>
      <c r="N157" s="286">
        <f>IF(OR(Tabelle132456891011121314151617[[#This Row],[Pulled after Start]]="yes",Tabelle132456891011121314151617[[#This Row],[Jira Story Points]]="-"),0,MIN(Tabelle132456891011121314151617[[#This Row],[Jira Story Points]],Tabelle132456891011121314151617[[#This Row],[Carry-over]]))</f>
        <v>0</v>
      </c>
      <c r="O157" s="210">
        <f>SUM(IF(ISBLANK(Tabelle132456891011121314151617[[#This Row],[Carry-over]]),Tabelle132456891011121314151617[[#This Row],[Jira Story Points]],Tabelle132456891011121314151617[[#This Row],[Carry-over]]),-Tabelle132456891011121314151617[[#This Row],[COsSP Initially Planned]])</f>
        <v>3</v>
      </c>
      <c r="P15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57" s="210">
        <f>IF(Tabelle132456891011121314151617[[#This Row],[Status]]=$J$5,Tabelle132456891011121314151617[[#This Row],[COsSP Initially Planned]]+Tabelle132456891011121314151617[[#This Row],[COsSP Pulled after Start]]-Tabelle132456891011121314151617[[#This Row],[CSOsSP Completed]],0)</f>
        <v>0</v>
      </c>
      <c r="R157" s="210">
        <f>Tabelle132456891011121314151617[[#This Row],[COsSP Initially Planned]]+Tabelle132456891011121314151617[[#This Row],[COsSP Pulled after Start]]-Tabelle132456891011121314151617[[#This Row],[CSOsSP Completed]]-Tabelle132456891011121314151617[[#This Row],[CSOsSP Removed]]</f>
        <v>3</v>
      </c>
      <c r="T157" s="201"/>
    </row>
    <row r="158" spans="1:20" ht="13.5" customHeight="1">
      <c r="A158" s="214"/>
      <c r="B158" s="47"/>
      <c r="C158" s="203"/>
      <c r="D158" s="203"/>
      <c r="E158" s="203"/>
      <c r="F158" s="204">
        <v>5</v>
      </c>
      <c r="G158" s="203" t="s">
        <v>21</v>
      </c>
      <c r="H158" s="205" t="s">
        <v>209</v>
      </c>
      <c r="I158" s="206"/>
      <c r="J158" s="1" t="s">
        <v>180</v>
      </c>
      <c r="K158" s="203" t="s">
        <v>127</v>
      </c>
      <c r="L158" s="204">
        <v>8</v>
      </c>
      <c r="M158" s="204"/>
      <c r="N158" s="286">
        <f>IF(OR(Tabelle132456891011121314151617[[#This Row],[Pulled after Start]]="yes",Tabelle132456891011121314151617[[#This Row],[Jira Story Points]]="-"),0,MIN(Tabelle132456891011121314151617[[#This Row],[Jira Story Points]],Tabelle132456891011121314151617[[#This Row],[Carry-over]]))</f>
        <v>0</v>
      </c>
      <c r="O158" s="210">
        <f>SUM(IF(ISBLANK(Tabelle132456891011121314151617[[#This Row],[Carry-over]]),Tabelle132456891011121314151617[[#This Row],[Jira Story Points]],Tabelle132456891011121314151617[[#This Row],[Carry-over]]),-Tabelle132456891011121314151617[[#This Row],[COsSP Initially Planned]])</f>
        <v>8</v>
      </c>
      <c r="P15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58" s="210">
        <f>IF(Tabelle132456891011121314151617[[#This Row],[Status]]=$J$5,Tabelle132456891011121314151617[[#This Row],[COsSP Initially Planned]]+Tabelle132456891011121314151617[[#This Row],[COsSP Pulled after Start]]-Tabelle132456891011121314151617[[#This Row],[CSOsSP Completed]],0)</f>
        <v>0</v>
      </c>
      <c r="R158" s="210">
        <f>Tabelle132456891011121314151617[[#This Row],[COsSP Initially Planned]]+Tabelle132456891011121314151617[[#This Row],[COsSP Pulled after Start]]-Tabelle132456891011121314151617[[#This Row],[CSOsSP Completed]]-Tabelle132456891011121314151617[[#This Row],[CSOsSP Removed]]</f>
        <v>8</v>
      </c>
      <c r="T158" s="201"/>
    </row>
    <row r="159" spans="1:20" ht="13.5" customHeight="1">
      <c r="A159" s="214"/>
      <c r="B159" s="47"/>
      <c r="C159" s="203"/>
      <c r="D159" s="203"/>
      <c r="E159" s="203"/>
      <c r="F159" s="204">
        <v>13</v>
      </c>
      <c r="G159" s="203" t="s">
        <v>17</v>
      </c>
      <c r="H159" s="205" t="s">
        <v>209</v>
      </c>
      <c r="I159" s="206"/>
      <c r="J159" s="1" t="s">
        <v>177</v>
      </c>
      <c r="K159" s="203" t="s">
        <v>127</v>
      </c>
      <c r="L159" s="204">
        <v>8</v>
      </c>
      <c r="M159" s="204"/>
      <c r="N159" s="286">
        <f>IF(OR(Tabelle132456891011121314151617[[#This Row],[Pulled after Start]]="yes",Tabelle132456891011121314151617[[#This Row],[Jira Story Points]]="-"),0,MIN(Tabelle132456891011121314151617[[#This Row],[Jira Story Points]],Tabelle132456891011121314151617[[#This Row],[Carry-over]]))</f>
        <v>0</v>
      </c>
      <c r="O159" s="210">
        <f>SUM(IF(ISBLANK(Tabelle132456891011121314151617[[#This Row],[Carry-over]]),Tabelle132456891011121314151617[[#This Row],[Jira Story Points]],Tabelle132456891011121314151617[[#This Row],[Carry-over]]),-Tabelle132456891011121314151617[[#This Row],[COsSP Initially Planned]])</f>
        <v>8</v>
      </c>
      <c r="P15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59" s="210">
        <f>IF(Tabelle132456891011121314151617[[#This Row],[Status]]=$J$5,Tabelle132456891011121314151617[[#This Row],[COsSP Initially Planned]]+Tabelle132456891011121314151617[[#This Row],[COsSP Pulled after Start]]-Tabelle132456891011121314151617[[#This Row],[CSOsSP Completed]],0)</f>
        <v>0</v>
      </c>
      <c r="R159" s="210">
        <f>Tabelle132456891011121314151617[[#This Row],[COsSP Initially Planned]]+Tabelle132456891011121314151617[[#This Row],[COsSP Pulled after Start]]-Tabelle132456891011121314151617[[#This Row],[CSOsSP Completed]]-Tabelle132456891011121314151617[[#This Row],[CSOsSP Removed]]</f>
        <v>8</v>
      </c>
      <c r="T159" s="201"/>
    </row>
    <row r="160" spans="1:20" ht="13.5" customHeight="1">
      <c r="A160" s="214"/>
      <c r="B160" s="47"/>
      <c r="C160" s="203"/>
      <c r="D160" s="203"/>
      <c r="E160" s="203"/>
      <c r="F160" s="204" t="s">
        <v>210</v>
      </c>
      <c r="G160" s="203" t="s">
        <v>24</v>
      </c>
      <c r="H160" s="205" t="s">
        <v>209</v>
      </c>
      <c r="I160" s="206"/>
      <c r="J160" s="1" t="s">
        <v>184</v>
      </c>
      <c r="K160" s="203" t="s">
        <v>127</v>
      </c>
      <c r="L160" s="204">
        <v>8</v>
      </c>
      <c r="M160" s="204"/>
      <c r="N160" s="286">
        <f>IF(OR(Tabelle132456891011121314151617[[#This Row],[Pulled after Start]]="yes",Tabelle132456891011121314151617[[#This Row],[Jira Story Points]]="-"),0,MIN(Tabelle132456891011121314151617[[#This Row],[Jira Story Points]],Tabelle132456891011121314151617[[#This Row],[Carry-over]]))</f>
        <v>0</v>
      </c>
      <c r="O160" s="210">
        <f>SUM(IF(ISBLANK(Tabelle132456891011121314151617[[#This Row],[Carry-over]]),Tabelle132456891011121314151617[[#This Row],[Jira Story Points]],Tabelle132456891011121314151617[[#This Row],[Carry-over]]),-Tabelle132456891011121314151617[[#This Row],[COsSP Initially Planned]])</f>
        <v>8</v>
      </c>
      <c r="P16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60" s="210">
        <f>IF(Tabelle132456891011121314151617[[#This Row],[Status]]=$J$5,Tabelle132456891011121314151617[[#This Row],[COsSP Initially Planned]]+Tabelle132456891011121314151617[[#This Row],[COsSP Pulled after Start]]-Tabelle132456891011121314151617[[#This Row],[CSOsSP Completed]],0)</f>
        <v>0</v>
      </c>
      <c r="R160" s="210">
        <f>Tabelle132456891011121314151617[[#This Row],[COsSP Initially Planned]]+Tabelle132456891011121314151617[[#This Row],[COsSP Pulled after Start]]-Tabelle132456891011121314151617[[#This Row],[CSOsSP Completed]]-Tabelle132456891011121314151617[[#This Row],[CSOsSP Removed]]</f>
        <v>8</v>
      </c>
      <c r="T160" s="201"/>
    </row>
    <row r="161" spans="1:20" ht="13.5" customHeight="1">
      <c r="A161" s="214"/>
      <c r="B161" s="47"/>
      <c r="C161" s="203"/>
      <c r="D161" s="203"/>
      <c r="E161" s="203"/>
      <c r="F161" s="204">
        <v>5</v>
      </c>
      <c r="G161" s="203" t="s">
        <v>27</v>
      </c>
      <c r="H161" s="205" t="s">
        <v>209</v>
      </c>
      <c r="I161" s="206"/>
      <c r="J161" s="1" t="s">
        <v>177</v>
      </c>
      <c r="K161" s="203" t="s">
        <v>127</v>
      </c>
      <c r="L161" s="204">
        <v>21</v>
      </c>
      <c r="M161" s="204"/>
      <c r="N161" s="286">
        <f>IF(OR(Tabelle132456891011121314151617[[#This Row],[Pulled after Start]]="yes",Tabelle132456891011121314151617[[#This Row],[Jira Story Points]]="-"),0,MIN(Tabelle132456891011121314151617[[#This Row],[Jira Story Points]],Tabelle132456891011121314151617[[#This Row],[Carry-over]]))</f>
        <v>0</v>
      </c>
      <c r="O161" s="210">
        <f>SUM(IF(ISBLANK(Tabelle132456891011121314151617[[#This Row],[Carry-over]]),Tabelle132456891011121314151617[[#This Row],[Jira Story Points]],Tabelle132456891011121314151617[[#This Row],[Carry-over]]),-Tabelle132456891011121314151617[[#This Row],[COsSP Initially Planned]])</f>
        <v>21</v>
      </c>
      <c r="P16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61" s="210">
        <f>IF(Tabelle132456891011121314151617[[#This Row],[Status]]=$J$5,Tabelle132456891011121314151617[[#This Row],[COsSP Initially Planned]]+Tabelle132456891011121314151617[[#This Row],[COsSP Pulled after Start]]-Tabelle132456891011121314151617[[#This Row],[CSOsSP Completed]],0)</f>
        <v>0</v>
      </c>
      <c r="R161" s="210">
        <f>Tabelle132456891011121314151617[[#This Row],[COsSP Initially Planned]]+Tabelle132456891011121314151617[[#This Row],[COsSP Pulled after Start]]-Tabelle132456891011121314151617[[#This Row],[CSOsSP Completed]]-Tabelle132456891011121314151617[[#This Row],[CSOsSP Removed]]</f>
        <v>21</v>
      </c>
      <c r="T161" s="201"/>
    </row>
    <row r="162" spans="1:20" ht="13.5" customHeight="1">
      <c r="A162" s="214"/>
      <c r="B162" s="47"/>
      <c r="C162" s="203"/>
      <c r="D162" s="203"/>
      <c r="E162" s="203"/>
      <c r="F162" s="204">
        <v>13</v>
      </c>
      <c r="G162" s="203" t="s">
        <v>17</v>
      </c>
      <c r="H162" s="205" t="s">
        <v>209</v>
      </c>
      <c r="I162" s="206"/>
      <c r="J162" s="1" t="s">
        <v>178</v>
      </c>
      <c r="K162" s="203" t="s">
        <v>127</v>
      </c>
      <c r="L162" s="204">
        <v>21</v>
      </c>
      <c r="M162" s="204"/>
      <c r="N162" s="286">
        <f>IF(OR(Tabelle132456891011121314151617[[#This Row],[Pulled after Start]]="yes",Tabelle132456891011121314151617[[#This Row],[Jira Story Points]]="-"),0,MIN(Tabelle132456891011121314151617[[#This Row],[Jira Story Points]],Tabelle132456891011121314151617[[#This Row],[Carry-over]]))</f>
        <v>0</v>
      </c>
      <c r="O162" s="210">
        <f>SUM(IF(ISBLANK(Tabelle132456891011121314151617[[#This Row],[Carry-over]]),Tabelle132456891011121314151617[[#This Row],[Jira Story Points]],Tabelle132456891011121314151617[[#This Row],[Carry-over]]),-Tabelle132456891011121314151617[[#This Row],[COsSP Initially Planned]])</f>
        <v>21</v>
      </c>
      <c r="P16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62" s="210">
        <f>IF(Tabelle132456891011121314151617[[#This Row],[Status]]=$J$5,Tabelle132456891011121314151617[[#This Row],[COsSP Initially Planned]]+Tabelle132456891011121314151617[[#This Row],[COsSP Pulled after Start]]-Tabelle132456891011121314151617[[#This Row],[CSOsSP Completed]],0)</f>
        <v>0</v>
      </c>
      <c r="R162" s="210">
        <f>Tabelle132456891011121314151617[[#This Row],[COsSP Initially Planned]]+Tabelle132456891011121314151617[[#This Row],[COsSP Pulled after Start]]-Tabelle132456891011121314151617[[#This Row],[CSOsSP Completed]]-Tabelle132456891011121314151617[[#This Row],[CSOsSP Removed]]</f>
        <v>21</v>
      </c>
      <c r="T162" s="201"/>
    </row>
    <row r="163" spans="1:20" ht="13.5" customHeight="1">
      <c r="A163" s="214"/>
      <c r="B163" s="47"/>
      <c r="C163" s="203"/>
      <c r="D163" s="203"/>
      <c r="E163" s="203"/>
      <c r="F163" s="204" t="s">
        <v>210</v>
      </c>
      <c r="G163" s="203" t="s">
        <v>24</v>
      </c>
      <c r="H163" s="205" t="s">
        <v>209</v>
      </c>
      <c r="I163" s="206"/>
      <c r="J163" s="1" t="s">
        <v>180</v>
      </c>
      <c r="K163" s="203" t="s">
        <v>127</v>
      </c>
      <c r="L163" s="204">
        <v>21</v>
      </c>
      <c r="M163" s="204"/>
      <c r="N163" s="286">
        <f>IF(OR(Tabelle132456891011121314151617[[#This Row],[Pulled after Start]]="yes",Tabelle132456891011121314151617[[#This Row],[Jira Story Points]]="-"),0,MIN(Tabelle132456891011121314151617[[#This Row],[Jira Story Points]],Tabelle132456891011121314151617[[#This Row],[Carry-over]]))</f>
        <v>0</v>
      </c>
      <c r="O163" s="210">
        <f>SUM(IF(ISBLANK(Tabelle132456891011121314151617[[#This Row],[Carry-over]]),Tabelle132456891011121314151617[[#This Row],[Jira Story Points]],Tabelle132456891011121314151617[[#This Row],[Carry-over]]),-Tabelle132456891011121314151617[[#This Row],[COsSP Initially Planned]])</f>
        <v>21</v>
      </c>
      <c r="P16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63" s="210">
        <f>IF(Tabelle132456891011121314151617[[#This Row],[Status]]=$J$5,Tabelle132456891011121314151617[[#This Row],[COsSP Initially Planned]]+Tabelle132456891011121314151617[[#This Row],[COsSP Pulled after Start]]-Tabelle132456891011121314151617[[#This Row],[CSOsSP Completed]],0)</f>
        <v>0</v>
      </c>
      <c r="R163" s="210">
        <f>Tabelle132456891011121314151617[[#This Row],[COsSP Initially Planned]]+Tabelle132456891011121314151617[[#This Row],[COsSP Pulled after Start]]-Tabelle132456891011121314151617[[#This Row],[CSOsSP Completed]]-Tabelle132456891011121314151617[[#This Row],[CSOsSP Removed]]</f>
        <v>21</v>
      </c>
      <c r="T163" s="201"/>
    </row>
    <row r="164" spans="1:20" ht="13.5" customHeight="1">
      <c r="A164" s="214"/>
      <c r="B164" s="47"/>
      <c r="C164" s="203"/>
      <c r="D164" s="203"/>
      <c r="E164" s="203"/>
      <c r="F164" s="204">
        <v>5</v>
      </c>
      <c r="G164" s="203" t="s">
        <v>27</v>
      </c>
      <c r="H164" s="205" t="s">
        <v>209</v>
      </c>
      <c r="I164" s="206"/>
      <c r="J164" s="1" t="s">
        <v>180</v>
      </c>
      <c r="K164" s="203" t="s">
        <v>127</v>
      </c>
      <c r="L164" s="204"/>
      <c r="M164" s="204"/>
      <c r="N164" s="286">
        <f>IF(OR(Tabelle132456891011121314151617[[#This Row],[Pulled after Start]]="yes",Tabelle132456891011121314151617[[#This Row],[Jira Story Points]]="-"),0,MIN(Tabelle132456891011121314151617[[#This Row],[Jira Story Points]],Tabelle132456891011121314151617[[#This Row],[Carry-over]]))</f>
        <v>0</v>
      </c>
      <c r="O164" s="210">
        <f>SUM(IF(ISBLANK(Tabelle132456891011121314151617[[#This Row],[Carry-over]]),Tabelle132456891011121314151617[[#This Row],[Jira Story Points]],Tabelle132456891011121314151617[[#This Row],[Carry-over]]),-Tabelle132456891011121314151617[[#This Row],[COsSP Initially Planned]])</f>
        <v>5</v>
      </c>
      <c r="P16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64" s="210">
        <f>IF(Tabelle132456891011121314151617[[#This Row],[Status]]=$J$5,Tabelle132456891011121314151617[[#This Row],[COsSP Initially Planned]]+Tabelle132456891011121314151617[[#This Row],[COsSP Pulled after Start]]-Tabelle132456891011121314151617[[#This Row],[CSOsSP Completed]],0)</f>
        <v>0</v>
      </c>
      <c r="R164" s="210">
        <f>Tabelle132456891011121314151617[[#This Row],[COsSP Initially Planned]]+Tabelle132456891011121314151617[[#This Row],[COsSP Pulled after Start]]-Tabelle132456891011121314151617[[#This Row],[CSOsSP Completed]]-Tabelle132456891011121314151617[[#This Row],[CSOsSP Removed]]</f>
        <v>5</v>
      </c>
      <c r="T164" s="201"/>
    </row>
    <row r="165" spans="1:20" ht="13.5" customHeight="1">
      <c r="A165" s="214"/>
      <c r="B165" s="47"/>
      <c r="C165" s="203"/>
      <c r="D165" s="203"/>
      <c r="E165" s="203"/>
      <c r="F165" s="204">
        <v>13</v>
      </c>
      <c r="G165" s="203" t="s">
        <v>17</v>
      </c>
      <c r="H165" s="205" t="s">
        <v>209</v>
      </c>
      <c r="I165" s="206"/>
      <c r="J165" s="1" t="s">
        <v>183</v>
      </c>
      <c r="K165" s="203" t="s">
        <v>127</v>
      </c>
      <c r="L165" s="204"/>
      <c r="M165" s="204"/>
      <c r="N165" s="286">
        <f>IF(OR(Tabelle132456891011121314151617[[#This Row],[Pulled after Start]]="yes",Tabelle132456891011121314151617[[#This Row],[Jira Story Points]]="-"),0,MIN(Tabelle132456891011121314151617[[#This Row],[Jira Story Points]],Tabelle132456891011121314151617[[#This Row],[Carry-over]]))</f>
        <v>0</v>
      </c>
      <c r="O165" s="210">
        <f>SUM(IF(ISBLANK(Tabelle132456891011121314151617[[#This Row],[Carry-over]]),Tabelle132456891011121314151617[[#This Row],[Jira Story Points]],Tabelle132456891011121314151617[[#This Row],[Carry-over]]),-Tabelle132456891011121314151617[[#This Row],[COsSP Initially Planned]])</f>
        <v>13</v>
      </c>
      <c r="P16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65" s="210">
        <f>IF(Tabelle132456891011121314151617[[#This Row],[Status]]=$J$5,Tabelle132456891011121314151617[[#This Row],[COsSP Initially Planned]]+Tabelle132456891011121314151617[[#This Row],[COsSP Pulled after Start]]-Tabelle132456891011121314151617[[#This Row],[CSOsSP Completed]],0)</f>
        <v>0</v>
      </c>
      <c r="R165" s="210">
        <f>Tabelle132456891011121314151617[[#This Row],[COsSP Initially Planned]]+Tabelle132456891011121314151617[[#This Row],[COsSP Pulled after Start]]-Tabelle132456891011121314151617[[#This Row],[CSOsSP Completed]]-Tabelle132456891011121314151617[[#This Row],[CSOsSP Removed]]</f>
        <v>13</v>
      </c>
      <c r="T165" s="201"/>
    </row>
    <row r="166" spans="1:20" ht="13.5" customHeight="1">
      <c r="A166" s="214"/>
      <c r="B166" s="47"/>
      <c r="C166" s="203"/>
      <c r="D166" s="203"/>
      <c r="E166" s="203"/>
      <c r="F166" s="204" t="s">
        <v>210</v>
      </c>
      <c r="G166" s="203" t="s">
        <v>12</v>
      </c>
      <c r="H166" s="205" t="s">
        <v>209</v>
      </c>
      <c r="I166" s="206"/>
      <c r="J166" s="1" t="s">
        <v>183</v>
      </c>
      <c r="K166" s="203" t="s">
        <v>127</v>
      </c>
      <c r="L166" s="204"/>
      <c r="M166" s="204"/>
      <c r="N166" s="286">
        <f>IF(OR(Tabelle132456891011121314151617[[#This Row],[Pulled after Start]]="yes",Tabelle132456891011121314151617[[#This Row],[Jira Story Points]]="-"),0,MIN(Tabelle132456891011121314151617[[#This Row],[Jira Story Points]],Tabelle132456891011121314151617[[#This Row],[Carry-over]]))</f>
        <v>0</v>
      </c>
      <c r="O166" s="210">
        <f>SUM(IF(ISBLANK(Tabelle132456891011121314151617[[#This Row],[Carry-over]]),Tabelle132456891011121314151617[[#This Row],[Jira Story Points]],Tabelle132456891011121314151617[[#This Row],[Carry-over]]),-Tabelle132456891011121314151617[[#This Row],[COsSP Initially Planned]])</f>
        <v>0</v>
      </c>
      <c r="P16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66" s="210">
        <f>IF(Tabelle132456891011121314151617[[#This Row],[Status]]=$J$5,Tabelle132456891011121314151617[[#This Row],[COsSP Initially Planned]]+Tabelle132456891011121314151617[[#This Row],[COsSP Pulled after Start]]-Tabelle132456891011121314151617[[#This Row],[CSOsSP Completed]],0)</f>
        <v>0</v>
      </c>
      <c r="R166" s="210">
        <f>Tabelle132456891011121314151617[[#This Row],[COsSP Initially Planned]]+Tabelle132456891011121314151617[[#This Row],[COsSP Pulled after Start]]-Tabelle132456891011121314151617[[#This Row],[CSOsSP Completed]]-Tabelle132456891011121314151617[[#This Row],[CSOsSP Removed]]</f>
        <v>0</v>
      </c>
      <c r="T166" s="201"/>
    </row>
    <row r="167" spans="1:20" ht="13.5" customHeight="1">
      <c r="A167" s="285"/>
      <c r="B167" s="285"/>
      <c r="C167" s="203"/>
      <c r="D167" s="203"/>
      <c r="E167" s="203"/>
      <c r="F167" s="204">
        <v>5</v>
      </c>
      <c r="G167" s="203" t="s">
        <v>12</v>
      </c>
      <c r="H167" s="205"/>
      <c r="I167" s="206"/>
      <c r="J167" s="1" t="s">
        <v>182</v>
      </c>
      <c r="K167" s="203" t="s">
        <v>127</v>
      </c>
      <c r="L167" s="204">
        <v>0</v>
      </c>
      <c r="M167" s="204">
        <v>0</v>
      </c>
      <c r="N167" s="286">
        <f>IF(OR(Tabelle132456891011121314151617[[#This Row],[Pulled after Start]]="yes",Tabelle132456891011121314151617[[#This Row],[Jira Story Points]]="-"),0,MIN(Tabelle132456891011121314151617[[#This Row],[Jira Story Points]],Tabelle132456891011121314151617[[#This Row],[Carry-over]]))</f>
        <v>0</v>
      </c>
      <c r="O167" s="210">
        <f>SUM(IF(ISBLANK(Tabelle132456891011121314151617[[#This Row],[Carry-over]]),Tabelle132456891011121314151617[[#This Row],[Jira Story Points]],Tabelle132456891011121314151617[[#This Row],[Carry-over]]),-Tabelle132456891011121314151617[[#This Row],[COsSP Initially Planned]])</f>
        <v>0</v>
      </c>
      <c r="P16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67" s="210">
        <f>IF(Tabelle132456891011121314151617[[#This Row],[Status]]=$J$5,Tabelle132456891011121314151617[[#This Row],[COsSP Initially Planned]]+Tabelle132456891011121314151617[[#This Row],[COsSP Pulled after Start]]-Tabelle132456891011121314151617[[#This Row],[CSOsSP Completed]],0)</f>
        <v>0</v>
      </c>
      <c r="R167" s="210">
        <f>Tabelle132456891011121314151617[[#This Row],[COsSP Initially Planned]]+Tabelle132456891011121314151617[[#This Row],[COsSP Pulled after Start]]-Tabelle132456891011121314151617[[#This Row],[CSOsSP Completed]]-Tabelle132456891011121314151617[[#This Row],[CSOsSP Removed]]</f>
        <v>0</v>
      </c>
      <c r="T167" s="201"/>
    </row>
    <row r="168" spans="1:20" ht="13.5" customHeight="1">
      <c r="A168" s="285"/>
      <c r="B168" s="285"/>
      <c r="C168" s="203"/>
      <c r="D168" s="203"/>
      <c r="E168" s="203"/>
      <c r="F168" s="204">
        <v>13</v>
      </c>
      <c r="G168" s="203" t="s">
        <v>21</v>
      </c>
      <c r="H168" s="205"/>
      <c r="I168" s="206"/>
      <c r="J168" s="1" t="s">
        <v>175</v>
      </c>
      <c r="K168" s="203" t="s">
        <v>127</v>
      </c>
      <c r="L168" s="204">
        <v>0</v>
      </c>
      <c r="M168" s="204">
        <v>0</v>
      </c>
      <c r="N168" s="286">
        <f>IF(OR(Tabelle132456891011121314151617[[#This Row],[Pulled after Start]]="yes",Tabelle132456891011121314151617[[#This Row],[Jira Story Points]]="-"),0,MIN(Tabelle132456891011121314151617[[#This Row],[Jira Story Points]],Tabelle132456891011121314151617[[#This Row],[Carry-over]]))</f>
        <v>0</v>
      </c>
      <c r="O168" s="210">
        <f>SUM(IF(ISBLANK(Tabelle132456891011121314151617[[#This Row],[Carry-over]]),Tabelle132456891011121314151617[[#This Row],[Jira Story Points]],Tabelle132456891011121314151617[[#This Row],[Carry-over]]),-Tabelle132456891011121314151617[[#This Row],[COsSP Initially Planned]])</f>
        <v>0</v>
      </c>
      <c r="P16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68" s="210">
        <f>IF(Tabelle132456891011121314151617[[#This Row],[Status]]=$J$5,Tabelle132456891011121314151617[[#This Row],[COsSP Initially Planned]]+Tabelle132456891011121314151617[[#This Row],[COsSP Pulled after Start]]-Tabelle132456891011121314151617[[#This Row],[CSOsSP Completed]],0)</f>
        <v>0</v>
      </c>
      <c r="R168" s="210">
        <f>Tabelle132456891011121314151617[[#This Row],[COsSP Initially Planned]]+Tabelle132456891011121314151617[[#This Row],[COsSP Pulled after Start]]-Tabelle132456891011121314151617[[#This Row],[CSOsSP Completed]]-Tabelle132456891011121314151617[[#This Row],[CSOsSP Removed]]</f>
        <v>0</v>
      </c>
      <c r="T168" s="201"/>
    </row>
    <row r="169" spans="1:20" ht="13.5" customHeight="1">
      <c r="A169" s="214"/>
      <c r="B169" s="47"/>
      <c r="C169" s="203"/>
      <c r="D169" s="203"/>
      <c r="E169" s="203"/>
      <c r="F169" s="204" t="s">
        <v>210</v>
      </c>
      <c r="G169" s="203" t="s">
        <v>35</v>
      </c>
      <c r="H169" s="205"/>
      <c r="I169" s="206"/>
      <c r="J169" s="1" t="s">
        <v>180</v>
      </c>
      <c r="K169" s="203" t="s">
        <v>127</v>
      </c>
      <c r="L169" s="204">
        <v>0</v>
      </c>
      <c r="M169" s="204">
        <v>0</v>
      </c>
      <c r="N169" s="286">
        <f>IF(OR(Tabelle132456891011121314151617[[#This Row],[Pulled after Start]]="yes",Tabelle132456891011121314151617[[#This Row],[Jira Story Points]]="-"),0,MIN(Tabelle132456891011121314151617[[#This Row],[Jira Story Points]],Tabelle132456891011121314151617[[#This Row],[Carry-over]]))</f>
        <v>0</v>
      </c>
      <c r="O169" s="210">
        <f>SUM(IF(ISBLANK(Tabelle132456891011121314151617[[#This Row],[Carry-over]]),Tabelle132456891011121314151617[[#This Row],[Jira Story Points]],Tabelle132456891011121314151617[[#This Row],[Carry-over]]),-Tabelle132456891011121314151617[[#This Row],[COsSP Initially Planned]])</f>
        <v>0</v>
      </c>
      <c r="P16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69" s="210">
        <f>IF(Tabelle132456891011121314151617[[#This Row],[Status]]=$J$5,Tabelle132456891011121314151617[[#This Row],[COsSP Initially Planned]]+Tabelle132456891011121314151617[[#This Row],[COsSP Pulled after Start]]-Tabelle132456891011121314151617[[#This Row],[CSOsSP Completed]],0)</f>
        <v>0</v>
      </c>
      <c r="R169" s="210">
        <f>Tabelle132456891011121314151617[[#This Row],[COsSP Initially Planned]]+Tabelle132456891011121314151617[[#This Row],[COsSP Pulled after Start]]-Tabelle132456891011121314151617[[#This Row],[CSOsSP Completed]]-Tabelle132456891011121314151617[[#This Row],[CSOsSP Removed]]</f>
        <v>0</v>
      </c>
      <c r="T169" s="201"/>
    </row>
    <row r="170" spans="1:20" ht="13.5" customHeight="1">
      <c r="A170" s="285"/>
      <c r="B170" s="285"/>
      <c r="C170" s="203"/>
      <c r="D170" s="203"/>
      <c r="E170" s="203"/>
      <c r="F170" s="204">
        <v>5</v>
      </c>
      <c r="G170" s="203" t="s">
        <v>27</v>
      </c>
      <c r="H170" s="205"/>
      <c r="I170" s="206"/>
      <c r="J170" s="1" t="s">
        <v>176</v>
      </c>
      <c r="K170" s="203" t="s">
        <v>127</v>
      </c>
      <c r="L170" s="204">
        <v>3</v>
      </c>
      <c r="M170" s="204">
        <v>0</v>
      </c>
      <c r="N170" s="286">
        <f>IF(OR(Tabelle132456891011121314151617[[#This Row],[Pulled after Start]]="yes",Tabelle132456891011121314151617[[#This Row],[Jira Story Points]]="-"),0,MIN(Tabelle132456891011121314151617[[#This Row],[Jira Story Points]],Tabelle132456891011121314151617[[#This Row],[Carry-over]]))</f>
        <v>3</v>
      </c>
      <c r="O170" s="210">
        <f>SUM(IF(ISBLANK(Tabelle132456891011121314151617[[#This Row],[Carry-over]]),Tabelle132456891011121314151617[[#This Row],[Jira Story Points]],Tabelle132456891011121314151617[[#This Row],[Carry-over]]),-Tabelle132456891011121314151617[[#This Row],[COsSP Initially Planned]])</f>
        <v>0</v>
      </c>
      <c r="P17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170" s="210">
        <f>IF(Tabelle132456891011121314151617[[#This Row],[Status]]=$J$5,Tabelle132456891011121314151617[[#This Row],[COsSP Initially Planned]]+Tabelle132456891011121314151617[[#This Row],[COsSP Pulled after Start]]-Tabelle132456891011121314151617[[#This Row],[CSOsSP Completed]],0)</f>
        <v>0</v>
      </c>
      <c r="R170" s="210">
        <f>Tabelle132456891011121314151617[[#This Row],[COsSP Initially Planned]]+Tabelle132456891011121314151617[[#This Row],[COsSP Pulled after Start]]-Tabelle132456891011121314151617[[#This Row],[CSOsSP Completed]]-Tabelle132456891011121314151617[[#This Row],[CSOsSP Removed]]</f>
        <v>0</v>
      </c>
      <c r="T170" s="201"/>
    </row>
    <row r="171" spans="1:20" ht="13.5" customHeight="1">
      <c r="A171" s="285"/>
      <c r="B171" s="285"/>
      <c r="C171" s="203"/>
      <c r="D171" s="203"/>
      <c r="E171" s="203"/>
      <c r="F171" s="204">
        <v>13</v>
      </c>
      <c r="G171" s="203" t="s">
        <v>107</v>
      </c>
      <c r="H171" s="205"/>
      <c r="I171" s="206"/>
      <c r="J171" s="1" t="s">
        <v>176</v>
      </c>
      <c r="K171" s="203" t="s">
        <v>127</v>
      </c>
      <c r="L171" s="204">
        <v>3</v>
      </c>
      <c r="M171" s="204">
        <v>0</v>
      </c>
      <c r="N171" s="286">
        <f>IF(OR(Tabelle132456891011121314151617[[#This Row],[Pulled after Start]]="yes",Tabelle132456891011121314151617[[#This Row],[Jira Story Points]]="-"),0,MIN(Tabelle132456891011121314151617[[#This Row],[Jira Story Points]],Tabelle132456891011121314151617[[#This Row],[Carry-over]]))</f>
        <v>3</v>
      </c>
      <c r="O171" s="210">
        <f>SUM(IF(ISBLANK(Tabelle132456891011121314151617[[#This Row],[Carry-over]]),Tabelle132456891011121314151617[[#This Row],[Jira Story Points]],Tabelle132456891011121314151617[[#This Row],[Carry-over]]),-Tabelle132456891011121314151617[[#This Row],[COsSP Initially Planned]])</f>
        <v>0</v>
      </c>
      <c r="P17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171" s="210">
        <f>IF(Tabelle132456891011121314151617[[#This Row],[Status]]=$J$5,Tabelle132456891011121314151617[[#This Row],[COsSP Initially Planned]]+Tabelle132456891011121314151617[[#This Row],[COsSP Pulled after Start]]-Tabelle132456891011121314151617[[#This Row],[CSOsSP Completed]],0)</f>
        <v>0</v>
      </c>
      <c r="R171" s="210">
        <f>Tabelle132456891011121314151617[[#This Row],[COsSP Initially Planned]]+Tabelle132456891011121314151617[[#This Row],[COsSP Pulled after Start]]-Tabelle132456891011121314151617[[#This Row],[CSOsSP Completed]]-Tabelle132456891011121314151617[[#This Row],[CSOsSP Removed]]</f>
        <v>0</v>
      </c>
      <c r="T171" s="201"/>
    </row>
    <row r="172" spans="1:20" ht="13.5" customHeight="1">
      <c r="A172" s="214"/>
      <c r="B172" s="47"/>
      <c r="C172" s="203"/>
      <c r="D172" s="203"/>
      <c r="E172" s="203"/>
      <c r="F172" s="204" t="s">
        <v>210</v>
      </c>
      <c r="G172" s="203" t="s">
        <v>12</v>
      </c>
      <c r="H172" s="205"/>
      <c r="I172" s="206"/>
      <c r="J172" s="1" t="s">
        <v>179</v>
      </c>
      <c r="K172" s="203" t="s">
        <v>127</v>
      </c>
      <c r="L172" s="204">
        <v>3</v>
      </c>
      <c r="M172" s="204">
        <v>0</v>
      </c>
      <c r="N172" s="286">
        <f>IF(OR(Tabelle132456891011121314151617[[#This Row],[Pulled after Start]]="yes",Tabelle132456891011121314151617[[#This Row],[Jira Story Points]]="-"),0,MIN(Tabelle132456891011121314151617[[#This Row],[Jira Story Points]],Tabelle132456891011121314151617[[#This Row],[Carry-over]]))</f>
        <v>0</v>
      </c>
      <c r="O172" s="210">
        <f>SUM(IF(ISBLANK(Tabelle132456891011121314151617[[#This Row],[Carry-over]]),Tabelle132456891011121314151617[[#This Row],[Jira Story Points]],Tabelle132456891011121314151617[[#This Row],[Carry-over]]),-Tabelle132456891011121314151617[[#This Row],[COsSP Initially Planned]])</f>
        <v>3</v>
      </c>
      <c r="P17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172" s="210">
        <f>IF(Tabelle132456891011121314151617[[#This Row],[Status]]=$J$5,Tabelle132456891011121314151617[[#This Row],[COsSP Initially Planned]]+Tabelle132456891011121314151617[[#This Row],[COsSP Pulled after Start]]-Tabelle132456891011121314151617[[#This Row],[CSOsSP Completed]],0)</f>
        <v>0</v>
      </c>
      <c r="R172" s="210">
        <f>Tabelle132456891011121314151617[[#This Row],[COsSP Initially Planned]]+Tabelle132456891011121314151617[[#This Row],[COsSP Pulled after Start]]-Tabelle132456891011121314151617[[#This Row],[CSOsSP Completed]]-Tabelle132456891011121314151617[[#This Row],[CSOsSP Removed]]</f>
        <v>0</v>
      </c>
      <c r="T172" s="201"/>
    </row>
    <row r="173" spans="1:20" ht="13.5" customHeight="1">
      <c r="A173" s="214"/>
      <c r="B173" s="47"/>
      <c r="C173" s="203"/>
      <c r="D173" s="203"/>
      <c r="E173" s="203"/>
      <c r="F173" s="204">
        <v>5</v>
      </c>
      <c r="G173" s="203" t="s">
        <v>107</v>
      </c>
      <c r="H173" s="205"/>
      <c r="I173" s="206"/>
      <c r="J173" s="1" t="s">
        <v>182</v>
      </c>
      <c r="K173" s="203" t="s">
        <v>127</v>
      </c>
      <c r="L173" s="204">
        <v>8</v>
      </c>
      <c r="M173" s="204">
        <v>0</v>
      </c>
      <c r="N173" s="286">
        <f>IF(OR(Tabelle132456891011121314151617[[#This Row],[Pulled after Start]]="yes",Tabelle132456891011121314151617[[#This Row],[Jira Story Points]]="-"),0,MIN(Tabelle132456891011121314151617[[#This Row],[Jira Story Points]],Tabelle132456891011121314151617[[#This Row],[Carry-over]]))</f>
        <v>5</v>
      </c>
      <c r="O173" s="210">
        <f>SUM(IF(ISBLANK(Tabelle132456891011121314151617[[#This Row],[Carry-over]]),Tabelle132456891011121314151617[[#This Row],[Jira Story Points]],Tabelle132456891011121314151617[[#This Row],[Carry-over]]),-Tabelle132456891011121314151617[[#This Row],[COsSP Initially Planned]])</f>
        <v>3</v>
      </c>
      <c r="P17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173" s="210">
        <f>IF(Tabelle132456891011121314151617[[#This Row],[Status]]=$J$5,Tabelle132456891011121314151617[[#This Row],[COsSP Initially Planned]]+Tabelle132456891011121314151617[[#This Row],[COsSP Pulled after Start]]-Tabelle132456891011121314151617[[#This Row],[CSOsSP Completed]],0)</f>
        <v>0</v>
      </c>
      <c r="R173" s="210">
        <f>Tabelle132456891011121314151617[[#This Row],[COsSP Initially Planned]]+Tabelle132456891011121314151617[[#This Row],[COsSP Pulled after Start]]-Tabelle132456891011121314151617[[#This Row],[CSOsSP Completed]]-Tabelle132456891011121314151617[[#This Row],[CSOsSP Removed]]</f>
        <v>0</v>
      </c>
      <c r="T173" s="201"/>
    </row>
    <row r="174" spans="1:20" ht="13.5" customHeight="1">
      <c r="A174" s="214"/>
      <c r="B174" s="47"/>
      <c r="C174" s="203"/>
      <c r="D174" s="203"/>
      <c r="E174" s="203"/>
      <c r="F174" s="204">
        <v>13</v>
      </c>
      <c r="G174" s="203" t="s">
        <v>21</v>
      </c>
      <c r="H174" s="205"/>
      <c r="I174" s="206"/>
      <c r="J174" s="1" t="s">
        <v>181</v>
      </c>
      <c r="K174" s="203" t="s">
        <v>127</v>
      </c>
      <c r="L174" s="204">
        <v>8</v>
      </c>
      <c r="M174" s="204">
        <v>0</v>
      </c>
      <c r="N174" s="286">
        <f>IF(OR(Tabelle132456891011121314151617[[#This Row],[Pulled after Start]]="yes",Tabelle132456891011121314151617[[#This Row],[Jira Story Points]]="-"),0,MIN(Tabelle132456891011121314151617[[#This Row],[Jira Story Points]],Tabelle132456891011121314151617[[#This Row],[Carry-over]]))</f>
        <v>8</v>
      </c>
      <c r="O174" s="210">
        <f>SUM(IF(ISBLANK(Tabelle132456891011121314151617[[#This Row],[Carry-over]]),Tabelle132456891011121314151617[[#This Row],[Jira Story Points]],Tabelle132456891011121314151617[[#This Row],[Carry-over]]),-Tabelle132456891011121314151617[[#This Row],[COsSP Initially Planned]])</f>
        <v>0</v>
      </c>
      <c r="P17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174" s="210">
        <f>IF(Tabelle132456891011121314151617[[#This Row],[Status]]=$J$5,Tabelle132456891011121314151617[[#This Row],[COsSP Initially Planned]]+Tabelle132456891011121314151617[[#This Row],[COsSP Pulled after Start]]-Tabelle132456891011121314151617[[#This Row],[CSOsSP Completed]],0)</f>
        <v>0</v>
      </c>
      <c r="R174" s="210">
        <f>Tabelle132456891011121314151617[[#This Row],[COsSP Initially Planned]]+Tabelle132456891011121314151617[[#This Row],[COsSP Pulled after Start]]-Tabelle132456891011121314151617[[#This Row],[CSOsSP Completed]]-Tabelle132456891011121314151617[[#This Row],[CSOsSP Removed]]</f>
        <v>0</v>
      </c>
      <c r="T174" s="201"/>
    </row>
    <row r="175" spans="1:20" ht="13.5" customHeight="1">
      <c r="A175" s="214"/>
      <c r="B175" s="47"/>
      <c r="C175" s="203"/>
      <c r="D175" s="203"/>
      <c r="E175" s="203"/>
      <c r="F175" s="204" t="s">
        <v>210</v>
      </c>
      <c r="G175" s="203" t="s">
        <v>107</v>
      </c>
      <c r="H175" s="205"/>
      <c r="I175" s="206"/>
      <c r="J175" s="1" t="s">
        <v>176</v>
      </c>
      <c r="K175" s="203" t="s">
        <v>127</v>
      </c>
      <c r="L175" s="204">
        <v>8</v>
      </c>
      <c r="M175" s="204">
        <v>0</v>
      </c>
      <c r="N175" s="286">
        <f>IF(OR(Tabelle132456891011121314151617[[#This Row],[Pulled after Start]]="yes",Tabelle132456891011121314151617[[#This Row],[Jira Story Points]]="-"),0,MIN(Tabelle132456891011121314151617[[#This Row],[Jira Story Points]],Tabelle132456891011121314151617[[#This Row],[Carry-over]]))</f>
        <v>0</v>
      </c>
      <c r="O175" s="210">
        <f>SUM(IF(ISBLANK(Tabelle132456891011121314151617[[#This Row],[Carry-over]]),Tabelle132456891011121314151617[[#This Row],[Jira Story Points]],Tabelle132456891011121314151617[[#This Row],[Carry-over]]),-Tabelle132456891011121314151617[[#This Row],[COsSP Initially Planned]])</f>
        <v>8</v>
      </c>
      <c r="P17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175" s="210">
        <f>IF(Tabelle132456891011121314151617[[#This Row],[Status]]=$J$5,Tabelle132456891011121314151617[[#This Row],[COsSP Initially Planned]]+Tabelle132456891011121314151617[[#This Row],[COsSP Pulled after Start]]-Tabelle132456891011121314151617[[#This Row],[CSOsSP Completed]],0)</f>
        <v>0</v>
      </c>
      <c r="R175" s="210">
        <f>Tabelle132456891011121314151617[[#This Row],[COsSP Initially Planned]]+Tabelle132456891011121314151617[[#This Row],[COsSP Pulled after Start]]-Tabelle132456891011121314151617[[#This Row],[CSOsSP Completed]]-Tabelle132456891011121314151617[[#This Row],[CSOsSP Removed]]</f>
        <v>0</v>
      </c>
      <c r="T175" s="201"/>
    </row>
    <row r="176" spans="1:20" ht="13.5" customHeight="1">
      <c r="A176" s="214"/>
      <c r="B176" s="47"/>
      <c r="C176" s="203"/>
      <c r="D176" s="203"/>
      <c r="E176" s="203"/>
      <c r="F176" s="204">
        <v>5</v>
      </c>
      <c r="G176" s="203" t="s">
        <v>9</v>
      </c>
      <c r="H176" s="205"/>
      <c r="I176" s="206"/>
      <c r="J176" s="1" t="s">
        <v>179</v>
      </c>
      <c r="K176" s="203" t="s">
        <v>127</v>
      </c>
      <c r="L176" s="204">
        <v>21</v>
      </c>
      <c r="M176" s="204">
        <v>0</v>
      </c>
      <c r="N176" s="286">
        <f>IF(OR(Tabelle132456891011121314151617[[#This Row],[Pulled after Start]]="yes",Tabelle132456891011121314151617[[#This Row],[Jira Story Points]]="-"),0,MIN(Tabelle132456891011121314151617[[#This Row],[Jira Story Points]],Tabelle132456891011121314151617[[#This Row],[Carry-over]]))</f>
        <v>5</v>
      </c>
      <c r="O176" s="210">
        <f>SUM(IF(ISBLANK(Tabelle132456891011121314151617[[#This Row],[Carry-over]]),Tabelle132456891011121314151617[[#This Row],[Jira Story Points]],Tabelle132456891011121314151617[[#This Row],[Carry-over]]),-Tabelle132456891011121314151617[[#This Row],[COsSP Initially Planned]])</f>
        <v>16</v>
      </c>
      <c r="P17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176" s="210">
        <f>IF(Tabelle132456891011121314151617[[#This Row],[Status]]=$J$5,Tabelle132456891011121314151617[[#This Row],[COsSP Initially Planned]]+Tabelle132456891011121314151617[[#This Row],[COsSP Pulled after Start]]-Tabelle132456891011121314151617[[#This Row],[CSOsSP Completed]],0)</f>
        <v>0</v>
      </c>
      <c r="R176" s="210">
        <f>Tabelle132456891011121314151617[[#This Row],[COsSP Initially Planned]]+Tabelle132456891011121314151617[[#This Row],[COsSP Pulled after Start]]-Tabelle132456891011121314151617[[#This Row],[CSOsSP Completed]]-Tabelle132456891011121314151617[[#This Row],[CSOsSP Removed]]</f>
        <v>0</v>
      </c>
      <c r="T176" s="201"/>
    </row>
    <row r="177" spans="1:20" ht="13.5" customHeight="1">
      <c r="A177" s="214"/>
      <c r="B177" s="47"/>
      <c r="C177" s="203"/>
      <c r="D177" s="203"/>
      <c r="E177" s="203"/>
      <c r="F177" s="204">
        <v>13</v>
      </c>
      <c r="G177" s="203" t="s">
        <v>9</v>
      </c>
      <c r="H177" s="205"/>
      <c r="I177" s="206"/>
      <c r="J177" s="1" t="s">
        <v>180</v>
      </c>
      <c r="K177" s="203" t="s">
        <v>127</v>
      </c>
      <c r="L177" s="204">
        <v>21</v>
      </c>
      <c r="M177" s="204">
        <v>0</v>
      </c>
      <c r="N177" s="286">
        <f>IF(OR(Tabelle132456891011121314151617[[#This Row],[Pulled after Start]]="yes",Tabelle132456891011121314151617[[#This Row],[Jira Story Points]]="-"),0,MIN(Tabelle132456891011121314151617[[#This Row],[Jira Story Points]],Tabelle132456891011121314151617[[#This Row],[Carry-over]]))</f>
        <v>13</v>
      </c>
      <c r="O177" s="210">
        <f>SUM(IF(ISBLANK(Tabelle132456891011121314151617[[#This Row],[Carry-over]]),Tabelle132456891011121314151617[[#This Row],[Jira Story Points]],Tabelle132456891011121314151617[[#This Row],[Carry-over]]),-Tabelle132456891011121314151617[[#This Row],[COsSP Initially Planned]])</f>
        <v>8</v>
      </c>
      <c r="P17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177" s="210">
        <f>IF(Tabelle132456891011121314151617[[#This Row],[Status]]=$J$5,Tabelle132456891011121314151617[[#This Row],[COsSP Initially Planned]]+Tabelle132456891011121314151617[[#This Row],[COsSP Pulled after Start]]-Tabelle132456891011121314151617[[#This Row],[CSOsSP Completed]],0)</f>
        <v>0</v>
      </c>
      <c r="R177" s="210">
        <f>Tabelle132456891011121314151617[[#This Row],[COsSP Initially Planned]]+Tabelle132456891011121314151617[[#This Row],[COsSP Pulled after Start]]-Tabelle132456891011121314151617[[#This Row],[CSOsSP Completed]]-Tabelle132456891011121314151617[[#This Row],[CSOsSP Removed]]</f>
        <v>0</v>
      </c>
      <c r="T177" s="201"/>
    </row>
    <row r="178" spans="1:20" ht="13.5" customHeight="1">
      <c r="A178" s="214"/>
      <c r="B178" s="47"/>
      <c r="C178" s="203"/>
      <c r="D178" s="203"/>
      <c r="E178" s="203"/>
      <c r="F178" s="204" t="s">
        <v>210</v>
      </c>
      <c r="G178" s="203" t="s">
        <v>24</v>
      </c>
      <c r="H178" s="205"/>
      <c r="I178" s="206"/>
      <c r="J178" s="1" t="s">
        <v>181</v>
      </c>
      <c r="K178" s="203" t="s">
        <v>127</v>
      </c>
      <c r="L178" s="204">
        <v>21</v>
      </c>
      <c r="M178" s="204">
        <v>0</v>
      </c>
      <c r="N178" s="286">
        <f>IF(OR(Tabelle132456891011121314151617[[#This Row],[Pulled after Start]]="yes",Tabelle132456891011121314151617[[#This Row],[Jira Story Points]]="-"),0,MIN(Tabelle132456891011121314151617[[#This Row],[Jira Story Points]],Tabelle132456891011121314151617[[#This Row],[Carry-over]]))</f>
        <v>0</v>
      </c>
      <c r="O178" s="210">
        <f>SUM(IF(ISBLANK(Tabelle132456891011121314151617[[#This Row],[Carry-over]]),Tabelle132456891011121314151617[[#This Row],[Jira Story Points]],Tabelle132456891011121314151617[[#This Row],[Carry-over]]),-Tabelle132456891011121314151617[[#This Row],[COsSP Initially Planned]])</f>
        <v>21</v>
      </c>
      <c r="P17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178" s="210">
        <f>IF(Tabelle132456891011121314151617[[#This Row],[Status]]=$J$5,Tabelle132456891011121314151617[[#This Row],[COsSP Initially Planned]]+Tabelle132456891011121314151617[[#This Row],[COsSP Pulled after Start]]-Tabelle132456891011121314151617[[#This Row],[CSOsSP Completed]],0)</f>
        <v>0</v>
      </c>
      <c r="R178" s="210">
        <f>Tabelle132456891011121314151617[[#This Row],[COsSP Initially Planned]]+Tabelle132456891011121314151617[[#This Row],[COsSP Pulled after Start]]-Tabelle132456891011121314151617[[#This Row],[CSOsSP Completed]]-Tabelle132456891011121314151617[[#This Row],[CSOsSP Removed]]</f>
        <v>0</v>
      </c>
      <c r="T178" s="201"/>
    </row>
    <row r="179" spans="1:20" ht="13.5" customHeight="1">
      <c r="A179" s="285"/>
      <c r="B179" s="285"/>
      <c r="C179" s="203"/>
      <c r="D179" s="203"/>
      <c r="E179" s="203"/>
      <c r="F179" s="204">
        <v>5</v>
      </c>
      <c r="G179" s="203" t="s">
        <v>32</v>
      </c>
      <c r="H179" s="205"/>
      <c r="I179" s="206"/>
      <c r="J179" s="1" t="s">
        <v>179</v>
      </c>
      <c r="K179" s="203" t="s">
        <v>127</v>
      </c>
      <c r="L179" s="204"/>
      <c r="M179" s="204">
        <v>0</v>
      </c>
      <c r="N179" s="286">
        <f>IF(OR(Tabelle132456891011121314151617[[#This Row],[Pulled after Start]]="yes",Tabelle132456891011121314151617[[#This Row],[Jira Story Points]]="-"),0,MIN(Tabelle132456891011121314151617[[#This Row],[Jira Story Points]],Tabelle132456891011121314151617[[#This Row],[Carry-over]]))</f>
        <v>5</v>
      </c>
      <c r="O179" s="210">
        <f>SUM(IF(ISBLANK(Tabelle132456891011121314151617[[#This Row],[Carry-over]]),Tabelle132456891011121314151617[[#This Row],[Jira Story Points]],Tabelle132456891011121314151617[[#This Row],[Carry-over]]),-Tabelle132456891011121314151617[[#This Row],[COsSP Initially Planned]])</f>
        <v>0</v>
      </c>
      <c r="P17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5</v>
      </c>
      <c r="Q179" s="210">
        <f>IF(Tabelle132456891011121314151617[[#This Row],[Status]]=$J$5,Tabelle132456891011121314151617[[#This Row],[COsSP Initially Planned]]+Tabelle132456891011121314151617[[#This Row],[COsSP Pulled after Start]]-Tabelle132456891011121314151617[[#This Row],[CSOsSP Completed]],0)</f>
        <v>0</v>
      </c>
      <c r="R179" s="210">
        <f>Tabelle132456891011121314151617[[#This Row],[COsSP Initially Planned]]+Tabelle132456891011121314151617[[#This Row],[COsSP Pulled after Start]]-Tabelle132456891011121314151617[[#This Row],[CSOsSP Completed]]-Tabelle132456891011121314151617[[#This Row],[CSOsSP Removed]]</f>
        <v>0</v>
      </c>
      <c r="T179" s="201"/>
    </row>
    <row r="180" spans="1:20" ht="13.5" customHeight="1">
      <c r="A180" s="285"/>
      <c r="B180" s="285"/>
      <c r="C180" s="203"/>
      <c r="D180" s="203"/>
      <c r="E180" s="203"/>
      <c r="F180" s="204">
        <v>13</v>
      </c>
      <c r="G180" s="203" t="s">
        <v>24</v>
      </c>
      <c r="H180" s="205"/>
      <c r="I180" s="206"/>
      <c r="J180" s="1" t="s">
        <v>177</v>
      </c>
      <c r="K180" s="203" t="s">
        <v>127</v>
      </c>
      <c r="L180" s="204"/>
      <c r="M180" s="204">
        <v>0</v>
      </c>
      <c r="N180" s="286">
        <f>IF(OR(Tabelle132456891011121314151617[[#This Row],[Pulled after Start]]="yes",Tabelle132456891011121314151617[[#This Row],[Jira Story Points]]="-"),0,MIN(Tabelle132456891011121314151617[[#This Row],[Jira Story Points]],Tabelle132456891011121314151617[[#This Row],[Carry-over]]))</f>
        <v>13</v>
      </c>
      <c r="O180" s="210">
        <f>SUM(IF(ISBLANK(Tabelle132456891011121314151617[[#This Row],[Carry-over]]),Tabelle132456891011121314151617[[#This Row],[Jira Story Points]],Tabelle132456891011121314151617[[#This Row],[Carry-over]]),-Tabelle132456891011121314151617[[#This Row],[COsSP Initially Planned]])</f>
        <v>0</v>
      </c>
      <c r="P18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13</v>
      </c>
      <c r="Q180" s="210">
        <f>IF(Tabelle132456891011121314151617[[#This Row],[Status]]=$J$5,Tabelle132456891011121314151617[[#This Row],[COsSP Initially Planned]]+Tabelle132456891011121314151617[[#This Row],[COsSP Pulled after Start]]-Tabelle132456891011121314151617[[#This Row],[CSOsSP Completed]],0)</f>
        <v>0</v>
      </c>
      <c r="R180" s="210">
        <f>Tabelle132456891011121314151617[[#This Row],[COsSP Initially Planned]]+Tabelle132456891011121314151617[[#This Row],[COsSP Pulled after Start]]-Tabelle132456891011121314151617[[#This Row],[CSOsSP Completed]]-Tabelle132456891011121314151617[[#This Row],[CSOsSP Removed]]</f>
        <v>0</v>
      </c>
      <c r="T180" s="201"/>
    </row>
    <row r="181" spans="1:20" ht="13.5" customHeight="1">
      <c r="A181" s="214"/>
      <c r="B181" s="47"/>
      <c r="C181" s="203"/>
      <c r="D181" s="203"/>
      <c r="E181" s="203"/>
      <c r="F181" s="204" t="s">
        <v>210</v>
      </c>
      <c r="G181" s="203" t="s">
        <v>107</v>
      </c>
      <c r="H181" s="205"/>
      <c r="I181" s="206"/>
      <c r="J181" s="1" t="s">
        <v>179</v>
      </c>
      <c r="K181" s="203" t="s">
        <v>127</v>
      </c>
      <c r="L181" s="204"/>
      <c r="M181" s="204">
        <v>0</v>
      </c>
      <c r="N181" s="286">
        <f>IF(OR(Tabelle132456891011121314151617[[#This Row],[Pulled after Start]]="yes",Tabelle132456891011121314151617[[#This Row],[Jira Story Points]]="-"),0,MIN(Tabelle132456891011121314151617[[#This Row],[Jira Story Points]],Tabelle132456891011121314151617[[#This Row],[Carry-over]]))</f>
        <v>0</v>
      </c>
      <c r="O181" s="210">
        <f>SUM(IF(ISBLANK(Tabelle132456891011121314151617[[#This Row],[Carry-over]]),Tabelle132456891011121314151617[[#This Row],[Jira Story Points]],Tabelle132456891011121314151617[[#This Row],[Carry-over]]),-Tabelle132456891011121314151617[[#This Row],[COsSP Initially Planned]])</f>
        <v>0</v>
      </c>
      <c r="P18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81" s="210">
        <f>IF(Tabelle132456891011121314151617[[#This Row],[Status]]=$J$5,Tabelle132456891011121314151617[[#This Row],[COsSP Initially Planned]]+Tabelle132456891011121314151617[[#This Row],[COsSP Pulled after Start]]-Tabelle132456891011121314151617[[#This Row],[CSOsSP Completed]],0)</f>
        <v>0</v>
      </c>
      <c r="R181" s="210">
        <f>Tabelle132456891011121314151617[[#This Row],[COsSP Initially Planned]]+Tabelle132456891011121314151617[[#This Row],[COsSP Pulled after Start]]-Tabelle132456891011121314151617[[#This Row],[CSOsSP Completed]]-Tabelle132456891011121314151617[[#This Row],[CSOsSP Removed]]</f>
        <v>0</v>
      </c>
      <c r="T181" s="201"/>
    </row>
    <row r="182" spans="1:20" ht="13.5" customHeight="1">
      <c r="A182" s="214"/>
      <c r="B182" s="47"/>
      <c r="C182" s="203"/>
      <c r="D182" s="203"/>
      <c r="E182" s="203"/>
      <c r="F182" s="204">
        <v>5</v>
      </c>
      <c r="G182" s="203" t="s">
        <v>32</v>
      </c>
      <c r="H182" s="205"/>
      <c r="I182" s="206"/>
      <c r="J182" s="1" t="s">
        <v>178</v>
      </c>
      <c r="K182" s="203" t="s">
        <v>127</v>
      </c>
      <c r="L182" s="204">
        <v>0</v>
      </c>
      <c r="M182" s="204">
        <v>2</v>
      </c>
      <c r="N182" s="286">
        <f>IF(OR(Tabelle132456891011121314151617[[#This Row],[Pulled after Start]]="yes",Tabelle132456891011121314151617[[#This Row],[Jira Story Points]]="-"),0,MIN(Tabelle132456891011121314151617[[#This Row],[Jira Story Points]],Tabelle132456891011121314151617[[#This Row],[Carry-over]]))</f>
        <v>0</v>
      </c>
      <c r="O182" s="210">
        <f>SUM(IF(ISBLANK(Tabelle132456891011121314151617[[#This Row],[Carry-over]]),Tabelle132456891011121314151617[[#This Row],[Jira Story Points]],Tabelle132456891011121314151617[[#This Row],[Carry-over]]),-Tabelle132456891011121314151617[[#This Row],[COsSP Initially Planned]])</f>
        <v>0</v>
      </c>
      <c r="P18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v>
      </c>
      <c r="Q182" s="210">
        <f>IF(Tabelle132456891011121314151617[[#This Row],[Status]]=$J$5,Tabelle132456891011121314151617[[#This Row],[COsSP Initially Planned]]+Tabelle132456891011121314151617[[#This Row],[COsSP Pulled after Start]]-Tabelle132456891011121314151617[[#This Row],[CSOsSP Completed]],0)</f>
        <v>0</v>
      </c>
      <c r="R182" s="210">
        <f>Tabelle132456891011121314151617[[#This Row],[COsSP Initially Planned]]+Tabelle132456891011121314151617[[#This Row],[COsSP Pulled after Start]]-Tabelle132456891011121314151617[[#This Row],[CSOsSP Completed]]-Tabelle132456891011121314151617[[#This Row],[CSOsSP Removed]]</f>
        <v>2</v>
      </c>
      <c r="T182" s="201"/>
    </row>
    <row r="183" spans="1:20" ht="13.5" customHeight="1">
      <c r="A183" s="214"/>
      <c r="B183" s="47"/>
      <c r="C183" s="203"/>
      <c r="D183" s="203"/>
      <c r="E183" s="203"/>
      <c r="F183" s="204">
        <v>13</v>
      </c>
      <c r="G183" s="203" t="s">
        <v>27</v>
      </c>
      <c r="H183" s="205"/>
      <c r="I183" s="206"/>
      <c r="J183" s="1" t="s">
        <v>183</v>
      </c>
      <c r="K183" s="203" t="s">
        <v>127</v>
      </c>
      <c r="L183" s="204">
        <v>0</v>
      </c>
      <c r="M183" s="204">
        <v>2</v>
      </c>
      <c r="N183" s="286">
        <f>IF(OR(Tabelle132456891011121314151617[[#This Row],[Pulled after Start]]="yes",Tabelle132456891011121314151617[[#This Row],[Jira Story Points]]="-"),0,MIN(Tabelle132456891011121314151617[[#This Row],[Jira Story Points]],Tabelle132456891011121314151617[[#This Row],[Carry-over]]))</f>
        <v>0</v>
      </c>
      <c r="O183" s="210">
        <f>SUM(IF(ISBLANK(Tabelle132456891011121314151617[[#This Row],[Carry-over]]),Tabelle132456891011121314151617[[#This Row],[Jira Story Points]],Tabelle132456891011121314151617[[#This Row],[Carry-over]]),-Tabelle132456891011121314151617[[#This Row],[COsSP Initially Planned]])</f>
        <v>0</v>
      </c>
      <c r="P18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v>
      </c>
      <c r="Q183" s="210">
        <f>IF(Tabelle132456891011121314151617[[#This Row],[Status]]=$J$5,Tabelle132456891011121314151617[[#This Row],[COsSP Initially Planned]]+Tabelle132456891011121314151617[[#This Row],[COsSP Pulled after Start]]-Tabelle132456891011121314151617[[#This Row],[CSOsSP Completed]],0)</f>
        <v>0</v>
      </c>
      <c r="R183" s="210">
        <f>Tabelle132456891011121314151617[[#This Row],[COsSP Initially Planned]]+Tabelle132456891011121314151617[[#This Row],[COsSP Pulled after Start]]-Tabelle132456891011121314151617[[#This Row],[CSOsSP Completed]]-Tabelle132456891011121314151617[[#This Row],[CSOsSP Removed]]</f>
        <v>2</v>
      </c>
      <c r="T183" s="201"/>
    </row>
    <row r="184" spans="1:20" ht="13.5" customHeight="1">
      <c r="A184" s="214"/>
      <c r="B184" s="47"/>
      <c r="C184" s="203"/>
      <c r="D184" s="203"/>
      <c r="E184" s="203"/>
      <c r="F184" s="204" t="s">
        <v>210</v>
      </c>
      <c r="G184" s="203" t="s">
        <v>32</v>
      </c>
      <c r="H184" s="205"/>
      <c r="I184" s="206"/>
      <c r="J184" s="1" t="s">
        <v>181</v>
      </c>
      <c r="K184" s="203" t="s">
        <v>127</v>
      </c>
      <c r="L184" s="204">
        <v>0</v>
      </c>
      <c r="M184" s="204">
        <v>2</v>
      </c>
      <c r="N184" s="286">
        <f>IF(OR(Tabelle132456891011121314151617[[#This Row],[Pulled after Start]]="yes",Tabelle132456891011121314151617[[#This Row],[Jira Story Points]]="-"),0,MIN(Tabelle132456891011121314151617[[#This Row],[Jira Story Points]],Tabelle132456891011121314151617[[#This Row],[Carry-over]]))</f>
        <v>0</v>
      </c>
      <c r="O184" s="210">
        <f>SUM(IF(ISBLANK(Tabelle132456891011121314151617[[#This Row],[Carry-over]]),Tabelle132456891011121314151617[[#This Row],[Jira Story Points]],Tabelle132456891011121314151617[[#This Row],[Carry-over]]),-Tabelle132456891011121314151617[[#This Row],[COsSP Initially Planned]])</f>
        <v>0</v>
      </c>
      <c r="P18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v>
      </c>
      <c r="Q184" s="210">
        <f>IF(Tabelle132456891011121314151617[[#This Row],[Status]]=$J$5,Tabelle132456891011121314151617[[#This Row],[COsSP Initially Planned]]+Tabelle132456891011121314151617[[#This Row],[COsSP Pulled after Start]]-Tabelle132456891011121314151617[[#This Row],[CSOsSP Completed]],0)</f>
        <v>0</v>
      </c>
      <c r="R184" s="210">
        <f>Tabelle132456891011121314151617[[#This Row],[COsSP Initially Planned]]+Tabelle132456891011121314151617[[#This Row],[COsSP Pulled after Start]]-Tabelle132456891011121314151617[[#This Row],[CSOsSP Completed]]-Tabelle132456891011121314151617[[#This Row],[CSOsSP Removed]]</f>
        <v>2</v>
      </c>
      <c r="T184" s="201"/>
    </row>
    <row r="185" spans="1:20" ht="13.5" customHeight="1">
      <c r="A185" s="214"/>
      <c r="B185" s="47"/>
      <c r="C185" s="203"/>
      <c r="D185" s="203"/>
      <c r="E185" s="203"/>
      <c r="F185" s="204">
        <v>5</v>
      </c>
      <c r="G185" s="203" t="s">
        <v>17</v>
      </c>
      <c r="H185" s="205"/>
      <c r="I185" s="206"/>
      <c r="J185" s="1" t="s">
        <v>184</v>
      </c>
      <c r="K185" s="203" t="s">
        <v>127</v>
      </c>
      <c r="L185" s="204">
        <v>3</v>
      </c>
      <c r="M185" s="204">
        <v>2</v>
      </c>
      <c r="N185" s="286">
        <f>IF(OR(Tabelle132456891011121314151617[[#This Row],[Pulled after Start]]="yes",Tabelle132456891011121314151617[[#This Row],[Jira Story Points]]="-"),0,MIN(Tabelle132456891011121314151617[[#This Row],[Jira Story Points]],Tabelle132456891011121314151617[[#This Row],[Carry-over]]))</f>
        <v>3</v>
      </c>
      <c r="O185" s="210">
        <f>SUM(IF(ISBLANK(Tabelle132456891011121314151617[[#This Row],[Carry-over]]),Tabelle132456891011121314151617[[#This Row],[Jira Story Points]],Tabelle132456891011121314151617[[#This Row],[Carry-over]]),-Tabelle132456891011121314151617[[#This Row],[COsSP Initially Planned]])</f>
        <v>0</v>
      </c>
      <c r="P18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v>
      </c>
      <c r="Q185" s="210">
        <f>IF(Tabelle132456891011121314151617[[#This Row],[Status]]=$J$5,Tabelle132456891011121314151617[[#This Row],[COsSP Initially Planned]]+Tabelle132456891011121314151617[[#This Row],[COsSP Pulled after Start]]-Tabelle132456891011121314151617[[#This Row],[CSOsSP Completed]],0)</f>
        <v>0</v>
      </c>
      <c r="R185" s="210">
        <f>Tabelle132456891011121314151617[[#This Row],[COsSP Initially Planned]]+Tabelle132456891011121314151617[[#This Row],[COsSP Pulled after Start]]-Tabelle132456891011121314151617[[#This Row],[CSOsSP Completed]]-Tabelle132456891011121314151617[[#This Row],[CSOsSP Removed]]</f>
        <v>2</v>
      </c>
      <c r="T185" s="201"/>
    </row>
    <row r="186" spans="1:20" ht="13.5" customHeight="1">
      <c r="A186" s="214"/>
      <c r="B186" s="47"/>
      <c r="C186" s="203"/>
      <c r="D186" s="203"/>
      <c r="E186" s="203"/>
      <c r="F186" s="204">
        <v>13</v>
      </c>
      <c r="G186" s="203" t="s">
        <v>24</v>
      </c>
      <c r="H186" s="205"/>
      <c r="I186" s="206"/>
      <c r="J186" s="1" t="s">
        <v>176</v>
      </c>
      <c r="K186" s="203" t="s">
        <v>127</v>
      </c>
      <c r="L186" s="204">
        <v>3</v>
      </c>
      <c r="M186" s="204">
        <v>2</v>
      </c>
      <c r="N186" s="286">
        <f>IF(OR(Tabelle132456891011121314151617[[#This Row],[Pulled after Start]]="yes",Tabelle132456891011121314151617[[#This Row],[Jira Story Points]]="-"),0,MIN(Tabelle132456891011121314151617[[#This Row],[Jira Story Points]],Tabelle132456891011121314151617[[#This Row],[Carry-over]]))</f>
        <v>3</v>
      </c>
      <c r="O186" s="210">
        <f>SUM(IF(ISBLANK(Tabelle132456891011121314151617[[#This Row],[Carry-over]]),Tabelle132456891011121314151617[[#This Row],[Jira Story Points]],Tabelle132456891011121314151617[[#This Row],[Carry-over]]),-Tabelle132456891011121314151617[[#This Row],[COsSP Initially Planned]])</f>
        <v>0</v>
      </c>
      <c r="P18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v>
      </c>
      <c r="Q186" s="210">
        <f>IF(Tabelle132456891011121314151617[[#This Row],[Status]]=$J$5,Tabelle132456891011121314151617[[#This Row],[COsSP Initially Planned]]+Tabelle132456891011121314151617[[#This Row],[COsSP Pulled after Start]]-Tabelle132456891011121314151617[[#This Row],[CSOsSP Completed]],0)</f>
        <v>0</v>
      </c>
      <c r="R186" s="210">
        <f>Tabelle132456891011121314151617[[#This Row],[COsSP Initially Planned]]+Tabelle132456891011121314151617[[#This Row],[COsSP Pulled after Start]]-Tabelle132456891011121314151617[[#This Row],[CSOsSP Completed]]-Tabelle132456891011121314151617[[#This Row],[CSOsSP Removed]]</f>
        <v>2</v>
      </c>
      <c r="T186" s="201"/>
    </row>
    <row r="187" spans="1:20" ht="13.5" customHeight="1">
      <c r="A187" s="214"/>
      <c r="B187" s="47"/>
      <c r="C187" s="203"/>
      <c r="D187" s="203"/>
      <c r="E187" s="203"/>
      <c r="F187" s="204" t="s">
        <v>210</v>
      </c>
      <c r="G187" s="203" t="s">
        <v>9</v>
      </c>
      <c r="H187" s="205"/>
      <c r="I187" s="206"/>
      <c r="J187" s="1" t="s">
        <v>175</v>
      </c>
      <c r="K187" s="203" t="s">
        <v>127</v>
      </c>
      <c r="L187" s="204">
        <v>3</v>
      </c>
      <c r="M187" s="204">
        <v>2</v>
      </c>
      <c r="N187" s="286">
        <f>IF(OR(Tabelle132456891011121314151617[[#This Row],[Pulled after Start]]="yes",Tabelle132456891011121314151617[[#This Row],[Jira Story Points]]="-"),0,MIN(Tabelle132456891011121314151617[[#This Row],[Jira Story Points]],Tabelle132456891011121314151617[[#This Row],[Carry-over]]))</f>
        <v>0</v>
      </c>
      <c r="O187" s="210">
        <f>SUM(IF(ISBLANK(Tabelle132456891011121314151617[[#This Row],[Carry-over]]),Tabelle132456891011121314151617[[#This Row],[Jira Story Points]],Tabelle132456891011121314151617[[#This Row],[Carry-over]]),-Tabelle132456891011121314151617[[#This Row],[COsSP Initially Planned]])</f>
        <v>3</v>
      </c>
      <c r="P18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v>
      </c>
      <c r="Q187" s="210">
        <f>IF(Tabelle132456891011121314151617[[#This Row],[Status]]=$J$5,Tabelle132456891011121314151617[[#This Row],[COsSP Initially Planned]]+Tabelle132456891011121314151617[[#This Row],[COsSP Pulled after Start]]-Tabelle132456891011121314151617[[#This Row],[CSOsSP Completed]],0)</f>
        <v>0</v>
      </c>
      <c r="R187" s="210">
        <f>Tabelle132456891011121314151617[[#This Row],[COsSP Initially Planned]]+Tabelle132456891011121314151617[[#This Row],[COsSP Pulled after Start]]-Tabelle132456891011121314151617[[#This Row],[CSOsSP Completed]]-Tabelle132456891011121314151617[[#This Row],[CSOsSP Removed]]</f>
        <v>2</v>
      </c>
      <c r="T187" s="201"/>
    </row>
    <row r="188" spans="1:20" ht="13.5" customHeight="1">
      <c r="A188" s="275"/>
      <c r="B188" s="47"/>
      <c r="C188" s="203"/>
      <c r="D188" s="203"/>
      <c r="E188" s="203"/>
      <c r="F188" s="204">
        <v>5</v>
      </c>
      <c r="G188" s="203" t="s">
        <v>12</v>
      </c>
      <c r="H188" s="205"/>
      <c r="I188" s="206"/>
      <c r="J188" s="1" t="s">
        <v>183</v>
      </c>
      <c r="K188" s="203" t="s">
        <v>127</v>
      </c>
      <c r="L188" s="204">
        <v>8</v>
      </c>
      <c r="M188" s="204">
        <v>2</v>
      </c>
      <c r="N188" s="286">
        <f>IF(OR(Tabelle132456891011121314151617[[#This Row],[Pulled after Start]]="yes",Tabelle132456891011121314151617[[#This Row],[Jira Story Points]]="-"),0,MIN(Tabelle132456891011121314151617[[#This Row],[Jira Story Points]],Tabelle132456891011121314151617[[#This Row],[Carry-over]]))</f>
        <v>5</v>
      </c>
      <c r="O188" s="210">
        <f>SUM(IF(ISBLANK(Tabelle132456891011121314151617[[#This Row],[Carry-over]]),Tabelle132456891011121314151617[[#This Row],[Jira Story Points]],Tabelle132456891011121314151617[[#This Row],[Carry-over]]),-Tabelle132456891011121314151617[[#This Row],[COsSP Initially Planned]])</f>
        <v>3</v>
      </c>
      <c r="P18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6</v>
      </c>
      <c r="Q188" s="210">
        <f>IF(Tabelle132456891011121314151617[[#This Row],[Status]]=$J$5,Tabelle132456891011121314151617[[#This Row],[COsSP Initially Planned]]+Tabelle132456891011121314151617[[#This Row],[COsSP Pulled after Start]]-Tabelle132456891011121314151617[[#This Row],[CSOsSP Completed]],0)</f>
        <v>0</v>
      </c>
      <c r="R188" s="210">
        <f>Tabelle132456891011121314151617[[#This Row],[COsSP Initially Planned]]+Tabelle132456891011121314151617[[#This Row],[COsSP Pulled after Start]]-Tabelle132456891011121314151617[[#This Row],[CSOsSP Completed]]-Tabelle132456891011121314151617[[#This Row],[CSOsSP Removed]]</f>
        <v>2</v>
      </c>
      <c r="T188" s="201"/>
    </row>
    <row r="189" spans="1:20" ht="13.5" customHeight="1">
      <c r="A189" s="214"/>
      <c r="B189" s="47"/>
      <c r="C189" s="203"/>
      <c r="D189" s="203"/>
      <c r="E189" s="203"/>
      <c r="F189" s="204">
        <v>13</v>
      </c>
      <c r="G189" s="203" t="s">
        <v>9</v>
      </c>
      <c r="H189" s="205"/>
      <c r="I189" s="206"/>
      <c r="J189" s="1" t="s">
        <v>184</v>
      </c>
      <c r="K189" s="203" t="s">
        <v>127</v>
      </c>
      <c r="L189" s="204">
        <v>8</v>
      </c>
      <c r="M189" s="204">
        <v>2</v>
      </c>
      <c r="N189" s="286">
        <f>IF(OR(Tabelle132456891011121314151617[[#This Row],[Pulled after Start]]="yes",Tabelle132456891011121314151617[[#This Row],[Jira Story Points]]="-"),0,MIN(Tabelle132456891011121314151617[[#This Row],[Jira Story Points]],Tabelle132456891011121314151617[[#This Row],[Carry-over]]))</f>
        <v>8</v>
      </c>
      <c r="O189" s="210">
        <f>SUM(IF(ISBLANK(Tabelle132456891011121314151617[[#This Row],[Carry-over]]),Tabelle132456891011121314151617[[#This Row],[Jira Story Points]],Tabelle132456891011121314151617[[#This Row],[Carry-over]]),-Tabelle132456891011121314151617[[#This Row],[COsSP Initially Planned]])</f>
        <v>0</v>
      </c>
      <c r="P18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6</v>
      </c>
      <c r="Q189" s="210">
        <f>IF(Tabelle132456891011121314151617[[#This Row],[Status]]=$J$5,Tabelle132456891011121314151617[[#This Row],[COsSP Initially Planned]]+Tabelle132456891011121314151617[[#This Row],[COsSP Pulled after Start]]-Tabelle132456891011121314151617[[#This Row],[CSOsSP Completed]],0)</f>
        <v>0</v>
      </c>
      <c r="R189" s="210">
        <f>Tabelle132456891011121314151617[[#This Row],[COsSP Initially Planned]]+Tabelle132456891011121314151617[[#This Row],[COsSP Pulled after Start]]-Tabelle132456891011121314151617[[#This Row],[CSOsSP Completed]]-Tabelle132456891011121314151617[[#This Row],[CSOsSP Removed]]</f>
        <v>2</v>
      </c>
      <c r="T189" s="201"/>
    </row>
    <row r="190" spans="1:20" ht="13.5" customHeight="1">
      <c r="A190" s="214"/>
      <c r="B190" s="47"/>
      <c r="C190" s="203"/>
      <c r="D190" s="203"/>
      <c r="E190" s="203"/>
      <c r="F190" s="204" t="s">
        <v>210</v>
      </c>
      <c r="G190" s="203" t="s">
        <v>9</v>
      </c>
      <c r="H190" s="205"/>
      <c r="I190" s="206"/>
      <c r="J190" s="1" t="s">
        <v>175</v>
      </c>
      <c r="K190" s="203" t="s">
        <v>127</v>
      </c>
      <c r="L190" s="204">
        <v>8</v>
      </c>
      <c r="M190" s="204">
        <v>2</v>
      </c>
      <c r="N190" s="286">
        <f>IF(OR(Tabelle132456891011121314151617[[#This Row],[Pulled after Start]]="yes",Tabelle132456891011121314151617[[#This Row],[Jira Story Points]]="-"),0,MIN(Tabelle132456891011121314151617[[#This Row],[Jira Story Points]],Tabelle132456891011121314151617[[#This Row],[Carry-over]]))</f>
        <v>0</v>
      </c>
      <c r="O190" s="210">
        <f>SUM(IF(ISBLANK(Tabelle132456891011121314151617[[#This Row],[Carry-over]]),Tabelle132456891011121314151617[[#This Row],[Jira Story Points]],Tabelle132456891011121314151617[[#This Row],[Carry-over]]),-Tabelle132456891011121314151617[[#This Row],[COsSP Initially Planned]])</f>
        <v>8</v>
      </c>
      <c r="P19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6</v>
      </c>
      <c r="Q190" s="210">
        <f>IF(Tabelle132456891011121314151617[[#This Row],[Status]]=$J$5,Tabelle132456891011121314151617[[#This Row],[COsSP Initially Planned]]+Tabelle132456891011121314151617[[#This Row],[COsSP Pulled after Start]]-Tabelle132456891011121314151617[[#This Row],[CSOsSP Completed]],0)</f>
        <v>0</v>
      </c>
      <c r="R190" s="210">
        <f>Tabelle132456891011121314151617[[#This Row],[COsSP Initially Planned]]+Tabelle132456891011121314151617[[#This Row],[COsSP Pulled after Start]]-Tabelle132456891011121314151617[[#This Row],[CSOsSP Completed]]-Tabelle132456891011121314151617[[#This Row],[CSOsSP Removed]]</f>
        <v>2</v>
      </c>
      <c r="T190" s="201"/>
    </row>
    <row r="191" spans="1:20" ht="13.5" customHeight="1">
      <c r="A191" s="214"/>
      <c r="B191" s="47"/>
      <c r="C191" s="203"/>
      <c r="D191" s="203"/>
      <c r="E191" s="203"/>
      <c r="F191" s="204">
        <v>5</v>
      </c>
      <c r="G191" s="203" t="s">
        <v>24</v>
      </c>
      <c r="H191" s="205"/>
      <c r="I191" s="206"/>
      <c r="J191" s="1" t="s">
        <v>179</v>
      </c>
      <c r="K191" s="203" t="s">
        <v>127</v>
      </c>
      <c r="L191" s="204">
        <v>21</v>
      </c>
      <c r="M191" s="204">
        <v>2</v>
      </c>
      <c r="N191" s="286">
        <f>IF(OR(Tabelle132456891011121314151617[[#This Row],[Pulled after Start]]="yes",Tabelle132456891011121314151617[[#This Row],[Jira Story Points]]="-"),0,MIN(Tabelle132456891011121314151617[[#This Row],[Jira Story Points]],Tabelle132456891011121314151617[[#This Row],[Carry-over]]))</f>
        <v>5</v>
      </c>
      <c r="O191" s="210">
        <f>SUM(IF(ISBLANK(Tabelle132456891011121314151617[[#This Row],[Carry-over]]),Tabelle132456891011121314151617[[#This Row],[Jira Story Points]],Tabelle132456891011121314151617[[#This Row],[Carry-over]]),-Tabelle132456891011121314151617[[#This Row],[COsSP Initially Planned]])</f>
        <v>16</v>
      </c>
      <c r="P19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19</v>
      </c>
      <c r="Q191" s="210">
        <f>IF(Tabelle132456891011121314151617[[#This Row],[Status]]=$J$5,Tabelle132456891011121314151617[[#This Row],[COsSP Initially Planned]]+Tabelle132456891011121314151617[[#This Row],[COsSP Pulled after Start]]-Tabelle132456891011121314151617[[#This Row],[CSOsSP Completed]],0)</f>
        <v>0</v>
      </c>
      <c r="R191" s="210">
        <f>Tabelle132456891011121314151617[[#This Row],[COsSP Initially Planned]]+Tabelle132456891011121314151617[[#This Row],[COsSP Pulled after Start]]-Tabelle132456891011121314151617[[#This Row],[CSOsSP Completed]]-Tabelle132456891011121314151617[[#This Row],[CSOsSP Removed]]</f>
        <v>2</v>
      </c>
      <c r="T191" s="201"/>
    </row>
    <row r="192" spans="1:20" ht="13.5" customHeight="1">
      <c r="A192" s="214"/>
      <c r="B192" s="47"/>
      <c r="C192" s="203"/>
      <c r="D192" s="203"/>
      <c r="E192" s="203"/>
      <c r="F192" s="204">
        <v>13</v>
      </c>
      <c r="G192" s="203" t="s">
        <v>17</v>
      </c>
      <c r="H192" s="205"/>
      <c r="I192" s="206"/>
      <c r="J192" s="1" t="s">
        <v>179</v>
      </c>
      <c r="K192" s="203" t="s">
        <v>127</v>
      </c>
      <c r="L192" s="204">
        <v>21</v>
      </c>
      <c r="M192" s="204">
        <v>2</v>
      </c>
      <c r="N192" s="286">
        <f>IF(OR(Tabelle132456891011121314151617[[#This Row],[Pulled after Start]]="yes",Tabelle132456891011121314151617[[#This Row],[Jira Story Points]]="-"),0,MIN(Tabelle132456891011121314151617[[#This Row],[Jira Story Points]],Tabelle132456891011121314151617[[#This Row],[Carry-over]]))</f>
        <v>13</v>
      </c>
      <c r="O192" s="210">
        <f>SUM(IF(ISBLANK(Tabelle132456891011121314151617[[#This Row],[Carry-over]]),Tabelle132456891011121314151617[[#This Row],[Jira Story Points]],Tabelle132456891011121314151617[[#This Row],[Carry-over]]),-Tabelle132456891011121314151617[[#This Row],[COsSP Initially Planned]])</f>
        <v>8</v>
      </c>
      <c r="P19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19</v>
      </c>
      <c r="Q192" s="210">
        <f>IF(Tabelle132456891011121314151617[[#This Row],[Status]]=$J$5,Tabelle132456891011121314151617[[#This Row],[COsSP Initially Planned]]+Tabelle132456891011121314151617[[#This Row],[COsSP Pulled after Start]]-Tabelle132456891011121314151617[[#This Row],[CSOsSP Completed]],0)</f>
        <v>0</v>
      </c>
      <c r="R192" s="210">
        <f>Tabelle132456891011121314151617[[#This Row],[COsSP Initially Planned]]+Tabelle132456891011121314151617[[#This Row],[COsSP Pulled after Start]]-Tabelle132456891011121314151617[[#This Row],[CSOsSP Completed]]-Tabelle132456891011121314151617[[#This Row],[CSOsSP Removed]]</f>
        <v>2</v>
      </c>
      <c r="T192" s="201"/>
    </row>
    <row r="193" spans="1:20" ht="13.5" customHeight="1">
      <c r="A193" s="214"/>
      <c r="B193" s="47"/>
      <c r="C193" s="203"/>
      <c r="D193" s="203"/>
      <c r="E193" s="203"/>
      <c r="F193" s="204" t="s">
        <v>210</v>
      </c>
      <c r="G193" s="203" t="s">
        <v>21</v>
      </c>
      <c r="H193" s="205"/>
      <c r="I193" s="206"/>
      <c r="J193" s="1" t="s">
        <v>175</v>
      </c>
      <c r="K193" s="203" t="s">
        <v>127</v>
      </c>
      <c r="L193" s="204">
        <v>21</v>
      </c>
      <c r="M193" s="204">
        <v>2</v>
      </c>
      <c r="N193" s="286">
        <f>IF(OR(Tabelle132456891011121314151617[[#This Row],[Pulled after Start]]="yes",Tabelle132456891011121314151617[[#This Row],[Jira Story Points]]="-"),0,MIN(Tabelle132456891011121314151617[[#This Row],[Jira Story Points]],Tabelle132456891011121314151617[[#This Row],[Carry-over]]))</f>
        <v>0</v>
      </c>
      <c r="O193" s="210">
        <f>SUM(IF(ISBLANK(Tabelle132456891011121314151617[[#This Row],[Carry-over]]),Tabelle132456891011121314151617[[#This Row],[Jira Story Points]],Tabelle132456891011121314151617[[#This Row],[Carry-over]]),-Tabelle132456891011121314151617[[#This Row],[COsSP Initially Planned]])</f>
        <v>21</v>
      </c>
      <c r="P19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19</v>
      </c>
      <c r="Q193" s="210">
        <f>IF(Tabelle132456891011121314151617[[#This Row],[Status]]=$J$5,Tabelle132456891011121314151617[[#This Row],[COsSP Initially Planned]]+Tabelle132456891011121314151617[[#This Row],[COsSP Pulled after Start]]-Tabelle132456891011121314151617[[#This Row],[CSOsSP Completed]],0)</f>
        <v>0</v>
      </c>
      <c r="R193" s="210">
        <f>Tabelle132456891011121314151617[[#This Row],[COsSP Initially Planned]]+Tabelle132456891011121314151617[[#This Row],[COsSP Pulled after Start]]-Tabelle132456891011121314151617[[#This Row],[CSOsSP Completed]]-Tabelle132456891011121314151617[[#This Row],[CSOsSP Removed]]</f>
        <v>2</v>
      </c>
      <c r="T193" s="201"/>
    </row>
    <row r="194" spans="1:20" ht="13.5" customHeight="1">
      <c r="A194" s="214"/>
      <c r="B194" s="47"/>
      <c r="C194" s="203"/>
      <c r="D194" s="203"/>
      <c r="E194" s="203"/>
      <c r="F194" s="204">
        <v>5</v>
      </c>
      <c r="G194" s="203" t="s">
        <v>12</v>
      </c>
      <c r="H194" s="205"/>
      <c r="I194" s="206"/>
      <c r="J194" s="1" t="s">
        <v>183</v>
      </c>
      <c r="K194" s="203" t="s">
        <v>127</v>
      </c>
      <c r="L194" s="204"/>
      <c r="M194" s="204">
        <v>2</v>
      </c>
      <c r="N194" s="286">
        <f>IF(OR(Tabelle132456891011121314151617[[#This Row],[Pulled after Start]]="yes",Tabelle132456891011121314151617[[#This Row],[Jira Story Points]]="-"),0,MIN(Tabelle132456891011121314151617[[#This Row],[Jira Story Points]],Tabelle132456891011121314151617[[#This Row],[Carry-over]]))</f>
        <v>5</v>
      </c>
      <c r="O194" s="210">
        <f>SUM(IF(ISBLANK(Tabelle132456891011121314151617[[#This Row],[Carry-over]]),Tabelle132456891011121314151617[[#This Row],[Jira Story Points]],Tabelle132456891011121314151617[[#This Row],[Carry-over]]),-Tabelle132456891011121314151617[[#This Row],[COsSP Initially Planned]])</f>
        <v>0</v>
      </c>
      <c r="P19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194" s="210">
        <f>IF(Tabelle132456891011121314151617[[#This Row],[Status]]=$J$5,Tabelle132456891011121314151617[[#This Row],[COsSP Initially Planned]]+Tabelle132456891011121314151617[[#This Row],[COsSP Pulled after Start]]-Tabelle132456891011121314151617[[#This Row],[CSOsSP Completed]],0)</f>
        <v>0</v>
      </c>
      <c r="R194" s="210">
        <f>Tabelle132456891011121314151617[[#This Row],[COsSP Initially Planned]]+Tabelle132456891011121314151617[[#This Row],[COsSP Pulled after Start]]-Tabelle132456891011121314151617[[#This Row],[CSOsSP Completed]]-Tabelle132456891011121314151617[[#This Row],[CSOsSP Removed]]</f>
        <v>2</v>
      </c>
      <c r="T194" s="201"/>
    </row>
    <row r="195" spans="1:20" ht="13.5" customHeight="1">
      <c r="A195" s="214"/>
      <c r="B195" s="47"/>
      <c r="C195" s="203"/>
      <c r="D195" s="203"/>
      <c r="E195" s="203"/>
      <c r="F195" s="204">
        <v>13</v>
      </c>
      <c r="G195" s="203" t="s">
        <v>24</v>
      </c>
      <c r="H195" s="205"/>
      <c r="I195" s="206"/>
      <c r="J195" s="1" t="s">
        <v>179</v>
      </c>
      <c r="K195" s="203" t="s">
        <v>127</v>
      </c>
      <c r="L195" s="204"/>
      <c r="M195" s="204">
        <v>2</v>
      </c>
      <c r="N195" s="286">
        <f>IF(OR(Tabelle132456891011121314151617[[#This Row],[Pulled after Start]]="yes",Tabelle132456891011121314151617[[#This Row],[Jira Story Points]]="-"),0,MIN(Tabelle132456891011121314151617[[#This Row],[Jira Story Points]],Tabelle132456891011121314151617[[#This Row],[Carry-over]]))</f>
        <v>13</v>
      </c>
      <c r="O195" s="210">
        <f>SUM(IF(ISBLANK(Tabelle132456891011121314151617[[#This Row],[Carry-over]]),Tabelle132456891011121314151617[[#This Row],[Jira Story Points]],Tabelle132456891011121314151617[[#This Row],[Carry-over]]),-Tabelle132456891011121314151617[[#This Row],[COsSP Initially Planned]])</f>
        <v>0</v>
      </c>
      <c r="P19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11</v>
      </c>
      <c r="Q195" s="210">
        <f>IF(Tabelle132456891011121314151617[[#This Row],[Status]]=$J$5,Tabelle132456891011121314151617[[#This Row],[COsSP Initially Planned]]+Tabelle132456891011121314151617[[#This Row],[COsSP Pulled after Start]]-Tabelle132456891011121314151617[[#This Row],[CSOsSP Completed]],0)</f>
        <v>0</v>
      </c>
      <c r="R195" s="210">
        <f>Tabelle132456891011121314151617[[#This Row],[COsSP Initially Planned]]+Tabelle132456891011121314151617[[#This Row],[COsSP Pulled after Start]]-Tabelle132456891011121314151617[[#This Row],[CSOsSP Completed]]-Tabelle132456891011121314151617[[#This Row],[CSOsSP Removed]]</f>
        <v>2</v>
      </c>
      <c r="T195" s="201"/>
    </row>
    <row r="196" spans="1:20" ht="13.5" customHeight="1">
      <c r="A196" s="214"/>
      <c r="B196" s="47"/>
      <c r="C196" s="203"/>
      <c r="D196" s="203"/>
      <c r="E196" s="203"/>
      <c r="F196" s="204" t="s">
        <v>210</v>
      </c>
      <c r="G196" s="203" t="s">
        <v>5</v>
      </c>
      <c r="H196" s="205"/>
      <c r="I196" s="206"/>
      <c r="J196" s="1" t="s">
        <v>181</v>
      </c>
      <c r="K196" s="203" t="s">
        <v>127</v>
      </c>
      <c r="L196" s="204"/>
      <c r="M196" s="204">
        <v>2</v>
      </c>
      <c r="N196" s="286">
        <f>IF(OR(Tabelle132456891011121314151617[[#This Row],[Pulled after Start]]="yes",Tabelle132456891011121314151617[[#This Row],[Jira Story Points]]="-"),0,MIN(Tabelle132456891011121314151617[[#This Row],[Jira Story Points]],Tabelle132456891011121314151617[[#This Row],[Carry-over]]))</f>
        <v>0</v>
      </c>
      <c r="O196" s="210">
        <f>SUM(IF(ISBLANK(Tabelle132456891011121314151617[[#This Row],[Carry-over]]),Tabelle132456891011121314151617[[#This Row],[Jira Story Points]],Tabelle132456891011121314151617[[#This Row],[Carry-over]]),-Tabelle132456891011121314151617[[#This Row],[COsSP Initially Planned]])</f>
        <v>0</v>
      </c>
      <c r="P19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v>
      </c>
      <c r="Q196" s="210">
        <f>IF(Tabelle132456891011121314151617[[#This Row],[Status]]=$J$5,Tabelle132456891011121314151617[[#This Row],[COsSP Initially Planned]]+Tabelle132456891011121314151617[[#This Row],[COsSP Pulled after Start]]-Tabelle132456891011121314151617[[#This Row],[CSOsSP Completed]],0)</f>
        <v>0</v>
      </c>
      <c r="R196" s="210">
        <f>Tabelle132456891011121314151617[[#This Row],[COsSP Initially Planned]]+Tabelle132456891011121314151617[[#This Row],[COsSP Pulled after Start]]-Tabelle132456891011121314151617[[#This Row],[CSOsSP Completed]]-Tabelle132456891011121314151617[[#This Row],[CSOsSP Removed]]</f>
        <v>2</v>
      </c>
      <c r="T196" s="201"/>
    </row>
    <row r="197" spans="1:20" ht="13.5" customHeight="1">
      <c r="A197" s="285"/>
      <c r="B197" s="285"/>
      <c r="C197" s="203"/>
      <c r="D197" s="203"/>
      <c r="E197" s="203"/>
      <c r="F197" s="204">
        <v>5</v>
      </c>
      <c r="G197" s="203" t="s">
        <v>21</v>
      </c>
      <c r="H197" s="205"/>
      <c r="I197" s="206"/>
      <c r="J197" s="1" t="s">
        <v>179</v>
      </c>
      <c r="K197" s="203" t="s">
        <v>127</v>
      </c>
      <c r="L197" s="204">
        <v>0</v>
      </c>
      <c r="M197" s="204"/>
      <c r="N197" s="286">
        <f>IF(OR(Tabelle132456891011121314151617[[#This Row],[Pulled after Start]]="yes",Tabelle132456891011121314151617[[#This Row],[Jira Story Points]]="-"),0,MIN(Tabelle132456891011121314151617[[#This Row],[Jira Story Points]],Tabelle132456891011121314151617[[#This Row],[Carry-over]]))</f>
        <v>0</v>
      </c>
      <c r="O197" s="210">
        <f>SUM(IF(ISBLANK(Tabelle132456891011121314151617[[#This Row],[Carry-over]]),Tabelle132456891011121314151617[[#This Row],[Jira Story Points]],Tabelle132456891011121314151617[[#This Row],[Carry-over]]),-Tabelle132456891011121314151617[[#This Row],[COsSP Initially Planned]])</f>
        <v>0</v>
      </c>
      <c r="P19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97" s="210">
        <f>IF(Tabelle132456891011121314151617[[#This Row],[Status]]=$J$5,Tabelle132456891011121314151617[[#This Row],[COsSP Initially Planned]]+Tabelle132456891011121314151617[[#This Row],[COsSP Pulled after Start]]-Tabelle132456891011121314151617[[#This Row],[CSOsSP Completed]],0)</f>
        <v>0</v>
      </c>
      <c r="R197" s="210">
        <f>Tabelle132456891011121314151617[[#This Row],[COsSP Initially Planned]]+Tabelle132456891011121314151617[[#This Row],[COsSP Pulled after Start]]-Tabelle132456891011121314151617[[#This Row],[CSOsSP Completed]]-Tabelle132456891011121314151617[[#This Row],[CSOsSP Removed]]</f>
        <v>0</v>
      </c>
      <c r="T197" s="201"/>
    </row>
    <row r="198" spans="1:20" ht="13.5" customHeight="1">
      <c r="A198" s="285"/>
      <c r="B198" s="285"/>
      <c r="C198" s="203"/>
      <c r="D198" s="203"/>
      <c r="E198" s="203"/>
      <c r="F198" s="204">
        <v>13</v>
      </c>
      <c r="G198" s="203" t="s">
        <v>12</v>
      </c>
      <c r="H198" s="205"/>
      <c r="I198" s="206"/>
      <c r="J198" s="1" t="s">
        <v>175</v>
      </c>
      <c r="K198" s="203" t="s">
        <v>127</v>
      </c>
      <c r="L198" s="204">
        <v>0</v>
      </c>
      <c r="M198" s="204"/>
      <c r="N198" s="286">
        <f>IF(OR(Tabelle132456891011121314151617[[#This Row],[Pulled after Start]]="yes",Tabelle132456891011121314151617[[#This Row],[Jira Story Points]]="-"),0,MIN(Tabelle132456891011121314151617[[#This Row],[Jira Story Points]],Tabelle132456891011121314151617[[#This Row],[Carry-over]]))</f>
        <v>0</v>
      </c>
      <c r="O198" s="210">
        <f>SUM(IF(ISBLANK(Tabelle132456891011121314151617[[#This Row],[Carry-over]]),Tabelle132456891011121314151617[[#This Row],[Jira Story Points]],Tabelle132456891011121314151617[[#This Row],[Carry-over]]),-Tabelle132456891011121314151617[[#This Row],[COsSP Initially Planned]])</f>
        <v>0</v>
      </c>
      <c r="P19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98" s="210">
        <f>IF(Tabelle132456891011121314151617[[#This Row],[Status]]=$J$5,Tabelle132456891011121314151617[[#This Row],[COsSP Initially Planned]]+Tabelle132456891011121314151617[[#This Row],[COsSP Pulled after Start]]-Tabelle132456891011121314151617[[#This Row],[CSOsSP Completed]],0)</f>
        <v>0</v>
      </c>
      <c r="R198" s="210">
        <f>Tabelle132456891011121314151617[[#This Row],[COsSP Initially Planned]]+Tabelle132456891011121314151617[[#This Row],[COsSP Pulled after Start]]-Tabelle132456891011121314151617[[#This Row],[CSOsSP Completed]]-Tabelle132456891011121314151617[[#This Row],[CSOsSP Removed]]</f>
        <v>0</v>
      </c>
      <c r="T198" s="201"/>
    </row>
    <row r="199" spans="1:20" ht="13.5" customHeight="1">
      <c r="A199" s="214"/>
      <c r="B199" s="47"/>
      <c r="C199" s="203"/>
      <c r="D199" s="203"/>
      <c r="E199" s="203"/>
      <c r="F199" s="204" t="s">
        <v>210</v>
      </c>
      <c r="G199" s="203" t="s">
        <v>107</v>
      </c>
      <c r="H199" s="205"/>
      <c r="I199" s="206"/>
      <c r="J199" s="1" t="s">
        <v>180</v>
      </c>
      <c r="K199" s="203" t="s">
        <v>127</v>
      </c>
      <c r="L199" s="204">
        <v>0</v>
      </c>
      <c r="M199" s="204"/>
      <c r="N199" s="286">
        <f>IF(OR(Tabelle132456891011121314151617[[#This Row],[Pulled after Start]]="yes",Tabelle132456891011121314151617[[#This Row],[Jira Story Points]]="-"),0,MIN(Tabelle132456891011121314151617[[#This Row],[Jira Story Points]],Tabelle132456891011121314151617[[#This Row],[Carry-over]]))</f>
        <v>0</v>
      </c>
      <c r="O199" s="210">
        <f>SUM(IF(ISBLANK(Tabelle132456891011121314151617[[#This Row],[Carry-over]]),Tabelle132456891011121314151617[[#This Row],[Jira Story Points]],Tabelle132456891011121314151617[[#This Row],[Carry-over]]),-Tabelle132456891011121314151617[[#This Row],[COsSP Initially Planned]])</f>
        <v>0</v>
      </c>
      <c r="P19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199" s="210">
        <f>IF(Tabelle132456891011121314151617[[#This Row],[Status]]=$J$5,Tabelle132456891011121314151617[[#This Row],[COsSP Initially Planned]]+Tabelle132456891011121314151617[[#This Row],[COsSP Pulled after Start]]-Tabelle132456891011121314151617[[#This Row],[CSOsSP Completed]],0)</f>
        <v>0</v>
      </c>
      <c r="R199" s="210">
        <f>Tabelle132456891011121314151617[[#This Row],[COsSP Initially Planned]]+Tabelle132456891011121314151617[[#This Row],[COsSP Pulled after Start]]-Tabelle132456891011121314151617[[#This Row],[CSOsSP Completed]]-Tabelle132456891011121314151617[[#This Row],[CSOsSP Removed]]</f>
        <v>0</v>
      </c>
      <c r="T199" s="201"/>
    </row>
    <row r="200" spans="1:20" ht="13.5" customHeight="1">
      <c r="A200" s="285"/>
      <c r="B200" s="285"/>
      <c r="C200" s="203"/>
      <c r="D200" s="203"/>
      <c r="E200" s="203"/>
      <c r="F200" s="204">
        <v>5</v>
      </c>
      <c r="G200" s="203" t="s">
        <v>27</v>
      </c>
      <c r="H200" s="205"/>
      <c r="I200" s="206"/>
      <c r="J200" s="1" t="s">
        <v>182</v>
      </c>
      <c r="K200" s="203" t="s">
        <v>127</v>
      </c>
      <c r="L200" s="204">
        <v>3</v>
      </c>
      <c r="M200" s="204"/>
      <c r="N200" s="286">
        <f>IF(OR(Tabelle132456891011121314151617[[#This Row],[Pulled after Start]]="yes",Tabelle132456891011121314151617[[#This Row],[Jira Story Points]]="-"),0,MIN(Tabelle132456891011121314151617[[#This Row],[Jira Story Points]],Tabelle132456891011121314151617[[#This Row],[Carry-over]]))</f>
        <v>3</v>
      </c>
      <c r="O200" s="210">
        <f>SUM(IF(ISBLANK(Tabelle132456891011121314151617[[#This Row],[Carry-over]]),Tabelle132456891011121314151617[[#This Row],[Jira Story Points]],Tabelle132456891011121314151617[[#This Row],[Carry-over]]),-Tabelle132456891011121314151617[[#This Row],[COsSP Initially Planned]])</f>
        <v>0</v>
      </c>
      <c r="P20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00" s="210">
        <f>IF(Tabelle132456891011121314151617[[#This Row],[Status]]=$J$5,Tabelle132456891011121314151617[[#This Row],[COsSP Initially Planned]]+Tabelle132456891011121314151617[[#This Row],[COsSP Pulled after Start]]-Tabelle132456891011121314151617[[#This Row],[CSOsSP Completed]],0)</f>
        <v>0</v>
      </c>
      <c r="R200" s="210">
        <f>Tabelle132456891011121314151617[[#This Row],[COsSP Initially Planned]]+Tabelle132456891011121314151617[[#This Row],[COsSP Pulled after Start]]-Tabelle132456891011121314151617[[#This Row],[CSOsSP Completed]]-Tabelle132456891011121314151617[[#This Row],[CSOsSP Removed]]</f>
        <v>3</v>
      </c>
      <c r="T200" s="201"/>
    </row>
    <row r="201" spans="1:20" ht="13.5" customHeight="1">
      <c r="A201" s="285"/>
      <c r="B201" s="285"/>
      <c r="C201" s="203"/>
      <c r="D201" s="203"/>
      <c r="E201" s="203"/>
      <c r="F201" s="204">
        <v>13</v>
      </c>
      <c r="G201" s="203" t="s">
        <v>24</v>
      </c>
      <c r="H201" s="205"/>
      <c r="I201" s="206"/>
      <c r="J201" s="1" t="s">
        <v>183</v>
      </c>
      <c r="K201" s="203" t="s">
        <v>127</v>
      </c>
      <c r="L201" s="204">
        <v>3</v>
      </c>
      <c r="M201" s="204"/>
      <c r="N201" s="286">
        <f>IF(OR(Tabelle132456891011121314151617[[#This Row],[Pulled after Start]]="yes",Tabelle132456891011121314151617[[#This Row],[Jira Story Points]]="-"),0,MIN(Tabelle132456891011121314151617[[#This Row],[Jira Story Points]],Tabelle132456891011121314151617[[#This Row],[Carry-over]]))</f>
        <v>3</v>
      </c>
      <c r="O201" s="210">
        <f>SUM(IF(ISBLANK(Tabelle132456891011121314151617[[#This Row],[Carry-over]]),Tabelle132456891011121314151617[[#This Row],[Jira Story Points]],Tabelle132456891011121314151617[[#This Row],[Carry-over]]),-Tabelle132456891011121314151617[[#This Row],[COsSP Initially Planned]])</f>
        <v>0</v>
      </c>
      <c r="P20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01" s="210">
        <f>IF(Tabelle132456891011121314151617[[#This Row],[Status]]=$J$5,Tabelle132456891011121314151617[[#This Row],[COsSP Initially Planned]]+Tabelle132456891011121314151617[[#This Row],[COsSP Pulled after Start]]-Tabelle132456891011121314151617[[#This Row],[CSOsSP Completed]],0)</f>
        <v>0</v>
      </c>
      <c r="R201" s="210">
        <f>Tabelle132456891011121314151617[[#This Row],[COsSP Initially Planned]]+Tabelle132456891011121314151617[[#This Row],[COsSP Pulled after Start]]-Tabelle132456891011121314151617[[#This Row],[CSOsSP Completed]]-Tabelle132456891011121314151617[[#This Row],[CSOsSP Removed]]</f>
        <v>3</v>
      </c>
      <c r="T201" s="201"/>
    </row>
    <row r="202" spans="1:20" ht="13.5" customHeight="1">
      <c r="A202" s="214"/>
      <c r="B202" s="47"/>
      <c r="C202" s="203"/>
      <c r="D202" s="203"/>
      <c r="E202" s="203"/>
      <c r="F202" s="204" t="s">
        <v>210</v>
      </c>
      <c r="G202" s="203" t="s">
        <v>9</v>
      </c>
      <c r="H202" s="205"/>
      <c r="I202" s="206"/>
      <c r="J202" s="1" t="s">
        <v>176</v>
      </c>
      <c r="K202" s="203" t="s">
        <v>127</v>
      </c>
      <c r="L202" s="204">
        <v>3</v>
      </c>
      <c r="M202" s="204"/>
      <c r="N202" s="286">
        <f>IF(OR(Tabelle132456891011121314151617[[#This Row],[Pulled after Start]]="yes",Tabelle132456891011121314151617[[#This Row],[Jira Story Points]]="-"),0,MIN(Tabelle132456891011121314151617[[#This Row],[Jira Story Points]],Tabelle132456891011121314151617[[#This Row],[Carry-over]]))</f>
        <v>0</v>
      </c>
      <c r="O202" s="210">
        <f>SUM(IF(ISBLANK(Tabelle132456891011121314151617[[#This Row],[Carry-over]]),Tabelle132456891011121314151617[[#This Row],[Jira Story Points]],Tabelle132456891011121314151617[[#This Row],[Carry-over]]),-Tabelle132456891011121314151617[[#This Row],[COsSP Initially Planned]])</f>
        <v>3</v>
      </c>
      <c r="P20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02" s="210">
        <f>IF(Tabelle132456891011121314151617[[#This Row],[Status]]=$J$5,Tabelle132456891011121314151617[[#This Row],[COsSP Initially Planned]]+Tabelle132456891011121314151617[[#This Row],[COsSP Pulled after Start]]-Tabelle132456891011121314151617[[#This Row],[CSOsSP Completed]],0)</f>
        <v>0</v>
      </c>
      <c r="R202" s="210">
        <f>Tabelle132456891011121314151617[[#This Row],[COsSP Initially Planned]]+Tabelle132456891011121314151617[[#This Row],[COsSP Pulled after Start]]-Tabelle132456891011121314151617[[#This Row],[CSOsSP Completed]]-Tabelle132456891011121314151617[[#This Row],[CSOsSP Removed]]</f>
        <v>3</v>
      </c>
      <c r="T202" s="201"/>
    </row>
    <row r="203" spans="1:20" ht="13.5" customHeight="1">
      <c r="A203" s="285"/>
      <c r="B203" s="285"/>
      <c r="C203" s="203"/>
      <c r="D203" s="203"/>
      <c r="E203" s="203"/>
      <c r="F203" s="204">
        <v>5</v>
      </c>
      <c r="G203" s="203" t="s">
        <v>12</v>
      </c>
      <c r="H203" s="205"/>
      <c r="I203" s="206"/>
      <c r="J203" s="1" t="s">
        <v>176</v>
      </c>
      <c r="K203" s="203" t="s">
        <v>127</v>
      </c>
      <c r="L203" s="204">
        <v>8</v>
      </c>
      <c r="M203" s="204"/>
      <c r="N203" s="286">
        <f>IF(OR(Tabelle132456891011121314151617[[#This Row],[Pulled after Start]]="yes",Tabelle132456891011121314151617[[#This Row],[Jira Story Points]]="-"),0,MIN(Tabelle132456891011121314151617[[#This Row],[Jira Story Points]],Tabelle132456891011121314151617[[#This Row],[Carry-over]]))</f>
        <v>5</v>
      </c>
      <c r="O203" s="210">
        <f>SUM(IF(ISBLANK(Tabelle132456891011121314151617[[#This Row],[Carry-over]]),Tabelle132456891011121314151617[[#This Row],[Jira Story Points]],Tabelle132456891011121314151617[[#This Row],[Carry-over]]),-Tabelle132456891011121314151617[[#This Row],[COsSP Initially Planned]])</f>
        <v>3</v>
      </c>
      <c r="P20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03" s="210">
        <f>IF(Tabelle132456891011121314151617[[#This Row],[Status]]=$J$5,Tabelle132456891011121314151617[[#This Row],[COsSP Initially Planned]]+Tabelle132456891011121314151617[[#This Row],[COsSP Pulled after Start]]-Tabelle132456891011121314151617[[#This Row],[CSOsSP Completed]],0)</f>
        <v>0</v>
      </c>
      <c r="R203" s="210">
        <f>Tabelle132456891011121314151617[[#This Row],[COsSP Initially Planned]]+Tabelle132456891011121314151617[[#This Row],[COsSP Pulled after Start]]-Tabelle132456891011121314151617[[#This Row],[CSOsSP Completed]]-Tabelle132456891011121314151617[[#This Row],[CSOsSP Removed]]</f>
        <v>8</v>
      </c>
      <c r="T203" s="201"/>
    </row>
    <row r="204" spans="1:20" ht="13.5" customHeight="1">
      <c r="A204" s="285"/>
      <c r="B204" s="285"/>
      <c r="C204" s="203"/>
      <c r="D204" s="203"/>
      <c r="E204" s="203"/>
      <c r="F204" s="204">
        <v>13</v>
      </c>
      <c r="G204" s="203" t="s">
        <v>32</v>
      </c>
      <c r="H204" s="205"/>
      <c r="I204" s="206"/>
      <c r="J204" s="1" t="s">
        <v>180</v>
      </c>
      <c r="K204" s="203" t="s">
        <v>127</v>
      </c>
      <c r="L204" s="204">
        <v>8</v>
      </c>
      <c r="M204" s="204"/>
      <c r="N204" s="286">
        <f>IF(OR(Tabelle132456891011121314151617[[#This Row],[Pulled after Start]]="yes",Tabelle132456891011121314151617[[#This Row],[Jira Story Points]]="-"),0,MIN(Tabelle132456891011121314151617[[#This Row],[Jira Story Points]],Tabelle132456891011121314151617[[#This Row],[Carry-over]]))</f>
        <v>8</v>
      </c>
      <c r="O204" s="210">
        <f>SUM(IF(ISBLANK(Tabelle132456891011121314151617[[#This Row],[Carry-over]]),Tabelle132456891011121314151617[[#This Row],[Jira Story Points]],Tabelle132456891011121314151617[[#This Row],[Carry-over]]),-Tabelle132456891011121314151617[[#This Row],[COsSP Initially Planned]])</f>
        <v>0</v>
      </c>
      <c r="P20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04" s="210">
        <f>IF(Tabelle132456891011121314151617[[#This Row],[Status]]=$J$5,Tabelle132456891011121314151617[[#This Row],[COsSP Initially Planned]]+Tabelle132456891011121314151617[[#This Row],[COsSP Pulled after Start]]-Tabelle132456891011121314151617[[#This Row],[CSOsSP Completed]],0)</f>
        <v>0</v>
      </c>
      <c r="R204" s="210">
        <f>Tabelle132456891011121314151617[[#This Row],[COsSP Initially Planned]]+Tabelle132456891011121314151617[[#This Row],[COsSP Pulled after Start]]-Tabelle132456891011121314151617[[#This Row],[CSOsSP Completed]]-Tabelle132456891011121314151617[[#This Row],[CSOsSP Removed]]</f>
        <v>8</v>
      </c>
      <c r="T204" s="201"/>
    </row>
    <row r="205" spans="1:20" ht="13.5" customHeight="1">
      <c r="A205" s="214"/>
      <c r="B205" s="47"/>
      <c r="C205" s="203"/>
      <c r="D205" s="203"/>
      <c r="E205" s="203"/>
      <c r="F205" s="204" t="s">
        <v>210</v>
      </c>
      <c r="G205" s="203" t="s">
        <v>21</v>
      </c>
      <c r="H205" s="205"/>
      <c r="I205" s="206"/>
      <c r="J205" s="1" t="s">
        <v>178</v>
      </c>
      <c r="K205" s="203" t="s">
        <v>127</v>
      </c>
      <c r="L205" s="204">
        <v>8</v>
      </c>
      <c r="M205" s="204"/>
      <c r="N205" s="286">
        <f>IF(OR(Tabelle132456891011121314151617[[#This Row],[Pulled after Start]]="yes",Tabelle132456891011121314151617[[#This Row],[Jira Story Points]]="-"),0,MIN(Tabelle132456891011121314151617[[#This Row],[Jira Story Points]],Tabelle132456891011121314151617[[#This Row],[Carry-over]]))</f>
        <v>0</v>
      </c>
      <c r="O205" s="210">
        <f>SUM(IF(ISBLANK(Tabelle132456891011121314151617[[#This Row],[Carry-over]]),Tabelle132456891011121314151617[[#This Row],[Jira Story Points]],Tabelle132456891011121314151617[[#This Row],[Carry-over]]),-Tabelle132456891011121314151617[[#This Row],[COsSP Initially Planned]])</f>
        <v>8</v>
      </c>
      <c r="P20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05" s="210">
        <f>IF(Tabelle132456891011121314151617[[#This Row],[Status]]=$J$5,Tabelle132456891011121314151617[[#This Row],[COsSP Initially Planned]]+Tabelle132456891011121314151617[[#This Row],[COsSP Pulled after Start]]-Tabelle132456891011121314151617[[#This Row],[CSOsSP Completed]],0)</f>
        <v>0</v>
      </c>
      <c r="R205" s="210">
        <f>Tabelle132456891011121314151617[[#This Row],[COsSP Initially Planned]]+Tabelle132456891011121314151617[[#This Row],[COsSP Pulled after Start]]-Tabelle132456891011121314151617[[#This Row],[CSOsSP Completed]]-Tabelle132456891011121314151617[[#This Row],[CSOsSP Removed]]</f>
        <v>8</v>
      </c>
      <c r="T205" s="201"/>
    </row>
    <row r="206" spans="1:20" ht="13.5" customHeight="1">
      <c r="A206" s="285"/>
      <c r="B206" s="285"/>
      <c r="C206" s="203"/>
      <c r="D206" s="203"/>
      <c r="E206" s="203"/>
      <c r="F206" s="204">
        <v>5</v>
      </c>
      <c r="G206" s="203" t="s">
        <v>35</v>
      </c>
      <c r="H206" s="205"/>
      <c r="I206" s="206"/>
      <c r="J206" s="1" t="s">
        <v>178</v>
      </c>
      <c r="K206" s="203" t="s">
        <v>127</v>
      </c>
      <c r="L206" s="204">
        <v>21</v>
      </c>
      <c r="M206" s="204"/>
      <c r="N206" s="286">
        <f>IF(OR(Tabelle132456891011121314151617[[#This Row],[Pulled after Start]]="yes",Tabelle132456891011121314151617[[#This Row],[Jira Story Points]]="-"),0,MIN(Tabelle132456891011121314151617[[#This Row],[Jira Story Points]],Tabelle132456891011121314151617[[#This Row],[Carry-over]]))</f>
        <v>5</v>
      </c>
      <c r="O206" s="210">
        <f>SUM(IF(ISBLANK(Tabelle132456891011121314151617[[#This Row],[Carry-over]]),Tabelle132456891011121314151617[[#This Row],[Jira Story Points]],Tabelle132456891011121314151617[[#This Row],[Carry-over]]),-Tabelle132456891011121314151617[[#This Row],[COsSP Initially Planned]])</f>
        <v>16</v>
      </c>
      <c r="P20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06" s="210">
        <f>IF(Tabelle132456891011121314151617[[#This Row],[Status]]=$J$5,Tabelle132456891011121314151617[[#This Row],[COsSP Initially Planned]]+Tabelle132456891011121314151617[[#This Row],[COsSP Pulled after Start]]-Tabelle132456891011121314151617[[#This Row],[CSOsSP Completed]],0)</f>
        <v>0</v>
      </c>
      <c r="R206" s="210">
        <f>Tabelle132456891011121314151617[[#This Row],[COsSP Initially Planned]]+Tabelle132456891011121314151617[[#This Row],[COsSP Pulled after Start]]-Tabelle132456891011121314151617[[#This Row],[CSOsSP Completed]]-Tabelle132456891011121314151617[[#This Row],[CSOsSP Removed]]</f>
        <v>21</v>
      </c>
      <c r="T206" s="201"/>
    </row>
    <row r="207" spans="1:20" ht="13.5" customHeight="1">
      <c r="A207" s="285"/>
      <c r="B207" s="285"/>
      <c r="C207" s="203"/>
      <c r="D207" s="203"/>
      <c r="E207" s="203"/>
      <c r="F207" s="204">
        <v>13</v>
      </c>
      <c r="G207" s="203" t="s">
        <v>24</v>
      </c>
      <c r="H207" s="205"/>
      <c r="I207" s="206"/>
      <c r="J207" s="1" t="s">
        <v>182</v>
      </c>
      <c r="K207" s="203" t="s">
        <v>127</v>
      </c>
      <c r="L207" s="204">
        <v>21</v>
      </c>
      <c r="M207" s="204"/>
      <c r="N207" s="286">
        <f>IF(OR(Tabelle132456891011121314151617[[#This Row],[Pulled after Start]]="yes",Tabelle132456891011121314151617[[#This Row],[Jira Story Points]]="-"),0,MIN(Tabelle132456891011121314151617[[#This Row],[Jira Story Points]],Tabelle132456891011121314151617[[#This Row],[Carry-over]]))</f>
        <v>13</v>
      </c>
      <c r="O207" s="210">
        <f>SUM(IF(ISBLANK(Tabelle132456891011121314151617[[#This Row],[Carry-over]]),Tabelle132456891011121314151617[[#This Row],[Jira Story Points]],Tabelle132456891011121314151617[[#This Row],[Carry-over]]),-Tabelle132456891011121314151617[[#This Row],[COsSP Initially Planned]])</f>
        <v>8</v>
      </c>
      <c r="P20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07" s="210">
        <f>IF(Tabelle132456891011121314151617[[#This Row],[Status]]=$J$5,Tabelle132456891011121314151617[[#This Row],[COsSP Initially Planned]]+Tabelle132456891011121314151617[[#This Row],[COsSP Pulled after Start]]-Tabelle132456891011121314151617[[#This Row],[CSOsSP Completed]],0)</f>
        <v>0</v>
      </c>
      <c r="R207" s="210">
        <f>Tabelle132456891011121314151617[[#This Row],[COsSP Initially Planned]]+Tabelle132456891011121314151617[[#This Row],[COsSP Pulled after Start]]-Tabelle132456891011121314151617[[#This Row],[CSOsSP Completed]]-Tabelle132456891011121314151617[[#This Row],[CSOsSP Removed]]</f>
        <v>21</v>
      </c>
      <c r="T207" s="201"/>
    </row>
    <row r="208" spans="1:20" ht="13.5" customHeight="1">
      <c r="A208" s="214"/>
      <c r="B208" s="47"/>
      <c r="C208" s="203"/>
      <c r="D208" s="203"/>
      <c r="E208" s="203"/>
      <c r="F208" s="204" t="s">
        <v>210</v>
      </c>
      <c r="G208" s="203" t="s">
        <v>17</v>
      </c>
      <c r="H208" s="205"/>
      <c r="I208" s="206"/>
      <c r="J208" s="1" t="s">
        <v>180</v>
      </c>
      <c r="K208" s="203" t="s">
        <v>127</v>
      </c>
      <c r="L208" s="204">
        <v>21</v>
      </c>
      <c r="M208" s="204"/>
      <c r="N208" s="286">
        <f>IF(OR(Tabelle132456891011121314151617[[#This Row],[Pulled after Start]]="yes",Tabelle132456891011121314151617[[#This Row],[Jira Story Points]]="-"),0,MIN(Tabelle132456891011121314151617[[#This Row],[Jira Story Points]],Tabelle132456891011121314151617[[#This Row],[Carry-over]]))</f>
        <v>0</v>
      </c>
      <c r="O208" s="210">
        <f>SUM(IF(ISBLANK(Tabelle132456891011121314151617[[#This Row],[Carry-over]]),Tabelle132456891011121314151617[[#This Row],[Jira Story Points]],Tabelle132456891011121314151617[[#This Row],[Carry-over]]),-Tabelle132456891011121314151617[[#This Row],[COsSP Initially Planned]])</f>
        <v>21</v>
      </c>
      <c r="P20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08" s="210">
        <f>IF(Tabelle132456891011121314151617[[#This Row],[Status]]=$J$5,Tabelle132456891011121314151617[[#This Row],[COsSP Initially Planned]]+Tabelle132456891011121314151617[[#This Row],[COsSP Pulled after Start]]-Tabelle132456891011121314151617[[#This Row],[CSOsSP Completed]],0)</f>
        <v>0</v>
      </c>
      <c r="R208" s="210">
        <f>Tabelle132456891011121314151617[[#This Row],[COsSP Initially Planned]]+Tabelle132456891011121314151617[[#This Row],[COsSP Pulled after Start]]-Tabelle132456891011121314151617[[#This Row],[CSOsSP Completed]]-Tabelle132456891011121314151617[[#This Row],[CSOsSP Removed]]</f>
        <v>21</v>
      </c>
      <c r="T208" s="201"/>
    </row>
    <row r="209" spans="1:20" ht="13.5" customHeight="1">
      <c r="A209" s="285"/>
      <c r="B209" s="285"/>
      <c r="C209" s="203"/>
      <c r="D209" s="203"/>
      <c r="E209" s="203"/>
      <c r="F209" s="204">
        <v>5</v>
      </c>
      <c r="G209" s="203" t="s">
        <v>21</v>
      </c>
      <c r="H209" s="205"/>
      <c r="I209" s="206"/>
      <c r="J209" s="1" t="s">
        <v>177</v>
      </c>
      <c r="K209" s="203" t="s">
        <v>127</v>
      </c>
      <c r="L209" s="204"/>
      <c r="M209" s="204"/>
      <c r="N209" s="286">
        <f>IF(OR(Tabelle132456891011121314151617[[#This Row],[Pulled after Start]]="yes",Tabelle132456891011121314151617[[#This Row],[Jira Story Points]]="-"),0,MIN(Tabelle132456891011121314151617[[#This Row],[Jira Story Points]],Tabelle132456891011121314151617[[#This Row],[Carry-over]]))</f>
        <v>5</v>
      </c>
      <c r="O209" s="210">
        <f>SUM(IF(ISBLANK(Tabelle132456891011121314151617[[#This Row],[Carry-over]]),Tabelle132456891011121314151617[[#This Row],[Jira Story Points]],Tabelle132456891011121314151617[[#This Row],[Carry-over]]),-Tabelle132456891011121314151617[[#This Row],[COsSP Initially Planned]])</f>
        <v>0</v>
      </c>
      <c r="P20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09" s="210">
        <f>IF(Tabelle132456891011121314151617[[#This Row],[Status]]=$J$5,Tabelle132456891011121314151617[[#This Row],[COsSP Initially Planned]]+Tabelle132456891011121314151617[[#This Row],[COsSP Pulled after Start]]-Tabelle132456891011121314151617[[#This Row],[CSOsSP Completed]],0)</f>
        <v>0</v>
      </c>
      <c r="R209" s="210">
        <f>Tabelle132456891011121314151617[[#This Row],[COsSP Initially Planned]]+Tabelle132456891011121314151617[[#This Row],[COsSP Pulled after Start]]-Tabelle132456891011121314151617[[#This Row],[CSOsSP Completed]]-Tabelle132456891011121314151617[[#This Row],[CSOsSP Removed]]</f>
        <v>5</v>
      </c>
      <c r="T209" s="201"/>
    </row>
    <row r="210" spans="1:20" ht="13.5" customHeight="1">
      <c r="A210" s="285"/>
      <c r="B210" s="285"/>
      <c r="C210" s="203"/>
      <c r="D210" s="203"/>
      <c r="E210" s="203"/>
      <c r="F210" s="204">
        <v>13</v>
      </c>
      <c r="G210" s="203" t="s">
        <v>9</v>
      </c>
      <c r="H210" s="205"/>
      <c r="I210" s="206"/>
      <c r="J210" s="1" t="s">
        <v>179</v>
      </c>
      <c r="K210" s="203" t="s">
        <v>127</v>
      </c>
      <c r="L210" s="204"/>
      <c r="M210" s="204"/>
      <c r="N210" s="286">
        <f>IF(OR(Tabelle132456891011121314151617[[#This Row],[Pulled after Start]]="yes",Tabelle132456891011121314151617[[#This Row],[Jira Story Points]]="-"),0,MIN(Tabelle132456891011121314151617[[#This Row],[Jira Story Points]],Tabelle132456891011121314151617[[#This Row],[Carry-over]]))</f>
        <v>13</v>
      </c>
      <c r="O210" s="210">
        <f>SUM(IF(ISBLANK(Tabelle132456891011121314151617[[#This Row],[Carry-over]]),Tabelle132456891011121314151617[[#This Row],[Jira Story Points]],Tabelle132456891011121314151617[[#This Row],[Carry-over]]),-Tabelle132456891011121314151617[[#This Row],[COsSP Initially Planned]])</f>
        <v>0</v>
      </c>
      <c r="P21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10" s="210">
        <f>IF(Tabelle132456891011121314151617[[#This Row],[Status]]=$J$5,Tabelle132456891011121314151617[[#This Row],[COsSP Initially Planned]]+Tabelle132456891011121314151617[[#This Row],[COsSP Pulled after Start]]-Tabelle132456891011121314151617[[#This Row],[CSOsSP Completed]],0)</f>
        <v>0</v>
      </c>
      <c r="R210" s="210">
        <f>Tabelle132456891011121314151617[[#This Row],[COsSP Initially Planned]]+Tabelle132456891011121314151617[[#This Row],[COsSP Pulled after Start]]-Tabelle132456891011121314151617[[#This Row],[CSOsSP Completed]]-Tabelle132456891011121314151617[[#This Row],[CSOsSP Removed]]</f>
        <v>13</v>
      </c>
      <c r="T210" s="201"/>
    </row>
    <row r="211" spans="1:20" ht="13.5" customHeight="1">
      <c r="A211" s="214"/>
      <c r="B211" s="47"/>
      <c r="C211" s="203"/>
      <c r="D211" s="203"/>
      <c r="E211" s="203"/>
      <c r="F211" s="204" t="s">
        <v>210</v>
      </c>
      <c r="G211" s="203" t="s">
        <v>9</v>
      </c>
      <c r="H211" s="205"/>
      <c r="I211" s="206"/>
      <c r="J211" s="1" t="s">
        <v>178</v>
      </c>
      <c r="K211" s="203" t="s">
        <v>127</v>
      </c>
      <c r="L211" s="204"/>
      <c r="M211" s="204"/>
      <c r="N211" s="286">
        <f>IF(OR(Tabelle132456891011121314151617[[#This Row],[Pulled after Start]]="yes",Tabelle132456891011121314151617[[#This Row],[Jira Story Points]]="-"),0,MIN(Tabelle132456891011121314151617[[#This Row],[Jira Story Points]],Tabelle132456891011121314151617[[#This Row],[Carry-over]]))</f>
        <v>0</v>
      </c>
      <c r="O211" s="210">
        <f>SUM(IF(ISBLANK(Tabelle132456891011121314151617[[#This Row],[Carry-over]]),Tabelle132456891011121314151617[[#This Row],[Jira Story Points]],Tabelle132456891011121314151617[[#This Row],[Carry-over]]),-Tabelle132456891011121314151617[[#This Row],[COsSP Initially Planned]])</f>
        <v>0</v>
      </c>
      <c r="P21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11" s="210">
        <f>IF(Tabelle132456891011121314151617[[#This Row],[Status]]=$J$5,Tabelle132456891011121314151617[[#This Row],[COsSP Initially Planned]]+Tabelle132456891011121314151617[[#This Row],[COsSP Pulled after Start]]-Tabelle132456891011121314151617[[#This Row],[CSOsSP Completed]],0)</f>
        <v>0</v>
      </c>
      <c r="R211" s="210">
        <f>Tabelle132456891011121314151617[[#This Row],[COsSP Initially Planned]]+Tabelle132456891011121314151617[[#This Row],[COsSP Pulled after Start]]-Tabelle132456891011121314151617[[#This Row],[CSOsSP Completed]]-Tabelle132456891011121314151617[[#This Row],[CSOsSP Removed]]</f>
        <v>0</v>
      </c>
      <c r="T211" s="201"/>
    </row>
    <row r="212" spans="1:20" ht="13.5" customHeight="1">
      <c r="A212" s="214"/>
      <c r="B212" s="47"/>
      <c r="C212" s="203"/>
      <c r="D212" s="203"/>
      <c r="E212" s="203"/>
      <c r="F212" s="204">
        <v>5</v>
      </c>
      <c r="G212" s="203" t="s">
        <v>24</v>
      </c>
      <c r="H212" s="205" t="s">
        <v>209</v>
      </c>
      <c r="I212" s="206"/>
      <c r="J212" s="1" t="s">
        <v>177</v>
      </c>
      <c r="K212" s="203" t="s">
        <v>126</v>
      </c>
      <c r="L212" s="204">
        <v>0</v>
      </c>
      <c r="M212" s="204">
        <v>0</v>
      </c>
      <c r="N212" s="286">
        <f>IF(OR(Tabelle132456891011121314151617[[#This Row],[Pulled after Start]]="yes",Tabelle132456891011121314151617[[#This Row],[Jira Story Points]]="-"),0,MIN(Tabelle132456891011121314151617[[#This Row],[Jira Story Points]],Tabelle132456891011121314151617[[#This Row],[Carry-over]]))</f>
        <v>0</v>
      </c>
      <c r="O212" s="210">
        <f>SUM(IF(ISBLANK(Tabelle132456891011121314151617[[#This Row],[Carry-over]]),Tabelle132456891011121314151617[[#This Row],[Jira Story Points]],Tabelle132456891011121314151617[[#This Row],[Carry-over]]),-Tabelle132456891011121314151617[[#This Row],[COsSP Initially Planned]])</f>
        <v>0</v>
      </c>
      <c r="P21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12" s="210">
        <f>IF(Tabelle132456891011121314151617[[#This Row],[Status]]=$J$5,Tabelle132456891011121314151617[[#This Row],[COsSP Initially Planned]]+Tabelle132456891011121314151617[[#This Row],[COsSP Pulled after Start]]-Tabelle132456891011121314151617[[#This Row],[CSOsSP Completed]],0)</f>
        <v>0</v>
      </c>
      <c r="R212" s="210">
        <f>Tabelle132456891011121314151617[[#This Row],[COsSP Initially Planned]]+Tabelle132456891011121314151617[[#This Row],[COsSP Pulled after Start]]-Tabelle132456891011121314151617[[#This Row],[CSOsSP Completed]]-Tabelle132456891011121314151617[[#This Row],[CSOsSP Removed]]</f>
        <v>0</v>
      </c>
      <c r="T212" s="201"/>
    </row>
    <row r="213" spans="1:20" ht="13.5" customHeight="1">
      <c r="A213" s="214"/>
      <c r="B213" s="47"/>
      <c r="C213" s="203"/>
      <c r="D213" s="203"/>
      <c r="E213" s="203"/>
      <c r="F213" s="204">
        <v>13</v>
      </c>
      <c r="G213" s="203" t="s">
        <v>32</v>
      </c>
      <c r="H213" s="205" t="s">
        <v>209</v>
      </c>
      <c r="I213" s="206"/>
      <c r="J213" s="1" t="s">
        <v>179</v>
      </c>
      <c r="K213" s="203" t="s">
        <v>126</v>
      </c>
      <c r="L213" s="204">
        <v>0</v>
      </c>
      <c r="M213" s="204">
        <v>0</v>
      </c>
      <c r="N213" s="286">
        <f>IF(OR(Tabelle132456891011121314151617[[#This Row],[Pulled after Start]]="yes",Tabelle132456891011121314151617[[#This Row],[Jira Story Points]]="-"),0,MIN(Tabelle132456891011121314151617[[#This Row],[Jira Story Points]],Tabelle132456891011121314151617[[#This Row],[Carry-over]]))</f>
        <v>0</v>
      </c>
      <c r="O213" s="210">
        <f>SUM(IF(ISBLANK(Tabelle132456891011121314151617[[#This Row],[Carry-over]]),Tabelle132456891011121314151617[[#This Row],[Jira Story Points]],Tabelle132456891011121314151617[[#This Row],[Carry-over]]),-Tabelle132456891011121314151617[[#This Row],[COsSP Initially Planned]])</f>
        <v>0</v>
      </c>
      <c r="P21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13" s="210">
        <f>IF(Tabelle132456891011121314151617[[#This Row],[Status]]=$J$5,Tabelle132456891011121314151617[[#This Row],[COsSP Initially Planned]]+Tabelle132456891011121314151617[[#This Row],[COsSP Pulled after Start]]-Tabelle132456891011121314151617[[#This Row],[CSOsSP Completed]],0)</f>
        <v>0</v>
      </c>
      <c r="R213" s="210">
        <f>Tabelle132456891011121314151617[[#This Row],[COsSP Initially Planned]]+Tabelle132456891011121314151617[[#This Row],[COsSP Pulled after Start]]-Tabelle132456891011121314151617[[#This Row],[CSOsSP Completed]]-Tabelle132456891011121314151617[[#This Row],[CSOsSP Removed]]</f>
        <v>0</v>
      </c>
      <c r="T213" s="201"/>
    </row>
    <row r="214" spans="1:20" ht="13.5" customHeight="1">
      <c r="A214" s="214"/>
      <c r="B214" s="47"/>
      <c r="C214" s="203"/>
      <c r="D214" s="203"/>
      <c r="E214" s="203"/>
      <c r="F214" s="204" t="s">
        <v>210</v>
      </c>
      <c r="G214" s="203" t="s">
        <v>107</v>
      </c>
      <c r="H214" s="205" t="s">
        <v>209</v>
      </c>
      <c r="I214" s="206"/>
      <c r="J214" s="1" t="s">
        <v>182</v>
      </c>
      <c r="K214" s="203" t="s">
        <v>126</v>
      </c>
      <c r="L214" s="204">
        <v>0</v>
      </c>
      <c r="M214" s="204">
        <v>0</v>
      </c>
      <c r="N214" s="286">
        <f>IF(OR(Tabelle132456891011121314151617[[#This Row],[Pulled after Start]]="yes",Tabelle132456891011121314151617[[#This Row],[Jira Story Points]]="-"),0,MIN(Tabelle132456891011121314151617[[#This Row],[Jira Story Points]],Tabelle132456891011121314151617[[#This Row],[Carry-over]]))</f>
        <v>0</v>
      </c>
      <c r="O214" s="210">
        <f>SUM(IF(ISBLANK(Tabelle132456891011121314151617[[#This Row],[Carry-over]]),Tabelle132456891011121314151617[[#This Row],[Jira Story Points]],Tabelle132456891011121314151617[[#This Row],[Carry-over]]),-Tabelle132456891011121314151617[[#This Row],[COsSP Initially Planned]])</f>
        <v>0</v>
      </c>
      <c r="P21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14" s="210">
        <f>IF(Tabelle132456891011121314151617[[#This Row],[Status]]=$J$5,Tabelle132456891011121314151617[[#This Row],[COsSP Initially Planned]]+Tabelle132456891011121314151617[[#This Row],[COsSP Pulled after Start]]-Tabelle132456891011121314151617[[#This Row],[CSOsSP Completed]],0)</f>
        <v>0</v>
      </c>
      <c r="R214" s="210">
        <f>Tabelle132456891011121314151617[[#This Row],[COsSP Initially Planned]]+Tabelle132456891011121314151617[[#This Row],[COsSP Pulled after Start]]-Tabelle132456891011121314151617[[#This Row],[CSOsSP Completed]]-Tabelle132456891011121314151617[[#This Row],[CSOsSP Removed]]</f>
        <v>0</v>
      </c>
      <c r="T214" s="201"/>
    </row>
    <row r="215" spans="1:20" ht="13.5" customHeight="1">
      <c r="A215" s="214"/>
      <c r="B215" s="47"/>
      <c r="C215" s="203"/>
      <c r="D215" s="203"/>
      <c r="E215" s="203"/>
      <c r="F215" s="204">
        <v>5</v>
      </c>
      <c r="G215" s="203" t="s">
        <v>21</v>
      </c>
      <c r="H215" s="205" t="s">
        <v>209</v>
      </c>
      <c r="I215" s="206"/>
      <c r="J215" s="1" t="s">
        <v>184</v>
      </c>
      <c r="K215" s="203" t="s">
        <v>126</v>
      </c>
      <c r="L215" s="204">
        <v>3</v>
      </c>
      <c r="M215" s="204">
        <v>0</v>
      </c>
      <c r="N215" s="286">
        <f>IF(OR(Tabelle132456891011121314151617[[#This Row],[Pulled after Start]]="yes",Tabelle132456891011121314151617[[#This Row],[Jira Story Points]]="-"),0,MIN(Tabelle132456891011121314151617[[#This Row],[Jira Story Points]],Tabelle132456891011121314151617[[#This Row],[Carry-over]]))</f>
        <v>0</v>
      </c>
      <c r="O215" s="210">
        <f>SUM(IF(ISBLANK(Tabelle132456891011121314151617[[#This Row],[Carry-over]]),Tabelle132456891011121314151617[[#This Row],[Jira Story Points]],Tabelle132456891011121314151617[[#This Row],[Carry-over]]),-Tabelle132456891011121314151617[[#This Row],[COsSP Initially Planned]])</f>
        <v>3</v>
      </c>
      <c r="P21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215" s="210">
        <f>IF(Tabelle132456891011121314151617[[#This Row],[Status]]=$J$5,Tabelle132456891011121314151617[[#This Row],[COsSP Initially Planned]]+Tabelle132456891011121314151617[[#This Row],[COsSP Pulled after Start]]-Tabelle132456891011121314151617[[#This Row],[CSOsSP Completed]],0)</f>
        <v>0</v>
      </c>
      <c r="R215" s="210">
        <f>Tabelle132456891011121314151617[[#This Row],[COsSP Initially Planned]]+Tabelle132456891011121314151617[[#This Row],[COsSP Pulled after Start]]-Tabelle132456891011121314151617[[#This Row],[CSOsSP Completed]]-Tabelle132456891011121314151617[[#This Row],[CSOsSP Removed]]</f>
        <v>0</v>
      </c>
      <c r="T215" s="201"/>
    </row>
    <row r="216" spans="1:20" ht="13.5" customHeight="1">
      <c r="A216" s="214"/>
      <c r="B216" s="47"/>
      <c r="C216" s="203"/>
      <c r="D216" s="203"/>
      <c r="E216" s="203"/>
      <c r="F216" s="204">
        <v>13</v>
      </c>
      <c r="G216" s="203" t="s">
        <v>17</v>
      </c>
      <c r="H216" s="205" t="s">
        <v>209</v>
      </c>
      <c r="I216" s="206"/>
      <c r="J216" s="1" t="s">
        <v>184</v>
      </c>
      <c r="K216" s="203" t="s">
        <v>126</v>
      </c>
      <c r="L216" s="204">
        <v>3</v>
      </c>
      <c r="M216" s="204">
        <v>0</v>
      </c>
      <c r="N216" s="286">
        <f>IF(OR(Tabelle132456891011121314151617[[#This Row],[Pulled after Start]]="yes",Tabelle132456891011121314151617[[#This Row],[Jira Story Points]]="-"),0,MIN(Tabelle132456891011121314151617[[#This Row],[Jira Story Points]],Tabelle132456891011121314151617[[#This Row],[Carry-over]]))</f>
        <v>0</v>
      </c>
      <c r="O216" s="210">
        <f>SUM(IF(ISBLANK(Tabelle132456891011121314151617[[#This Row],[Carry-over]]),Tabelle132456891011121314151617[[#This Row],[Jira Story Points]],Tabelle132456891011121314151617[[#This Row],[Carry-over]]),-Tabelle132456891011121314151617[[#This Row],[COsSP Initially Planned]])</f>
        <v>3</v>
      </c>
      <c r="P21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216" s="210">
        <f>IF(Tabelle132456891011121314151617[[#This Row],[Status]]=$J$5,Tabelle132456891011121314151617[[#This Row],[COsSP Initially Planned]]+Tabelle132456891011121314151617[[#This Row],[COsSP Pulled after Start]]-Tabelle132456891011121314151617[[#This Row],[CSOsSP Completed]],0)</f>
        <v>0</v>
      </c>
      <c r="R216" s="210">
        <f>Tabelle132456891011121314151617[[#This Row],[COsSP Initially Planned]]+Tabelle132456891011121314151617[[#This Row],[COsSP Pulled after Start]]-Tabelle132456891011121314151617[[#This Row],[CSOsSP Completed]]-Tabelle132456891011121314151617[[#This Row],[CSOsSP Removed]]</f>
        <v>0</v>
      </c>
      <c r="T216" s="201"/>
    </row>
    <row r="217" spans="1:20" ht="13.5" customHeight="1">
      <c r="A217" s="214"/>
      <c r="B217" s="47"/>
      <c r="C217" s="203"/>
      <c r="D217" s="203"/>
      <c r="E217" s="203"/>
      <c r="F217" s="204" t="s">
        <v>210</v>
      </c>
      <c r="G217" s="203" t="s">
        <v>32</v>
      </c>
      <c r="H217" s="205" t="s">
        <v>209</v>
      </c>
      <c r="I217" s="206"/>
      <c r="J217" s="1" t="s">
        <v>179</v>
      </c>
      <c r="K217" s="203" t="s">
        <v>126</v>
      </c>
      <c r="L217" s="204">
        <v>3</v>
      </c>
      <c r="M217" s="204">
        <v>0</v>
      </c>
      <c r="N217" s="286">
        <f>IF(OR(Tabelle132456891011121314151617[[#This Row],[Pulled after Start]]="yes",Tabelle132456891011121314151617[[#This Row],[Jira Story Points]]="-"),0,MIN(Tabelle132456891011121314151617[[#This Row],[Jira Story Points]],Tabelle132456891011121314151617[[#This Row],[Carry-over]]))</f>
        <v>0</v>
      </c>
      <c r="O217" s="210">
        <f>SUM(IF(ISBLANK(Tabelle132456891011121314151617[[#This Row],[Carry-over]]),Tabelle132456891011121314151617[[#This Row],[Jira Story Points]],Tabelle132456891011121314151617[[#This Row],[Carry-over]]),-Tabelle132456891011121314151617[[#This Row],[COsSP Initially Planned]])</f>
        <v>3</v>
      </c>
      <c r="P21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217" s="210">
        <f>IF(Tabelle132456891011121314151617[[#This Row],[Status]]=$J$5,Tabelle132456891011121314151617[[#This Row],[COsSP Initially Planned]]+Tabelle132456891011121314151617[[#This Row],[COsSP Pulled after Start]]-Tabelle132456891011121314151617[[#This Row],[CSOsSP Completed]],0)</f>
        <v>0</v>
      </c>
      <c r="R217" s="210">
        <f>Tabelle132456891011121314151617[[#This Row],[COsSP Initially Planned]]+Tabelle132456891011121314151617[[#This Row],[COsSP Pulled after Start]]-Tabelle132456891011121314151617[[#This Row],[CSOsSP Completed]]-Tabelle132456891011121314151617[[#This Row],[CSOsSP Removed]]</f>
        <v>0</v>
      </c>
      <c r="T217" s="201"/>
    </row>
    <row r="218" spans="1:20" ht="13.5" customHeight="1">
      <c r="A218" s="214"/>
      <c r="B218" s="47"/>
      <c r="C218" s="203"/>
      <c r="D218" s="203"/>
      <c r="E218" s="203"/>
      <c r="F218" s="204">
        <v>5</v>
      </c>
      <c r="G218" s="203" t="s">
        <v>27</v>
      </c>
      <c r="H218" s="205" t="s">
        <v>209</v>
      </c>
      <c r="I218" s="206"/>
      <c r="J218" s="1" t="s">
        <v>181</v>
      </c>
      <c r="K218" s="203" t="s">
        <v>126</v>
      </c>
      <c r="L218" s="204">
        <v>8</v>
      </c>
      <c r="M218" s="204">
        <v>0</v>
      </c>
      <c r="N218" s="286">
        <f>IF(OR(Tabelle132456891011121314151617[[#This Row],[Pulled after Start]]="yes",Tabelle132456891011121314151617[[#This Row],[Jira Story Points]]="-"),0,MIN(Tabelle132456891011121314151617[[#This Row],[Jira Story Points]],Tabelle132456891011121314151617[[#This Row],[Carry-over]]))</f>
        <v>0</v>
      </c>
      <c r="O218" s="210">
        <f>SUM(IF(ISBLANK(Tabelle132456891011121314151617[[#This Row],[Carry-over]]),Tabelle132456891011121314151617[[#This Row],[Jira Story Points]],Tabelle132456891011121314151617[[#This Row],[Carry-over]]),-Tabelle132456891011121314151617[[#This Row],[COsSP Initially Planned]])</f>
        <v>8</v>
      </c>
      <c r="P21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218" s="210">
        <f>IF(Tabelle132456891011121314151617[[#This Row],[Status]]=$J$5,Tabelle132456891011121314151617[[#This Row],[COsSP Initially Planned]]+Tabelle132456891011121314151617[[#This Row],[COsSP Pulled after Start]]-Tabelle132456891011121314151617[[#This Row],[CSOsSP Completed]],0)</f>
        <v>0</v>
      </c>
      <c r="R218" s="210">
        <f>Tabelle132456891011121314151617[[#This Row],[COsSP Initially Planned]]+Tabelle132456891011121314151617[[#This Row],[COsSP Pulled after Start]]-Tabelle132456891011121314151617[[#This Row],[CSOsSP Completed]]-Tabelle132456891011121314151617[[#This Row],[CSOsSP Removed]]</f>
        <v>0</v>
      </c>
      <c r="T218" s="201"/>
    </row>
    <row r="219" spans="1:20" ht="13.5" customHeight="1">
      <c r="A219" s="214"/>
      <c r="B219" s="47"/>
      <c r="C219" s="203"/>
      <c r="D219" s="203"/>
      <c r="E219" s="203"/>
      <c r="F219" s="204">
        <v>13</v>
      </c>
      <c r="G219" s="203" t="s">
        <v>17</v>
      </c>
      <c r="H219" s="205" t="s">
        <v>209</v>
      </c>
      <c r="I219" s="206"/>
      <c r="J219" s="1" t="s">
        <v>181</v>
      </c>
      <c r="K219" s="203" t="s">
        <v>126</v>
      </c>
      <c r="L219" s="204">
        <v>8</v>
      </c>
      <c r="M219" s="204">
        <v>0</v>
      </c>
      <c r="N219" s="286">
        <f>IF(OR(Tabelle132456891011121314151617[[#This Row],[Pulled after Start]]="yes",Tabelle132456891011121314151617[[#This Row],[Jira Story Points]]="-"),0,MIN(Tabelle132456891011121314151617[[#This Row],[Jira Story Points]],Tabelle132456891011121314151617[[#This Row],[Carry-over]]))</f>
        <v>0</v>
      </c>
      <c r="O219" s="210">
        <f>SUM(IF(ISBLANK(Tabelle132456891011121314151617[[#This Row],[Carry-over]]),Tabelle132456891011121314151617[[#This Row],[Jira Story Points]],Tabelle132456891011121314151617[[#This Row],[Carry-over]]),-Tabelle132456891011121314151617[[#This Row],[COsSP Initially Planned]])</f>
        <v>8</v>
      </c>
      <c r="P21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219" s="210">
        <f>IF(Tabelle132456891011121314151617[[#This Row],[Status]]=$J$5,Tabelle132456891011121314151617[[#This Row],[COsSP Initially Planned]]+Tabelle132456891011121314151617[[#This Row],[COsSP Pulled after Start]]-Tabelle132456891011121314151617[[#This Row],[CSOsSP Completed]],0)</f>
        <v>0</v>
      </c>
      <c r="R219" s="210">
        <f>Tabelle132456891011121314151617[[#This Row],[COsSP Initially Planned]]+Tabelle132456891011121314151617[[#This Row],[COsSP Pulled after Start]]-Tabelle132456891011121314151617[[#This Row],[CSOsSP Completed]]-Tabelle132456891011121314151617[[#This Row],[CSOsSP Removed]]</f>
        <v>0</v>
      </c>
      <c r="T219" s="201"/>
    </row>
    <row r="220" spans="1:20" ht="13.5" customHeight="1">
      <c r="A220" s="214"/>
      <c r="B220" s="47"/>
      <c r="C220" s="203"/>
      <c r="D220" s="203"/>
      <c r="E220" s="203"/>
      <c r="F220" s="204" t="s">
        <v>210</v>
      </c>
      <c r="G220" s="203" t="s">
        <v>107</v>
      </c>
      <c r="H220" s="205" t="s">
        <v>209</v>
      </c>
      <c r="I220" s="206"/>
      <c r="J220" s="1" t="s">
        <v>175</v>
      </c>
      <c r="K220" s="203" t="s">
        <v>126</v>
      </c>
      <c r="L220" s="204">
        <v>8</v>
      </c>
      <c r="M220" s="204">
        <v>0</v>
      </c>
      <c r="N220" s="286">
        <f>IF(OR(Tabelle132456891011121314151617[[#This Row],[Pulled after Start]]="yes",Tabelle132456891011121314151617[[#This Row],[Jira Story Points]]="-"),0,MIN(Tabelle132456891011121314151617[[#This Row],[Jira Story Points]],Tabelle132456891011121314151617[[#This Row],[Carry-over]]))</f>
        <v>0</v>
      </c>
      <c r="O220" s="210">
        <f>SUM(IF(ISBLANK(Tabelle132456891011121314151617[[#This Row],[Carry-over]]),Tabelle132456891011121314151617[[#This Row],[Jira Story Points]],Tabelle132456891011121314151617[[#This Row],[Carry-over]]),-Tabelle132456891011121314151617[[#This Row],[COsSP Initially Planned]])</f>
        <v>8</v>
      </c>
      <c r="P22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220" s="210">
        <f>IF(Tabelle132456891011121314151617[[#This Row],[Status]]=$J$5,Tabelle132456891011121314151617[[#This Row],[COsSP Initially Planned]]+Tabelle132456891011121314151617[[#This Row],[COsSP Pulled after Start]]-Tabelle132456891011121314151617[[#This Row],[CSOsSP Completed]],0)</f>
        <v>0</v>
      </c>
      <c r="R220" s="210">
        <f>Tabelle132456891011121314151617[[#This Row],[COsSP Initially Planned]]+Tabelle132456891011121314151617[[#This Row],[COsSP Pulled after Start]]-Tabelle132456891011121314151617[[#This Row],[CSOsSP Completed]]-Tabelle132456891011121314151617[[#This Row],[CSOsSP Removed]]</f>
        <v>0</v>
      </c>
      <c r="T220" s="201"/>
    </row>
    <row r="221" spans="1:20" ht="13.5" customHeight="1">
      <c r="A221" s="214"/>
      <c r="B221" s="47"/>
      <c r="C221" s="203"/>
      <c r="D221" s="203"/>
      <c r="E221" s="203"/>
      <c r="F221" s="204">
        <v>5</v>
      </c>
      <c r="G221" s="203" t="s">
        <v>107</v>
      </c>
      <c r="H221" s="205" t="s">
        <v>209</v>
      </c>
      <c r="I221" s="206"/>
      <c r="J221" s="1" t="s">
        <v>183</v>
      </c>
      <c r="K221" s="203" t="s">
        <v>126</v>
      </c>
      <c r="L221" s="204">
        <v>21</v>
      </c>
      <c r="M221" s="204">
        <v>0</v>
      </c>
      <c r="N221" s="286">
        <f>IF(OR(Tabelle132456891011121314151617[[#This Row],[Pulled after Start]]="yes",Tabelle132456891011121314151617[[#This Row],[Jira Story Points]]="-"),0,MIN(Tabelle132456891011121314151617[[#This Row],[Jira Story Points]],Tabelle132456891011121314151617[[#This Row],[Carry-over]]))</f>
        <v>0</v>
      </c>
      <c r="O221" s="210">
        <f>SUM(IF(ISBLANK(Tabelle132456891011121314151617[[#This Row],[Carry-over]]),Tabelle132456891011121314151617[[#This Row],[Jira Story Points]],Tabelle132456891011121314151617[[#This Row],[Carry-over]]),-Tabelle132456891011121314151617[[#This Row],[COsSP Initially Planned]])</f>
        <v>21</v>
      </c>
      <c r="P22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221" s="210">
        <f>IF(Tabelle132456891011121314151617[[#This Row],[Status]]=$J$5,Tabelle132456891011121314151617[[#This Row],[COsSP Initially Planned]]+Tabelle132456891011121314151617[[#This Row],[COsSP Pulled after Start]]-Tabelle132456891011121314151617[[#This Row],[CSOsSP Completed]],0)</f>
        <v>0</v>
      </c>
      <c r="R221" s="210">
        <f>Tabelle132456891011121314151617[[#This Row],[COsSP Initially Planned]]+Tabelle132456891011121314151617[[#This Row],[COsSP Pulled after Start]]-Tabelle132456891011121314151617[[#This Row],[CSOsSP Completed]]-Tabelle132456891011121314151617[[#This Row],[CSOsSP Removed]]</f>
        <v>0</v>
      </c>
      <c r="T221" s="201"/>
    </row>
    <row r="222" spans="1:20" ht="13.5" customHeight="1">
      <c r="A222" s="214"/>
      <c r="B222" s="47"/>
      <c r="C222" s="203"/>
      <c r="D222" s="203"/>
      <c r="E222" s="203"/>
      <c r="F222" s="204">
        <v>13</v>
      </c>
      <c r="G222" s="203" t="s">
        <v>107</v>
      </c>
      <c r="H222" s="205" t="s">
        <v>209</v>
      </c>
      <c r="I222" s="206"/>
      <c r="J222" s="1" t="s">
        <v>183</v>
      </c>
      <c r="K222" s="203" t="s">
        <v>126</v>
      </c>
      <c r="L222" s="204">
        <v>21</v>
      </c>
      <c r="M222" s="204">
        <v>0</v>
      </c>
      <c r="N222" s="286">
        <f>IF(OR(Tabelle132456891011121314151617[[#This Row],[Pulled after Start]]="yes",Tabelle132456891011121314151617[[#This Row],[Jira Story Points]]="-"),0,MIN(Tabelle132456891011121314151617[[#This Row],[Jira Story Points]],Tabelle132456891011121314151617[[#This Row],[Carry-over]]))</f>
        <v>0</v>
      </c>
      <c r="O222" s="210">
        <f>SUM(IF(ISBLANK(Tabelle132456891011121314151617[[#This Row],[Carry-over]]),Tabelle132456891011121314151617[[#This Row],[Jira Story Points]],Tabelle132456891011121314151617[[#This Row],[Carry-over]]),-Tabelle132456891011121314151617[[#This Row],[COsSP Initially Planned]])</f>
        <v>21</v>
      </c>
      <c r="P22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222" s="210">
        <f>IF(Tabelle132456891011121314151617[[#This Row],[Status]]=$J$5,Tabelle132456891011121314151617[[#This Row],[COsSP Initially Planned]]+Tabelle132456891011121314151617[[#This Row],[COsSP Pulled after Start]]-Tabelle132456891011121314151617[[#This Row],[CSOsSP Completed]],0)</f>
        <v>0</v>
      </c>
      <c r="R222" s="210">
        <f>Tabelle132456891011121314151617[[#This Row],[COsSP Initially Planned]]+Tabelle132456891011121314151617[[#This Row],[COsSP Pulled after Start]]-Tabelle132456891011121314151617[[#This Row],[CSOsSP Completed]]-Tabelle132456891011121314151617[[#This Row],[CSOsSP Removed]]</f>
        <v>0</v>
      </c>
      <c r="T222" s="201"/>
    </row>
    <row r="223" spans="1:20" ht="13.5" customHeight="1">
      <c r="A223" s="214"/>
      <c r="B223" s="47"/>
      <c r="C223" s="203"/>
      <c r="D223" s="203"/>
      <c r="E223" s="203"/>
      <c r="F223" s="204" t="s">
        <v>210</v>
      </c>
      <c r="G223" s="203" t="s">
        <v>9</v>
      </c>
      <c r="H223" s="205" t="s">
        <v>209</v>
      </c>
      <c r="I223" s="206"/>
      <c r="J223" s="1" t="s">
        <v>176</v>
      </c>
      <c r="K223" s="203" t="s">
        <v>126</v>
      </c>
      <c r="L223" s="204">
        <v>21</v>
      </c>
      <c r="M223" s="204">
        <v>0</v>
      </c>
      <c r="N223" s="286">
        <f>IF(OR(Tabelle132456891011121314151617[[#This Row],[Pulled after Start]]="yes",Tabelle132456891011121314151617[[#This Row],[Jira Story Points]]="-"),0,MIN(Tabelle132456891011121314151617[[#This Row],[Jira Story Points]],Tabelle132456891011121314151617[[#This Row],[Carry-over]]))</f>
        <v>0</v>
      </c>
      <c r="O223" s="210">
        <f>SUM(IF(ISBLANK(Tabelle132456891011121314151617[[#This Row],[Carry-over]]),Tabelle132456891011121314151617[[#This Row],[Jira Story Points]],Tabelle132456891011121314151617[[#This Row],[Carry-over]]),-Tabelle132456891011121314151617[[#This Row],[COsSP Initially Planned]])</f>
        <v>21</v>
      </c>
      <c r="P22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223" s="210">
        <f>IF(Tabelle132456891011121314151617[[#This Row],[Status]]=$J$5,Tabelle132456891011121314151617[[#This Row],[COsSP Initially Planned]]+Tabelle132456891011121314151617[[#This Row],[COsSP Pulled after Start]]-Tabelle132456891011121314151617[[#This Row],[CSOsSP Completed]],0)</f>
        <v>0</v>
      </c>
      <c r="R223" s="210">
        <f>Tabelle132456891011121314151617[[#This Row],[COsSP Initially Planned]]+Tabelle132456891011121314151617[[#This Row],[COsSP Pulled after Start]]-Tabelle132456891011121314151617[[#This Row],[CSOsSP Completed]]-Tabelle132456891011121314151617[[#This Row],[CSOsSP Removed]]</f>
        <v>0</v>
      </c>
      <c r="T223" s="201"/>
    </row>
    <row r="224" spans="1:20" ht="13.5" customHeight="1">
      <c r="A224" s="214"/>
      <c r="B224" s="47"/>
      <c r="C224" s="203"/>
      <c r="D224" s="203"/>
      <c r="E224" s="203"/>
      <c r="F224" s="204">
        <v>5</v>
      </c>
      <c r="G224" s="203" t="s">
        <v>107</v>
      </c>
      <c r="H224" s="205" t="s">
        <v>209</v>
      </c>
      <c r="I224" s="206"/>
      <c r="J224" s="1" t="s">
        <v>178</v>
      </c>
      <c r="K224" s="203" t="s">
        <v>126</v>
      </c>
      <c r="L224" s="204"/>
      <c r="M224" s="204">
        <v>0</v>
      </c>
      <c r="N224" s="286">
        <f>IF(OR(Tabelle132456891011121314151617[[#This Row],[Pulled after Start]]="yes",Tabelle132456891011121314151617[[#This Row],[Jira Story Points]]="-"),0,MIN(Tabelle132456891011121314151617[[#This Row],[Jira Story Points]],Tabelle132456891011121314151617[[#This Row],[Carry-over]]))</f>
        <v>0</v>
      </c>
      <c r="O224" s="210">
        <f>SUM(IF(ISBLANK(Tabelle132456891011121314151617[[#This Row],[Carry-over]]),Tabelle132456891011121314151617[[#This Row],[Jira Story Points]],Tabelle132456891011121314151617[[#This Row],[Carry-over]]),-Tabelle132456891011121314151617[[#This Row],[COsSP Initially Planned]])</f>
        <v>5</v>
      </c>
      <c r="P22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5</v>
      </c>
      <c r="Q224" s="210">
        <f>IF(Tabelle132456891011121314151617[[#This Row],[Status]]=$J$5,Tabelle132456891011121314151617[[#This Row],[COsSP Initially Planned]]+Tabelle132456891011121314151617[[#This Row],[COsSP Pulled after Start]]-Tabelle132456891011121314151617[[#This Row],[CSOsSP Completed]],0)</f>
        <v>0</v>
      </c>
      <c r="R224" s="210">
        <f>Tabelle132456891011121314151617[[#This Row],[COsSP Initially Planned]]+Tabelle132456891011121314151617[[#This Row],[COsSP Pulled after Start]]-Tabelle132456891011121314151617[[#This Row],[CSOsSP Completed]]-Tabelle132456891011121314151617[[#This Row],[CSOsSP Removed]]</f>
        <v>0</v>
      </c>
      <c r="T224" s="201"/>
    </row>
    <row r="225" spans="1:20" ht="13.5" customHeight="1">
      <c r="A225" s="214"/>
      <c r="B225" s="47"/>
      <c r="C225" s="203"/>
      <c r="D225" s="203"/>
      <c r="E225" s="203"/>
      <c r="F225" s="204">
        <v>13</v>
      </c>
      <c r="G225" s="203" t="s">
        <v>5</v>
      </c>
      <c r="H225" s="205" t="s">
        <v>209</v>
      </c>
      <c r="I225" s="206"/>
      <c r="J225" s="1" t="s">
        <v>176</v>
      </c>
      <c r="K225" s="203" t="s">
        <v>126</v>
      </c>
      <c r="L225" s="204"/>
      <c r="M225" s="204">
        <v>0</v>
      </c>
      <c r="N225" s="286">
        <f>IF(OR(Tabelle132456891011121314151617[[#This Row],[Pulled after Start]]="yes",Tabelle132456891011121314151617[[#This Row],[Jira Story Points]]="-"),0,MIN(Tabelle132456891011121314151617[[#This Row],[Jira Story Points]],Tabelle132456891011121314151617[[#This Row],[Carry-over]]))</f>
        <v>0</v>
      </c>
      <c r="O225" s="210">
        <f>SUM(IF(ISBLANK(Tabelle132456891011121314151617[[#This Row],[Carry-over]]),Tabelle132456891011121314151617[[#This Row],[Jira Story Points]],Tabelle132456891011121314151617[[#This Row],[Carry-over]]),-Tabelle132456891011121314151617[[#This Row],[COsSP Initially Planned]])</f>
        <v>13</v>
      </c>
      <c r="P22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13</v>
      </c>
      <c r="Q225" s="210">
        <f>IF(Tabelle132456891011121314151617[[#This Row],[Status]]=$J$5,Tabelle132456891011121314151617[[#This Row],[COsSP Initially Planned]]+Tabelle132456891011121314151617[[#This Row],[COsSP Pulled after Start]]-Tabelle132456891011121314151617[[#This Row],[CSOsSP Completed]],0)</f>
        <v>0</v>
      </c>
      <c r="R225" s="210">
        <f>Tabelle132456891011121314151617[[#This Row],[COsSP Initially Planned]]+Tabelle132456891011121314151617[[#This Row],[COsSP Pulled after Start]]-Tabelle132456891011121314151617[[#This Row],[CSOsSP Completed]]-Tabelle132456891011121314151617[[#This Row],[CSOsSP Removed]]</f>
        <v>0</v>
      </c>
      <c r="T225" s="201"/>
    </row>
    <row r="226" spans="1:20" ht="13.5" customHeight="1">
      <c r="A226" s="214"/>
      <c r="B226" s="47"/>
      <c r="C226" s="203"/>
      <c r="D226" s="203"/>
      <c r="E226" s="203"/>
      <c r="F226" s="204" t="s">
        <v>210</v>
      </c>
      <c r="G226" s="203" t="s">
        <v>21</v>
      </c>
      <c r="H226" s="205" t="s">
        <v>209</v>
      </c>
      <c r="I226" s="206"/>
      <c r="J226" s="1" t="s">
        <v>180</v>
      </c>
      <c r="K226" s="203" t="s">
        <v>126</v>
      </c>
      <c r="L226" s="204"/>
      <c r="M226" s="204">
        <v>0</v>
      </c>
      <c r="N226" s="286">
        <f>IF(OR(Tabelle132456891011121314151617[[#This Row],[Pulled after Start]]="yes",Tabelle132456891011121314151617[[#This Row],[Jira Story Points]]="-"),0,MIN(Tabelle132456891011121314151617[[#This Row],[Jira Story Points]],Tabelle132456891011121314151617[[#This Row],[Carry-over]]))</f>
        <v>0</v>
      </c>
      <c r="O226" s="210">
        <f>SUM(IF(ISBLANK(Tabelle132456891011121314151617[[#This Row],[Carry-over]]),Tabelle132456891011121314151617[[#This Row],[Jira Story Points]],Tabelle132456891011121314151617[[#This Row],[Carry-over]]),-Tabelle132456891011121314151617[[#This Row],[COsSP Initially Planned]])</f>
        <v>0</v>
      </c>
      <c r="P22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26" s="210">
        <f>IF(Tabelle132456891011121314151617[[#This Row],[Status]]=$J$5,Tabelle132456891011121314151617[[#This Row],[COsSP Initially Planned]]+Tabelle132456891011121314151617[[#This Row],[COsSP Pulled after Start]]-Tabelle132456891011121314151617[[#This Row],[CSOsSP Completed]],0)</f>
        <v>0</v>
      </c>
      <c r="R226" s="210">
        <f>Tabelle132456891011121314151617[[#This Row],[COsSP Initially Planned]]+Tabelle132456891011121314151617[[#This Row],[COsSP Pulled after Start]]-Tabelle132456891011121314151617[[#This Row],[CSOsSP Completed]]-Tabelle132456891011121314151617[[#This Row],[CSOsSP Removed]]</f>
        <v>0</v>
      </c>
      <c r="T226" s="201"/>
    </row>
    <row r="227" spans="1:20" ht="13.5" customHeight="1">
      <c r="A227" s="214"/>
      <c r="B227" s="47"/>
      <c r="C227" s="203"/>
      <c r="D227" s="203"/>
      <c r="E227" s="203"/>
      <c r="F227" s="204">
        <v>5</v>
      </c>
      <c r="G227" s="203" t="s">
        <v>5</v>
      </c>
      <c r="H227" s="205" t="s">
        <v>209</v>
      </c>
      <c r="I227" s="206"/>
      <c r="J227" s="1" t="s">
        <v>181</v>
      </c>
      <c r="K227" s="203" t="s">
        <v>126</v>
      </c>
      <c r="L227" s="204">
        <v>0</v>
      </c>
      <c r="M227" s="204">
        <v>2</v>
      </c>
      <c r="N227" s="286">
        <f>IF(OR(Tabelle132456891011121314151617[[#This Row],[Pulled after Start]]="yes",Tabelle132456891011121314151617[[#This Row],[Jira Story Points]]="-"),0,MIN(Tabelle132456891011121314151617[[#This Row],[Jira Story Points]],Tabelle132456891011121314151617[[#This Row],[Carry-over]]))</f>
        <v>0</v>
      </c>
      <c r="O227" s="210">
        <f>SUM(IF(ISBLANK(Tabelle132456891011121314151617[[#This Row],[Carry-over]]),Tabelle132456891011121314151617[[#This Row],[Jira Story Points]],Tabelle132456891011121314151617[[#This Row],[Carry-over]]),-Tabelle132456891011121314151617[[#This Row],[COsSP Initially Planned]])</f>
        <v>0</v>
      </c>
      <c r="P22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v>
      </c>
      <c r="Q227" s="210">
        <f>IF(Tabelle132456891011121314151617[[#This Row],[Status]]=$J$5,Tabelle132456891011121314151617[[#This Row],[COsSP Initially Planned]]+Tabelle132456891011121314151617[[#This Row],[COsSP Pulled after Start]]-Tabelle132456891011121314151617[[#This Row],[CSOsSP Completed]],0)</f>
        <v>2</v>
      </c>
      <c r="R227" s="210">
        <f>Tabelle132456891011121314151617[[#This Row],[COsSP Initially Planned]]+Tabelle132456891011121314151617[[#This Row],[COsSP Pulled after Start]]-Tabelle132456891011121314151617[[#This Row],[CSOsSP Completed]]-Tabelle132456891011121314151617[[#This Row],[CSOsSP Removed]]</f>
        <v>0</v>
      </c>
      <c r="T227" s="201"/>
    </row>
    <row r="228" spans="1:20" ht="13.5" customHeight="1">
      <c r="A228" s="214"/>
      <c r="B228" s="47"/>
      <c r="C228" s="203"/>
      <c r="D228" s="203"/>
      <c r="E228" s="203"/>
      <c r="F228" s="204">
        <v>13</v>
      </c>
      <c r="G228" s="203" t="s">
        <v>27</v>
      </c>
      <c r="H228" s="205" t="s">
        <v>209</v>
      </c>
      <c r="I228" s="206"/>
      <c r="J228" s="1" t="s">
        <v>182</v>
      </c>
      <c r="K228" s="203" t="s">
        <v>126</v>
      </c>
      <c r="L228" s="204">
        <v>0</v>
      </c>
      <c r="M228" s="204">
        <v>2</v>
      </c>
      <c r="N228" s="286">
        <f>IF(OR(Tabelle132456891011121314151617[[#This Row],[Pulled after Start]]="yes",Tabelle132456891011121314151617[[#This Row],[Jira Story Points]]="-"),0,MIN(Tabelle132456891011121314151617[[#This Row],[Jira Story Points]],Tabelle132456891011121314151617[[#This Row],[Carry-over]]))</f>
        <v>0</v>
      </c>
      <c r="O228" s="210">
        <f>SUM(IF(ISBLANK(Tabelle132456891011121314151617[[#This Row],[Carry-over]]),Tabelle132456891011121314151617[[#This Row],[Jira Story Points]],Tabelle132456891011121314151617[[#This Row],[Carry-over]]),-Tabelle132456891011121314151617[[#This Row],[COsSP Initially Planned]])</f>
        <v>0</v>
      </c>
      <c r="P22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v>
      </c>
      <c r="Q228" s="210">
        <f>IF(Tabelle132456891011121314151617[[#This Row],[Status]]=$J$5,Tabelle132456891011121314151617[[#This Row],[COsSP Initially Planned]]+Tabelle132456891011121314151617[[#This Row],[COsSP Pulled after Start]]-Tabelle132456891011121314151617[[#This Row],[CSOsSP Completed]],0)</f>
        <v>2</v>
      </c>
      <c r="R228" s="210">
        <f>Tabelle132456891011121314151617[[#This Row],[COsSP Initially Planned]]+Tabelle132456891011121314151617[[#This Row],[COsSP Pulled after Start]]-Tabelle132456891011121314151617[[#This Row],[CSOsSP Completed]]-Tabelle132456891011121314151617[[#This Row],[CSOsSP Removed]]</f>
        <v>0</v>
      </c>
      <c r="T228" s="201"/>
    </row>
    <row r="229" spans="1:20" ht="13.5" customHeight="1">
      <c r="A229" s="214"/>
      <c r="B229" s="47"/>
      <c r="C229" s="203"/>
      <c r="D229" s="203"/>
      <c r="E229" s="203"/>
      <c r="F229" s="204" t="s">
        <v>210</v>
      </c>
      <c r="G229" s="203" t="s">
        <v>9</v>
      </c>
      <c r="H229" s="205" t="s">
        <v>209</v>
      </c>
      <c r="I229" s="206"/>
      <c r="J229" s="1" t="s">
        <v>183</v>
      </c>
      <c r="K229" s="203" t="s">
        <v>126</v>
      </c>
      <c r="L229" s="204">
        <v>0</v>
      </c>
      <c r="M229" s="204">
        <v>2</v>
      </c>
      <c r="N229" s="286">
        <f>IF(OR(Tabelle132456891011121314151617[[#This Row],[Pulled after Start]]="yes",Tabelle132456891011121314151617[[#This Row],[Jira Story Points]]="-"),0,MIN(Tabelle132456891011121314151617[[#This Row],[Jira Story Points]],Tabelle132456891011121314151617[[#This Row],[Carry-over]]))</f>
        <v>0</v>
      </c>
      <c r="O229" s="210">
        <f>SUM(IF(ISBLANK(Tabelle132456891011121314151617[[#This Row],[Carry-over]]),Tabelle132456891011121314151617[[#This Row],[Jira Story Points]],Tabelle132456891011121314151617[[#This Row],[Carry-over]]),-Tabelle132456891011121314151617[[#This Row],[COsSP Initially Planned]])</f>
        <v>0</v>
      </c>
      <c r="P22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v>
      </c>
      <c r="Q229" s="210">
        <f>IF(Tabelle132456891011121314151617[[#This Row],[Status]]=$J$5,Tabelle132456891011121314151617[[#This Row],[COsSP Initially Planned]]+Tabelle132456891011121314151617[[#This Row],[COsSP Pulled after Start]]-Tabelle132456891011121314151617[[#This Row],[CSOsSP Completed]],0)</f>
        <v>2</v>
      </c>
      <c r="R229" s="210">
        <f>Tabelle132456891011121314151617[[#This Row],[COsSP Initially Planned]]+Tabelle132456891011121314151617[[#This Row],[COsSP Pulled after Start]]-Tabelle132456891011121314151617[[#This Row],[CSOsSP Completed]]-Tabelle132456891011121314151617[[#This Row],[CSOsSP Removed]]</f>
        <v>0</v>
      </c>
      <c r="T229" s="201"/>
    </row>
    <row r="230" spans="1:20" ht="13.5" customHeight="1">
      <c r="A230" s="214"/>
      <c r="B230" s="47"/>
      <c r="C230" s="203"/>
      <c r="D230" s="203"/>
      <c r="E230" s="203"/>
      <c r="F230" s="204">
        <v>5</v>
      </c>
      <c r="G230" s="203" t="s">
        <v>17</v>
      </c>
      <c r="H230" s="205" t="s">
        <v>209</v>
      </c>
      <c r="I230" s="206"/>
      <c r="J230" s="1" t="s">
        <v>183</v>
      </c>
      <c r="K230" s="203" t="s">
        <v>126</v>
      </c>
      <c r="L230" s="204">
        <v>3</v>
      </c>
      <c r="M230" s="204">
        <v>2</v>
      </c>
      <c r="N230" s="286">
        <f>IF(OR(Tabelle132456891011121314151617[[#This Row],[Pulled after Start]]="yes",Tabelle132456891011121314151617[[#This Row],[Jira Story Points]]="-"),0,MIN(Tabelle132456891011121314151617[[#This Row],[Jira Story Points]],Tabelle132456891011121314151617[[#This Row],[Carry-over]]))</f>
        <v>0</v>
      </c>
      <c r="O230" s="210">
        <f>SUM(IF(ISBLANK(Tabelle132456891011121314151617[[#This Row],[Carry-over]]),Tabelle132456891011121314151617[[#This Row],[Jira Story Points]],Tabelle132456891011121314151617[[#This Row],[Carry-over]]),-Tabelle132456891011121314151617[[#This Row],[COsSP Initially Planned]])</f>
        <v>3</v>
      </c>
      <c r="P23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v>
      </c>
      <c r="Q230" s="210">
        <f>IF(Tabelle132456891011121314151617[[#This Row],[Status]]=$J$5,Tabelle132456891011121314151617[[#This Row],[COsSP Initially Planned]]+Tabelle132456891011121314151617[[#This Row],[COsSP Pulled after Start]]-Tabelle132456891011121314151617[[#This Row],[CSOsSP Completed]],0)</f>
        <v>2</v>
      </c>
      <c r="R230" s="210">
        <f>Tabelle132456891011121314151617[[#This Row],[COsSP Initially Planned]]+Tabelle132456891011121314151617[[#This Row],[COsSP Pulled after Start]]-Tabelle132456891011121314151617[[#This Row],[CSOsSP Completed]]-Tabelle132456891011121314151617[[#This Row],[CSOsSP Removed]]</f>
        <v>0</v>
      </c>
      <c r="T230" s="201"/>
    </row>
    <row r="231" spans="1:20" ht="13.5" customHeight="1">
      <c r="A231" s="214"/>
      <c r="B231" s="47"/>
      <c r="C231" s="203"/>
      <c r="D231" s="203"/>
      <c r="E231" s="203"/>
      <c r="F231" s="204">
        <v>13</v>
      </c>
      <c r="G231" s="203" t="s">
        <v>27</v>
      </c>
      <c r="H231" s="205" t="s">
        <v>209</v>
      </c>
      <c r="I231" s="206"/>
      <c r="J231" s="1" t="s">
        <v>183</v>
      </c>
      <c r="K231" s="203" t="s">
        <v>126</v>
      </c>
      <c r="L231" s="204">
        <v>3</v>
      </c>
      <c r="M231" s="204">
        <v>2</v>
      </c>
      <c r="N231" s="286">
        <f>IF(OR(Tabelle132456891011121314151617[[#This Row],[Pulled after Start]]="yes",Tabelle132456891011121314151617[[#This Row],[Jira Story Points]]="-"),0,MIN(Tabelle132456891011121314151617[[#This Row],[Jira Story Points]],Tabelle132456891011121314151617[[#This Row],[Carry-over]]))</f>
        <v>0</v>
      </c>
      <c r="O231" s="210">
        <f>SUM(IF(ISBLANK(Tabelle132456891011121314151617[[#This Row],[Carry-over]]),Tabelle132456891011121314151617[[#This Row],[Jira Story Points]],Tabelle132456891011121314151617[[#This Row],[Carry-over]]),-Tabelle132456891011121314151617[[#This Row],[COsSP Initially Planned]])</f>
        <v>3</v>
      </c>
      <c r="P23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v>
      </c>
      <c r="Q231" s="210">
        <f>IF(Tabelle132456891011121314151617[[#This Row],[Status]]=$J$5,Tabelle132456891011121314151617[[#This Row],[COsSP Initially Planned]]+Tabelle132456891011121314151617[[#This Row],[COsSP Pulled after Start]]-Tabelle132456891011121314151617[[#This Row],[CSOsSP Completed]],0)</f>
        <v>2</v>
      </c>
      <c r="R231" s="210">
        <f>Tabelle132456891011121314151617[[#This Row],[COsSP Initially Planned]]+Tabelle132456891011121314151617[[#This Row],[COsSP Pulled after Start]]-Tabelle132456891011121314151617[[#This Row],[CSOsSP Completed]]-Tabelle132456891011121314151617[[#This Row],[CSOsSP Removed]]</f>
        <v>0</v>
      </c>
      <c r="T231" s="201"/>
    </row>
    <row r="232" spans="1:20" ht="13.5" customHeight="1">
      <c r="A232" s="214"/>
      <c r="B232" s="47"/>
      <c r="C232" s="203"/>
      <c r="D232" s="203"/>
      <c r="E232" s="203"/>
      <c r="F232" s="204" t="s">
        <v>210</v>
      </c>
      <c r="G232" s="203" t="s">
        <v>12</v>
      </c>
      <c r="H232" s="205" t="s">
        <v>209</v>
      </c>
      <c r="I232" s="206"/>
      <c r="J232" s="1" t="s">
        <v>176</v>
      </c>
      <c r="K232" s="203" t="s">
        <v>126</v>
      </c>
      <c r="L232" s="204">
        <v>3</v>
      </c>
      <c r="M232" s="204">
        <v>2</v>
      </c>
      <c r="N232" s="286">
        <f>IF(OR(Tabelle132456891011121314151617[[#This Row],[Pulled after Start]]="yes",Tabelle132456891011121314151617[[#This Row],[Jira Story Points]]="-"),0,MIN(Tabelle132456891011121314151617[[#This Row],[Jira Story Points]],Tabelle132456891011121314151617[[#This Row],[Carry-over]]))</f>
        <v>0</v>
      </c>
      <c r="O232" s="210">
        <f>SUM(IF(ISBLANK(Tabelle132456891011121314151617[[#This Row],[Carry-over]]),Tabelle132456891011121314151617[[#This Row],[Jira Story Points]],Tabelle132456891011121314151617[[#This Row],[Carry-over]]),-Tabelle132456891011121314151617[[#This Row],[COsSP Initially Planned]])</f>
        <v>3</v>
      </c>
      <c r="P23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v>
      </c>
      <c r="Q232" s="210">
        <f>IF(Tabelle132456891011121314151617[[#This Row],[Status]]=$J$5,Tabelle132456891011121314151617[[#This Row],[COsSP Initially Planned]]+Tabelle132456891011121314151617[[#This Row],[COsSP Pulled after Start]]-Tabelle132456891011121314151617[[#This Row],[CSOsSP Completed]],0)</f>
        <v>2</v>
      </c>
      <c r="R232" s="210">
        <f>Tabelle132456891011121314151617[[#This Row],[COsSP Initially Planned]]+Tabelle132456891011121314151617[[#This Row],[COsSP Pulled after Start]]-Tabelle132456891011121314151617[[#This Row],[CSOsSP Completed]]-Tabelle132456891011121314151617[[#This Row],[CSOsSP Removed]]</f>
        <v>0</v>
      </c>
      <c r="T232" s="201"/>
    </row>
    <row r="233" spans="1:20" ht="13.5" customHeight="1">
      <c r="A233" s="214"/>
      <c r="B233" s="47"/>
      <c r="C233" s="203"/>
      <c r="D233" s="203"/>
      <c r="E233" s="203"/>
      <c r="F233" s="204">
        <v>5</v>
      </c>
      <c r="G233" s="203" t="s">
        <v>107</v>
      </c>
      <c r="H233" s="205" t="s">
        <v>209</v>
      </c>
      <c r="I233" s="206"/>
      <c r="J233" s="1" t="s">
        <v>175</v>
      </c>
      <c r="K233" s="203" t="s">
        <v>126</v>
      </c>
      <c r="L233" s="204">
        <v>8</v>
      </c>
      <c r="M233" s="204">
        <v>2</v>
      </c>
      <c r="N233" s="286">
        <f>IF(OR(Tabelle132456891011121314151617[[#This Row],[Pulled after Start]]="yes",Tabelle132456891011121314151617[[#This Row],[Jira Story Points]]="-"),0,MIN(Tabelle132456891011121314151617[[#This Row],[Jira Story Points]],Tabelle132456891011121314151617[[#This Row],[Carry-over]]))</f>
        <v>0</v>
      </c>
      <c r="O233" s="210">
        <f>SUM(IF(ISBLANK(Tabelle132456891011121314151617[[#This Row],[Carry-over]]),Tabelle132456891011121314151617[[#This Row],[Jira Story Points]],Tabelle132456891011121314151617[[#This Row],[Carry-over]]),-Tabelle132456891011121314151617[[#This Row],[COsSP Initially Planned]])</f>
        <v>8</v>
      </c>
      <c r="P23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6</v>
      </c>
      <c r="Q233" s="210">
        <f>IF(Tabelle132456891011121314151617[[#This Row],[Status]]=$J$5,Tabelle132456891011121314151617[[#This Row],[COsSP Initially Planned]]+Tabelle132456891011121314151617[[#This Row],[COsSP Pulled after Start]]-Tabelle132456891011121314151617[[#This Row],[CSOsSP Completed]],0)</f>
        <v>2</v>
      </c>
      <c r="R233" s="210">
        <f>Tabelle132456891011121314151617[[#This Row],[COsSP Initially Planned]]+Tabelle132456891011121314151617[[#This Row],[COsSP Pulled after Start]]-Tabelle132456891011121314151617[[#This Row],[CSOsSP Completed]]-Tabelle132456891011121314151617[[#This Row],[CSOsSP Removed]]</f>
        <v>0</v>
      </c>
      <c r="T233" s="201"/>
    </row>
    <row r="234" spans="1:20" ht="13.5" customHeight="1">
      <c r="A234" s="214"/>
      <c r="B234" s="47"/>
      <c r="C234" s="203"/>
      <c r="D234" s="203"/>
      <c r="E234" s="203"/>
      <c r="F234" s="204">
        <v>13</v>
      </c>
      <c r="G234" s="203" t="s">
        <v>35</v>
      </c>
      <c r="H234" s="205" t="s">
        <v>209</v>
      </c>
      <c r="I234" s="206"/>
      <c r="J234" s="1" t="s">
        <v>184</v>
      </c>
      <c r="K234" s="203" t="s">
        <v>126</v>
      </c>
      <c r="L234" s="204">
        <v>8</v>
      </c>
      <c r="M234" s="204">
        <v>2</v>
      </c>
      <c r="N234" s="286">
        <f>IF(OR(Tabelle132456891011121314151617[[#This Row],[Pulled after Start]]="yes",Tabelle132456891011121314151617[[#This Row],[Jira Story Points]]="-"),0,MIN(Tabelle132456891011121314151617[[#This Row],[Jira Story Points]],Tabelle132456891011121314151617[[#This Row],[Carry-over]]))</f>
        <v>0</v>
      </c>
      <c r="O234" s="210">
        <f>SUM(IF(ISBLANK(Tabelle132456891011121314151617[[#This Row],[Carry-over]]),Tabelle132456891011121314151617[[#This Row],[Jira Story Points]],Tabelle132456891011121314151617[[#This Row],[Carry-over]]),-Tabelle132456891011121314151617[[#This Row],[COsSP Initially Planned]])</f>
        <v>8</v>
      </c>
      <c r="P23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6</v>
      </c>
      <c r="Q234" s="210">
        <f>IF(Tabelle132456891011121314151617[[#This Row],[Status]]=$J$5,Tabelle132456891011121314151617[[#This Row],[COsSP Initially Planned]]+Tabelle132456891011121314151617[[#This Row],[COsSP Pulled after Start]]-Tabelle132456891011121314151617[[#This Row],[CSOsSP Completed]],0)</f>
        <v>2</v>
      </c>
      <c r="R234" s="210">
        <f>Tabelle132456891011121314151617[[#This Row],[COsSP Initially Planned]]+Tabelle132456891011121314151617[[#This Row],[COsSP Pulled after Start]]-Tabelle132456891011121314151617[[#This Row],[CSOsSP Completed]]-Tabelle132456891011121314151617[[#This Row],[CSOsSP Removed]]</f>
        <v>0</v>
      </c>
      <c r="T234" s="201"/>
    </row>
    <row r="235" spans="1:20" ht="13.5" customHeight="1">
      <c r="A235" s="214"/>
      <c r="B235" s="47"/>
      <c r="C235" s="203"/>
      <c r="D235" s="203"/>
      <c r="E235" s="203"/>
      <c r="F235" s="204" t="s">
        <v>210</v>
      </c>
      <c r="G235" s="203" t="s">
        <v>5</v>
      </c>
      <c r="H235" s="205" t="s">
        <v>209</v>
      </c>
      <c r="I235" s="206"/>
      <c r="J235" s="1" t="s">
        <v>177</v>
      </c>
      <c r="K235" s="203" t="s">
        <v>126</v>
      </c>
      <c r="L235" s="204">
        <v>8</v>
      </c>
      <c r="M235" s="204">
        <v>2</v>
      </c>
      <c r="N235" s="286">
        <f>IF(OR(Tabelle132456891011121314151617[[#This Row],[Pulled after Start]]="yes",Tabelle132456891011121314151617[[#This Row],[Jira Story Points]]="-"),0,MIN(Tabelle132456891011121314151617[[#This Row],[Jira Story Points]],Tabelle132456891011121314151617[[#This Row],[Carry-over]]))</f>
        <v>0</v>
      </c>
      <c r="O235" s="210">
        <f>SUM(IF(ISBLANK(Tabelle132456891011121314151617[[#This Row],[Carry-over]]),Tabelle132456891011121314151617[[#This Row],[Jira Story Points]],Tabelle132456891011121314151617[[#This Row],[Carry-over]]),-Tabelle132456891011121314151617[[#This Row],[COsSP Initially Planned]])</f>
        <v>8</v>
      </c>
      <c r="P23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6</v>
      </c>
      <c r="Q235" s="210">
        <f>IF(Tabelle132456891011121314151617[[#This Row],[Status]]=$J$5,Tabelle132456891011121314151617[[#This Row],[COsSP Initially Planned]]+Tabelle132456891011121314151617[[#This Row],[COsSP Pulled after Start]]-Tabelle132456891011121314151617[[#This Row],[CSOsSP Completed]],0)</f>
        <v>2</v>
      </c>
      <c r="R235" s="210">
        <f>Tabelle132456891011121314151617[[#This Row],[COsSP Initially Planned]]+Tabelle132456891011121314151617[[#This Row],[COsSP Pulled after Start]]-Tabelle132456891011121314151617[[#This Row],[CSOsSP Completed]]-Tabelle132456891011121314151617[[#This Row],[CSOsSP Removed]]</f>
        <v>0</v>
      </c>
      <c r="T235" s="201"/>
    </row>
    <row r="236" spans="1:20" ht="13.5" customHeight="1">
      <c r="A236" s="214"/>
      <c r="B236" s="47"/>
      <c r="C236" s="203"/>
      <c r="D236" s="203"/>
      <c r="E236" s="203"/>
      <c r="F236" s="204">
        <v>5</v>
      </c>
      <c r="G236" s="203" t="s">
        <v>107</v>
      </c>
      <c r="H236" s="205" t="s">
        <v>209</v>
      </c>
      <c r="I236" s="206"/>
      <c r="J236" s="1" t="s">
        <v>180</v>
      </c>
      <c r="K236" s="203" t="s">
        <v>126</v>
      </c>
      <c r="L236" s="204">
        <v>21</v>
      </c>
      <c r="M236" s="204">
        <v>2</v>
      </c>
      <c r="N236" s="286">
        <f>IF(OR(Tabelle132456891011121314151617[[#This Row],[Pulled after Start]]="yes",Tabelle132456891011121314151617[[#This Row],[Jira Story Points]]="-"),0,MIN(Tabelle132456891011121314151617[[#This Row],[Jira Story Points]],Tabelle132456891011121314151617[[#This Row],[Carry-over]]))</f>
        <v>0</v>
      </c>
      <c r="O236" s="210">
        <f>SUM(IF(ISBLANK(Tabelle132456891011121314151617[[#This Row],[Carry-over]]),Tabelle132456891011121314151617[[#This Row],[Jira Story Points]],Tabelle132456891011121314151617[[#This Row],[Carry-over]]),-Tabelle132456891011121314151617[[#This Row],[COsSP Initially Planned]])</f>
        <v>21</v>
      </c>
      <c r="P23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19</v>
      </c>
      <c r="Q236" s="210">
        <f>IF(Tabelle132456891011121314151617[[#This Row],[Status]]=$J$5,Tabelle132456891011121314151617[[#This Row],[COsSP Initially Planned]]+Tabelle132456891011121314151617[[#This Row],[COsSP Pulled after Start]]-Tabelle132456891011121314151617[[#This Row],[CSOsSP Completed]],0)</f>
        <v>2</v>
      </c>
      <c r="R236" s="210">
        <f>Tabelle132456891011121314151617[[#This Row],[COsSP Initially Planned]]+Tabelle132456891011121314151617[[#This Row],[COsSP Pulled after Start]]-Tabelle132456891011121314151617[[#This Row],[CSOsSP Completed]]-Tabelle132456891011121314151617[[#This Row],[CSOsSP Removed]]</f>
        <v>0</v>
      </c>
      <c r="T236" s="201"/>
    </row>
    <row r="237" spans="1:20" ht="13.5" customHeight="1">
      <c r="A237" s="214"/>
      <c r="B237" s="47"/>
      <c r="C237" s="203"/>
      <c r="D237" s="203"/>
      <c r="E237" s="203"/>
      <c r="F237" s="204">
        <v>13</v>
      </c>
      <c r="G237" s="203" t="s">
        <v>21</v>
      </c>
      <c r="H237" s="205" t="s">
        <v>209</v>
      </c>
      <c r="I237" s="206"/>
      <c r="J237" s="1" t="s">
        <v>176</v>
      </c>
      <c r="K237" s="203" t="s">
        <v>126</v>
      </c>
      <c r="L237" s="204">
        <v>21</v>
      </c>
      <c r="M237" s="204">
        <v>2</v>
      </c>
      <c r="N237" s="286">
        <f>IF(OR(Tabelle132456891011121314151617[[#This Row],[Pulled after Start]]="yes",Tabelle132456891011121314151617[[#This Row],[Jira Story Points]]="-"),0,MIN(Tabelle132456891011121314151617[[#This Row],[Jira Story Points]],Tabelle132456891011121314151617[[#This Row],[Carry-over]]))</f>
        <v>0</v>
      </c>
      <c r="O237" s="210">
        <f>SUM(IF(ISBLANK(Tabelle132456891011121314151617[[#This Row],[Carry-over]]),Tabelle132456891011121314151617[[#This Row],[Jira Story Points]],Tabelle132456891011121314151617[[#This Row],[Carry-over]]),-Tabelle132456891011121314151617[[#This Row],[COsSP Initially Planned]])</f>
        <v>21</v>
      </c>
      <c r="P23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19</v>
      </c>
      <c r="Q237" s="210">
        <f>IF(Tabelle132456891011121314151617[[#This Row],[Status]]=$J$5,Tabelle132456891011121314151617[[#This Row],[COsSP Initially Planned]]+Tabelle132456891011121314151617[[#This Row],[COsSP Pulled after Start]]-Tabelle132456891011121314151617[[#This Row],[CSOsSP Completed]],0)</f>
        <v>2</v>
      </c>
      <c r="R237" s="210">
        <f>Tabelle132456891011121314151617[[#This Row],[COsSP Initially Planned]]+Tabelle132456891011121314151617[[#This Row],[COsSP Pulled after Start]]-Tabelle132456891011121314151617[[#This Row],[CSOsSP Completed]]-Tabelle132456891011121314151617[[#This Row],[CSOsSP Removed]]</f>
        <v>0</v>
      </c>
      <c r="T237" s="201"/>
    </row>
    <row r="238" spans="1:20" ht="13.5" customHeight="1">
      <c r="A238" s="214"/>
      <c r="B238" s="47"/>
      <c r="C238" s="203"/>
      <c r="D238" s="203"/>
      <c r="E238" s="203"/>
      <c r="F238" s="204" t="s">
        <v>210</v>
      </c>
      <c r="G238" s="203" t="s">
        <v>24</v>
      </c>
      <c r="H238" s="205" t="s">
        <v>209</v>
      </c>
      <c r="I238" s="206"/>
      <c r="J238" s="1" t="s">
        <v>182</v>
      </c>
      <c r="K238" s="203" t="s">
        <v>126</v>
      </c>
      <c r="L238" s="204">
        <v>21</v>
      </c>
      <c r="M238" s="204">
        <v>2</v>
      </c>
      <c r="N238" s="286">
        <f>IF(OR(Tabelle132456891011121314151617[[#This Row],[Pulled after Start]]="yes",Tabelle132456891011121314151617[[#This Row],[Jira Story Points]]="-"),0,MIN(Tabelle132456891011121314151617[[#This Row],[Jira Story Points]],Tabelle132456891011121314151617[[#This Row],[Carry-over]]))</f>
        <v>0</v>
      </c>
      <c r="O238" s="210">
        <f>SUM(IF(ISBLANK(Tabelle132456891011121314151617[[#This Row],[Carry-over]]),Tabelle132456891011121314151617[[#This Row],[Jira Story Points]],Tabelle132456891011121314151617[[#This Row],[Carry-over]]),-Tabelle132456891011121314151617[[#This Row],[COsSP Initially Planned]])</f>
        <v>21</v>
      </c>
      <c r="P23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19</v>
      </c>
      <c r="Q238" s="210">
        <f>IF(Tabelle132456891011121314151617[[#This Row],[Status]]=$J$5,Tabelle132456891011121314151617[[#This Row],[COsSP Initially Planned]]+Tabelle132456891011121314151617[[#This Row],[COsSP Pulled after Start]]-Tabelle132456891011121314151617[[#This Row],[CSOsSP Completed]],0)</f>
        <v>2</v>
      </c>
      <c r="R238" s="210">
        <f>Tabelle132456891011121314151617[[#This Row],[COsSP Initially Planned]]+Tabelle132456891011121314151617[[#This Row],[COsSP Pulled after Start]]-Tabelle132456891011121314151617[[#This Row],[CSOsSP Completed]]-Tabelle132456891011121314151617[[#This Row],[CSOsSP Removed]]</f>
        <v>0</v>
      </c>
      <c r="T238" s="201"/>
    </row>
    <row r="239" spans="1:20" ht="13.5" customHeight="1">
      <c r="A239" s="214"/>
      <c r="B239" s="47"/>
      <c r="C239" s="203"/>
      <c r="D239" s="203"/>
      <c r="E239" s="203"/>
      <c r="F239" s="204">
        <v>5</v>
      </c>
      <c r="G239" s="203" t="s">
        <v>24</v>
      </c>
      <c r="H239" s="205" t="s">
        <v>209</v>
      </c>
      <c r="I239" s="206"/>
      <c r="J239" s="1" t="s">
        <v>180</v>
      </c>
      <c r="K239" s="203" t="s">
        <v>126</v>
      </c>
      <c r="L239" s="204"/>
      <c r="M239" s="204">
        <v>2</v>
      </c>
      <c r="N239" s="286">
        <f>IF(OR(Tabelle132456891011121314151617[[#This Row],[Pulled after Start]]="yes",Tabelle132456891011121314151617[[#This Row],[Jira Story Points]]="-"),0,MIN(Tabelle132456891011121314151617[[#This Row],[Jira Story Points]],Tabelle132456891011121314151617[[#This Row],[Carry-over]]))</f>
        <v>0</v>
      </c>
      <c r="O239" s="210">
        <f>SUM(IF(ISBLANK(Tabelle132456891011121314151617[[#This Row],[Carry-over]]),Tabelle132456891011121314151617[[#This Row],[Jira Story Points]],Tabelle132456891011121314151617[[#This Row],[Carry-over]]),-Tabelle132456891011121314151617[[#This Row],[COsSP Initially Planned]])</f>
        <v>5</v>
      </c>
      <c r="P23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239" s="210">
        <f>IF(Tabelle132456891011121314151617[[#This Row],[Status]]=$J$5,Tabelle132456891011121314151617[[#This Row],[COsSP Initially Planned]]+Tabelle132456891011121314151617[[#This Row],[COsSP Pulled after Start]]-Tabelle132456891011121314151617[[#This Row],[CSOsSP Completed]],0)</f>
        <v>2</v>
      </c>
      <c r="R239" s="210">
        <f>Tabelle132456891011121314151617[[#This Row],[COsSP Initially Planned]]+Tabelle132456891011121314151617[[#This Row],[COsSP Pulled after Start]]-Tabelle132456891011121314151617[[#This Row],[CSOsSP Completed]]-Tabelle132456891011121314151617[[#This Row],[CSOsSP Removed]]</f>
        <v>0</v>
      </c>
      <c r="T239" s="201"/>
    </row>
    <row r="240" spans="1:20" ht="13.5" customHeight="1">
      <c r="A240" s="214"/>
      <c r="B240" s="47"/>
      <c r="C240" s="203"/>
      <c r="D240" s="203"/>
      <c r="E240" s="203"/>
      <c r="F240" s="204">
        <v>13</v>
      </c>
      <c r="G240" s="203" t="s">
        <v>12</v>
      </c>
      <c r="H240" s="205" t="s">
        <v>209</v>
      </c>
      <c r="I240" s="206"/>
      <c r="J240" s="1" t="s">
        <v>175</v>
      </c>
      <c r="K240" s="203" t="s">
        <v>126</v>
      </c>
      <c r="L240" s="204"/>
      <c r="M240" s="204">
        <v>2</v>
      </c>
      <c r="N240" s="286">
        <f>IF(OR(Tabelle132456891011121314151617[[#This Row],[Pulled after Start]]="yes",Tabelle132456891011121314151617[[#This Row],[Jira Story Points]]="-"),0,MIN(Tabelle132456891011121314151617[[#This Row],[Jira Story Points]],Tabelle132456891011121314151617[[#This Row],[Carry-over]]))</f>
        <v>0</v>
      </c>
      <c r="O240" s="210">
        <f>SUM(IF(ISBLANK(Tabelle132456891011121314151617[[#This Row],[Carry-over]]),Tabelle132456891011121314151617[[#This Row],[Jira Story Points]],Tabelle132456891011121314151617[[#This Row],[Carry-over]]),-Tabelle132456891011121314151617[[#This Row],[COsSP Initially Planned]])</f>
        <v>13</v>
      </c>
      <c r="P24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11</v>
      </c>
      <c r="Q240" s="210">
        <f>IF(Tabelle132456891011121314151617[[#This Row],[Status]]=$J$5,Tabelle132456891011121314151617[[#This Row],[COsSP Initially Planned]]+Tabelle132456891011121314151617[[#This Row],[COsSP Pulled after Start]]-Tabelle132456891011121314151617[[#This Row],[CSOsSP Completed]],0)</f>
        <v>2</v>
      </c>
      <c r="R240" s="210">
        <f>Tabelle132456891011121314151617[[#This Row],[COsSP Initially Planned]]+Tabelle132456891011121314151617[[#This Row],[COsSP Pulled after Start]]-Tabelle132456891011121314151617[[#This Row],[CSOsSP Completed]]-Tabelle132456891011121314151617[[#This Row],[CSOsSP Removed]]</f>
        <v>0</v>
      </c>
      <c r="T240" s="201"/>
    </row>
    <row r="241" spans="1:20" ht="13.5" customHeight="1">
      <c r="A241" s="214"/>
      <c r="B241" s="47"/>
      <c r="C241" s="203"/>
      <c r="D241" s="203"/>
      <c r="E241" s="203"/>
      <c r="F241" s="204" t="s">
        <v>210</v>
      </c>
      <c r="G241" s="203" t="s">
        <v>27</v>
      </c>
      <c r="H241" s="205" t="s">
        <v>209</v>
      </c>
      <c r="I241" s="206"/>
      <c r="J241" s="1" t="s">
        <v>182</v>
      </c>
      <c r="K241" s="203" t="s">
        <v>126</v>
      </c>
      <c r="L241" s="204"/>
      <c r="M241" s="204">
        <v>2</v>
      </c>
      <c r="N241" s="286">
        <f>IF(OR(Tabelle132456891011121314151617[[#This Row],[Pulled after Start]]="yes",Tabelle132456891011121314151617[[#This Row],[Jira Story Points]]="-"),0,MIN(Tabelle132456891011121314151617[[#This Row],[Jira Story Points]],Tabelle132456891011121314151617[[#This Row],[Carry-over]]))</f>
        <v>0</v>
      </c>
      <c r="O241" s="210">
        <f>SUM(IF(ISBLANK(Tabelle132456891011121314151617[[#This Row],[Carry-over]]),Tabelle132456891011121314151617[[#This Row],[Jira Story Points]],Tabelle132456891011121314151617[[#This Row],[Carry-over]]),-Tabelle132456891011121314151617[[#This Row],[COsSP Initially Planned]])</f>
        <v>0</v>
      </c>
      <c r="P24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v>
      </c>
      <c r="Q241" s="210">
        <f>IF(Tabelle132456891011121314151617[[#This Row],[Status]]=$J$5,Tabelle132456891011121314151617[[#This Row],[COsSP Initially Planned]]+Tabelle132456891011121314151617[[#This Row],[COsSP Pulled after Start]]-Tabelle132456891011121314151617[[#This Row],[CSOsSP Completed]],0)</f>
        <v>2</v>
      </c>
      <c r="R241" s="210">
        <f>Tabelle132456891011121314151617[[#This Row],[COsSP Initially Planned]]+Tabelle132456891011121314151617[[#This Row],[COsSP Pulled after Start]]-Tabelle132456891011121314151617[[#This Row],[CSOsSP Completed]]-Tabelle132456891011121314151617[[#This Row],[CSOsSP Removed]]</f>
        <v>0</v>
      </c>
      <c r="T241" s="201"/>
    </row>
    <row r="242" spans="1:20" ht="13.5" customHeight="1">
      <c r="A242" s="214"/>
      <c r="B242" s="47"/>
      <c r="C242" s="203"/>
      <c r="D242" s="203"/>
      <c r="E242" s="203"/>
      <c r="F242" s="204">
        <v>5</v>
      </c>
      <c r="G242" s="203" t="s">
        <v>9</v>
      </c>
      <c r="H242" s="205" t="s">
        <v>209</v>
      </c>
      <c r="I242" s="206"/>
      <c r="J242" s="1" t="s">
        <v>180</v>
      </c>
      <c r="K242" s="203" t="s">
        <v>126</v>
      </c>
      <c r="L242" s="204">
        <v>0</v>
      </c>
      <c r="M242" s="204"/>
      <c r="N242" s="286">
        <f>IF(OR(Tabelle132456891011121314151617[[#This Row],[Pulled after Start]]="yes",Tabelle132456891011121314151617[[#This Row],[Jira Story Points]]="-"),0,MIN(Tabelle132456891011121314151617[[#This Row],[Jira Story Points]],Tabelle132456891011121314151617[[#This Row],[Carry-over]]))</f>
        <v>0</v>
      </c>
      <c r="O242" s="210">
        <f>SUM(IF(ISBLANK(Tabelle132456891011121314151617[[#This Row],[Carry-over]]),Tabelle132456891011121314151617[[#This Row],[Jira Story Points]],Tabelle132456891011121314151617[[#This Row],[Carry-over]]),-Tabelle132456891011121314151617[[#This Row],[COsSP Initially Planned]])</f>
        <v>0</v>
      </c>
      <c r="P24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42" s="210">
        <f>IF(Tabelle132456891011121314151617[[#This Row],[Status]]=$J$5,Tabelle132456891011121314151617[[#This Row],[COsSP Initially Planned]]+Tabelle132456891011121314151617[[#This Row],[COsSP Pulled after Start]]-Tabelle132456891011121314151617[[#This Row],[CSOsSP Completed]],0)</f>
        <v>0</v>
      </c>
      <c r="R242" s="210">
        <f>Tabelle132456891011121314151617[[#This Row],[COsSP Initially Planned]]+Tabelle132456891011121314151617[[#This Row],[COsSP Pulled after Start]]-Tabelle132456891011121314151617[[#This Row],[CSOsSP Completed]]-Tabelle132456891011121314151617[[#This Row],[CSOsSP Removed]]</f>
        <v>0</v>
      </c>
      <c r="T242" s="201"/>
    </row>
    <row r="243" spans="1:20" ht="13.5" customHeight="1">
      <c r="A243" s="214"/>
      <c r="B243" s="47"/>
      <c r="C243" s="203"/>
      <c r="D243" s="203"/>
      <c r="E243" s="203"/>
      <c r="F243" s="204">
        <v>13</v>
      </c>
      <c r="G243" s="203" t="s">
        <v>24</v>
      </c>
      <c r="H243" s="205" t="s">
        <v>209</v>
      </c>
      <c r="I243" s="206"/>
      <c r="J243" s="1" t="s">
        <v>176</v>
      </c>
      <c r="K243" s="203" t="s">
        <v>126</v>
      </c>
      <c r="L243" s="204">
        <v>0</v>
      </c>
      <c r="M243" s="204"/>
      <c r="N243" s="286">
        <f>IF(OR(Tabelle132456891011121314151617[[#This Row],[Pulled after Start]]="yes",Tabelle132456891011121314151617[[#This Row],[Jira Story Points]]="-"),0,MIN(Tabelle132456891011121314151617[[#This Row],[Jira Story Points]],Tabelle132456891011121314151617[[#This Row],[Carry-over]]))</f>
        <v>0</v>
      </c>
      <c r="O243" s="210">
        <f>SUM(IF(ISBLANK(Tabelle132456891011121314151617[[#This Row],[Carry-over]]),Tabelle132456891011121314151617[[#This Row],[Jira Story Points]],Tabelle132456891011121314151617[[#This Row],[Carry-over]]),-Tabelle132456891011121314151617[[#This Row],[COsSP Initially Planned]])</f>
        <v>0</v>
      </c>
      <c r="P24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43" s="210">
        <f>IF(Tabelle132456891011121314151617[[#This Row],[Status]]=$J$5,Tabelle132456891011121314151617[[#This Row],[COsSP Initially Planned]]+Tabelle132456891011121314151617[[#This Row],[COsSP Pulled after Start]]-Tabelle132456891011121314151617[[#This Row],[CSOsSP Completed]],0)</f>
        <v>0</v>
      </c>
      <c r="R243" s="210">
        <f>Tabelle132456891011121314151617[[#This Row],[COsSP Initially Planned]]+Tabelle132456891011121314151617[[#This Row],[COsSP Pulled after Start]]-Tabelle132456891011121314151617[[#This Row],[CSOsSP Completed]]-Tabelle132456891011121314151617[[#This Row],[CSOsSP Removed]]</f>
        <v>0</v>
      </c>
      <c r="T243" s="201"/>
    </row>
    <row r="244" spans="1:20" ht="13.5" customHeight="1">
      <c r="A244" s="214"/>
      <c r="B244" s="47"/>
      <c r="C244" s="203"/>
      <c r="D244" s="203"/>
      <c r="E244" s="203"/>
      <c r="F244" s="204" t="s">
        <v>210</v>
      </c>
      <c r="G244" s="203" t="s">
        <v>24</v>
      </c>
      <c r="H244" s="205" t="s">
        <v>209</v>
      </c>
      <c r="I244" s="206"/>
      <c r="J244" s="1" t="s">
        <v>178</v>
      </c>
      <c r="K244" s="203" t="s">
        <v>126</v>
      </c>
      <c r="L244" s="204">
        <v>0</v>
      </c>
      <c r="M244" s="204"/>
      <c r="N244" s="286">
        <f>IF(OR(Tabelle132456891011121314151617[[#This Row],[Pulled after Start]]="yes",Tabelle132456891011121314151617[[#This Row],[Jira Story Points]]="-"),0,MIN(Tabelle132456891011121314151617[[#This Row],[Jira Story Points]],Tabelle132456891011121314151617[[#This Row],[Carry-over]]))</f>
        <v>0</v>
      </c>
      <c r="O244" s="210">
        <f>SUM(IF(ISBLANK(Tabelle132456891011121314151617[[#This Row],[Carry-over]]),Tabelle132456891011121314151617[[#This Row],[Jira Story Points]],Tabelle132456891011121314151617[[#This Row],[Carry-over]]),-Tabelle132456891011121314151617[[#This Row],[COsSP Initially Planned]])</f>
        <v>0</v>
      </c>
      <c r="P24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44" s="210">
        <f>IF(Tabelle132456891011121314151617[[#This Row],[Status]]=$J$5,Tabelle132456891011121314151617[[#This Row],[COsSP Initially Planned]]+Tabelle132456891011121314151617[[#This Row],[COsSP Pulled after Start]]-Tabelle132456891011121314151617[[#This Row],[CSOsSP Completed]],0)</f>
        <v>0</v>
      </c>
      <c r="R244" s="210">
        <f>Tabelle132456891011121314151617[[#This Row],[COsSP Initially Planned]]+Tabelle132456891011121314151617[[#This Row],[COsSP Pulled after Start]]-Tabelle132456891011121314151617[[#This Row],[CSOsSP Completed]]-Tabelle132456891011121314151617[[#This Row],[CSOsSP Removed]]</f>
        <v>0</v>
      </c>
      <c r="T244" s="201"/>
    </row>
    <row r="245" spans="1:20" ht="13.5" customHeight="1">
      <c r="A245" s="214"/>
      <c r="B245" s="47"/>
      <c r="C245" s="203"/>
      <c r="D245" s="203"/>
      <c r="E245" s="203"/>
      <c r="F245" s="204">
        <v>5</v>
      </c>
      <c r="G245" s="203" t="s">
        <v>27</v>
      </c>
      <c r="H245" s="205" t="s">
        <v>209</v>
      </c>
      <c r="I245" s="206"/>
      <c r="J245" s="1" t="s">
        <v>179</v>
      </c>
      <c r="K245" s="203" t="s">
        <v>126</v>
      </c>
      <c r="L245" s="204">
        <v>3</v>
      </c>
      <c r="M245" s="204"/>
      <c r="N245" s="286">
        <f>IF(OR(Tabelle132456891011121314151617[[#This Row],[Pulled after Start]]="yes",Tabelle132456891011121314151617[[#This Row],[Jira Story Points]]="-"),0,MIN(Tabelle132456891011121314151617[[#This Row],[Jira Story Points]],Tabelle132456891011121314151617[[#This Row],[Carry-over]]))</f>
        <v>0</v>
      </c>
      <c r="O245" s="210">
        <f>SUM(IF(ISBLANK(Tabelle132456891011121314151617[[#This Row],[Carry-over]]),Tabelle132456891011121314151617[[#This Row],[Jira Story Points]],Tabelle132456891011121314151617[[#This Row],[Carry-over]]),-Tabelle132456891011121314151617[[#This Row],[COsSP Initially Planned]])</f>
        <v>3</v>
      </c>
      <c r="P24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45" s="210">
        <f>IF(Tabelle132456891011121314151617[[#This Row],[Status]]=$J$5,Tabelle132456891011121314151617[[#This Row],[COsSP Initially Planned]]+Tabelle132456891011121314151617[[#This Row],[COsSP Pulled after Start]]-Tabelle132456891011121314151617[[#This Row],[CSOsSP Completed]],0)</f>
        <v>3</v>
      </c>
      <c r="R245" s="210">
        <f>Tabelle132456891011121314151617[[#This Row],[COsSP Initially Planned]]+Tabelle132456891011121314151617[[#This Row],[COsSP Pulled after Start]]-Tabelle132456891011121314151617[[#This Row],[CSOsSP Completed]]-Tabelle132456891011121314151617[[#This Row],[CSOsSP Removed]]</f>
        <v>0</v>
      </c>
      <c r="T245" s="201"/>
    </row>
    <row r="246" spans="1:20" ht="13.5" customHeight="1">
      <c r="A246" s="214"/>
      <c r="B246" s="47"/>
      <c r="C246" s="203"/>
      <c r="D246" s="203"/>
      <c r="E246" s="203"/>
      <c r="F246" s="204">
        <v>13</v>
      </c>
      <c r="G246" s="203" t="s">
        <v>21</v>
      </c>
      <c r="H246" s="205" t="s">
        <v>209</v>
      </c>
      <c r="I246" s="206"/>
      <c r="J246" s="1" t="s">
        <v>178</v>
      </c>
      <c r="K246" s="203" t="s">
        <v>126</v>
      </c>
      <c r="L246" s="204">
        <v>3</v>
      </c>
      <c r="M246" s="204"/>
      <c r="N246" s="286">
        <f>IF(OR(Tabelle132456891011121314151617[[#This Row],[Pulled after Start]]="yes",Tabelle132456891011121314151617[[#This Row],[Jira Story Points]]="-"),0,MIN(Tabelle132456891011121314151617[[#This Row],[Jira Story Points]],Tabelle132456891011121314151617[[#This Row],[Carry-over]]))</f>
        <v>0</v>
      </c>
      <c r="O246" s="210">
        <f>SUM(IF(ISBLANK(Tabelle132456891011121314151617[[#This Row],[Carry-over]]),Tabelle132456891011121314151617[[#This Row],[Jira Story Points]],Tabelle132456891011121314151617[[#This Row],[Carry-over]]),-Tabelle132456891011121314151617[[#This Row],[COsSP Initially Planned]])</f>
        <v>3</v>
      </c>
      <c r="P24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46" s="210">
        <f>IF(Tabelle132456891011121314151617[[#This Row],[Status]]=$J$5,Tabelle132456891011121314151617[[#This Row],[COsSP Initially Planned]]+Tabelle132456891011121314151617[[#This Row],[COsSP Pulled after Start]]-Tabelle132456891011121314151617[[#This Row],[CSOsSP Completed]],0)</f>
        <v>3</v>
      </c>
      <c r="R246" s="210">
        <f>Tabelle132456891011121314151617[[#This Row],[COsSP Initially Planned]]+Tabelle132456891011121314151617[[#This Row],[COsSP Pulled after Start]]-Tabelle132456891011121314151617[[#This Row],[CSOsSP Completed]]-Tabelle132456891011121314151617[[#This Row],[CSOsSP Removed]]</f>
        <v>0</v>
      </c>
      <c r="T246" s="201"/>
    </row>
    <row r="247" spans="1:20" ht="13.5" customHeight="1">
      <c r="A247" s="214"/>
      <c r="B247" s="47"/>
      <c r="C247" s="203"/>
      <c r="D247" s="203"/>
      <c r="E247" s="203"/>
      <c r="F247" s="204" t="s">
        <v>210</v>
      </c>
      <c r="G247" s="203" t="s">
        <v>24</v>
      </c>
      <c r="H247" s="205" t="s">
        <v>209</v>
      </c>
      <c r="I247" s="206"/>
      <c r="J247" s="1" t="s">
        <v>179</v>
      </c>
      <c r="K247" s="203" t="s">
        <v>126</v>
      </c>
      <c r="L247" s="204">
        <v>3</v>
      </c>
      <c r="M247" s="204"/>
      <c r="N247" s="286">
        <f>IF(OR(Tabelle132456891011121314151617[[#This Row],[Pulled after Start]]="yes",Tabelle132456891011121314151617[[#This Row],[Jira Story Points]]="-"),0,MIN(Tabelle132456891011121314151617[[#This Row],[Jira Story Points]],Tabelle132456891011121314151617[[#This Row],[Carry-over]]))</f>
        <v>0</v>
      </c>
      <c r="O247" s="210">
        <f>SUM(IF(ISBLANK(Tabelle132456891011121314151617[[#This Row],[Carry-over]]),Tabelle132456891011121314151617[[#This Row],[Jira Story Points]],Tabelle132456891011121314151617[[#This Row],[Carry-over]]),-Tabelle132456891011121314151617[[#This Row],[COsSP Initially Planned]])</f>
        <v>3</v>
      </c>
      <c r="P24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47" s="210">
        <f>IF(Tabelle132456891011121314151617[[#This Row],[Status]]=$J$5,Tabelle132456891011121314151617[[#This Row],[COsSP Initially Planned]]+Tabelle132456891011121314151617[[#This Row],[COsSP Pulled after Start]]-Tabelle132456891011121314151617[[#This Row],[CSOsSP Completed]],0)</f>
        <v>3</v>
      </c>
      <c r="R247" s="210">
        <f>Tabelle132456891011121314151617[[#This Row],[COsSP Initially Planned]]+Tabelle132456891011121314151617[[#This Row],[COsSP Pulled after Start]]-Tabelle132456891011121314151617[[#This Row],[CSOsSP Completed]]-Tabelle132456891011121314151617[[#This Row],[CSOsSP Removed]]</f>
        <v>0</v>
      </c>
      <c r="T247" s="201"/>
    </row>
    <row r="248" spans="1:20" ht="13.5" customHeight="1">
      <c r="A248" s="214"/>
      <c r="B248" s="47"/>
      <c r="C248" s="203"/>
      <c r="D248" s="203"/>
      <c r="E248" s="203"/>
      <c r="F248" s="204">
        <v>5</v>
      </c>
      <c r="G248" s="203" t="s">
        <v>27</v>
      </c>
      <c r="H248" s="205" t="s">
        <v>209</v>
      </c>
      <c r="I248" s="206"/>
      <c r="J248" s="1" t="s">
        <v>179</v>
      </c>
      <c r="K248" s="203" t="s">
        <v>126</v>
      </c>
      <c r="L248" s="204">
        <v>8</v>
      </c>
      <c r="M248" s="204"/>
      <c r="N248" s="286">
        <f>IF(OR(Tabelle132456891011121314151617[[#This Row],[Pulled after Start]]="yes",Tabelle132456891011121314151617[[#This Row],[Jira Story Points]]="-"),0,MIN(Tabelle132456891011121314151617[[#This Row],[Jira Story Points]],Tabelle132456891011121314151617[[#This Row],[Carry-over]]))</f>
        <v>0</v>
      </c>
      <c r="O248" s="210">
        <f>SUM(IF(ISBLANK(Tabelle132456891011121314151617[[#This Row],[Carry-over]]),Tabelle132456891011121314151617[[#This Row],[Jira Story Points]],Tabelle132456891011121314151617[[#This Row],[Carry-over]]),-Tabelle132456891011121314151617[[#This Row],[COsSP Initially Planned]])</f>
        <v>8</v>
      </c>
      <c r="P24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48" s="210">
        <f>IF(Tabelle132456891011121314151617[[#This Row],[Status]]=$J$5,Tabelle132456891011121314151617[[#This Row],[COsSP Initially Planned]]+Tabelle132456891011121314151617[[#This Row],[COsSP Pulled after Start]]-Tabelle132456891011121314151617[[#This Row],[CSOsSP Completed]],0)</f>
        <v>8</v>
      </c>
      <c r="R248" s="210">
        <f>Tabelle132456891011121314151617[[#This Row],[COsSP Initially Planned]]+Tabelle132456891011121314151617[[#This Row],[COsSP Pulled after Start]]-Tabelle132456891011121314151617[[#This Row],[CSOsSP Completed]]-Tabelle132456891011121314151617[[#This Row],[CSOsSP Removed]]</f>
        <v>0</v>
      </c>
      <c r="T248" s="201"/>
    </row>
    <row r="249" spans="1:20" ht="13.5" customHeight="1">
      <c r="A249" s="214"/>
      <c r="B249" s="47"/>
      <c r="C249" s="203"/>
      <c r="D249" s="203"/>
      <c r="E249" s="203"/>
      <c r="F249" s="204">
        <v>13</v>
      </c>
      <c r="G249" s="203" t="s">
        <v>17</v>
      </c>
      <c r="H249" s="205" t="s">
        <v>209</v>
      </c>
      <c r="I249" s="206"/>
      <c r="J249" s="1" t="s">
        <v>180</v>
      </c>
      <c r="K249" s="203" t="s">
        <v>126</v>
      </c>
      <c r="L249" s="204">
        <v>8</v>
      </c>
      <c r="M249" s="204"/>
      <c r="N249" s="286">
        <f>IF(OR(Tabelle132456891011121314151617[[#This Row],[Pulled after Start]]="yes",Tabelle132456891011121314151617[[#This Row],[Jira Story Points]]="-"),0,MIN(Tabelle132456891011121314151617[[#This Row],[Jira Story Points]],Tabelle132456891011121314151617[[#This Row],[Carry-over]]))</f>
        <v>0</v>
      </c>
      <c r="O249" s="210">
        <f>SUM(IF(ISBLANK(Tabelle132456891011121314151617[[#This Row],[Carry-over]]),Tabelle132456891011121314151617[[#This Row],[Jira Story Points]],Tabelle132456891011121314151617[[#This Row],[Carry-over]]),-Tabelle132456891011121314151617[[#This Row],[COsSP Initially Planned]])</f>
        <v>8</v>
      </c>
      <c r="P24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49" s="210">
        <f>IF(Tabelle132456891011121314151617[[#This Row],[Status]]=$J$5,Tabelle132456891011121314151617[[#This Row],[COsSP Initially Planned]]+Tabelle132456891011121314151617[[#This Row],[COsSP Pulled after Start]]-Tabelle132456891011121314151617[[#This Row],[CSOsSP Completed]],0)</f>
        <v>8</v>
      </c>
      <c r="R249" s="210">
        <f>Tabelle132456891011121314151617[[#This Row],[COsSP Initially Planned]]+Tabelle132456891011121314151617[[#This Row],[COsSP Pulled after Start]]-Tabelle132456891011121314151617[[#This Row],[CSOsSP Completed]]-Tabelle132456891011121314151617[[#This Row],[CSOsSP Removed]]</f>
        <v>0</v>
      </c>
      <c r="T249" s="201"/>
    </row>
    <row r="250" spans="1:20" ht="13.5" customHeight="1">
      <c r="A250" s="214"/>
      <c r="B250" s="47"/>
      <c r="C250" s="203"/>
      <c r="D250" s="203"/>
      <c r="E250" s="203"/>
      <c r="F250" s="204" t="s">
        <v>210</v>
      </c>
      <c r="G250" s="203" t="s">
        <v>17</v>
      </c>
      <c r="H250" s="205" t="s">
        <v>209</v>
      </c>
      <c r="I250" s="206"/>
      <c r="J250" s="1" t="s">
        <v>178</v>
      </c>
      <c r="K250" s="203" t="s">
        <v>126</v>
      </c>
      <c r="L250" s="204">
        <v>8</v>
      </c>
      <c r="M250" s="204"/>
      <c r="N250" s="286">
        <f>IF(OR(Tabelle132456891011121314151617[[#This Row],[Pulled after Start]]="yes",Tabelle132456891011121314151617[[#This Row],[Jira Story Points]]="-"),0,MIN(Tabelle132456891011121314151617[[#This Row],[Jira Story Points]],Tabelle132456891011121314151617[[#This Row],[Carry-over]]))</f>
        <v>0</v>
      </c>
      <c r="O250" s="210">
        <f>SUM(IF(ISBLANK(Tabelle132456891011121314151617[[#This Row],[Carry-over]]),Tabelle132456891011121314151617[[#This Row],[Jira Story Points]],Tabelle132456891011121314151617[[#This Row],[Carry-over]]),-Tabelle132456891011121314151617[[#This Row],[COsSP Initially Planned]])</f>
        <v>8</v>
      </c>
      <c r="P25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50" s="210">
        <f>IF(Tabelle132456891011121314151617[[#This Row],[Status]]=$J$5,Tabelle132456891011121314151617[[#This Row],[COsSP Initially Planned]]+Tabelle132456891011121314151617[[#This Row],[COsSP Pulled after Start]]-Tabelle132456891011121314151617[[#This Row],[CSOsSP Completed]],0)</f>
        <v>8</v>
      </c>
      <c r="R250" s="210">
        <f>Tabelle132456891011121314151617[[#This Row],[COsSP Initially Planned]]+Tabelle132456891011121314151617[[#This Row],[COsSP Pulled after Start]]-Tabelle132456891011121314151617[[#This Row],[CSOsSP Completed]]-Tabelle132456891011121314151617[[#This Row],[CSOsSP Removed]]</f>
        <v>0</v>
      </c>
      <c r="T250" s="201"/>
    </row>
    <row r="251" spans="1:20" ht="13.5" customHeight="1">
      <c r="A251" s="214"/>
      <c r="B251" s="47"/>
      <c r="C251" s="203"/>
      <c r="D251" s="203"/>
      <c r="E251" s="203"/>
      <c r="F251" s="204">
        <v>5</v>
      </c>
      <c r="G251" s="203" t="s">
        <v>107</v>
      </c>
      <c r="H251" s="205" t="s">
        <v>209</v>
      </c>
      <c r="I251" s="206"/>
      <c r="J251" s="1" t="s">
        <v>180</v>
      </c>
      <c r="K251" s="203" t="s">
        <v>126</v>
      </c>
      <c r="L251" s="204">
        <v>21</v>
      </c>
      <c r="M251" s="204"/>
      <c r="N251" s="286">
        <f>IF(OR(Tabelle132456891011121314151617[[#This Row],[Pulled after Start]]="yes",Tabelle132456891011121314151617[[#This Row],[Jira Story Points]]="-"),0,MIN(Tabelle132456891011121314151617[[#This Row],[Jira Story Points]],Tabelle132456891011121314151617[[#This Row],[Carry-over]]))</f>
        <v>0</v>
      </c>
      <c r="O251" s="210">
        <f>SUM(IF(ISBLANK(Tabelle132456891011121314151617[[#This Row],[Carry-over]]),Tabelle132456891011121314151617[[#This Row],[Jira Story Points]],Tabelle132456891011121314151617[[#This Row],[Carry-over]]),-Tabelle132456891011121314151617[[#This Row],[COsSP Initially Planned]])</f>
        <v>21</v>
      </c>
      <c r="P25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51" s="210">
        <f>IF(Tabelle132456891011121314151617[[#This Row],[Status]]=$J$5,Tabelle132456891011121314151617[[#This Row],[COsSP Initially Planned]]+Tabelle132456891011121314151617[[#This Row],[COsSP Pulled after Start]]-Tabelle132456891011121314151617[[#This Row],[CSOsSP Completed]],0)</f>
        <v>21</v>
      </c>
      <c r="R251" s="210">
        <f>Tabelle132456891011121314151617[[#This Row],[COsSP Initially Planned]]+Tabelle132456891011121314151617[[#This Row],[COsSP Pulled after Start]]-Tabelle132456891011121314151617[[#This Row],[CSOsSP Completed]]-Tabelle132456891011121314151617[[#This Row],[CSOsSP Removed]]</f>
        <v>0</v>
      </c>
      <c r="T251" s="201"/>
    </row>
    <row r="252" spans="1:20" ht="13.5" customHeight="1">
      <c r="A252" s="214"/>
      <c r="B252" s="47"/>
      <c r="C252" s="203"/>
      <c r="D252" s="203"/>
      <c r="E252" s="203"/>
      <c r="F252" s="204">
        <v>13</v>
      </c>
      <c r="G252" s="203" t="s">
        <v>17</v>
      </c>
      <c r="H252" s="205" t="s">
        <v>209</v>
      </c>
      <c r="I252" s="206"/>
      <c r="J252" s="1" t="s">
        <v>175</v>
      </c>
      <c r="K252" s="203" t="s">
        <v>126</v>
      </c>
      <c r="L252" s="204">
        <v>21</v>
      </c>
      <c r="M252" s="204"/>
      <c r="N252" s="286">
        <f>IF(OR(Tabelle132456891011121314151617[[#This Row],[Pulled after Start]]="yes",Tabelle132456891011121314151617[[#This Row],[Jira Story Points]]="-"),0,MIN(Tabelle132456891011121314151617[[#This Row],[Jira Story Points]],Tabelle132456891011121314151617[[#This Row],[Carry-over]]))</f>
        <v>0</v>
      </c>
      <c r="O252" s="210">
        <f>SUM(IF(ISBLANK(Tabelle132456891011121314151617[[#This Row],[Carry-over]]),Tabelle132456891011121314151617[[#This Row],[Jira Story Points]],Tabelle132456891011121314151617[[#This Row],[Carry-over]]),-Tabelle132456891011121314151617[[#This Row],[COsSP Initially Planned]])</f>
        <v>21</v>
      </c>
      <c r="P25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52" s="210">
        <f>IF(Tabelle132456891011121314151617[[#This Row],[Status]]=$J$5,Tabelle132456891011121314151617[[#This Row],[COsSP Initially Planned]]+Tabelle132456891011121314151617[[#This Row],[COsSP Pulled after Start]]-Tabelle132456891011121314151617[[#This Row],[CSOsSP Completed]],0)</f>
        <v>21</v>
      </c>
      <c r="R252" s="210">
        <f>Tabelle132456891011121314151617[[#This Row],[COsSP Initially Planned]]+Tabelle132456891011121314151617[[#This Row],[COsSP Pulled after Start]]-Tabelle132456891011121314151617[[#This Row],[CSOsSP Completed]]-Tabelle132456891011121314151617[[#This Row],[CSOsSP Removed]]</f>
        <v>0</v>
      </c>
      <c r="T252" s="201"/>
    </row>
    <row r="253" spans="1:20" ht="13.5" customHeight="1">
      <c r="A253" s="214"/>
      <c r="B253" s="47"/>
      <c r="C253" s="203"/>
      <c r="D253" s="203"/>
      <c r="E253" s="203"/>
      <c r="F253" s="204" t="s">
        <v>210</v>
      </c>
      <c r="G253" s="203" t="s">
        <v>32</v>
      </c>
      <c r="H253" s="205" t="s">
        <v>209</v>
      </c>
      <c r="I253" s="206"/>
      <c r="J253" s="1" t="s">
        <v>182</v>
      </c>
      <c r="K253" s="203" t="s">
        <v>126</v>
      </c>
      <c r="L253" s="204">
        <v>21</v>
      </c>
      <c r="M253" s="204"/>
      <c r="N253" s="286">
        <f>IF(OR(Tabelle132456891011121314151617[[#This Row],[Pulled after Start]]="yes",Tabelle132456891011121314151617[[#This Row],[Jira Story Points]]="-"),0,MIN(Tabelle132456891011121314151617[[#This Row],[Jira Story Points]],Tabelle132456891011121314151617[[#This Row],[Carry-over]]))</f>
        <v>0</v>
      </c>
      <c r="O253" s="210">
        <f>SUM(IF(ISBLANK(Tabelle132456891011121314151617[[#This Row],[Carry-over]]),Tabelle132456891011121314151617[[#This Row],[Jira Story Points]],Tabelle132456891011121314151617[[#This Row],[Carry-over]]),-Tabelle132456891011121314151617[[#This Row],[COsSP Initially Planned]])</f>
        <v>21</v>
      </c>
      <c r="P25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53" s="210">
        <f>IF(Tabelle132456891011121314151617[[#This Row],[Status]]=$J$5,Tabelle132456891011121314151617[[#This Row],[COsSP Initially Planned]]+Tabelle132456891011121314151617[[#This Row],[COsSP Pulled after Start]]-Tabelle132456891011121314151617[[#This Row],[CSOsSP Completed]],0)</f>
        <v>21</v>
      </c>
      <c r="R253" s="210">
        <f>Tabelle132456891011121314151617[[#This Row],[COsSP Initially Planned]]+Tabelle132456891011121314151617[[#This Row],[COsSP Pulled after Start]]-Tabelle132456891011121314151617[[#This Row],[CSOsSP Completed]]-Tabelle132456891011121314151617[[#This Row],[CSOsSP Removed]]</f>
        <v>0</v>
      </c>
      <c r="T253" s="201"/>
    </row>
    <row r="254" spans="1:20" ht="13.5" customHeight="1">
      <c r="A254" s="214"/>
      <c r="B254" s="47"/>
      <c r="C254" s="203"/>
      <c r="D254" s="203"/>
      <c r="E254" s="203"/>
      <c r="F254" s="204">
        <v>5</v>
      </c>
      <c r="G254" s="203" t="s">
        <v>35</v>
      </c>
      <c r="H254" s="205" t="s">
        <v>209</v>
      </c>
      <c r="I254" s="206"/>
      <c r="J254" s="1" t="s">
        <v>176</v>
      </c>
      <c r="K254" s="203" t="s">
        <v>126</v>
      </c>
      <c r="L254" s="204"/>
      <c r="M254" s="204"/>
      <c r="N254" s="286">
        <f>IF(OR(Tabelle132456891011121314151617[[#This Row],[Pulled after Start]]="yes",Tabelle132456891011121314151617[[#This Row],[Jira Story Points]]="-"),0,MIN(Tabelle132456891011121314151617[[#This Row],[Jira Story Points]],Tabelle132456891011121314151617[[#This Row],[Carry-over]]))</f>
        <v>0</v>
      </c>
      <c r="O254" s="210">
        <f>SUM(IF(ISBLANK(Tabelle132456891011121314151617[[#This Row],[Carry-over]]),Tabelle132456891011121314151617[[#This Row],[Jira Story Points]],Tabelle132456891011121314151617[[#This Row],[Carry-over]]),-Tabelle132456891011121314151617[[#This Row],[COsSP Initially Planned]])</f>
        <v>5</v>
      </c>
      <c r="P25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54" s="210">
        <f>IF(Tabelle132456891011121314151617[[#This Row],[Status]]=$J$5,Tabelle132456891011121314151617[[#This Row],[COsSP Initially Planned]]+Tabelle132456891011121314151617[[#This Row],[COsSP Pulled after Start]]-Tabelle132456891011121314151617[[#This Row],[CSOsSP Completed]],0)</f>
        <v>5</v>
      </c>
      <c r="R254" s="210">
        <f>Tabelle132456891011121314151617[[#This Row],[COsSP Initially Planned]]+Tabelle132456891011121314151617[[#This Row],[COsSP Pulled after Start]]-Tabelle132456891011121314151617[[#This Row],[CSOsSP Completed]]-Tabelle132456891011121314151617[[#This Row],[CSOsSP Removed]]</f>
        <v>0</v>
      </c>
      <c r="T254" s="201"/>
    </row>
    <row r="255" spans="1:20" ht="13.5" customHeight="1">
      <c r="A255" s="214"/>
      <c r="B255" s="47"/>
      <c r="C255" s="203"/>
      <c r="D255" s="203"/>
      <c r="E255" s="203"/>
      <c r="F255" s="204">
        <v>13</v>
      </c>
      <c r="G255" s="203" t="s">
        <v>5</v>
      </c>
      <c r="H255" s="205" t="s">
        <v>209</v>
      </c>
      <c r="I255" s="206"/>
      <c r="J255" s="1" t="s">
        <v>180</v>
      </c>
      <c r="K255" s="203" t="s">
        <v>126</v>
      </c>
      <c r="L255" s="204"/>
      <c r="M255" s="204"/>
      <c r="N255" s="286">
        <f>IF(OR(Tabelle132456891011121314151617[[#This Row],[Pulled after Start]]="yes",Tabelle132456891011121314151617[[#This Row],[Jira Story Points]]="-"),0,MIN(Tabelle132456891011121314151617[[#This Row],[Jira Story Points]],Tabelle132456891011121314151617[[#This Row],[Carry-over]]))</f>
        <v>0</v>
      </c>
      <c r="O255" s="210">
        <f>SUM(IF(ISBLANK(Tabelle132456891011121314151617[[#This Row],[Carry-over]]),Tabelle132456891011121314151617[[#This Row],[Jira Story Points]],Tabelle132456891011121314151617[[#This Row],[Carry-over]]),-Tabelle132456891011121314151617[[#This Row],[COsSP Initially Planned]])</f>
        <v>13</v>
      </c>
      <c r="P25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55" s="210">
        <f>IF(Tabelle132456891011121314151617[[#This Row],[Status]]=$J$5,Tabelle132456891011121314151617[[#This Row],[COsSP Initially Planned]]+Tabelle132456891011121314151617[[#This Row],[COsSP Pulled after Start]]-Tabelle132456891011121314151617[[#This Row],[CSOsSP Completed]],0)</f>
        <v>13</v>
      </c>
      <c r="R255" s="210">
        <f>Tabelle132456891011121314151617[[#This Row],[COsSP Initially Planned]]+Tabelle132456891011121314151617[[#This Row],[COsSP Pulled after Start]]-Tabelle132456891011121314151617[[#This Row],[CSOsSP Completed]]-Tabelle132456891011121314151617[[#This Row],[CSOsSP Removed]]</f>
        <v>0</v>
      </c>
      <c r="T255" s="201"/>
    </row>
    <row r="256" spans="1:20" ht="13.5" customHeight="1">
      <c r="A256" s="214"/>
      <c r="B256" s="47"/>
      <c r="C256" s="203"/>
      <c r="D256" s="203"/>
      <c r="E256" s="203"/>
      <c r="F256" s="204" t="s">
        <v>210</v>
      </c>
      <c r="G256" s="203" t="s">
        <v>107</v>
      </c>
      <c r="H256" s="205" t="s">
        <v>209</v>
      </c>
      <c r="I256" s="206"/>
      <c r="J256" s="1" t="s">
        <v>179</v>
      </c>
      <c r="K256" s="203" t="s">
        <v>126</v>
      </c>
      <c r="L256" s="204"/>
      <c r="M256" s="204"/>
      <c r="N256" s="286">
        <f>IF(OR(Tabelle132456891011121314151617[[#This Row],[Pulled after Start]]="yes",Tabelle132456891011121314151617[[#This Row],[Jira Story Points]]="-"),0,MIN(Tabelle132456891011121314151617[[#This Row],[Jira Story Points]],Tabelle132456891011121314151617[[#This Row],[Carry-over]]))</f>
        <v>0</v>
      </c>
      <c r="O256" s="210">
        <f>SUM(IF(ISBLANK(Tabelle132456891011121314151617[[#This Row],[Carry-over]]),Tabelle132456891011121314151617[[#This Row],[Jira Story Points]],Tabelle132456891011121314151617[[#This Row],[Carry-over]]),-Tabelle132456891011121314151617[[#This Row],[COsSP Initially Planned]])</f>
        <v>0</v>
      </c>
      <c r="P25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56" s="210">
        <f>IF(Tabelle132456891011121314151617[[#This Row],[Status]]=$J$5,Tabelle132456891011121314151617[[#This Row],[COsSP Initially Planned]]+Tabelle132456891011121314151617[[#This Row],[COsSP Pulled after Start]]-Tabelle132456891011121314151617[[#This Row],[CSOsSP Completed]],0)</f>
        <v>0</v>
      </c>
      <c r="R256" s="210">
        <f>Tabelle132456891011121314151617[[#This Row],[COsSP Initially Planned]]+Tabelle132456891011121314151617[[#This Row],[COsSP Pulled after Start]]-Tabelle132456891011121314151617[[#This Row],[CSOsSP Completed]]-Tabelle132456891011121314151617[[#This Row],[CSOsSP Removed]]</f>
        <v>0</v>
      </c>
      <c r="T256" s="201"/>
    </row>
    <row r="257" spans="1:20" ht="13.5" customHeight="1">
      <c r="A257" s="214"/>
      <c r="B257" s="47"/>
      <c r="C257" s="203"/>
      <c r="D257" s="203"/>
      <c r="E257" s="203"/>
      <c r="F257" s="204">
        <v>5</v>
      </c>
      <c r="G257" s="203" t="s">
        <v>107</v>
      </c>
      <c r="H257" s="205"/>
      <c r="I257" s="206"/>
      <c r="J257" s="1" t="s">
        <v>175</v>
      </c>
      <c r="K257" s="203" t="s">
        <v>126</v>
      </c>
      <c r="L257" s="204">
        <v>0</v>
      </c>
      <c r="M257" s="204">
        <v>0</v>
      </c>
      <c r="N257" s="286">
        <f>IF(OR(Tabelle132456891011121314151617[[#This Row],[Pulled after Start]]="yes",Tabelle132456891011121314151617[[#This Row],[Jira Story Points]]="-"),0,MIN(Tabelle132456891011121314151617[[#This Row],[Jira Story Points]],Tabelle132456891011121314151617[[#This Row],[Carry-over]]))</f>
        <v>0</v>
      </c>
      <c r="O257" s="210">
        <f>SUM(IF(ISBLANK(Tabelle132456891011121314151617[[#This Row],[Carry-over]]),Tabelle132456891011121314151617[[#This Row],[Jira Story Points]],Tabelle132456891011121314151617[[#This Row],[Carry-over]]),-Tabelle132456891011121314151617[[#This Row],[COsSP Initially Planned]])</f>
        <v>0</v>
      </c>
      <c r="P25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57" s="210">
        <f>IF(Tabelle132456891011121314151617[[#This Row],[Status]]=$J$5,Tabelle132456891011121314151617[[#This Row],[COsSP Initially Planned]]+Tabelle132456891011121314151617[[#This Row],[COsSP Pulled after Start]]-Tabelle132456891011121314151617[[#This Row],[CSOsSP Completed]],0)</f>
        <v>0</v>
      </c>
      <c r="R257" s="210">
        <f>Tabelle132456891011121314151617[[#This Row],[COsSP Initially Planned]]+Tabelle132456891011121314151617[[#This Row],[COsSP Pulled after Start]]-Tabelle132456891011121314151617[[#This Row],[CSOsSP Completed]]-Tabelle132456891011121314151617[[#This Row],[CSOsSP Removed]]</f>
        <v>0</v>
      </c>
      <c r="T257" s="201"/>
    </row>
    <row r="258" spans="1:20" ht="13.5" customHeight="1">
      <c r="A258" s="214"/>
      <c r="B258" s="47"/>
      <c r="C258" s="203"/>
      <c r="D258" s="203"/>
      <c r="E258" s="203"/>
      <c r="F258" s="204">
        <v>13</v>
      </c>
      <c r="G258" s="203" t="s">
        <v>21</v>
      </c>
      <c r="H258" s="205"/>
      <c r="I258" s="206"/>
      <c r="J258" s="1" t="s">
        <v>178</v>
      </c>
      <c r="K258" s="203" t="s">
        <v>126</v>
      </c>
      <c r="L258" s="204">
        <v>0</v>
      </c>
      <c r="M258" s="204">
        <v>0</v>
      </c>
      <c r="N258" s="286">
        <f>IF(OR(Tabelle132456891011121314151617[[#This Row],[Pulled after Start]]="yes",Tabelle132456891011121314151617[[#This Row],[Jira Story Points]]="-"),0,MIN(Tabelle132456891011121314151617[[#This Row],[Jira Story Points]],Tabelle132456891011121314151617[[#This Row],[Carry-over]]))</f>
        <v>0</v>
      </c>
      <c r="O258" s="210">
        <f>SUM(IF(ISBLANK(Tabelle132456891011121314151617[[#This Row],[Carry-over]]),Tabelle132456891011121314151617[[#This Row],[Jira Story Points]],Tabelle132456891011121314151617[[#This Row],[Carry-over]]),-Tabelle132456891011121314151617[[#This Row],[COsSP Initially Planned]])</f>
        <v>0</v>
      </c>
      <c r="P25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58" s="210">
        <f>IF(Tabelle132456891011121314151617[[#This Row],[Status]]=$J$5,Tabelle132456891011121314151617[[#This Row],[COsSP Initially Planned]]+Tabelle132456891011121314151617[[#This Row],[COsSP Pulled after Start]]-Tabelle132456891011121314151617[[#This Row],[CSOsSP Completed]],0)</f>
        <v>0</v>
      </c>
      <c r="R258" s="210">
        <f>Tabelle132456891011121314151617[[#This Row],[COsSP Initially Planned]]+Tabelle132456891011121314151617[[#This Row],[COsSP Pulled after Start]]-Tabelle132456891011121314151617[[#This Row],[CSOsSP Completed]]-Tabelle132456891011121314151617[[#This Row],[CSOsSP Removed]]</f>
        <v>0</v>
      </c>
      <c r="T258" s="201"/>
    </row>
    <row r="259" spans="1:20" ht="13.5" customHeight="1">
      <c r="A259" s="214"/>
      <c r="B259" s="47"/>
      <c r="C259" s="203"/>
      <c r="D259" s="203"/>
      <c r="E259" s="203"/>
      <c r="F259" s="204" t="s">
        <v>210</v>
      </c>
      <c r="G259" s="203" t="s">
        <v>107</v>
      </c>
      <c r="H259" s="205"/>
      <c r="I259" s="206"/>
      <c r="J259" s="1" t="s">
        <v>179</v>
      </c>
      <c r="K259" s="203" t="s">
        <v>126</v>
      </c>
      <c r="L259" s="204">
        <v>0</v>
      </c>
      <c r="M259" s="204">
        <v>0</v>
      </c>
      <c r="N259" s="286">
        <f>IF(OR(Tabelle132456891011121314151617[[#This Row],[Pulled after Start]]="yes",Tabelle132456891011121314151617[[#This Row],[Jira Story Points]]="-"),0,MIN(Tabelle132456891011121314151617[[#This Row],[Jira Story Points]],Tabelle132456891011121314151617[[#This Row],[Carry-over]]))</f>
        <v>0</v>
      </c>
      <c r="O259" s="210">
        <f>SUM(IF(ISBLANK(Tabelle132456891011121314151617[[#This Row],[Carry-over]]),Tabelle132456891011121314151617[[#This Row],[Jira Story Points]],Tabelle132456891011121314151617[[#This Row],[Carry-over]]),-Tabelle132456891011121314151617[[#This Row],[COsSP Initially Planned]])</f>
        <v>0</v>
      </c>
      <c r="P25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59" s="210">
        <f>IF(Tabelle132456891011121314151617[[#This Row],[Status]]=$J$5,Tabelle132456891011121314151617[[#This Row],[COsSP Initially Planned]]+Tabelle132456891011121314151617[[#This Row],[COsSP Pulled after Start]]-Tabelle132456891011121314151617[[#This Row],[CSOsSP Completed]],0)</f>
        <v>0</v>
      </c>
      <c r="R259" s="210">
        <f>Tabelle132456891011121314151617[[#This Row],[COsSP Initially Planned]]+Tabelle132456891011121314151617[[#This Row],[COsSP Pulled after Start]]-Tabelle132456891011121314151617[[#This Row],[CSOsSP Completed]]-Tabelle132456891011121314151617[[#This Row],[CSOsSP Removed]]</f>
        <v>0</v>
      </c>
      <c r="T259" s="201"/>
    </row>
    <row r="260" spans="1:20" ht="13.5" customHeight="1">
      <c r="A260" s="214"/>
      <c r="B260" s="47"/>
      <c r="C260" s="203"/>
      <c r="D260" s="203"/>
      <c r="E260" s="203"/>
      <c r="F260" s="204">
        <v>5</v>
      </c>
      <c r="G260" s="203" t="s">
        <v>32</v>
      </c>
      <c r="H260" s="205"/>
      <c r="I260" s="206"/>
      <c r="J260" s="1" t="s">
        <v>180</v>
      </c>
      <c r="K260" s="203" t="s">
        <v>126</v>
      </c>
      <c r="L260" s="204">
        <v>3</v>
      </c>
      <c r="M260" s="204">
        <v>0</v>
      </c>
      <c r="N260" s="286">
        <f>IF(OR(Tabelle132456891011121314151617[[#This Row],[Pulled after Start]]="yes",Tabelle132456891011121314151617[[#This Row],[Jira Story Points]]="-"),0,MIN(Tabelle132456891011121314151617[[#This Row],[Jira Story Points]],Tabelle132456891011121314151617[[#This Row],[Carry-over]]))</f>
        <v>3</v>
      </c>
      <c r="O260" s="210">
        <f>SUM(IF(ISBLANK(Tabelle132456891011121314151617[[#This Row],[Carry-over]]),Tabelle132456891011121314151617[[#This Row],[Jira Story Points]],Tabelle132456891011121314151617[[#This Row],[Carry-over]]),-Tabelle132456891011121314151617[[#This Row],[COsSP Initially Planned]])</f>
        <v>0</v>
      </c>
      <c r="P26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260" s="210">
        <f>IF(Tabelle132456891011121314151617[[#This Row],[Status]]=$J$5,Tabelle132456891011121314151617[[#This Row],[COsSP Initially Planned]]+Tabelle132456891011121314151617[[#This Row],[COsSP Pulled after Start]]-Tabelle132456891011121314151617[[#This Row],[CSOsSP Completed]],0)</f>
        <v>0</v>
      </c>
      <c r="R260" s="210">
        <f>Tabelle132456891011121314151617[[#This Row],[COsSP Initially Planned]]+Tabelle132456891011121314151617[[#This Row],[COsSP Pulled after Start]]-Tabelle132456891011121314151617[[#This Row],[CSOsSP Completed]]-Tabelle132456891011121314151617[[#This Row],[CSOsSP Removed]]</f>
        <v>0</v>
      </c>
      <c r="T260" s="201"/>
    </row>
    <row r="261" spans="1:20" ht="13.5" customHeight="1">
      <c r="A261" s="214"/>
      <c r="B261" s="47"/>
      <c r="C261" s="203"/>
      <c r="D261" s="203"/>
      <c r="E261" s="203"/>
      <c r="F261" s="204">
        <v>13</v>
      </c>
      <c r="G261" s="203" t="s">
        <v>107</v>
      </c>
      <c r="H261" s="205"/>
      <c r="I261" s="206"/>
      <c r="J261" s="1" t="s">
        <v>177</v>
      </c>
      <c r="K261" s="203" t="s">
        <v>126</v>
      </c>
      <c r="L261" s="204">
        <v>3</v>
      </c>
      <c r="M261" s="204">
        <v>0</v>
      </c>
      <c r="N261" s="286">
        <f>IF(OR(Tabelle132456891011121314151617[[#This Row],[Pulled after Start]]="yes",Tabelle132456891011121314151617[[#This Row],[Jira Story Points]]="-"),0,MIN(Tabelle132456891011121314151617[[#This Row],[Jira Story Points]],Tabelle132456891011121314151617[[#This Row],[Carry-over]]))</f>
        <v>3</v>
      </c>
      <c r="O261" s="210">
        <f>SUM(IF(ISBLANK(Tabelle132456891011121314151617[[#This Row],[Carry-over]]),Tabelle132456891011121314151617[[#This Row],[Jira Story Points]],Tabelle132456891011121314151617[[#This Row],[Carry-over]]),-Tabelle132456891011121314151617[[#This Row],[COsSP Initially Planned]])</f>
        <v>0</v>
      </c>
      <c r="P26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261" s="210">
        <f>IF(Tabelle132456891011121314151617[[#This Row],[Status]]=$J$5,Tabelle132456891011121314151617[[#This Row],[COsSP Initially Planned]]+Tabelle132456891011121314151617[[#This Row],[COsSP Pulled after Start]]-Tabelle132456891011121314151617[[#This Row],[CSOsSP Completed]],0)</f>
        <v>0</v>
      </c>
      <c r="R261" s="210">
        <f>Tabelle132456891011121314151617[[#This Row],[COsSP Initially Planned]]+Tabelle132456891011121314151617[[#This Row],[COsSP Pulled after Start]]-Tabelle132456891011121314151617[[#This Row],[CSOsSP Completed]]-Tabelle132456891011121314151617[[#This Row],[CSOsSP Removed]]</f>
        <v>0</v>
      </c>
      <c r="T261" s="201"/>
    </row>
    <row r="262" spans="1:20" ht="13.5" customHeight="1">
      <c r="A262" s="214"/>
      <c r="B262" s="47"/>
      <c r="C262" s="203"/>
      <c r="D262" s="203"/>
      <c r="E262" s="203"/>
      <c r="F262" s="204" t="s">
        <v>210</v>
      </c>
      <c r="G262" s="203" t="s">
        <v>32</v>
      </c>
      <c r="H262" s="205"/>
      <c r="I262" s="206"/>
      <c r="J262" s="1" t="s">
        <v>181</v>
      </c>
      <c r="K262" s="203" t="s">
        <v>126</v>
      </c>
      <c r="L262" s="204">
        <v>3</v>
      </c>
      <c r="M262" s="204">
        <v>0</v>
      </c>
      <c r="N262" s="286">
        <f>IF(OR(Tabelle132456891011121314151617[[#This Row],[Pulled after Start]]="yes",Tabelle132456891011121314151617[[#This Row],[Jira Story Points]]="-"),0,MIN(Tabelle132456891011121314151617[[#This Row],[Jira Story Points]],Tabelle132456891011121314151617[[#This Row],[Carry-over]]))</f>
        <v>0</v>
      </c>
      <c r="O262" s="210">
        <f>SUM(IF(ISBLANK(Tabelle132456891011121314151617[[#This Row],[Carry-over]]),Tabelle132456891011121314151617[[#This Row],[Jira Story Points]],Tabelle132456891011121314151617[[#This Row],[Carry-over]]),-Tabelle132456891011121314151617[[#This Row],[COsSP Initially Planned]])</f>
        <v>3</v>
      </c>
      <c r="P26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262" s="210">
        <f>IF(Tabelle132456891011121314151617[[#This Row],[Status]]=$J$5,Tabelle132456891011121314151617[[#This Row],[COsSP Initially Planned]]+Tabelle132456891011121314151617[[#This Row],[COsSP Pulled after Start]]-Tabelle132456891011121314151617[[#This Row],[CSOsSP Completed]],0)</f>
        <v>0</v>
      </c>
      <c r="R262" s="210">
        <f>Tabelle132456891011121314151617[[#This Row],[COsSP Initially Planned]]+Tabelle132456891011121314151617[[#This Row],[COsSP Pulled after Start]]-Tabelle132456891011121314151617[[#This Row],[CSOsSP Completed]]-Tabelle132456891011121314151617[[#This Row],[CSOsSP Removed]]</f>
        <v>0</v>
      </c>
      <c r="T262" s="201"/>
    </row>
    <row r="263" spans="1:20" ht="13.5" customHeight="1">
      <c r="A263" s="214"/>
      <c r="B263" s="47"/>
      <c r="C263" s="203"/>
      <c r="D263" s="203"/>
      <c r="E263" s="203"/>
      <c r="F263" s="204">
        <v>5</v>
      </c>
      <c r="G263" s="203" t="s">
        <v>32</v>
      </c>
      <c r="H263" s="205"/>
      <c r="I263" s="206"/>
      <c r="J263" s="1" t="s">
        <v>178</v>
      </c>
      <c r="K263" s="203" t="s">
        <v>126</v>
      </c>
      <c r="L263" s="204">
        <v>8</v>
      </c>
      <c r="M263" s="204">
        <v>0</v>
      </c>
      <c r="N263" s="286">
        <f>IF(OR(Tabelle132456891011121314151617[[#This Row],[Pulled after Start]]="yes",Tabelle132456891011121314151617[[#This Row],[Jira Story Points]]="-"),0,MIN(Tabelle132456891011121314151617[[#This Row],[Jira Story Points]],Tabelle132456891011121314151617[[#This Row],[Carry-over]]))</f>
        <v>5</v>
      </c>
      <c r="O263" s="210">
        <f>SUM(IF(ISBLANK(Tabelle132456891011121314151617[[#This Row],[Carry-over]]),Tabelle132456891011121314151617[[#This Row],[Jira Story Points]],Tabelle132456891011121314151617[[#This Row],[Carry-over]]),-Tabelle132456891011121314151617[[#This Row],[COsSP Initially Planned]])</f>
        <v>3</v>
      </c>
      <c r="P26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263" s="210">
        <f>IF(Tabelle132456891011121314151617[[#This Row],[Status]]=$J$5,Tabelle132456891011121314151617[[#This Row],[COsSP Initially Planned]]+Tabelle132456891011121314151617[[#This Row],[COsSP Pulled after Start]]-Tabelle132456891011121314151617[[#This Row],[CSOsSP Completed]],0)</f>
        <v>0</v>
      </c>
      <c r="R263" s="210">
        <f>Tabelle132456891011121314151617[[#This Row],[COsSP Initially Planned]]+Tabelle132456891011121314151617[[#This Row],[COsSP Pulled after Start]]-Tabelle132456891011121314151617[[#This Row],[CSOsSP Completed]]-Tabelle132456891011121314151617[[#This Row],[CSOsSP Removed]]</f>
        <v>0</v>
      </c>
      <c r="T263" s="201"/>
    </row>
    <row r="264" spans="1:20" ht="13.5" customHeight="1">
      <c r="A264" s="214"/>
      <c r="B264" s="47"/>
      <c r="C264" s="203"/>
      <c r="D264" s="203"/>
      <c r="E264" s="203"/>
      <c r="F264" s="204">
        <v>13</v>
      </c>
      <c r="G264" s="203" t="s">
        <v>12</v>
      </c>
      <c r="H264" s="205"/>
      <c r="I264" s="206"/>
      <c r="J264" s="1" t="s">
        <v>184</v>
      </c>
      <c r="K264" s="203" t="s">
        <v>126</v>
      </c>
      <c r="L264" s="204">
        <v>8</v>
      </c>
      <c r="M264" s="204">
        <v>0</v>
      </c>
      <c r="N264" s="286">
        <f>IF(OR(Tabelle132456891011121314151617[[#This Row],[Pulled after Start]]="yes",Tabelle132456891011121314151617[[#This Row],[Jira Story Points]]="-"),0,MIN(Tabelle132456891011121314151617[[#This Row],[Jira Story Points]],Tabelle132456891011121314151617[[#This Row],[Carry-over]]))</f>
        <v>8</v>
      </c>
      <c r="O264" s="210">
        <f>SUM(IF(ISBLANK(Tabelle132456891011121314151617[[#This Row],[Carry-over]]),Tabelle132456891011121314151617[[#This Row],[Jira Story Points]],Tabelle132456891011121314151617[[#This Row],[Carry-over]]),-Tabelle132456891011121314151617[[#This Row],[COsSP Initially Planned]])</f>
        <v>0</v>
      </c>
      <c r="P26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264" s="210">
        <f>IF(Tabelle132456891011121314151617[[#This Row],[Status]]=$J$5,Tabelle132456891011121314151617[[#This Row],[COsSP Initially Planned]]+Tabelle132456891011121314151617[[#This Row],[COsSP Pulled after Start]]-Tabelle132456891011121314151617[[#This Row],[CSOsSP Completed]],0)</f>
        <v>0</v>
      </c>
      <c r="R264" s="210">
        <f>Tabelle132456891011121314151617[[#This Row],[COsSP Initially Planned]]+Tabelle132456891011121314151617[[#This Row],[COsSP Pulled after Start]]-Tabelle132456891011121314151617[[#This Row],[CSOsSP Completed]]-Tabelle132456891011121314151617[[#This Row],[CSOsSP Removed]]</f>
        <v>0</v>
      </c>
      <c r="T264" s="201"/>
    </row>
    <row r="265" spans="1:20" ht="13.5" customHeight="1">
      <c r="A265" s="214"/>
      <c r="B265" s="47"/>
      <c r="C265" s="203"/>
      <c r="D265" s="203"/>
      <c r="E265" s="203"/>
      <c r="F265" s="204" t="s">
        <v>210</v>
      </c>
      <c r="G265" s="203" t="s">
        <v>9</v>
      </c>
      <c r="H265" s="205"/>
      <c r="I265" s="206"/>
      <c r="J265" s="1" t="s">
        <v>181</v>
      </c>
      <c r="K265" s="203" t="s">
        <v>126</v>
      </c>
      <c r="L265" s="204">
        <v>8</v>
      </c>
      <c r="M265" s="204">
        <v>0</v>
      </c>
      <c r="N265" s="286">
        <f>IF(OR(Tabelle132456891011121314151617[[#This Row],[Pulled after Start]]="yes",Tabelle132456891011121314151617[[#This Row],[Jira Story Points]]="-"),0,MIN(Tabelle132456891011121314151617[[#This Row],[Jira Story Points]],Tabelle132456891011121314151617[[#This Row],[Carry-over]]))</f>
        <v>0</v>
      </c>
      <c r="O265" s="210">
        <f>SUM(IF(ISBLANK(Tabelle132456891011121314151617[[#This Row],[Carry-over]]),Tabelle132456891011121314151617[[#This Row],[Jira Story Points]],Tabelle132456891011121314151617[[#This Row],[Carry-over]]),-Tabelle132456891011121314151617[[#This Row],[COsSP Initially Planned]])</f>
        <v>8</v>
      </c>
      <c r="P26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8</v>
      </c>
      <c r="Q265" s="210">
        <f>IF(Tabelle132456891011121314151617[[#This Row],[Status]]=$J$5,Tabelle132456891011121314151617[[#This Row],[COsSP Initially Planned]]+Tabelle132456891011121314151617[[#This Row],[COsSP Pulled after Start]]-Tabelle132456891011121314151617[[#This Row],[CSOsSP Completed]],0)</f>
        <v>0</v>
      </c>
      <c r="R265" s="210">
        <f>Tabelle132456891011121314151617[[#This Row],[COsSP Initially Planned]]+Tabelle132456891011121314151617[[#This Row],[COsSP Pulled after Start]]-Tabelle132456891011121314151617[[#This Row],[CSOsSP Completed]]-Tabelle132456891011121314151617[[#This Row],[CSOsSP Removed]]</f>
        <v>0</v>
      </c>
      <c r="T265" s="201"/>
    </row>
    <row r="266" spans="1:20" ht="13.5" customHeight="1">
      <c r="A266" s="214"/>
      <c r="B266" s="47"/>
      <c r="C266" s="203"/>
      <c r="D266" s="203"/>
      <c r="E266" s="203"/>
      <c r="F266" s="204">
        <v>5</v>
      </c>
      <c r="G266" s="203" t="s">
        <v>107</v>
      </c>
      <c r="H266" s="205"/>
      <c r="I266" s="206"/>
      <c r="J266" s="1" t="s">
        <v>176</v>
      </c>
      <c r="K266" s="203" t="s">
        <v>126</v>
      </c>
      <c r="L266" s="204">
        <v>21</v>
      </c>
      <c r="M266" s="204">
        <v>0</v>
      </c>
      <c r="N266" s="286">
        <f>IF(OR(Tabelle132456891011121314151617[[#This Row],[Pulled after Start]]="yes",Tabelle132456891011121314151617[[#This Row],[Jira Story Points]]="-"),0,MIN(Tabelle132456891011121314151617[[#This Row],[Jira Story Points]],Tabelle132456891011121314151617[[#This Row],[Carry-over]]))</f>
        <v>5</v>
      </c>
      <c r="O266" s="210">
        <f>SUM(IF(ISBLANK(Tabelle132456891011121314151617[[#This Row],[Carry-over]]),Tabelle132456891011121314151617[[#This Row],[Jira Story Points]],Tabelle132456891011121314151617[[#This Row],[Carry-over]]),-Tabelle132456891011121314151617[[#This Row],[COsSP Initially Planned]])</f>
        <v>16</v>
      </c>
      <c r="P26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266" s="210">
        <f>IF(Tabelle132456891011121314151617[[#This Row],[Status]]=$J$5,Tabelle132456891011121314151617[[#This Row],[COsSP Initially Planned]]+Tabelle132456891011121314151617[[#This Row],[COsSP Pulled after Start]]-Tabelle132456891011121314151617[[#This Row],[CSOsSP Completed]],0)</f>
        <v>0</v>
      </c>
      <c r="R266" s="210">
        <f>Tabelle132456891011121314151617[[#This Row],[COsSP Initially Planned]]+Tabelle132456891011121314151617[[#This Row],[COsSP Pulled after Start]]-Tabelle132456891011121314151617[[#This Row],[CSOsSP Completed]]-Tabelle132456891011121314151617[[#This Row],[CSOsSP Removed]]</f>
        <v>0</v>
      </c>
      <c r="T266" s="201"/>
    </row>
    <row r="267" spans="1:20" ht="13.5" customHeight="1">
      <c r="A267" s="214"/>
      <c r="B267" s="47"/>
      <c r="C267" s="203"/>
      <c r="D267" s="203"/>
      <c r="E267" s="203"/>
      <c r="F267" s="204">
        <v>13</v>
      </c>
      <c r="G267" s="203" t="s">
        <v>32</v>
      </c>
      <c r="H267" s="205"/>
      <c r="I267" s="206"/>
      <c r="J267" s="1" t="s">
        <v>175</v>
      </c>
      <c r="K267" s="203" t="s">
        <v>126</v>
      </c>
      <c r="L267" s="204">
        <v>21</v>
      </c>
      <c r="M267" s="204">
        <v>0</v>
      </c>
      <c r="N267" s="286">
        <f>IF(OR(Tabelle132456891011121314151617[[#This Row],[Pulled after Start]]="yes",Tabelle132456891011121314151617[[#This Row],[Jira Story Points]]="-"),0,MIN(Tabelle132456891011121314151617[[#This Row],[Jira Story Points]],Tabelle132456891011121314151617[[#This Row],[Carry-over]]))</f>
        <v>13</v>
      </c>
      <c r="O267" s="210">
        <f>SUM(IF(ISBLANK(Tabelle132456891011121314151617[[#This Row],[Carry-over]]),Tabelle132456891011121314151617[[#This Row],[Jira Story Points]],Tabelle132456891011121314151617[[#This Row],[Carry-over]]),-Tabelle132456891011121314151617[[#This Row],[COsSP Initially Planned]])</f>
        <v>8</v>
      </c>
      <c r="P26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267" s="210">
        <f>IF(Tabelle132456891011121314151617[[#This Row],[Status]]=$J$5,Tabelle132456891011121314151617[[#This Row],[COsSP Initially Planned]]+Tabelle132456891011121314151617[[#This Row],[COsSP Pulled after Start]]-Tabelle132456891011121314151617[[#This Row],[CSOsSP Completed]],0)</f>
        <v>0</v>
      </c>
      <c r="R267" s="210">
        <f>Tabelle132456891011121314151617[[#This Row],[COsSP Initially Planned]]+Tabelle132456891011121314151617[[#This Row],[COsSP Pulled after Start]]-Tabelle132456891011121314151617[[#This Row],[CSOsSP Completed]]-Tabelle132456891011121314151617[[#This Row],[CSOsSP Removed]]</f>
        <v>0</v>
      </c>
      <c r="T267" s="201"/>
    </row>
    <row r="268" spans="1:20" ht="13.5" customHeight="1">
      <c r="A268" s="214"/>
      <c r="B268" s="47"/>
      <c r="C268" s="203"/>
      <c r="D268" s="203"/>
      <c r="E268" s="203"/>
      <c r="F268" s="204" t="s">
        <v>210</v>
      </c>
      <c r="G268" s="203" t="s">
        <v>32</v>
      </c>
      <c r="H268" s="205"/>
      <c r="I268" s="206"/>
      <c r="J268" s="1" t="s">
        <v>180</v>
      </c>
      <c r="K268" s="203" t="s">
        <v>126</v>
      </c>
      <c r="L268" s="204">
        <v>21</v>
      </c>
      <c r="M268" s="204">
        <v>0</v>
      </c>
      <c r="N268" s="286">
        <f>IF(OR(Tabelle132456891011121314151617[[#This Row],[Pulled after Start]]="yes",Tabelle132456891011121314151617[[#This Row],[Jira Story Points]]="-"),0,MIN(Tabelle132456891011121314151617[[#This Row],[Jira Story Points]],Tabelle132456891011121314151617[[#This Row],[Carry-over]]))</f>
        <v>0</v>
      </c>
      <c r="O268" s="210">
        <f>SUM(IF(ISBLANK(Tabelle132456891011121314151617[[#This Row],[Carry-over]]),Tabelle132456891011121314151617[[#This Row],[Jira Story Points]],Tabelle132456891011121314151617[[#This Row],[Carry-over]]),-Tabelle132456891011121314151617[[#This Row],[COsSP Initially Planned]])</f>
        <v>21</v>
      </c>
      <c r="P26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21</v>
      </c>
      <c r="Q268" s="210">
        <f>IF(Tabelle132456891011121314151617[[#This Row],[Status]]=$J$5,Tabelle132456891011121314151617[[#This Row],[COsSP Initially Planned]]+Tabelle132456891011121314151617[[#This Row],[COsSP Pulled after Start]]-Tabelle132456891011121314151617[[#This Row],[CSOsSP Completed]],0)</f>
        <v>0</v>
      </c>
      <c r="R268" s="210">
        <f>Tabelle132456891011121314151617[[#This Row],[COsSP Initially Planned]]+Tabelle132456891011121314151617[[#This Row],[COsSP Pulled after Start]]-Tabelle132456891011121314151617[[#This Row],[CSOsSP Completed]]-Tabelle132456891011121314151617[[#This Row],[CSOsSP Removed]]</f>
        <v>0</v>
      </c>
      <c r="T268" s="201"/>
    </row>
    <row r="269" spans="1:20" ht="13.5" customHeight="1">
      <c r="A269" s="214"/>
      <c r="B269" s="47"/>
      <c r="C269" s="203"/>
      <c r="D269" s="203"/>
      <c r="E269" s="203"/>
      <c r="F269" s="204">
        <v>5</v>
      </c>
      <c r="G269" s="203" t="s">
        <v>107</v>
      </c>
      <c r="H269" s="205"/>
      <c r="I269" s="206"/>
      <c r="J269" s="1" t="s">
        <v>181</v>
      </c>
      <c r="K269" s="203" t="s">
        <v>126</v>
      </c>
      <c r="L269" s="204"/>
      <c r="M269" s="204">
        <v>0</v>
      </c>
      <c r="N269" s="286">
        <f>IF(OR(Tabelle132456891011121314151617[[#This Row],[Pulled after Start]]="yes",Tabelle132456891011121314151617[[#This Row],[Jira Story Points]]="-"),0,MIN(Tabelle132456891011121314151617[[#This Row],[Jira Story Points]],Tabelle132456891011121314151617[[#This Row],[Carry-over]]))</f>
        <v>5</v>
      </c>
      <c r="O269" s="210">
        <f>SUM(IF(ISBLANK(Tabelle132456891011121314151617[[#This Row],[Carry-over]]),Tabelle132456891011121314151617[[#This Row],[Jira Story Points]],Tabelle132456891011121314151617[[#This Row],[Carry-over]]),-Tabelle132456891011121314151617[[#This Row],[COsSP Initially Planned]])</f>
        <v>0</v>
      </c>
      <c r="P26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5</v>
      </c>
      <c r="Q269" s="210">
        <f>IF(Tabelle132456891011121314151617[[#This Row],[Status]]=$J$5,Tabelle132456891011121314151617[[#This Row],[COsSP Initially Planned]]+Tabelle132456891011121314151617[[#This Row],[COsSP Pulled after Start]]-Tabelle132456891011121314151617[[#This Row],[CSOsSP Completed]],0)</f>
        <v>0</v>
      </c>
      <c r="R269" s="210">
        <f>Tabelle132456891011121314151617[[#This Row],[COsSP Initially Planned]]+Tabelle132456891011121314151617[[#This Row],[COsSP Pulled after Start]]-Tabelle132456891011121314151617[[#This Row],[CSOsSP Completed]]-Tabelle132456891011121314151617[[#This Row],[CSOsSP Removed]]</f>
        <v>0</v>
      </c>
      <c r="T269" s="201"/>
    </row>
    <row r="270" spans="1:20" ht="13.5" customHeight="1">
      <c r="A270" s="214"/>
      <c r="B270" s="47"/>
      <c r="C270" s="203"/>
      <c r="D270" s="203"/>
      <c r="E270" s="203"/>
      <c r="F270" s="204">
        <v>13</v>
      </c>
      <c r="G270" s="203" t="s">
        <v>32</v>
      </c>
      <c r="H270" s="205"/>
      <c r="I270" s="206"/>
      <c r="J270" s="1" t="s">
        <v>182</v>
      </c>
      <c r="K270" s="203" t="s">
        <v>126</v>
      </c>
      <c r="L270" s="204"/>
      <c r="M270" s="204">
        <v>0</v>
      </c>
      <c r="N270" s="286">
        <f>IF(OR(Tabelle132456891011121314151617[[#This Row],[Pulled after Start]]="yes",Tabelle132456891011121314151617[[#This Row],[Jira Story Points]]="-"),0,MIN(Tabelle132456891011121314151617[[#This Row],[Jira Story Points]],Tabelle132456891011121314151617[[#This Row],[Carry-over]]))</f>
        <v>13</v>
      </c>
      <c r="O270" s="210">
        <f>SUM(IF(ISBLANK(Tabelle132456891011121314151617[[#This Row],[Carry-over]]),Tabelle132456891011121314151617[[#This Row],[Jira Story Points]],Tabelle132456891011121314151617[[#This Row],[Carry-over]]),-Tabelle132456891011121314151617[[#This Row],[COsSP Initially Planned]])</f>
        <v>0</v>
      </c>
      <c r="P27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13</v>
      </c>
      <c r="Q270" s="210">
        <f>IF(Tabelle132456891011121314151617[[#This Row],[Status]]=$J$5,Tabelle132456891011121314151617[[#This Row],[COsSP Initially Planned]]+Tabelle132456891011121314151617[[#This Row],[COsSP Pulled after Start]]-Tabelle132456891011121314151617[[#This Row],[CSOsSP Completed]],0)</f>
        <v>0</v>
      </c>
      <c r="R270" s="210">
        <f>Tabelle132456891011121314151617[[#This Row],[COsSP Initially Planned]]+Tabelle132456891011121314151617[[#This Row],[COsSP Pulled after Start]]-Tabelle132456891011121314151617[[#This Row],[CSOsSP Completed]]-Tabelle132456891011121314151617[[#This Row],[CSOsSP Removed]]</f>
        <v>0</v>
      </c>
      <c r="T270" s="201"/>
    </row>
    <row r="271" spans="1:20" ht="13.5" customHeight="1">
      <c r="A271" s="214"/>
      <c r="B271" s="47"/>
      <c r="C271" s="203"/>
      <c r="D271" s="203"/>
      <c r="E271" s="203"/>
      <c r="F271" s="204" t="s">
        <v>210</v>
      </c>
      <c r="G271" s="203" t="s">
        <v>32</v>
      </c>
      <c r="H271" s="205"/>
      <c r="I271" s="206"/>
      <c r="J271" s="1" t="s">
        <v>177</v>
      </c>
      <c r="K271" s="203" t="s">
        <v>126</v>
      </c>
      <c r="L271" s="204"/>
      <c r="M271" s="204">
        <v>0</v>
      </c>
      <c r="N271" s="286">
        <f>IF(OR(Tabelle132456891011121314151617[[#This Row],[Pulled after Start]]="yes",Tabelle132456891011121314151617[[#This Row],[Jira Story Points]]="-"),0,MIN(Tabelle132456891011121314151617[[#This Row],[Jira Story Points]],Tabelle132456891011121314151617[[#This Row],[Carry-over]]))</f>
        <v>0</v>
      </c>
      <c r="O271" s="210">
        <f>SUM(IF(ISBLANK(Tabelle132456891011121314151617[[#This Row],[Carry-over]]),Tabelle132456891011121314151617[[#This Row],[Jira Story Points]],Tabelle132456891011121314151617[[#This Row],[Carry-over]]),-Tabelle132456891011121314151617[[#This Row],[COsSP Initially Planned]])</f>
        <v>0</v>
      </c>
      <c r="P27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71" s="210">
        <f>IF(Tabelle132456891011121314151617[[#This Row],[Status]]=$J$5,Tabelle132456891011121314151617[[#This Row],[COsSP Initially Planned]]+Tabelle132456891011121314151617[[#This Row],[COsSP Pulled after Start]]-Tabelle132456891011121314151617[[#This Row],[CSOsSP Completed]],0)</f>
        <v>0</v>
      </c>
      <c r="R271" s="210">
        <f>Tabelle132456891011121314151617[[#This Row],[COsSP Initially Planned]]+Tabelle132456891011121314151617[[#This Row],[COsSP Pulled after Start]]-Tabelle132456891011121314151617[[#This Row],[CSOsSP Completed]]-Tabelle132456891011121314151617[[#This Row],[CSOsSP Removed]]</f>
        <v>0</v>
      </c>
      <c r="T271" s="201"/>
    </row>
    <row r="272" spans="1:20" ht="13.5" customHeight="1">
      <c r="A272" s="214"/>
      <c r="B272" s="47"/>
      <c r="C272" s="203"/>
      <c r="D272" s="203"/>
      <c r="E272" s="203"/>
      <c r="F272" s="204">
        <v>5</v>
      </c>
      <c r="G272" s="203" t="s">
        <v>5</v>
      </c>
      <c r="H272" s="205"/>
      <c r="I272" s="206"/>
      <c r="J272" s="1" t="s">
        <v>180</v>
      </c>
      <c r="K272" s="203" t="s">
        <v>126</v>
      </c>
      <c r="L272" s="204">
        <v>0</v>
      </c>
      <c r="M272" s="204">
        <v>2</v>
      </c>
      <c r="N272" s="286">
        <f>IF(OR(Tabelle132456891011121314151617[[#This Row],[Pulled after Start]]="yes",Tabelle132456891011121314151617[[#This Row],[Jira Story Points]]="-"),0,MIN(Tabelle132456891011121314151617[[#This Row],[Jira Story Points]],Tabelle132456891011121314151617[[#This Row],[Carry-over]]))</f>
        <v>0</v>
      </c>
      <c r="O272" s="210">
        <f>SUM(IF(ISBLANK(Tabelle132456891011121314151617[[#This Row],[Carry-over]]),Tabelle132456891011121314151617[[#This Row],[Jira Story Points]],Tabelle132456891011121314151617[[#This Row],[Carry-over]]),-Tabelle132456891011121314151617[[#This Row],[COsSP Initially Planned]])</f>
        <v>0</v>
      </c>
      <c r="P27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v>
      </c>
      <c r="Q272" s="210">
        <f>IF(Tabelle132456891011121314151617[[#This Row],[Status]]=$J$5,Tabelle132456891011121314151617[[#This Row],[COsSP Initially Planned]]+Tabelle132456891011121314151617[[#This Row],[COsSP Pulled after Start]]-Tabelle132456891011121314151617[[#This Row],[CSOsSP Completed]],0)</f>
        <v>2</v>
      </c>
      <c r="R272" s="210">
        <f>Tabelle132456891011121314151617[[#This Row],[COsSP Initially Planned]]+Tabelle132456891011121314151617[[#This Row],[COsSP Pulled after Start]]-Tabelle132456891011121314151617[[#This Row],[CSOsSP Completed]]-Tabelle132456891011121314151617[[#This Row],[CSOsSP Removed]]</f>
        <v>0</v>
      </c>
      <c r="T272" s="201"/>
    </row>
    <row r="273" spans="1:20" ht="13.5" customHeight="1">
      <c r="A273" s="214"/>
      <c r="B273" s="47"/>
      <c r="C273" s="203"/>
      <c r="D273" s="203"/>
      <c r="E273" s="203"/>
      <c r="F273" s="204">
        <v>13</v>
      </c>
      <c r="G273" s="203" t="s">
        <v>35</v>
      </c>
      <c r="H273" s="205"/>
      <c r="I273" s="206"/>
      <c r="J273" s="1" t="s">
        <v>177</v>
      </c>
      <c r="K273" s="203" t="s">
        <v>126</v>
      </c>
      <c r="L273" s="204">
        <v>0</v>
      </c>
      <c r="M273" s="204">
        <v>2</v>
      </c>
      <c r="N273" s="286">
        <f>IF(OR(Tabelle132456891011121314151617[[#This Row],[Pulled after Start]]="yes",Tabelle132456891011121314151617[[#This Row],[Jira Story Points]]="-"),0,MIN(Tabelle132456891011121314151617[[#This Row],[Jira Story Points]],Tabelle132456891011121314151617[[#This Row],[Carry-over]]))</f>
        <v>0</v>
      </c>
      <c r="O273" s="210">
        <f>SUM(IF(ISBLANK(Tabelle132456891011121314151617[[#This Row],[Carry-over]]),Tabelle132456891011121314151617[[#This Row],[Jira Story Points]],Tabelle132456891011121314151617[[#This Row],[Carry-over]]),-Tabelle132456891011121314151617[[#This Row],[COsSP Initially Planned]])</f>
        <v>0</v>
      </c>
      <c r="P27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v>
      </c>
      <c r="Q273" s="210">
        <f>IF(Tabelle132456891011121314151617[[#This Row],[Status]]=$J$5,Tabelle132456891011121314151617[[#This Row],[COsSP Initially Planned]]+Tabelle132456891011121314151617[[#This Row],[COsSP Pulled after Start]]-Tabelle132456891011121314151617[[#This Row],[CSOsSP Completed]],0)</f>
        <v>2</v>
      </c>
      <c r="R273" s="210">
        <f>Tabelle132456891011121314151617[[#This Row],[COsSP Initially Planned]]+Tabelle132456891011121314151617[[#This Row],[COsSP Pulled after Start]]-Tabelle132456891011121314151617[[#This Row],[CSOsSP Completed]]-Tabelle132456891011121314151617[[#This Row],[CSOsSP Removed]]</f>
        <v>0</v>
      </c>
      <c r="T273" s="201"/>
    </row>
    <row r="274" spans="1:20" ht="13.5" customHeight="1">
      <c r="A274" s="214"/>
      <c r="B274" s="47"/>
      <c r="C274" s="203"/>
      <c r="D274" s="203"/>
      <c r="E274" s="203"/>
      <c r="F274" s="204" t="s">
        <v>210</v>
      </c>
      <c r="G274" s="203" t="s">
        <v>24</v>
      </c>
      <c r="H274" s="205"/>
      <c r="I274" s="206"/>
      <c r="J274" s="1" t="s">
        <v>182</v>
      </c>
      <c r="K274" s="203" t="s">
        <v>126</v>
      </c>
      <c r="L274" s="204">
        <v>0</v>
      </c>
      <c r="M274" s="204">
        <v>2</v>
      </c>
      <c r="N274" s="286">
        <f>IF(OR(Tabelle132456891011121314151617[[#This Row],[Pulled after Start]]="yes",Tabelle132456891011121314151617[[#This Row],[Jira Story Points]]="-"),0,MIN(Tabelle132456891011121314151617[[#This Row],[Jira Story Points]],Tabelle132456891011121314151617[[#This Row],[Carry-over]]))</f>
        <v>0</v>
      </c>
      <c r="O274" s="210">
        <f>SUM(IF(ISBLANK(Tabelle132456891011121314151617[[#This Row],[Carry-over]]),Tabelle132456891011121314151617[[#This Row],[Jira Story Points]],Tabelle132456891011121314151617[[#This Row],[Carry-over]]),-Tabelle132456891011121314151617[[#This Row],[COsSP Initially Planned]])</f>
        <v>0</v>
      </c>
      <c r="P27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v>
      </c>
      <c r="Q274" s="210">
        <f>IF(Tabelle132456891011121314151617[[#This Row],[Status]]=$J$5,Tabelle132456891011121314151617[[#This Row],[COsSP Initially Planned]]+Tabelle132456891011121314151617[[#This Row],[COsSP Pulled after Start]]-Tabelle132456891011121314151617[[#This Row],[CSOsSP Completed]],0)</f>
        <v>2</v>
      </c>
      <c r="R274" s="210">
        <f>Tabelle132456891011121314151617[[#This Row],[COsSP Initially Planned]]+Tabelle132456891011121314151617[[#This Row],[COsSP Pulled after Start]]-Tabelle132456891011121314151617[[#This Row],[CSOsSP Completed]]-Tabelle132456891011121314151617[[#This Row],[CSOsSP Removed]]</f>
        <v>0</v>
      </c>
      <c r="T274" s="201"/>
    </row>
    <row r="275" spans="1:20" ht="13.5" customHeight="1">
      <c r="A275" s="214"/>
      <c r="B275" s="47"/>
      <c r="C275" s="203"/>
      <c r="D275" s="203"/>
      <c r="E275" s="203"/>
      <c r="F275" s="204">
        <v>5</v>
      </c>
      <c r="G275" s="203" t="s">
        <v>21</v>
      </c>
      <c r="H275" s="205"/>
      <c r="I275" s="206"/>
      <c r="J275" s="1" t="s">
        <v>183</v>
      </c>
      <c r="K275" s="203" t="s">
        <v>126</v>
      </c>
      <c r="L275" s="204">
        <v>3</v>
      </c>
      <c r="M275" s="204">
        <v>2</v>
      </c>
      <c r="N275" s="286">
        <f>IF(OR(Tabelle132456891011121314151617[[#This Row],[Pulled after Start]]="yes",Tabelle132456891011121314151617[[#This Row],[Jira Story Points]]="-"),0,MIN(Tabelle132456891011121314151617[[#This Row],[Jira Story Points]],Tabelle132456891011121314151617[[#This Row],[Carry-over]]))</f>
        <v>3</v>
      </c>
      <c r="O275" s="210">
        <f>SUM(IF(ISBLANK(Tabelle132456891011121314151617[[#This Row],[Carry-over]]),Tabelle132456891011121314151617[[#This Row],[Jira Story Points]],Tabelle132456891011121314151617[[#This Row],[Carry-over]]),-Tabelle132456891011121314151617[[#This Row],[COsSP Initially Planned]])</f>
        <v>0</v>
      </c>
      <c r="P27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v>
      </c>
      <c r="Q275" s="210">
        <f>IF(Tabelle132456891011121314151617[[#This Row],[Status]]=$J$5,Tabelle132456891011121314151617[[#This Row],[COsSP Initially Planned]]+Tabelle132456891011121314151617[[#This Row],[COsSP Pulled after Start]]-Tabelle132456891011121314151617[[#This Row],[CSOsSP Completed]],0)</f>
        <v>2</v>
      </c>
      <c r="R275" s="210">
        <f>Tabelle132456891011121314151617[[#This Row],[COsSP Initially Planned]]+Tabelle132456891011121314151617[[#This Row],[COsSP Pulled after Start]]-Tabelle132456891011121314151617[[#This Row],[CSOsSP Completed]]-Tabelle132456891011121314151617[[#This Row],[CSOsSP Removed]]</f>
        <v>0</v>
      </c>
      <c r="T275" s="201"/>
    </row>
    <row r="276" spans="1:20" ht="13.5" customHeight="1">
      <c r="A276" s="214"/>
      <c r="B276" s="47"/>
      <c r="C276" s="203"/>
      <c r="D276" s="203"/>
      <c r="E276" s="203"/>
      <c r="F276" s="204">
        <v>13</v>
      </c>
      <c r="G276" s="203" t="s">
        <v>12</v>
      </c>
      <c r="H276" s="205"/>
      <c r="I276" s="206"/>
      <c r="J276" s="1" t="s">
        <v>176</v>
      </c>
      <c r="K276" s="203" t="s">
        <v>126</v>
      </c>
      <c r="L276" s="204">
        <v>3</v>
      </c>
      <c r="M276" s="204">
        <v>2</v>
      </c>
      <c r="N276" s="286">
        <f>IF(OR(Tabelle132456891011121314151617[[#This Row],[Pulled after Start]]="yes",Tabelle132456891011121314151617[[#This Row],[Jira Story Points]]="-"),0,MIN(Tabelle132456891011121314151617[[#This Row],[Jira Story Points]],Tabelle132456891011121314151617[[#This Row],[Carry-over]]))</f>
        <v>3</v>
      </c>
      <c r="O276" s="210">
        <f>SUM(IF(ISBLANK(Tabelle132456891011121314151617[[#This Row],[Carry-over]]),Tabelle132456891011121314151617[[#This Row],[Jira Story Points]],Tabelle132456891011121314151617[[#This Row],[Carry-over]]),-Tabelle132456891011121314151617[[#This Row],[COsSP Initially Planned]])</f>
        <v>0</v>
      </c>
      <c r="P27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v>
      </c>
      <c r="Q276" s="210">
        <f>IF(Tabelle132456891011121314151617[[#This Row],[Status]]=$J$5,Tabelle132456891011121314151617[[#This Row],[COsSP Initially Planned]]+Tabelle132456891011121314151617[[#This Row],[COsSP Pulled after Start]]-Tabelle132456891011121314151617[[#This Row],[CSOsSP Completed]],0)</f>
        <v>2</v>
      </c>
      <c r="R276" s="210">
        <f>Tabelle132456891011121314151617[[#This Row],[COsSP Initially Planned]]+Tabelle132456891011121314151617[[#This Row],[COsSP Pulled after Start]]-Tabelle132456891011121314151617[[#This Row],[CSOsSP Completed]]-Tabelle132456891011121314151617[[#This Row],[CSOsSP Removed]]</f>
        <v>0</v>
      </c>
      <c r="T276" s="201"/>
    </row>
    <row r="277" spans="1:20" ht="13.5" customHeight="1">
      <c r="A277" s="214"/>
      <c r="B277" s="47"/>
      <c r="C277" s="203"/>
      <c r="D277" s="203"/>
      <c r="E277" s="203"/>
      <c r="F277" s="204" t="s">
        <v>210</v>
      </c>
      <c r="G277" s="203" t="s">
        <v>24</v>
      </c>
      <c r="H277" s="205"/>
      <c r="I277" s="206"/>
      <c r="J277" s="1" t="s">
        <v>183</v>
      </c>
      <c r="K277" s="203" t="s">
        <v>126</v>
      </c>
      <c r="L277" s="204">
        <v>3</v>
      </c>
      <c r="M277" s="204">
        <v>2</v>
      </c>
      <c r="N277" s="286">
        <f>IF(OR(Tabelle132456891011121314151617[[#This Row],[Pulled after Start]]="yes",Tabelle132456891011121314151617[[#This Row],[Jira Story Points]]="-"),0,MIN(Tabelle132456891011121314151617[[#This Row],[Jira Story Points]],Tabelle132456891011121314151617[[#This Row],[Carry-over]]))</f>
        <v>0</v>
      </c>
      <c r="O277" s="210">
        <f>SUM(IF(ISBLANK(Tabelle132456891011121314151617[[#This Row],[Carry-over]]),Tabelle132456891011121314151617[[#This Row],[Jira Story Points]],Tabelle132456891011121314151617[[#This Row],[Carry-over]]),-Tabelle132456891011121314151617[[#This Row],[COsSP Initially Planned]])</f>
        <v>3</v>
      </c>
      <c r="P27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v>
      </c>
      <c r="Q277" s="210">
        <f>IF(Tabelle132456891011121314151617[[#This Row],[Status]]=$J$5,Tabelle132456891011121314151617[[#This Row],[COsSP Initially Planned]]+Tabelle132456891011121314151617[[#This Row],[COsSP Pulled after Start]]-Tabelle132456891011121314151617[[#This Row],[CSOsSP Completed]],0)</f>
        <v>2</v>
      </c>
      <c r="R277" s="210">
        <f>Tabelle132456891011121314151617[[#This Row],[COsSP Initially Planned]]+Tabelle132456891011121314151617[[#This Row],[COsSP Pulled after Start]]-Tabelle132456891011121314151617[[#This Row],[CSOsSP Completed]]-Tabelle132456891011121314151617[[#This Row],[CSOsSP Removed]]</f>
        <v>0</v>
      </c>
      <c r="T277" s="201"/>
    </row>
    <row r="278" spans="1:20" ht="13.5" customHeight="1">
      <c r="A278" s="214"/>
      <c r="B278" s="47"/>
      <c r="C278" s="203"/>
      <c r="D278" s="203"/>
      <c r="E278" s="203"/>
      <c r="F278" s="204">
        <v>5</v>
      </c>
      <c r="G278" s="203" t="s">
        <v>24</v>
      </c>
      <c r="H278" s="205"/>
      <c r="I278" s="206"/>
      <c r="J278" s="1" t="s">
        <v>177</v>
      </c>
      <c r="K278" s="203" t="s">
        <v>126</v>
      </c>
      <c r="L278" s="204">
        <v>8</v>
      </c>
      <c r="M278" s="204">
        <v>2</v>
      </c>
      <c r="N278" s="286">
        <f>IF(OR(Tabelle132456891011121314151617[[#This Row],[Pulled after Start]]="yes",Tabelle132456891011121314151617[[#This Row],[Jira Story Points]]="-"),0,MIN(Tabelle132456891011121314151617[[#This Row],[Jira Story Points]],Tabelle132456891011121314151617[[#This Row],[Carry-over]]))</f>
        <v>5</v>
      </c>
      <c r="O278" s="210">
        <f>SUM(IF(ISBLANK(Tabelle132456891011121314151617[[#This Row],[Carry-over]]),Tabelle132456891011121314151617[[#This Row],[Jira Story Points]],Tabelle132456891011121314151617[[#This Row],[Carry-over]]),-Tabelle132456891011121314151617[[#This Row],[COsSP Initially Planned]])</f>
        <v>3</v>
      </c>
      <c r="P27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6</v>
      </c>
      <c r="Q278" s="210">
        <f>IF(Tabelle132456891011121314151617[[#This Row],[Status]]=$J$5,Tabelle132456891011121314151617[[#This Row],[COsSP Initially Planned]]+Tabelle132456891011121314151617[[#This Row],[COsSP Pulled after Start]]-Tabelle132456891011121314151617[[#This Row],[CSOsSP Completed]],0)</f>
        <v>2</v>
      </c>
      <c r="R278" s="210">
        <f>Tabelle132456891011121314151617[[#This Row],[COsSP Initially Planned]]+Tabelle132456891011121314151617[[#This Row],[COsSP Pulled after Start]]-Tabelle132456891011121314151617[[#This Row],[CSOsSP Completed]]-Tabelle132456891011121314151617[[#This Row],[CSOsSP Removed]]</f>
        <v>0</v>
      </c>
      <c r="T278" s="201"/>
    </row>
    <row r="279" spans="1:20" ht="13.5" customHeight="1">
      <c r="A279" s="214"/>
      <c r="B279" s="47"/>
      <c r="C279" s="203"/>
      <c r="D279" s="203"/>
      <c r="E279" s="203"/>
      <c r="F279" s="204">
        <v>13</v>
      </c>
      <c r="G279" s="203" t="s">
        <v>35</v>
      </c>
      <c r="H279" s="205"/>
      <c r="I279" s="206"/>
      <c r="J279" s="1" t="s">
        <v>176</v>
      </c>
      <c r="K279" s="203" t="s">
        <v>126</v>
      </c>
      <c r="L279" s="204">
        <v>8</v>
      </c>
      <c r="M279" s="204">
        <v>2</v>
      </c>
      <c r="N279" s="286">
        <f>IF(OR(Tabelle132456891011121314151617[[#This Row],[Pulled after Start]]="yes",Tabelle132456891011121314151617[[#This Row],[Jira Story Points]]="-"),0,MIN(Tabelle132456891011121314151617[[#This Row],[Jira Story Points]],Tabelle132456891011121314151617[[#This Row],[Carry-over]]))</f>
        <v>8</v>
      </c>
      <c r="O279" s="210">
        <f>SUM(IF(ISBLANK(Tabelle132456891011121314151617[[#This Row],[Carry-over]]),Tabelle132456891011121314151617[[#This Row],[Jira Story Points]],Tabelle132456891011121314151617[[#This Row],[Carry-over]]),-Tabelle132456891011121314151617[[#This Row],[COsSP Initially Planned]])</f>
        <v>0</v>
      </c>
      <c r="P27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6</v>
      </c>
      <c r="Q279" s="210">
        <f>IF(Tabelle132456891011121314151617[[#This Row],[Status]]=$J$5,Tabelle132456891011121314151617[[#This Row],[COsSP Initially Planned]]+Tabelle132456891011121314151617[[#This Row],[COsSP Pulled after Start]]-Tabelle132456891011121314151617[[#This Row],[CSOsSP Completed]],0)</f>
        <v>2</v>
      </c>
      <c r="R279" s="210">
        <f>Tabelle132456891011121314151617[[#This Row],[COsSP Initially Planned]]+Tabelle132456891011121314151617[[#This Row],[COsSP Pulled after Start]]-Tabelle132456891011121314151617[[#This Row],[CSOsSP Completed]]-Tabelle132456891011121314151617[[#This Row],[CSOsSP Removed]]</f>
        <v>0</v>
      </c>
      <c r="T279" s="201"/>
    </row>
    <row r="280" spans="1:20" ht="13.5" customHeight="1">
      <c r="A280" s="214"/>
      <c r="B280" s="47"/>
      <c r="C280" s="203"/>
      <c r="D280" s="203"/>
      <c r="E280" s="203"/>
      <c r="F280" s="204" t="s">
        <v>210</v>
      </c>
      <c r="G280" s="203" t="s">
        <v>17</v>
      </c>
      <c r="H280" s="205"/>
      <c r="I280" s="206"/>
      <c r="J280" s="1" t="s">
        <v>175</v>
      </c>
      <c r="K280" s="203" t="s">
        <v>126</v>
      </c>
      <c r="L280" s="204">
        <v>8</v>
      </c>
      <c r="M280" s="204">
        <v>2</v>
      </c>
      <c r="N280" s="286">
        <f>IF(OR(Tabelle132456891011121314151617[[#This Row],[Pulled after Start]]="yes",Tabelle132456891011121314151617[[#This Row],[Jira Story Points]]="-"),0,MIN(Tabelle132456891011121314151617[[#This Row],[Jira Story Points]],Tabelle132456891011121314151617[[#This Row],[Carry-over]]))</f>
        <v>0</v>
      </c>
      <c r="O280" s="210">
        <f>SUM(IF(ISBLANK(Tabelle132456891011121314151617[[#This Row],[Carry-over]]),Tabelle132456891011121314151617[[#This Row],[Jira Story Points]],Tabelle132456891011121314151617[[#This Row],[Carry-over]]),-Tabelle132456891011121314151617[[#This Row],[COsSP Initially Planned]])</f>
        <v>8</v>
      </c>
      <c r="P28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6</v>
      </c>
      <c r="Q280" s="210">
        <f>IF(Tabelle132456891011121314151617[[#This Row],[Status]]=$J$5,Tabelle132456891011121314151617[[#This Row],[COsSP Initially Planned]]+Tabelle132456891011121314151617[[#This Row],[COsSP Pulled after Start]]-Tabelle132456891011121314151617[[#This Row],[CSOsSP Completed]],0)</f>
        <v>2</v>
      </c>
      <c r="R280" s="210">
        <f>Tabelle132456891011121314151617[[#This Row],[COsSP Initially Planned]]+Tabelle132456891011121314151617[[#This Row],[COsSP Pulled after Start]]-Tabelle132456891011121314151617[[#This Row],[CSOsSP Completed]]-Tabelle132456891011121314151617[[#This Row],[CSOsSP Removed]]</f>
        <v>0</v>
      </c>
      <c r="T280" s="201"/>
    </row>
    <row r="281" spans="1:20" ht="13.5" customHeight="1">
      <c r="A281" s="214"/>
      <c r="B281" s="47"/>
      <c r="C281" s="203"/>
      <c r="D281" s="203"/>
      <c r="E281" s="203"/>
      <c r="F281" s="204">
        <v>5</v>
      </c>
      <c r="G281" s="203" t="s">
        <v>24</v>
      </c>
      <c r="H281" s="205"/>
      <c r="I281" s="206"/>
      <c r="J281" s="1" t="s">
        <v>181</v>
      </c>
      <c r="K281" s="203" t="s">
        <v>126</v>
      </c>
      <c r="L281" s="204">
        <v>21</v>
      </c>
      <c r="M281" s="204">
        <v>2</v>
      </c>
      <c r="N281" s="286">
        <f>IF(OR(Tabelle132456891011121314151617[[#This Row],[Pulled after Start]]="yes",Tabelle132456891011121314151617[[#This Row],[Jira Story Points]]="-"),0,MIN(Tabelle132456891011121314151617[[#This Row],[Jira Story Points]],Tabelle132456891011121314151617[[#This Row],[Carry-over]]))</f>
        <v>5</v>
      </c>
      <c r="O281" s="210">
        <f>SUM(IF(ISBLANK(Tabelle132456891011121314151617[[#This Row],[Carry-over]]),Tabelle132456891011121314151617[[#This Row],[Jira Story Points]],Tabelle132456891011121314151617[[#This Row],[Carry-over]]),-Tabelle132456891011121314151617[[#This Row],[COsSP Initially Planned]])</f>
        <v>16</v>
      </c>
      <c r="P28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19</v>
      </c>
      <c r="Q281" s="210">
        <f>IF(Tabelle132456891011121314151617[[#This Row],[Status]]=$J$5,Tabelle132456891011121314151617[[#This Row],[COsSP Initially Planned]]+Tabelle132456891011121314151617[[#This Row],[COsSP Pulled after Start]]-Tabelle132456891011121314151617[[#This Row],[CSOsSP Completed]],0)</f>
        <v>2</v>
      </c>
      <c r="R281" s="210">
        <f>Tabelle132456891011121314151617[[#This Row],[COsSP Initially Planned]]+Tabelle132456891011121314151617[[#This Row],[COsSP Pulled after Start]]-Tabelle132456891011121314151617[[#This Row],[CSOsSP Completed]]-Tabelle132456891011121314151617[[#This Row],[CSOsSP Removed]]</f>
        <v>0</v>
      </c>
      <c r="T281" s="201"/>
    </row>
    <row r="282" spans="1:20" ht="13.5" customHeight="1">
      <c r="A282" s="214"/>
      <c r="B282" s="47"/>
      <c r="C282" s="203"/>
      <c r="D282" s="203"/>
      <c r="E282" s="203"/>
      <c r="F282" s="204">
        <v>13</v>
      </c>
      <c r="G282" s="203" t="s">
        <v>107</v>
      </c>
      <c r="H282" s="205"/>
      <c r="I282" s="206"/>
      <c r="J282" s="1" t="s">
        <v>183</v>
      </c>
      <c r="K282" s="203" t="s">
        <v>126</v>
      </c>
      <c r="L282" s="204">
        <v>21</v>
      </c>
      <c r="M282" s="204">
        <v>2</v>
      </c>
      <c r="N282" s="286">
        <f>IF(OR(Tabelle132456891011121314151617[[#This Row],[Pulled after Start]]="yes",Tabelle132456891011121314151617[[#This Row],[Jira Story Points]]="-"),0,MIN(Tabelle132456891011121314151617[[#This Row],[Jira Story Points]],Tabelle132456891011121314151617[[#This Row],[Carry-over]]))</f>
        <v>13</v>
      </c>
      <c r="O282" s="210">
        <f>SUM(IF(ISBLANK(Tabelle132456891011121314151617[[#This Row],[Carry-over]]),Tabelle132456891011121314151617[[#This Row],[Jira Story Points]],Tabelle132456891011121314151617[[#This Row],[Carry-over]]),-Tabelle132456891011121314151617[[#This Row],[COsSP Initially Planned]])</f>
        <v>8</v>
      </c>
      <c r="P28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19</v>
      </c>
      <c r="Q282" s="210">
        <f>IF(Tabelle132456891011121314151617[[#This Row],[Status]]=$J$5,Tabelle132456891011121314151617[[#This Row],[COsSP Initially Planned]]+Tabelle132456891011121314151617[[#This Row],[COsSP Pulled after Start]]-Tabelle132456891011121314151617[[#This Row],[CSOsSP Completed]],0)</f>
        <v>2</v>
      </c>
      <c r="R282" s="210">
        <f>Tabelle132456891011121314151617[[#This Row],[COsSP Initially Planned]]+Tabelle132456891011121314151617[[#This Row],[COsSP Pulled after Start]]-Tabelle132456891011121314151617[[#This Row],[CSOsSP Completed]]-Tabelle132456891011121314151617[[#This Row],[CSOsSP Removed]]</f>
        <v>0</v>
      </c>
      <c r="T282" s="201"/>
    </row>
    <row r="283" spans="1:20" ht="13.5" customHeight="1">
      <c r="A283" s="214"/>
      <c r="B283" s="47"/>
      <c r="C283" s="203"/>
      <c r="D283" s="203"/>
      <c r="E283" s="203"/>
      <c r="F283" s="204" t="s">
        <v>210</v>
      </c>
      <c r="G283" s="203" t="s">
        <v>5</v>
      </c>
      <c r="H283" s="205"/>
      <c r="I283" s="206"/>
      <c r="J283" s="1" t="s">
        <v>182</v>
      </c>
      <c r="K283" s="203" t="s">
        <v>126</v>
      </c>
      <c r="L283" s="204">
        <v>21</v>
      </c>
      <c r="M283" s="204">
        <v>2</v>
      </c>
      <c r="N283" s="286">
        <f>IF(OR(Tabelle132456891011121314151617[[#This Row],[Pulled after Start]]="yes",Tabelle132456891011121314151617[[#This Row],[Jira Story Points]]="-"),0,MIN(Tabelle132456891011121314151617[[#This Row],[Jira Story Points]],Tabelle132456891011121314151617[[#This Row],[Carry-over]]))</f>
        <v>0</v>
      </c>
      <c r="O283" s="210">
        <f>SUM(IF(ISBLANK(Tabelle132456891011121314151617[[#This Row],[Carry-over]]),Tabelle132456891011121314151617[[#This Row],[Jira Story Points]],Tabelle132456891011121314151617[[#This Row],[Carry-over]]),-Tabelle132456891011121314151617[[#This Row],[COsSP Initially Planned]])</f>
        <v>21</v>
      </c>
      <c r="P28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19</v>
      </c>
      <c r="Q283" s="210">
        <f>IF(Tabelle132456891011121314151617[[#This Row],[Status]]=$J$5,Tabelle132456891011121314151617[[#This Row],[COsSP Initially Planned]]+Tabelle132456891011121314151617[[#This Row],[COsSP Pulled after Start]]-Tabelle132456891011121314151617[[#This Row],[CSOsSP Completed]],0)</f>
        <v>2</v>
      </c>
      <c r="R283" s="210">
        <f>Tabelle132456891011121314151617[[#This Row],[COsSP Initially Planned]]+Tabelle132456891011121314151617[[#This Row],[COsSP Pulled after Start]]-Tabelle132456891011121314151617[[#This Row],[CSOsSP Completed]]-Tabelle132456891011121314151617[[#This Row],[CSOsSP Removed]]</f>
        <v>0</v>
      </c>
      <c r="T283" s="201"/>
    </row>
    <row r="284" spans="1:20" ht="13.5" customHeight="1">
      <c r="A284" s="214"/>
      <c r="B284" s="47"/>
      <c r="C284" s="203"/>
      <c r="D284" s="203"/>
      <c r="E284" s="203"/>
      <c r="F284" s="204">
        <v>5</v>
      </c>
      <c r="G284" s="203" t="s">
        <v>17</v>
      </c>
      <c r="H284" s="205"/>
      <c r="I284" s="206"/>
      <c r="J284" s="1" t="s">
        <v>181</v>
      </c>
      <c r="K284" s="203" t="s">
        <v>126</v>
      </c>
      <c r="L284" s="204"/>
      <c r="M284" s="204">
        <v>2</v>
      </c>
      <c r="N284" s="286">
        <f>IF(OR(Tabelle132456891011121314151617[[#This Row],[Pulled after Start]]="yes",Tabelle132456891011121314151617[[#This Row],[Jira Story Points]]="-"),0,MIN(Tabelle132456891011121314151617[[#This Row],[Jira Story Points]],Tabelle132456891011121314151617[[#This Row],[Carry-over]]))</f>
        <v>5</v>
      </c>
      <c r="O284" s="210">
        <f>SUM(IF(ISBLANK(Tabelle132456891011121314151617[[#This Row],[Carry-over]]),Tabelle132456891011121314151617[[#This Row],[Jira Story Points]],Tabelle132456891011121314151617[[#This Row],[Carry-over]]),-Tabelle132456891011121314151617[[#This Row],[COsSP Initially Planned]])</f>
        <v>0</v>
      </c>
      <c r="P28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3</v>
      </c>
      <c r="Q284" s="210">
        <f>IF(Tabelle132456891011121314151617[[#This Row],[Status]]=$J$5,Tabelle132456891011121314151617[[#This Row],[COsSP Initially Planned]]+Tabelle132456891011121314151617[[#This Row],[COsSP Pulled after Start]]-Tabelle132456891011121314151617[[#This Row],[CSOsSP Completed]],0)</f>
        <v>2</v>
      </c>
      <c r="R284" s="210">
        <f>Tabelle132456891011121314151617[[#This Row],[COsSP Initially Planned]]+Tabelle132456891011121314151617[[#This Row],[COsSP Pulled after Start]]-Tabelle132456891011121314151617[[#This Row],[CSOsSP Completed]]-Tabelle132456891011121314151617[[#This Row],[CSOsSP Removed]]</f>
        <v>0</v>
      </c>
      <c r="T284" s="201"/>
    </row>
    <row r="285" spans="1:20" ht="13.5" customHeight="1">
      <c r="A285" s="214"/>
      <c r="B285" s="47"/>
      <c r="C285" s="203"/>
      <c r="D285" s="203"/>
      <c r="E285" s="203"/>
      <c r="F285" s="204">
        <v>13</v>
      </c>
      <c r="G285" s="203" t="s">
        <v>5</v>
      </c>
      <c r="H285" s="205"/>
      <c r="I285" s="206"/>
      <c r="J285" s="1" t="s">
        <v>176</v>
      </c>
      <c r="K285" s="203" t="s">
        <v>126</v>
      </c>
      <c r="L285" s="204"/>
      <c r="M285" s="204">
        <v>2</v>
      </c>
      <c r="N285" s="286">
        <f>IF(OR(Tabelle132456891011121314151617[[#This Row],[Pulled after Start]]="yes",Tabelle132456891011121314151617[[#This Row],[Jira Story Points]]="-"),0,MIN(Tabelle132456891011121314151617[[#This Row],[Jira Story Points]],Tabelle132456891011121314151617[[#This Row],[Carry-over]]))</f>
        <v>13</v>
      </c>
      <c r="O285" s="210">
        <f>SUM(IF(ISBLANK(Tabelle132456891011121314151617[[#This Row],[Carry-over]]),Tabelle132456891011121314151617[[#This Row],[Jira Story Points]],Tabelle132456891011121314151617[[#This Row],[Carry-over]]),-Tabelle132456891011121314151617[[#This Row],[COsSP Initially Planned]])</f>
        <v>0</v>
      </c>
      <c r="P28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11</v>
      </c>
      <c r="Q285" s="210">
        <f>IF(Tabelle132456891011121314151617[[#This Row],[Status]]=$J$5,Tabelle132456891011121314151617[[#This Row],[COsSP Initially Planned]]+Tabelle132456891011121314151617[[#This Row],[COsSP Pulled after Start]]-Tabelle132456891011121314151617[[#This Row],[CSOsSP Completed]],0)</f>
        <v>2</v>
      </c>
      <c r="R285" s="210">
        <f>Tabelle132456891011121314151617[[#This Row],[COsSP Initially Planned]]+Tabelle132456891011121314151617[[#This Row],[COsSP Pulled after Start]]-Tabelle132456891011121314151617[[#This Row],[CSOsSP Completed]]-Tabelle132456891011121314151617[[#This Row],[CSOsSP Removed]]</f>
        <v>0</v>
      </c>
      <c r="T285" s="201"/>
    </row>
    <row r="286" spans="1:20" ht="13.5" customHeight="1">
      <c r="A286" s="214"/>
      <c r="B286" s="47"/>
      <c r="C286" s="203"/>
      <c r="D286" s="203"/>
      <c r="E286" s="203"/>
      <c r="F286" s="204" t="s">
        <v>210</v>
      </c>
      <c r="G286" s="203" t="s">
        <v>32</v>
      </c>
      <c r="H286" s="205"/>
      <c r="I286" s="206"/>
      <c r="J286" s="1" t="s">
        <v>176</v>
      </c>
      <c r="K286" s="203" t="s">
        <v>126</v>
      </c>
      <c r="L286" s="204"/>
      <c r="M286" s="204">
        <v>2</v>
      </c>
      <c r="N286" s="286">
        <f>IF(OR(Tabelle132456891011121314151617[[#This Row],[Pulled after Start]]="yes",Tabelle132456891011121314151617[[#This Row],[Jira Story Points]]="-"),0,MIN(Tabelle132456891011121314151617[[#This Row],[Jira Story Points]],Tabelle132456891011121314151617[[#This Row],[Carry-over]]))</f>
        <v>0</v>
      </c>
      <c r="O286" s="210">
        <f>SUM(IF(ISBLANK(Tabelle132456891011121314151617[[#This Row],[Carry-over]]),Tabelle132456891011121314151617[[#This Row],[Jira Story Points]],Tabelle132456891011121314151617[[#This Row],[Carry-over]]),-Tabelle132456891011121314151617[[#This Row],[COsSP Initially Planned]])</f>
        <v>0</v>
      </c>
      <c r="P28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-2</v>
      </c>
      <c r="Q286" s="210">
        <f>IF(Tabelle132456891011121314151617[[#This Row],[Status]]=$J$5,Tabelle132456891011121314151617[[#This Row],[COsSP Initially Planned]]+Tabelle132456891011121314151617[[#This Row],[COsSP Pulled after Start]]-Tabelle132456891011121314151617[[#This Row],[CSOsSP Completed]],0)</f>
        <v>2</v>
      </c>
      <c r="R286" s="210">
        <f>Tabelle132456891011121314151617[[#This Row],[COsSP Initially Planned]]+Tabelle132456891011121314151617[[#This Row],[COsSP Pulled after Start]]-Tabelle132456891011121314151617[[#This Row],[CSOsSP Completed]]-Tabelle132456891011121314151617[[#This Row],[CSOsSP Removed]]</f>
        <v>0</v>
      </c>
      <c r="T286" s="201"/>
    </row>
    <row r="287" spans="1:20" ht="13.5" customHeight="1">
      <c r="A287" s="214"/>
      <c r="B287" s="47"/>
      <c r="C287" s="203"/>
      <c r="D287" s="203"/>
      <c r="E287" s="203"/>
      <c r="F287" s="204">
        <v>5</v>
      </c>
      <c r="G287" s="203" t="s">
        <v>5</v>
      </c>
      <c r="H287" s="205"/>
      <c r="I287" s="206"/>
      <c r="J287" s="1" t="s">
        <v>182</v>
      </c>
      <c r="K287" s="203" t="s">
        <v>126</v>
      </c>
      <c r="L287" s="204">
        <v>0</v>
      </c>
      <c r="M287" s="204"/>
      <c r="N287" s="286">
        <f>IF(OR(Tabelle132456891011121314151617[[#This Row],[Pulled after Start]]="yes",Tabelle132456891011121314151617[[#This Row],[Jira Story Points]]="-"),0,MIN(Tabelle132456891011121314151617[[#This Row],[Jira Story Points]],Tabelle132456891011121314151617[[#This Row],[Carry-over]]))</f>
        <v>0</v>
      </c>
      <c r="O287" s="210">
        <f>SUM(IF(ISBLANK(Tabelle132456891011121314151617[[#This Row],[Carry-over]]),Tabelle132456891011121314151617[[#This Row],[Jira Story Points]],Tabelle132456891011121314151617[[#This Row],[Carry-over]]),-Tabelle132456891011121314151617[[#This Row],[COsSP Initially Planned]])</f>
        <v>0</v>
      </c>
      <c r="P28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87" s="210">
        <f>IF(Tabelle132456891011121314151617[[#This Row],[Status]]=$J$5,Tabelle132456891011121314151617[[#This Row],[COsSP Initially Planned]]+Tabelle132456891011121314151617[[#This Row],[COsSP Pulled after Start]]-Tabelle132456891011121314151617[[#This Row],[CSOsSP Completed]],0)</f>
        <v>0</v>
      </c>
      <c r="R287" s="210">
        <f>Tabelle132456891011121314151617[[#This Row],[COsSP Initially Planned]]+Tabelle132456891011121314151617[[#This Row],[COsSP Pulled after Start]]-Tabelle132456891011121314151617[[#This Row],[CSOsSP Completed]]-Tabelle132456891011121314151617[[#This Row],[CSOsSP Removed]]</f>
        <v>0</v>
      </c>
      <c r="T287" s="201"/>
    </row>
    <row r="288" spans="1:20" ht="13.5" customHeight="1">
      <c r="A288" s="214"/>
      <c r="B288" s="47"/>
      <c r="C288" s="203"/>
      <c r="D288" s="203"/>
      <c r="E288" s="203"/>
      <c r="F288" s="204">
        <v>13</v>
      </c>
      <c r="G288" s="203" t="s">
        <v>27</v>
      </c>
      <c r="H288" s="205"/>
      <c r="I288" s="206"/>
      <c r="J288" s="1" t="s">
        <v>184</v>
      </c>
      <c r="K288" s="203" t="s">
        <v>126</v>
      </c>
      <c r="L288" s="204">
        <v>0</v>
      </c>
      <c r="M288" s="204"/>
      <c r="N288" s="286">
        <f>IF(OR(Tabelle132456891011121314151617[[#This Row],[Pulled after Start]]="yes",Tabelle132456891011121314151617[[#This Row],[Jira Story Points]]="-"),0,MIN(Tabelle132456891011121314151617[[#This Row],[Jira Story Points]],Tabelle132456891011121314151617[[#This Row],[Carry-over]]))</f>
        <v>0</v>
      </c>
      <c r="O288" s="210">
        <f>SUM(IF(ISBLANK(Tabelle132456891011121314151617[[#This Row],[Carry-over]]),Tabelle132456891011121314151617[[#This Row],[Jira Story Points]],Tabelle132456891011121314151617[[#This Row],[Carry-over]]),-Tabelle132456891011121314151617[[#This Row],[COsSP Initially Planned]])</f>
        <v>0</v>
      </c>
      <c r="P28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88" s="210">
        <f>IF(Tabelle132456891011121314151617[[#This Row],[Status]]=$J$5,Tabelle132456891011121314151617[[#This Row],[COsSP Initially Planned]]+Tabelle132456891011121314151617[[#This Row],[COsSP Pulled after Start]]-Tabelle132456891011121314151617[[#This Row],[CSOsSP Completed]],0)</f>
        <v>0</v>
      </c>
      <c r="R288" s="210">
        <f>Tabelle132456891011121314151617[[#This Row],[COsSP Initially Planned]]+Tabelle132456891011121314151617[[#This Row],[COsSP Pulled after Start]]-Tabelle132456891011121314151617[[#This Row],[CSOsSP Completed]]-Tabelle132456891011121314151617[[#This Row],[CSOsSP Removed]]</f>
        <v>0</v>
      </c>
      <c r="T288" s="201"/>
    </row>
    <row r="289" spans="1:20" ht="13.5" customHeight="1">
      <c r="A289" s="214"/>
      <c r="B289" s="47"/>
      <c r="C289" s="203"/>
      <c r="D289" s="203"/>
      <c r="E289" s="203"/>
      <c r="F289" s="204" t="s">
        <v>210</v>
      </c>
      <c r="G289" s="203" t="s">
        <v>27</v>
      </c>
      <c r="H289" s="205"/>
      <c r="I289" s="206"/>
      <c r="J289" s="1" t="s">
        <v>175</v>
      </c>
      <c r="K289" s="203" t="s">
        <v>126</v>
      </c>
      <c r="L289" s="204">
        <v>0</v>
      </c>
      <c r="M289" s="204"/>
      <c r="N289" s="286">
        <f>IF(OR(Tabelle132456891011121314151617[[#This Row],[Pulled after Start]]="yes",Tabelle132456891011121314151617[[#This Row],[Jira Story Points]]="-"),0,MIN(Tabelle132456891011121314151617[[#This Row],[Jira Story Points]],Tabelle132456891011121314151617[[#This Row],[Carry-over]]))</f>
        <v>0</v>
      </c>
      <c r="O289" s="210">
        <f>SUM(IF(ISBLANK(Tabelle132456891011121314151617[[#This Row],[Carry-over]]),Tabelle132456891011121314151617[[#This Row],[Jira Story Points]],Tabelle132456891011121314151617[[#This Row],[Carry-over]]),-Tabelle132456891011121314151617[[#This Row],[COsSP Initially Planned]])</f>
        <v>0</v>
      </c>
      <c r="P28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89" s="210">
        <f>IF(Tabelle132456891011121314151617[[#This Row],[Status]]=$J$5,Tabelle132456891011121314151617[[#This Row],[COsSP Initially Planned]]+Tabelle132456891011121314151617[[#This Row],[COsSP Pulled after Start]]-Tabelle132456891011121314151617[[#This Row],[CSOsSP Completed]],0)</f>
        <v>0</v>
      </c>
      <c r="R289" s="210">
        <f>Tabelle132456891011121314151617[[#This Row],[COsSP Initially Planned]]+Tabelle132456891011121314151617[[#This Row],[COsSP Pulled after Start]]-Tabelle132456891011121314151617[[#This Row],[CSOsSP Completed]]-Tabelle132456891011121314151617[[#This Row],[CSOsSP Removed]]</f>
        <v>0</v>
      </c>
      <c r="T289" s="201"/>
    </row>
    <row r="290" spans="1:20" ht="13.5" customHeight="1">
      <c r="A290" s="214"/>
      <c r="B290" s="47"/>
      <c r="C290" s="203"/>
      <c r="D290" s="203"/>
      <c r="E290" s="203"/>
      <c r="F290" s="204">
        <v>5</v>
      </c>
      <c r="G290" s="203" t="s">
        <v>35</v>
      </c>
      <c r="H290" s="205"/>
      <c r="I290" s="206"/>
      <c r="J290" s="1" t="s">
        <v>183</v>
      </c>
      <c r="K290" s="203" t="s">
        <v>126</v>
      </c>
      <c r="L290" s="204">
        <v>3</v>
      </c>
      <c r="M290" s="204"/>
      <c r="N290" s="286">
        <f>IF(OR(Tabelle132456891011121314151617[[#This Row],[Pulled after Start]]="yes",Tabelle132456891011121314151617[[#This Row],[Jira Story Points]]="-"),0,MIN(Tabelle132456891011121314151617[[#This Row],[Jira Story Points]],Tabelle132456891011121314151617[[#This Row],[Carry-over]]))</f>
        <v>3</v>
      </c>
      <c r="O290" s="210">
        <f>SUM(IF(ISBLANK(Tabelle132456891011121314151617[[#This Row],[Carry-over]]),Tabelle132456891011121314151617[[#This Row],[Jira Story Points]],Tabelle132456891011121314151617[[#This Row],[Carry-over]]),-Tabelle132456891011121314151617[[#This Row],[COsSP Initially Planned]])</f>
        <v>0</v>
      </c>
      <c r="P29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90" s="210">
        <f>IF(Tabelle132456891011121314151617[[#This Row],[Status]]=$J$5,Tabelle132456891011121314151617[[#This Row],[COsSP Initially Planned]]+Tabelle132456891011121314151617[[#This Row],[COsSP Pulled after Start]]-Tabelle132456891011121314151617[[#This Row],[CSOsSP Completed]],0)</f>
        <v>3</v>
      </c>
      <c r="R290" s="210">
        <f>Tabelle132456891011121314151617[[#This Row],[COsSP Initially Planned]]+Tabelle132456891011121314151617[[#This Row],[COsSP Pulled after Start]]-Tabelle132456891011121314151617[[#This Row],[CSOsSP Completed]]-Tabelle132456891011121314151617[[#This Row],[CSOsSP Removed]]</f>
        <v>0</v>
      </c>
      <c r="T290" s="201"/>
    </row>
    <row r="291" spans="1:20" ht="13.5" customHeight="1">
      <c r="A291" s="214"/>
      <c r="B291" s="47"/>
      <c r="C291" s="203"/>
      <c r="D291" s="203"/>
      <c r="E291" s="203"/>
      <c r="F291" s="204">
        <v>13</v>
      </c>
      <c r="G291" s="203" t="s">
        <v>35</v>
      </c>
      <c r="H291" s="205"/>
      <c r="I291" s="206"/>
      <c r="J291" s="1" t="s">
        <v>176</v>
      </c>
      <c r="K291" s="203" t="s">
        <v>126</v>
      </c>
      <c r="L291" s="204">
        <v>3</v>
      </c>
      <c r="M291" s="204"/>
      <c r="N291" s="286">
        <f>IF(OR(Tabelle132456891011121314151617[[#This Row],[Pulled after Start]]="yes",Tabelle132456891011121314151617[[#This Row],[Jira Story Points]]="-"),0,MIN(Tabelle132456891011121314151617[[#This Row],[Jira Story Points]],Tabelle132456891011121314151617[[#This Row],[Carry-over]]))</f>
        <v>3</v>
      </c>
      <c r="O291" s="210">
        <f>SUM(IF(ISBLANK(Tabelle132456891011121314151617[[#This Row],[Carry-over]]),Tabelle132456891011121314151617[[#This Row],[Jira Story Points]],Tabelle132456891011121314151617[[#This Row],[Carry-over]]),-Tabelle132456891011121314151617[[#This Row],[COsSP Initially Planned]])</f>
        <v>0</v>
      </c>
      <c r="P29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91" s="210">
        <f>IF(Tabelle132456891011121314151617[[#This Row],[Status]]=$J$5,Tabelle132456891011121314151617[[#This Row],[COsSP Initially Planned]]+Tabelle132456891011121314151617[[#This Row],[COsSP Pulled after Start]]-Tabelle132456891011121314151617[[#This Row],[CSOsSP Completed]],0)</f>
        <v>3</v>
      </c>
      <c r="R291" s="210">
        <f>Tabelle132456891011121314151617[[#This Row],[COsSP Initially Planned]]+Tabelle132456891011121314151617[[#This Row],[COsSP Pulled after Start]]-Tabelle132456891011121314151617[[#This Row],[CSOsSP Completed]]-Tabelle132456891011121314151617[[#This Row],[CSOsSP Removed]]</f>
        <v>0</v>
      </c>
      <c r="T291" s="201"/>
    </row>
    <row r="292" spans="1:20" ht="13.5" customHeight="1">
      <c r="A292" s="214"/>
      <c r="B292" s="47"/>
      <c r="C292" s="203"/>
      <c r="D292" s="203"/>
      <c r="E292" s="203"/>
      <c r="F292" s="204" t="s">
        <v>210</v>
      </c>
      <c r="G292" s="203" t="s">
        <v>32</v>
      </c>
      <c r="H292" s="205"/>
      <c r="I292" s="206"/>
      <c r="J292" s="1" t="s">
        <v>179</v>
      </c>
      <c r="K292" s="203" t="s">
        <v>126</v>
      </c>
      <c r="L292" s="204">
        <v>3</v>
      </c>
      <c r="M292" s="204"/>
      <c r="N292" s="286">
        <f>IF(OR(Tabelle132456891011121314151617[[#This Row],[Pulled after Start]]="yes",Tabelle132456891011121314151617[[#This Row],[Jira Story Points]]="-"),0,MIN(Tabelle132456891011121314151617[[#This Row],[Jira Story Points]],Tabelle132456891011121314151617[[#This Row],[Carry-over]]))</f>
        <v>0</v>
      </c>
      <c r="O292" s="210">
        <f>SUM(IF(ISBLANK(Tabelle132456891011121314151617[[#This Row],[Carry-over]]),Tabelle132456891011121314151617[[#This Row],[Jira Story Points]],Tabelle132456891011121314151617[[#This Row],[Carry-over]]),-Tabelle132456891011121314151617[[#This Row],[COsSP Initially Planned]])</f>
        <v>3</v>
      </c>
      <c r="P292"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92" s="210">
        <f>IF(Tabelle132456891011121314151617[[#This Row],[Status]]=$J$5,Tabelle132456891011121314151617[[#This Row],[COsSP Initially Planned]]+Tabelle132456891011121314151617[[#This Row],[COsSP Pulled after Start]]-Tabelle132456891011121314151617[[#This Row],[CSOsSP Completed]],0)</f>
        <v>3</v>
      </c>
      <c r="R292" s="210">
        <f>Tabelle132456891011121314151617[[#This Row],[COsSP Initially Planned]]+Tabelle132456891011121314151617[[#This Row],[COsSP Pulled after Start]]-Tabelle132456891011121314151617[[#This Row],[CSOsSP Completed]]-Tabelle132456891011121314151617[[#This Row],[CSOsSP Removed]]</f>
        <v>0</v>
      </c>
      <c r="T292" s="201"/>
    </row>
    <row r="293" spans="1:20" ht="13.5" customHeight="1">
      <c r="A293" s="214"/>
      <c r="B293" s="47"/>
      <c r="C293" s="203"/>
      <c r="D293" s="203"/>
      <c r="E293" s="203"/>
      <c r="F293" s="204">
        <v>5</v>
      </c>
      <c r="G293" s="203" t="s">
        <v>5</v>
      </c>
      <c r="H293" s="205"/>
      <c r="I293" s="206"/>
      <c r="J293" s="1" t="s">
        <v>180</v>
      </c>
      <c r="K293" s="203" t="s">
        <v>126</v>
      </c>
      <c r="L293" s="204">
        <v>8</v>
      </c>
      <c r="M293" s="204"/>
      <c r="N293" s="286">
        <f>IF(OR(Tabelle132456891011121314151617[[#This Row],[Pulled after Start]]="yes",Tabelle132456891011121314151617[[#This Row],[Jira Story Points]]="-"),0,MIN(Tabelle132456891011121314151617[[#This Row],[Jira Story Points]],Tabelle132456891011121314151617[[#This Row],[Carry-over]]))</f>
        <v>5</v>
      </c>
      <c r="O293" s="210">
        <f>SUM(IF(ISBLANK(Tabelle132456891011121314151617[[#This Row],[Carry-over]]),Tabelle132456891011121314151617[[#This Row],[Jira Story Points]],Tabelle132456891011121314151617[[#This Row],[Carry-over]]),-Tabelle132456891011121314151617[[#This Row],[COsSP Initially Planned]])</f>
        <v>3</v>
      </c>
      <c r="P293"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93" s="210">
        <f>IF(Tabelle132456891011121314151617[[#This Row],[Status]]=$J$5,Tabelle132456891011121314151617[[#This Row],[COsSP Initially Planned]]+Tabelle132456891011121314151617[[#This Row],[COsSP Pulled after Start]]-Tabelle132456891011121314151617[[#This Row],[CSOsSP Completed]],0)</f>
        <v>8</v>
      </c>
      <c r="R293" s="210">
        <f>Tabelle132456891011121314151617[[#This Row],[COsSP Initially Planned]]+Tabelle132456891011121314151617[[#This Row],[COsSP Pulled after Start]]-Tabelle132456891011121314151617[[#This Row],[CSOsSP Completed]]-Tabelle132456891011121314151617[[#This Row],[CSOsSP Removed]]</f>
        <v>0</v>
      </c>
      <c r="T293" s="201"/>
    </row>
    <row r="294" spans="1:20" ht="13.5" customHeight="1">
      <c r="A294" s="214"/>
      <c r="B294" s="47"/>
      <c r="C294" s="203"/>
      <c r="D294" s="203"/>
      <c r="E294" s="203"/>
      <c r="F294" s="204">
        <v>13</v>
      </c>
      <c r="G294" s="203" t="s">
        <v>32</v>
      </c>
      <c r="H294" s="205"/>
      <c r="I294" s="206"/>
      <c r="J294" s="1" t="s">
        <v>182</v>
      </c>
      <c r="K294" s="203" t="s">
        <v>126</v>
      </c>
      <c r="L294" s="204">
        <v>8</v>
      </c>
      <c r="M294" s="204"/>
      <c r="N294" s="286">
        <f>IF(OR(Tabelle132456891011121314151617[[#This Row],[Pulled after Start]]="yes",Tabelle132456891011121314151617[[#This Row],[Jira Story Points]]="-"),0,MIN(Tabelle132456891011121314151617[[#This Row],[Jira Story Points]],Tabelle132456891011121314151617[[#This Row],[Carry-over]]))</f>
        <v>8</v>
      </c>
      <c r="O294" s="210">
        <f>SUM(IF(ISBLANK(Tabelle132456891011121314151617[[#This Row],[Carry-over]]),Tabelle132456891011121314151617[[#This Row],[Jira Story Points]],Tabelle132456891011121314151617[[#This Row],[Carry-over]]),-Tabelle132456891011121314151617[[#This Row],[COsSP Initially Planned]])</f>
        <v>0</v>
      </c>
      <c r="P294"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94" s="210">
        <f>IF(Tabelle132456891011121314151617[[#This Row],[Status]]=$J$5,Tabelle132456891011121314151617[[#This Row],[COsSP Initially Planned]]+Tabelle132456891011121314151617[[#This Row],[COsSP Pulled after Start]]-Tabelle132456891011121314151617[[#This Row],[CSOsSP Completed]],0)</f>
        <v>8</v>
      </c>
      <c r="R294" s="210">
        <f>Tabelle132456891011121314151617[[#This Row],[COsSP Initially Planned]]+Tabelle132456891011121314151617[[#This Row],[COsSP Pulled after Start]]-Tabelle132456891011121314151617[[#This Row],[CSOsSP Completed]]-Tabelle132456891011121314151617[[#This Row],[CSOsSP Removed]]</f>
        <v>0</v>
      </c>
      <c r="T294" s="201"/>
    </row>
    <row r="295" spans="1:20" ht="13.5" customHeight="1">
      <c r="A295" s="214"/>
      <c r="B295" s="47"/>
      <c r="C295" s="203"/>
      <c r="D295" s="203"/>
      <c r="E295" s="203"/>
      <c r="F295" s="204" t="s">
        <v>210</v>
      </c>
      <c r="G295" s="203" t="s">
        <v>12</v>
      </c>
      <c r="H295" s="205"/>
      <c r="I295" s="206"/>
      <c r="J295" s="1" t="s">
        <v>175</v>
      </c>
      <c r="K295" s="203" t="s">
        <v>126</v>
      </c>
      <c r="L295" s="204">
        <v>8</v>
      </c>
      <c r="M295" s="204"/>
      <c r="N295" s="286">
        <f>IF(OR(Tabelle132456891011121314151617[[#This Row],[Pulled after Start]]="yes",Tabelle132456891011121314151617[[#This Row],[Jira Story Points]]="-"),0,MIN(Tabelle132456891011121314151617[[#This Row],[Jira Story Points]],Tabelle132456891011121314151617[[#This Row],[Carry-over]]))</f>
        <v>0</v>
      </c>
      <c r="O295" s="210">
        <f>SUM(IF(ISBLANK(Tabelle132456891011121314151617[[#This Row],[Carry-over]]),Tabelle132456891011121314151617[[#This Row],[Jira Story Points]],Tabelle132456891011121314151617[[#This Row],[Carry-over]]),-Tabelle132456891011121314151617[[#This Row],[COsSP Initially Planned]])</f>
        <v>8</v>
      </c>
      <c r="P295"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95" s="210">
        <f>IF(Tabelle132456891011121314151617[[#This Row],[Status]]=$J$5,Tabelle132456891011121314151617[[#This Row],[COsSP Initially Planned]]+Tabelle132456891011121314151617[[#This Row],[COsSP Pulled after Start]]-Tabelle132456891011121314151617[[#This Row],[CSOsSP Completed]],0)</f>
        <v>8</v>
      </c>
      <c r="R295" s="210">
        <f>Tabelle132456891011121314151617[[#This Row],[COsSP Initially Planned]]+Tabelle132456891011121314151617[[#This Row],[COsSP Pulled after Start]]-Tabelle132456891011121314151617[[#This Row],[CSOsSP Completed]]-Tabelle132456891011121314151617[[#This Row],[CSOsSP Removed]]</f>
        <v>0</v>
      </c>
      <c r="T295" s="201"/>
    </row>
    <row r="296" spans="1:20" ht="13.5" customHeight="1">
      <c r="A296" s="214"/>
      <c r="B296" s="47"/>
      <c r="C296" s="203"/>
      <c r="D296" s="203"/>
      <c r="E296" s="203"/>
      <c r="F296" s="204">
        <v>5</v>
      </c>
      <c r="G296" s="203" t="s">
        <v>27</v>
      </c>
      <c r="H296" s="205"/>
      <c r="I296" s="206"/>
      <c r="J296" s="1" t="s">
        <v>175</v>
      </c>
      <c r="K296" s="203" t="s">
        <v>126</v>
      </c>
      <c r="L296" s="204">
        <v>21</v>
      </c>
      <c r="M296" s="204"/>
      <c r="N296" s="286">
        <f>IF(OR(Tabelle132456891011121314151617[[#This Row],[Pulled after Start]]="yes",Tabelle132456891011121314151617[[#This Row],[Jira Story Points]]="-"),0,MIN(Tabelle132456891011121314151617[[#This Row],[Jira Story Points]],Tabelle132456891011121314151617[[#This Row],[Carry-over]]))</f>
        <v>5</v>
      </c>
      <c r="O296" s="210">
        <f>SUM(IF(ISBLANK(Tabelle132456891011121314151617[[#This Row],[Carry-over]]),Tabelle132456891011121314151617[[#This Row],[Jira Story Points]],Tabelle132456891011121314151617[[#This Row],[Carry-over]]),-Tabelle132456891011121314151617[[#This Row],[COsSP Initially Planned]])</f>
        <v>16</v>
      </c>
      <c r="P296"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96" s="210">
        <f>IF(Tabelle132456891011121314151617[[#This Row],[Status]]=$J$5,Tabelle132456891011121314151617[[#This Row],[COsSP Initially Planned]]+Tabelle132456891011121314151617[[#This Row],[COsSP Pulled after Start]]-Tabelle132456891011121314151617[[#This Row],[CSOsSP Completed]],0)</f>
        <v>21</v>
      </c>
      <c r="R296" s="210">
        <f>Tabelle132456891011121314151617[[#This Row],[COsSP Initially Planned]]+Tabelle132456891011121314151617[[#This Row],[COsSP Pulled after Start]]-Tabelle132456891011121314151617[[#This Row],[CSOsSP Completed]]-Tabelle132456891011121314151617[[#This Row],[CSOsSP Removed]]</f>
        <v>0</v>
      </c>
      <c r="T296" s="201"/>
    </row>
    <row r="297" spans="1:20" ht="13.5" customHeight="1">
      <c r="A297" s="214"/>
      <c r="B297" s="47"/>
      <c r="C297" s="203"/>
      <c r="D297" s="203"/>
      <c r="E297" s="203"/>
      <c r="F297" s="204">
        <v>13</v>
      </c>
      <c r="G297" s="203" t="s">
        <v>9</v>
      </c>
      <c r="H297" s="205"/>
      <c r="I297" s="206"/>
      <c r="J297" s="1" t="s">
        <v>177</v>
      </c>
      <c r="K297" s="203" t="s">
        <v>126</v>
      </c>
      <c r="L297" s="204">
        <v>21</v>
      </c>
      <c r="M297" s="204"/>
      <c r="N297" s="286">
        <f>IF(OR(Tabelle132456891011121314151617[[#This Row],[Pulled after Start]]="yes",Tabelle132456891011121314151617[[#This Row],[Jira Story Points]]="-"),0,MIN(Tabelle132456891011121314151617[[#This Row],[Jira Story Points]],Tabelle132456891011121314151617[[#This Row],[Carry-over]]))</f>
        <v>13</v>
      </c>
      <c r="O297" s="210">
        <f>SUM(IF(ISBLANK(Tabelle132456891011121314151617[[#This Row],[Carry-over]]),Tabelle132456891011121314151617[[#This Row],[Jira Story Points]],Tabelle132456891011121314151617[[#This Row],[Carry-over]]),-Tabelle132456891011121314151617[[#This Row],[COsSP Initially Planned]])</f>
        <v>8</v>
      </c>
      <c r="P297"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97" s="210">
        <f>IF(Tabelle132456891011121314151617[[#This Row],[Status]]=$J$5,Tabelle132456891011121314151617[[#This Row],[COsSP Initially Planned]]+Tabelle132456891011121314151617[[#This Row],[COsSP Pulled after Start]]-Tabelle132456891011121314151617[[#This Row],[CSOsSP Completed]],0)</f>
        <v>21</v>
      </c>
      <c r="R297" s="210">
        <f>Tabelle132456891011121314151617[[#This Row],[COsSP Initially Planned]]+Tabelle132456891011121314151617[[#This Row],[COsSP Pulled after Start]]-Tabelle132456891011121314151617[[#This Row],[CSOsSP Completed]]-Tabelle132456891011121314151617[[#This Row],[CSOsSP Removed]]</f>
        <v>0</v>
      </c>
      <c r="T297" s="201"/>
    </row>
    <row r="298" spans="1:20" ht="13.5" customHeight="1">
      <c r="A298" s="214"/>
      <c r="B298" s="47"/>
      <c r="C298" s="203"/>
      <c r="D298" s="203"/>
      <c r="E298" s="203"/>
      <c r="F298" s="204" t="s">
        <v>210</v>
      </c>
      <c r="G298" s="203" t="s">
        <v>107</v>
      </c>
      <c r="H298" s="205"/>
      <c r="I298" s="206"/>
      <c r="J298" s="1" t="s">
        <v>175</v>
      </c>
      <c r="K298" s="203" t="s">
        <v>126</v>
      </c>
      <c r="L298" s="204">
        <v>21</v>
      </c>
      <c r="M298" s="204"/>
      <c r="N298" s="286">
        <f>IF(OR(Tabelle132456891011121314151617[[#This Row],[Pulled after Start]]="yes",Tabelle132456891011121314151617[[#This Row],[Jira Story Points]]="-"),0,MIN(Tabelle132456891011121314151617[[#This Row],[Jira Story Points]],Tabelle132456891011121314151617[[#This Row],[Carry-over]]))</f>
        <v>0</v>
      </c>
      <c r="O298" s="210">
        <f>SUM(IF(ISBLANK(Tabelle132456891011121314151617[[#This Row],[Carry-over]]),Tabelle132456891011121314151617[[#This Row],[Jira Story Points]],Tabelle132456891011121314151617[[#This Row],[Carry-over]]),-Tabelle132456891011121314151617[[#This Row],[COsSP Initially Planned]])</f>
        <v>21</v>
      </c>
      <c r="P298"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98" s="210">
        <f>IF(Tabelle132456891011121314151617[[#This Row],[Status]]=$J$5,Tabelle132456891011121314151617[[#This Row],[COsSP Initially Planned]]+Tabelle132456891011121314151617[[#This Row],[COsSP Pulled after Start]]-Tabelle132456891011121314151617[[#This Row],[CSOsSP Completed]],0)</f>
        <v>21</v>
      </c>
      <c r="R298" s="210">
        <f>Tabelle132456891011121314151617[[#This Row],[COsSP Initially Planned]]+Tabelle132456891011121314151617[[#This Row],[COsSP Pulled after Start]]-Tabelle132456891011121314151617[[#This Row],[CSOsSP Completed]]-Tabelle132456891011121314151617[[#This Row],[CSOsSP Removed]]</f>
        <v>0</v>
      </c>
      <c r="T298" s="201"/>
    </row>
    <row r="299" spans="1:20" ht="13.5" customHeight="1">
      <c r="A299" s="214"/>
      <c r="B299" s="47"/>
      <c r="C299" s="203"/>
      <c r="D299" s="203"/>
      <c r="E299" s="203"/>
      <c r="F299" s="204">
        <v>5</v>
      </c>
      <c r="G299" s="203" t="s">
        <v>12</v>
      </c>
      <c r="H299" s="205"/>
      <c r="I299" s="206"/>
      <c r="J299" s="1" t="s">
        <v>181</v>
      </c>
      <c r="K299" s="203" t="s">
        <v>126</v>
      </c>
      <c r="L299" s="204"/>
      <c r="M299" s="204"/>
      <c r="N299" s="286">
        <f>IF(OR(Tabelle132456891011121314151617[[#This Row],[Pulled after Start]]="yes",Tabelle132456891011121314151617[[#This Row],[Jira Story Points]]="-"),0,MIN(Tabelle132456891011121314151617[[#This Row],[Jira Story Points]],Tabelle132456891011121314151617[[#This Row],[Carry-over]]))</f>
        <v>5</v>
      </c>
      <c r="O299" s="210">
        <f>SUM(IF(ISBLANK(Tabelle132456891011121314151617[[#This Row],[Carry-over]]),Tabelle132456891011121314151617[[#This Row],[Jira Story Points]],Tabelle132456891011121314151617[[#This Row],[Carry-over]]),-Tabelle132456891011121314151617[[#This Row],[COsSP Initially Planned]])</f>
        <v>0</v>
      </c>
      <c r="P299"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299" s="210">
        <f>IF(Tabelle132456891011121314151617[[#This Row],[Status]]=$J$5,Tabelle132456891011121314151617[[#This Row],[COsSP Initially Planned]]+Tabelle132456891011121314151617[[#This Row],[COsSP Pulled after Start]]-Tabelle132456891011121314151617[[#This Row],[CSOsSP Completed]],0)</f>
        <v>5</v>
      </c>
      <c r="R299" s="210">
        <f>Tabelle132456891011121314151617[[#This Row],[COsSP Initially Planned]]+Tabelle132456891011121314151617[[#This Row],[COsSP Pulled after Start]]-Tabelle132456891011121314151617[[#This Row],[CSOsSP Completed]]-Tabelle132456891011121314151617[[#This Row],[CSOsSP Removed]]</f>
        <v>0</v>
      </c>
      <c r="T299" s="201"/>
    </row>
    <row r="300" spans="1:20" ht="13.5" customHeight="1">
      <c r="A300" s="214"/>
      <c r="B300" s="47"/>
      <c r="C300" s="203"/>
      <c r="D300" s="203"/>
      <c r="E300" s="203"/>
      <c r="F300" s="204">
        <v>13</v>
      </c>
      <c r="G300" s="203" t="s">
        <v>107</v>
      </c>
      <c r="H300" s="205"/>
      <c r="I300" s="206"/>
      <c r="J300" s="1" t="s">
        <v>184</v>
      </c>
      <c r="K300" s="203" t="s">
        <v>126</v>
      </c>
      <c r="L300" s="204"/>
      <c r="M300" s="204"/>
      <c r="N300" s="286">
        <f>IF(OR(Tabelle132456891011121314151617[[#This Row],[Pulled after Start]]="yes",Tabelle132456891011121314151617[[#This Row],[Jira Story Points]]="-"),0,MIN(Tabelle132456891011121314151617[[#This Row],[Jira Story Points]],Tabelle132456891011121314151617[[#This Row],[Carry-over]]))</f>
        <v>13</v>
      </c>
      <c r="O300" s="210">
        <f>SUM(IF(ISBLANK(Tabelle132456891011121314151617[[#This Row],[Carry-over]]),Tabelle132456891011121314151617[[#This Row],[Jira Story Points]],Tabelle132456891011121314151617[[#This Row],[Carry-over]]),-Tabelle132456891011121314151617[[#This Row],[COsSP Initially Planned]])</f>
        <v>0</v>
      </c>
      <c r="P300"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300" s="210">
        <f>IF(Tabelle132456891011121314151617[[#This Row],[Status]]=$J$5,Tabelle132456891011121314151617[[#This Row],[COsSP Initially Planned]]+Tabelle132456891011121314151617[[#This Row],[COsSP Pulled after Start]]-Tabelle132456891011121314151617[[#This Row],[CSOsSP Completed]],0)</f>
        <v>13</v>
      </c>
      <c r="R300" s="210">
        <f>Tabelle132456891011121314151617[[#This Row],[COsSP Initially Planned]]+Tabelle132456891011121314151617[[#This Row],[COsSP Pulled after Start]]-Tabelle132456891011121314151617[[#This Row],[CSOsSP Completed]]-Tabelle132456891011121314151617[[#This Row],[CSOsSP Removed]]</f>
        <v>0</v>
      </c>
      <c r="T300" s="201"/>
    </row>
    <row r="301" spans="1:20" ht="13.5" customHeight="1">
      <c r="A301" s="214"/>
      <c r="B301" s="47"/>
      <c r="C301" s="203"/>
      <c r="D301" s="203"/>
      <c r="E301" s="203"/>
      <c r="F301" s="204" t="s">
        <v>210</v>
      </c>
      <c r="G301" s="203" t="s">
        <v>32</v>
      </c>
      <c r="H301" s="205"/>
      <c r="I301" s="206"/>
      <c r="J301" s="1" t="s">
        <v>182</v>
      </c>
      <c r="K301" s="203" t="s">
        <v>126</v>
      </c>
      <c r="L301" s="204"/>
      <c r="M301" s="204"/>
      <c r="N301" s="286">
        <f>IF(OR(Tabelle132456891011121314151617[[#This Row],[Pulled after Start]]="yes",Tabelle132456891011121314151617[[#This Row],[Jira Story Points]]="-"),0,MIN(Tabelle132456891011121314151617[[#This Row],[Jira Story Points]],Tabelle132456891011121314151617[[#This Row],[Carry-over]]))</f>
        <v>0</v>
      </c>
      <c r="O301" s="210">
        <f>SUM(IF(ISBLANK(Tabelle132456891011121314151617[[#This Row],[Carry-over]]),Tabelle132456891011121314151617[[#This Row],[Jira Story Points]],Tabelle132456891011121314151617[[#This Row],[Carry-over]]),-Tabelle132456891011121314151617[[#This Row],[COsSP Initially Planned]])</f>
        <v>0</v>
      </c>
      <c r="P301" s="210">
        <f>IF(Tabelle132456891011121314151617[[#This Row],[Status]]=$H$5,Tabelle132456891011121314151617[[#This Row],[COsSP Initially Planned]]+Tabelle132456891011121314151617[[#This Row],[COsSP Pulled after Start]],IF(ISBLANK(Tabelle132456891011121314151617[[#This Row],[Spill-over]]),0,Tabelle132456891011121314151617[[#This Row],[COsSP Initially Planned]]+Tabelle132456891011121314151617[[#This Row],[COsSP Pulled after Start]]-Tabelle132456891011121314151617[[#This Row],[Spill-over]]))</f>
        <v>0</v>
      </c>
      <c r="Q301" s="210">
        <f>IF(Tabelle132456891011121314151617[[#This Row],[Status]]=$J$5,Tabelle132456891011121314151617[[#This Row],[COsSP Initially Planned]]+Tabelle132456891011121314151617[[#This Row],[COsSP Pulled after Start]]-Tabelle132456891011121314151617[[#This Row],[CSOsSP Completed]],0)</f>
        <v>0</v>
      </c>
      <c r="R301" s="210">
        <f>Tabelle132456891011121314151617[[#This Row],[COsSP Initially Planned]]+Tabelle132456891011121314151617[[#This Row],[COsSP Pulled after Start]]-Tabelle132456891011121314151617[[#This Row],[CSOsSP Completed]]-Tabelle132456891011121314151617[[#This Row],[CSOsSP Removed]]</f>
        <v>0</v>
      </c>
      <c r="T301" s="201"/>
    </row>
  </sheetData>
  <mergeCells count="12">
    <mergeCell ref="B6:B15"/>
    <mergeCell ref="N22:O22"/>
    <mergeCell ref="C1:J1"/>
    <mergeCell ref="H3:J3"/>
    <mergeCell ref="D4:E4"/>
    <mergeCell ref="F4:K4"/>
    <mergeCell ref="M4:R4"/>
    <mergeCell ref="D22:E22"/>
    <mergeCell ref="F22:G22"/>
    <mergeCell ref="H22:I22"/>
    <mergeCell ref="J22:K22"/>
    <mergeCell ref="L22:M22"/>
  </mergeCells>
  <dataValidations count="4">
    <dataValidation allowBlank="1" showInputMessage="1" showErrorMessage="1" sqref="M38:M42 N33:O201 L33 L35:L39 L43 L45:L49 L63 L65:L69 L73 L75:L79 L85:L89 M82 L83 L55:L59 M52 L53 M68:M72 M98:M102 L93 L95:L99 L103 L105:L109 L123 L125:L129 L133 L135:L139 L145:L149 M142 L143 L115:L119 M112 L113 M128:M132 M158:M162 L153 L155:L159 L163 L165:L169 L183 L185:L189 L193 L195:L199 L205:L209 M202 L203 L175:L179 M172 L173 M188:M192 M237 M222 M267 M252 M297 M282 L299:L300 L294:L295 M290:M292 L289:L290 L284:L285 L279:L280 M275:M277 L274:L275 L269:L270 L264:L265 M260:M262 L259:L260 L254:L255 L249:L250 M245:M247 L244:L245 L239:L240 L234:L235 M230:M232 L229:L230 L224:L225 L219:L220 M215:M217 L214:L215" xr:uid="{2003704A-9131-401D-B75E-6E37C0406AAE}"/>
    <dataValidation type="list" allowBlank="1" showErrorMessage="1" sqref="G32:G301" xr:uid="{F4DEAD85-F3BF-4E41-B69A-C3BEFF69818A}">
      <formula1>$C$6:$C$15</formula1>
    </dataValidation>
    <dataValidation type="list" allowBlank="1" showErrorMessage="1" sqref="H32:H301" xr:uid="{8A7D140B-CAE4-4DF9-80D9-CD4482F5DC3C}">
      <formula1>"yes"</formula1>
    </dataValidation>
    <dataValidation type="list" allowBlank="1" showErrorMessage="1" sqref="K32:K301" xr:uid="{41293E63-7128-4894-98C8-712013F91A69}">
      <formula1>$H$5:$J$5</formula1>
    </dataValidation>
  </dataValidations>
  <pageMargins left="0.23622047244094491" right="0.23622047244094491" top="0.35433070866141736" bottom="0.35433070866141736" header="0" footer="0"/>
  <pageSetup paperSize="9" scale="88" fitToHeight="0" orientation="landscape"/>
  <headerFooter>
    <oddFooter>&amp;CS. &amp;P /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3DA6A-5E59-40D0-9E1E-3C7ABFD340C5}">
  <sheetPr>
    <outlinePr summaryBelow="0" summaryRight="0"/>
    <pageSetUpPr fitToPage="1"/>
  </sheetPr>
  <dimension ref="A1:V400"/>
  <sheetViews>
    <sheetView topLeftCell="A101" zoomScaleNormal="100" workbookViewId="0">
      <selection activeCell="K139" sqref="K139"/>
    </sheetView>
  </sheetViews>
  <sheetFormatPr baseColWidth="10" defaultColWidth="8.85546875" defaultRowHeight="13.5" customHeight="1"/>
  <cols>
    <col min="1" max="1" width="16" style="313" customWidth="1"/>
    <col min="2" max="2" width="72.85546875" style="313" customWidth="1"/>
    <col min="3" max="8" width="15.42578125" style="319" customWidth="1"/>
    <col min="9" max="9" width="19" style="353" customWidth="1"/>
    <col min="10" max="11" width="15.42578125" style="353" customWidth="1"/>
    <col min="12" max="12" width="15.42578125" style="321" customWidth="1"/>
    <col min="13" max="13" width="15.42578125" style="319" customWidth="1"/>
    <col min="14" max="18" width="15.42578125" style="315" customWidth="1"/>
    <col min="19" max="28" width="10.42578125" style="315" customWidth="1"/>
    <col min="29" max="34" width="8.42578125" style="315" customWidth="1"/>
    <col min="35" max="35" width="3.42578125" style="315" customWidth="1"/>
    <col min="36" max="36" width="8.42578125" style="315" customWidth="1"/>
    <col min="37" max="16384" width="8.85546875" style="315"/>
  </cols>
  <sheetData>
    <row r="1" spans="2:22" ht="13.5" customHeight="1">
      <c r="C1" s="428" t="s">
        <v>211</v>
      </c>
      <c r="D1" s="428"/>
      <c r="E1" s="428"/>
      <c r="F1" s="428"/>
      <c r="G1" s="428"/>
      <c r="H1" s="428"/>
      <c r="I1" s="428"/>
      <c r="J1" s="428"/>
      <c r="K1" s="314"/>
      <c r="L1" s="314"/>
      <c r="M1" s="314"/>
    </row>
    <row r="2" spans="2:22" ht="13.5" customHeight="1">
      <c r="C2" s="315"/>
      <c r="D2" s="315"/>
      <c r="E2" s="314"/>
      <c r="F2" s="314"/>
      <c r="G2" s="314"/>
      <c r="H2" s="314"/>
      <c r="I2" s="314"/>
      <c r="J2" s="315"/>
      <c r="K2" s="314"/>
      <c r="L2" s="314"/>
      <c r="M2" s="315"/>
    </row>
    <row r="3" spans="2:22" ht="13.5" customHeight="1" thickBot="1">
      <c r="C3" s="316" t="s">
        <v>162</v>
      </c>
      <c r="D3" s="317"/>
      <c r="E3" s="318"/>
      <c r="F3" s="318"/>
      <c r="H3" s="429" t="s">
        <v>212</v>
      </c>
      <c r="I3" s="429"/>
      <c r="J3" s="429"/>
      <c r="K3" s="320"/>
      <c r="L3" s="320"/>
      <c r="M3" s="314"/>
    </row>
    <row r="4" spans="2:22" ht="13.5" customHeight="1">
      <c r="C4" s="318"/>
      <c r="D4" s="430" t="s">
        <v>164</v>
      </c>
      <c r="E4" s="431"/>
      <c r="F4" s="432" t="s">
        <v>165</v>
      </c>
      <c r="G4" s="433"/>
      <c r="H4" s="433"/>
      <c r="I4" s="433"/>
      <c r="J4" s="433"/>
      <c r="K4" s="434"/>
      <c r="M4" s="435" t="s">
        <v>166</v>
      </c>
      <c r="N4" s="435"/>
      <c r="O4" s="435"/>
      <c r="P4" s="435"/>
      <c r="Q4" s="435"/>
      <c r="R4" s="435"/>
    </row>
    <row r="5" spans="2:22" ht="27" customHeight="1">
      <c r="C5" s="322" t="s">
        <v>167</v>
      </c>
      <c r="D5" s="323" t="s">
        <v>171</v>
      </c>
      <c r="E5" s="324" t="str">
        <f>H5</f>
        <v>Completed</v>
      </c>
      <c r="F5" s="323" t="s">
        <v>105</v>
      </c>
      <c r="G5" s="325" t="s">
        <v>106</v>
      </c>
      <c r="H5" s="326" t="s">
        <v>125</v>
      </c>
      <c r="I5" s="326" t="s">
        <v>127</v>
      </c>
      <c r="J5" s="326" t="s">
        <v>126</v>
      </c>
      <c r="K5" s="327" t="s">
        <v>172</v>
      </c>
      <c r="M5" s="325" t="str">
        <f>F5</f>
        <v>Initially Planned</v>
      </c>
      <c r="N5" s="325" t="str">
        <f>G5</f>
        <v>Pulled after Start</v>
      </c>
      <c r="O5" s="328" t="str">
        <f>H5</f>
        <v>Completed</v>
      </c>
      <c r="P5" s="328" t="str">
        <f>J5</f>
        <v>Removed</v>
      </c>
      <c r="Q5" s="328" t="str">
        <f>I5</f>
        <v>Not Completed</v>
      </c>
      <c r="R5" s="329" t="s">
        <v>173</v>
      </c>
    </row>
    <row r="6" spans="2:22" ht="13.5" customHeight="1">
      <c r="B6" s="415" t="s">
        <v>174</v>
      </c>
      <c r="C6" s="330" t="s">
        <v>35</v>
      </c>
      <c r="D6" s="331">
        <f>COUNTIFS(Tabelle1324568910111213141516171619[Team],$C6)</f>
        <v>0</v>
      </c>
      <c r="E6" s="332">
        <f>COUNTIFS(Tabelle1324568910111213141516171619[Team],$C6,Tabelle1324568910111213141516171619[Status],$E$5)</f>
        <v>0</v>
      </c>
      <c r="F6" s="333">
        <f>SUMIFS(Tabelle1324568910111213141516171619[Jira Story Points],Tabelle1324568910111213141516171619[Pulled after Start],"",Tabelle1324568910111213141516171619[Team],$C6)</f>
        <v>0</v>
      </c>
      <c r="G6" s="334">
        <f>SUMIFS(Tabelle1324568910111213141516171619[Jira Story Points],Tabelle1324568910111213141516171619[Pulled after Start],"yes",Tabelle1324568910111213141516171619[Team],$C6)</f>
        <v>0</v>
      </c>
      <c r="H6" s="335">
        <f>SUMIFS(Tabelle1324568910111213141516171619[Jira Story Points],Tabelle1324568910111213141516171619[Status],$H$5,Tabelle1324568910111213141516171619[Team],$C6)</f>
        <v>0</v>
      </c>
      <c r="I6" s="334">
        <f>SUMIFS(Tabelle1324568910111213141516171619[Jira Story Points],Tabelle1324568910111213141516171619[Status],$I$5,Tabelle1324568910111213141516171619[Team],$C6)</f>
        <v>0</v>
      </c>
      <c r="J6" s="334">
        <f>SUMIFS(Tabelle1324568910111213141516171619[Jira Story Points],Tabelle1324568910111213141516171619[Status],$J$5,Tabelle1324568910111213141516171619[Team],$C6)</f>
        <v>0</v>
      </c>
      <c r="K6" s="336">
        <f>SUMIFS(Tabelle1324568910111213141516171619[Jira Story Points],Tabelle1324568910111213141516171619[Team],$C6)</f>
        <v>0</v>
      </c>
      <c r="M6" s="334">
        <f>SUMIFS(Tabelle1324568910111213141516171619[COsSP Initially Planned],Tabelle1324568910111213141516171619[Team],$C6)</f>
        <v>0</v>
      </c>
      <c r="N6" s="334">
        <f>SUMIFS(Tabelle1324568910111213141516171619[COsSP Pulled after Start],Tabelle1324568910111213141516171619[Team],$C6)</f>
        <v>0</v>
      </c>
      <c r="O6" s="337">
        <f>SUMIFS(Tabelle1324568910111213141516171619[CSOsSP Completed],Tabelle1324568910111213141516171619[Team],$C6)</f>
        <v>0</v>
      </c>
      <c r="P6" s="337">
        <f>SUMIFS(Tabelle1324568910111213141516171619[CSOsSP Removed],Tabelle1324568910111213141516171619[Team],$C6)</f>
        <v>0</v>
      </c>
      <c r="Q6" s="338">
        <f>SUMIFS(Tabelle1324568910111213141516171619[CSOsSP Not Completed],Tabelle1324568910111213141516171619[Team],$C6)</f>
        <v>0</v>
      </c>
      <c r="R6" s="339" t="str">
        <f t="shared" ref="R6:R15" si="0">IFERROR(O6/$M6," ")</f>
        <v xml:space="preserve"> </v>
      </c>
      <c r="T6" s="340"/>
    </row>
    <row r="7" spans="2:22" ht="13.5" customHeight="1">
      <c r="B7" s="415"/>
      <c r="C7" s="330" t="s">
        <v>12</v>
      </c>
      <c r="D7" s="331">
        <f>COUNTIFS(Tabelle1324568910111213141516171619[Team],$C7)</f>
        <v>20</v>
      </c>
      <c r="E7" s="332">
        <f>COUNTIFS(Tabelle1324568910111213141516171619[Team],$C7,Tabelle1324568910111213141516171619[Status],$E$5)</f>
        <v>9</v>
      </c>
      <c r="F7" s="333">
        <f>SUMIFS(Tabelle1324568910111213141516171619[Jira Story Points],Tabelle1324568910111213141516171619[Pulled after Start],"",Tabelle1324568910111213141516171619[Team],$C7)</f>
        <v>44</v>
      </c>
      <c r="G7" s="334">
        <f>SUMIFS(Tabelle1324568910111213141516171619[Jira Story Points],Tabelle1324568910111213141516171619[Pulled after Start],"yes",Tabelle1324568910111213141516171619[Team],$C7)</f>
        <v>11</v>
      </c>
      <c r="H7" s="335">
        <f>SUMIFS(Tabelle1324568910111213141516171619[Jira Story Points],Tabelle1324568910111213141516171619[Status],$H$5,Tabelle1324568910111213141516171619[Team],$C7)</f>
        <v>28</v>
      </c>
      <c r="I7" s="334">
        <f>SUMIFS(Tabelle1324568910111213141516171619[Jira Story Points],Tabelle1324568910111213141516171619[Status],$I$5,Tabelle1324568910111213141516171619[Team],$C7)</f>
        <v>17</v>
      </c>
      <c r="J7" s="334">
        <f>SUMIFS(Tabelle1324568910111213141516171619[Jira Story Points],Tabelle1324568910111213141516171619[Status],$J$5,Tabelle1324568910111213141516171619[Team],$C7)</f>
        <v>10</v>
      </c>
      <c r="K7" s="336">
        <f>SUMIFS(Tabelle1324568910111213141516171619[Jira Story Points],Tabelle1324568910111213141516171619[Team],$C7)</f>
        <v>55</v>
      </c>
      <c r="M7" s="334">
        <f>SUMIFS(Tabelle1324568910111213141516171619[COsSP Initially Planned],Tabelle1324568910111213141516171619[Team],$C7)</f>
        <v>38</v>
      </c>
      <c r="N7" s="334">
        <f>SUMIFS(Tabelle1324568910111213141516171619[COsSP Pulled after Start],Tabelle1324568910111213141516171619[Team],$C7)</f>
        <v>11</v>
      </c>
      <c r="O7" s="337">
        <f>SUMIFS(Tabelle1324568910111213141516171619[CSOsSP Completed],Tabelle1324568910111213141516171619[Team],$C7)</f>
        <v>26</v>
      </c>
      <c r="P7" s="337">
        <f>SUMIFS(Tabelle1324568910111213141516171619[CSOsSP Removed],Tabelle1324568910111213141516171619[Team],$C7)</f>
        <v>6</v>
      </c>
      <c r="Q7" s="338">
        <f>SUMIFS(Tabelle1324568910111213141516171619[CSOsSP Not Completed],Tabelle1324568910111213141516171619[Team],$C7)</f>
        <v>17</v>
      </c>
      <c r="R7" s="339">
        <f t="shared" si="0"/>
        <v>0.68421052631578949</v>
      </c>
      <c r="T7" s="340"/>
    </row>
    <row r="8" spans="2:22" ht="13.5" customHeight="1">
      <c r="B8" s="415"/>
      <c r="C8" s="330" t="s">
        <v>27</v>
      </c>
      <c r="D8" s="331">
        <f>COUNTIFS(Tabelle1324568910111213141516171619[Team],$C8)</f>
        <v>43</v>
      </c>
      <c r="E8" s="332">
        <f>COUNTIFS(Tabelle1324568910111213141516171619[Team],$C8,Tabelle1324568910111213141516171619[Status],$E$5)</f>
        <v>39</v>
      </c>
      <c r="F8" s="333">
        <f>SUMIFS(Tabelle1324568910111213141516171619[Jira Story Points],Tabelle1324568910111213141516171619[Pulled after Start],"",Tabelle1324568910111213141516171619[Team],$C8)</f>
        <v>78</v>
      </c>
      <c r="G8" s="334">
        <f>SUMIFS(Tabelle1324568910111213141516171619[Jira Story Points],Tabelle1324568910111213141516171619[Pulled after Start],"yes",Tabelle1324568910111213141516171619[Team],$C8)</f>
        <v>73</v>
      </c>
      <c r="H8" s="335">
        <f>SUMIFS(Tabelle1324568910111213141516171619[Jira Story Points],Tabelle1324568910111213141516171619[Status],$H$5,Tabelle1324568910111213141516171619[Team],$C8)</f>
        <v>132</v>
      </c>
      <c r="I8" s="334">
        <f>SUMIFS(Tabelle1324568910111213141516171619[Jira Story Points],Tabelle1324568910111213141516171619[Status],$I$5,Tabelle1324568910111213141516171619[Team],$C8)</f>
        <v>19</v>
      </c>
      <c r="J8" s="334">
        <f>SUMIFS(Tabelle1324568910111213141516171619[Jira Story Points],Tabelle1324568910111213141516171619[Status],$J$5,Tabelle1324568910111213141516171619[Team],$C8)</f>
        <v>0</v>
      </c>
      <c r="K8" s="336">
        <f>SUMIFS(Tabelle1324568910111213141516171619[Jira Story Points],Tabelle1324568910111213141516171619[Team],$C8)</f>
        <v>151</v>
      </c>
      <c r="M8" s="334">
        <f>SUMIFS(Tabelle1324568910111213141516171619[COsSP Initially Planned],Tabelle1324568910111213141516171619[Team],$C8)</f>
        <v>78</v>
      </c>
      <c r="N8" s="334">
        <f>SUMIFS(Tabelle1324568910111213141516171619[COsSP Pulled after Start],Tabelle1324568910111213141516171619[Team],$C8)</f>
        <v>73</v>
      </c>
      <c r="O8" s="337">
        <f>SUMIFS(Tabelle1324568910111213141516171619[CSOsSP Completed],Tabelle1324568910111213141516171619[Team],$C8)</f>
        <v>132</v>
      </c>
      <c r="P8" s="337">
        <f>SUMIFS(Tabelle1324568910111213141516171619[CSOsSP Removed],Tabelle1324568910111213141516171619[Team],$C8)</f>
        <v>0</v>
      </c>
      <c r="Q8" s="338">
        <f>SUMIFS(Tabelle1324568910111213141516171619[CSOsSP Not Completed],Tabelle1324568910111213141516171619[Team],$C8)</f>
        <v>19</v>
      </c>
      <c r="R8" s="339">
        <f t="shared" si="0"/>
        <v>1.6923076923076923</v>
      </c>
      <c r="T8" s="340"/>
    </row>
    <row r="9" spans="2:22" ht="13.5" customHeight="1">
      <c r="B9" s="415"/>
      <c r="C9" s="330" t="s">
        <v>5</v>
      </c>
      <c r="D9" s="331">
        <f>COUNTIFS(Tabelle1324568910111213141516171619[Team],$C9)</f>
        <v>0</v>
      </c>
      <c r="E9" s="332">
        <f>COUNTIFS(Tabelle1324568910111213141516171619[Team],$C9,Tabelle1324568910111213141516171619[Status],$E$5)</f>
        <v>0</v>
      </c>
      <c r="F9" s="333">
        <f>SUMIFS(Tabelle1324568910111213141516171619[Jira Story Points],Tabelle1324568910111213141516171619[Pulled after Start],"",Tabelle1324568910111213141516171619[Team],$C9)</f>
        <v>0</v>
      </c>
      <c r="G9" s="334">
        <f>SUMIFS(Tabelle1324568910111213141516171619[Jira Story Points],Tabelle1324568910111213141516171619[Pulled after Start],"yes",Tabelle1324568910111213141516171619[Team],$C9)</f>
        <v>0</v>
      </c>
      <c r="H9" s="335">
        <f>SUMIFS(Tabelle1324568910111213141516171619[Jira Story Points],Tabelle1324568910111213141516171619[Status],$H$5,Tabelle1324568910111213141516171619[Team],$C9)</f>
        <v>0</v>
      </c>
      <c r="I9" s="334">
        <f>SUMIFS(Tabelle1324568910111213141516171619[Jira Story Points],Tabelle1324568910111213141516171619[Status],$I$5,Tabelle1324568910111213141516171619[Team],$C9)</f>
        <v>0</v>
      </c>
      <c r="J9" s="334">
        <f>SUMIFS(Tabelle1324568910111213141516171619[Jira Story Points],Tabelle1324568910111213141516171619[Status],$J$5,Tabelle1324568910111213141516171619[Team],$C9)</f>
        <v>0</v>
      </c>
      <c r="K9" s="336">
        <f>SUMIFS(Tabelle1324568910111213141516171619[Jira Story Points],Tabelle1324568910111213141516171619[Team],$C9)</f>
        <v>0</v>
      </c>
      <c r="M9" s="334">
        <f>SUMIFS(Tabelle1324568910111213141516171619[COsSP Initially Planned],Tabelle1324568910111213141516171619[Team],$C9)</f>
        <v>0</v>
      </c>
      <c r="N9" s="334">
        <f>SUMIFS(Tabelle1324568910111213141516171619[COsSP Pulled after Start],Tabelle1324568910111213141516171619[Team],$C9)</f>
        <v>0</v>
      </c>
      <c r="O9" s="337">
        <f>SUMIFS(Tabelle1324568910111213141516171619[CSOsSP Completed],Tabelle1324568910111213141516171619[Team],$C9)</f>
        <v>0</v>
      </c>
      <c r="P9" s="337">
        <f>SUMIFS(Tabelle1324568910111213141516171619[CSOsSP Removed],Tabelle1324568910111213141516171619[Team],$C9)</f>
        <v>0</v>
      </c>
      <c r="Q9" s="338">
        <f>SUMIFS(Tabelle1324568910111213141516171619[CSOsSP Not Completed],Tabelle1324568910111213141516171619[Team],$C9)</f>
        <v>0</v>
      </c>
      <c r="R9" s="339" t="str">
        <f t="shared" si="0"/>
        <v xml:space="preserve"> </v>
      </c>
      <c r="T9" s="340"/>
    </row>
    <row r="10" spans="2:22" ht="13.5" customHeight="1">
      <c r="B10" s="415"/>
      <c r="C10" s="330" t="s">
        <v>32</v>
      </c>
      <c r="D10" s="331">
        <f>COUNTIFS(Tabelle1324568910111213141516171619[Team],$C10)</f>
        <v>22</v>
      </c>
      <c r="E10" s="332">
        <f>COUNTIFS(Tabelle1324568910111213141516171619[Team],$C10,Tabelle1324568910111213141516171619[Status],$E$5)</f>
        <v>19</v>
      </c>
      <c r="F10" s="333">
        <f>SUMIFS(Tabelle1324568910111213141516171619[Jira Story Points],Tabelle1324568910111213141516171619[Pulled after Start],"",Tabelle1324568910111213141516171619[Team],$C10)</f>
        <v>47</v>
      </c>
      <c r="G10" s="334">
        <f>SUMIFS(Tabelle1324568910111213141516171619[Jira Story Points],Tabelle1324568910111213141516171619[Pulled after Start],"yes",Tabelle1324568910111213141516171619[Team],$C10)</f>
        <v>33</v>
      </c>
      <c r="H10" s="335">
        <f>SUMIFS(Tabelle1324568910111213141516171619[Jira Story Points],Tabelle1324568910111213141516171619[Status],$H$5,Tabelle1324568910111213141516171619[Team],$C10)</f>
        <v>66</v>
      </c>
      <c r="I10" s="334">
        <f>SUMIFS(Tabelle1324568910111213141516171619[Jira Story Points],Tabelle1324568910111213141516171619[Status],$I$5,Tabelle1324568910111213141516171619[Team],$C10)</f>
        <v>14</v>
      </c>
      <c r="J10" s="334">
        <f>SUMIFS(Tabelle1324568910111213141516171619[Jira Story Points],Tabelle1324568910111213141516171619[Status],$J$5,Tabelle1324568910111213141516171619[Team],$C10)</f>
        <v>0</v>
      </c>
      <c r="K10" s="336">
        <f>SUMIFS(Tabelle1324568910111213141516171619[Jira Story Points],Tabelle1324568910111213141516171619[Team],$C10)</f>
        <v>80</v>
      </c>
      <c r="M10" s="334">
        <f>SUMIFS(Tabelle1324568910111213141516171619[COsSP Initially Planned],Tabelle1324568910111213141516171619[Team],$C10)</f>
        <v>37</v>
      </c>
      <c r="N10" s="334">
        <f>SUMIFS(Tabelle1324568910111213141516171619[COsSP Pulled after Start],Tabelle1324568910111213141516171619[Team],$C10)</f>
        <v>33</v>
      </c>
      <c r="O10" s="337">
        <f>SUMIFS(Tabelle1324568910111213141516171619[CSOsSP Completed],Tabelle1324568910111213141516171619[Team],$C10)</f>
        <v>56</v>
      </c>
      <c r="P10" s="337">
        <f>SUMIFS(Tabelle1324568910111213141516171619[CSOsSP Removed],Tabelle1324568910111213141516171619[Team],$C10)</f>
        <v>0</v>
      </c>
      <c r="Q10" s="338">
        <f>SUMIFS(Tabelle1324568910111213141516171619[CSOsSP Not Completed],Tabelle1324568910111213141516171619[Team],$C10)</f>
        <v>14</v>
      </c>
      <c r="R10" s="339">
        <f t="shared" si="0"/>
        <v>1.5135135135135136</v>
      </c>
      <c r="T10" s="340"/>
    </row>
    <row r="11" spans="2:22" ht="13.5" customHeight="1">
      <c r="B11" s="415"/>
      <c r="C11" s="330" t="s">
        <v>24</v>
      </c>
      <c r="D11" s="331">
        <f>COUNTIFS(Tabelle1324568910111213141516171619[Team],$C11)</f>
        <v>0</v>
      </c>
      <c r="E11" s="332">
        <f>COUNTIFS(Tabelle1324568910111213141516171619[Team],$C11,Tabelle1324568910111213141516171619[Status],$E$5)</f>
        <v>0</v>
      </c>
      <c r="F11" s="333">
        <f>SUMIFS(Tabelle1324568910111213141516171619[Jira Story Points],Tabelle1324568910111213141516171619[Pulled after Start],"",Tabelle1324568910111213141516171619[Team],$C11)</f>
        <v>0</v>
      </c>
      <c r="G11" s="334">
        <f>SUMIFS(Tabelle1324568910111213141516171619[Jira Story Points],Tabelle1324568910111213141516171619[Pulled after Start],"yes",Tabelle1324568910111213141516171619[Team],$C11)</f>
        <v>0</v>
      </c>
      <c r="H11" s="335">
        <f>SUMIFS(Tabelle1324568910111213141516171619[Jira Story Points],Tabelle1324568910111213141516171619[Status],$H$5,Tabelle1324568910111213141516171619[Team],$C11)</f>
        <v>0</v>
      </c>
      <c r="I11" s="334">
        <f>SUMIFS(Tabelle1324568910111213141516171619[Jira Story Points],Tabelle1324568910111213141516171619[Status],$I$5,Tabelle1324568910111213141516171619[Team],$C11)</f>
        <v>0</v>
      </c>
      <c r="J11" s="334">
        <f>SUMIFS(Tabelle1324568910111213141516171619[Jira Story Points],Tabelle1324568910111213141516171619[Status],$J$5,Tabelle1324568910111213141516171619[Team],$C11)</f>
        <v>0</v>
      </c>
      <c r="K11" s="336">
        <f>SUMIFS(Tabelle1324568910111213141516171619[Jira Story Points],Tabelle1324568910111213141516171619[Team],$C11)</f>
        <v>0</v>
      </c>
      <c r="M11" s="334">
        <f>SUMIFS(Tabelle1324568910111213141516171619[COsSP Initially Planned],Tabelle1324568910111213141516171619[Team],$C11)</f>
        <v>0</v>
      </c>
      <c r="N11" s="334">
        <f>SUMIFS(Tabelle1324568910111213141516171619[COsSP Pulled after Start],Tabelle1324568910111213141516171619[Team],$C11)</f>
        <v>0</v>
      </c>
      <c r="O11" s="337">
        <f>SUMIFS(Tabelle1324568910111213141516171619[CSOsSP Completed],Tabelle1324568910111213141516171619[Team],$C11)</f>
        <v>0</v>
      </c>
      <c r="P11" s="337">
        <f>SUMIFS(Tabelle1324568910111213141516171619[CSOsSP Removed],Tabelle1324568910111213141516171619[Team],$C11)</f>
        <v>0</v>
      </c>
      <c r="Q11" s="338">
        <f>SUMIFS(Tabelle1324568910111213141516171619[CSOsSP Not Completed],Tabelle1324568910111213141516171619[Team],$C11)</f>
        <v>0</v>
      </c>
      <c r="R11" s="339" t="str">
        <f t="shared" si="0"/>
        <v xml:space="preserve"> </v>
      </c>
      <c r="T11" s="340"/>
    </row>
    <row r="12" spans="2:22" ht="13.5" customHeight="1">
      <c r="B12" s="415"/>
      <c r="C12" s="390" t="s">
        <v>17</v>
      </c>
      <c r="D12" s="391">
        <f>COUNTIFS(Tabelle1324568910111213141516171619[Team],$C12)</f>
        <v>20</v>
      </c>
      <c r="E12" s="392">
        <f>COUNTIFS(Tabelle1324568910111213141516171619[Team],$C12,Tabelle1324568910111213141516171619[Status],$E$5)</f>
        <v>13</v>
      </c>
      <c r="F12" s="393">
        <f>SUMIFS(Tabelle1324568910111213141516171619[Jira Story Points],Tabelle1324568910111213141516171619[Pulled after Start],"",Tabelle1324568910111213141516171619[Team],$C12)</f>
        <v>72</v>
      </c>
      <c r="G12" s="394">
        <f>SUMIFS(Tabelle1324568910111213141516171619[Jira Story Points],Tabelle1324568910111213141516171619[Pulled after Start],"yes",Tabelle1324568910111213141516171619[Team],$C12)</f>
        <v>0</v>
      </c>
      <c r="H12" s="395">
        <f>SUMIFS(Tabelle1324568910111213141516171619[Jira Story Points],Tabelle1324568910111213141516171619[Status],$H$5,Tabelle1324568910111213141516171619[Team],$C12)</f>
        <v>51</v>
      </c>
      <c r="I12" s="394">
        <f>SUMIFS(Tabelle1324568910111213141516171619[Jira Story Points],Tabelle1324568910111213141516171619[Status],$I$5,Tabelle1324568910111213141516171619[Team],$C12)</f>
        <v>21</v>
      </c>
      <c r="J12" s="394">
        <f>SUMIFS(Tabelle1324568910111213141516171619[Jira Story Points],Tabelle1324568910111213141516171619[Status],$J$5,Tabelle1324568910111213141516171619[Team],$C12)</f>
        <v>0</v>
      </c>
      <c r="K12" s="396">
        <f>SUMIFS(Tabelle1324568910111213141516171619[Jira Story Points],Tabelle1324568910111213141516171619[Team],$C12)</f>
        <v>72</v>
      </c>
      <c r="M12" s="334">
        <f>SUMIFS(Tabelle1324568910111213141516171619[COsSP Initially Planned],Tabelle1324568910111213141516171619[Team],$C12)</f>
        <v>62</v>
      </c>
      <c r="N12" s="334">
        <f>SUMIFS(Tabelle1324568910111213141516171619[COsSP Pulled after Start],Tabelle1324568910111213141516171619[Team],$C12)</f>
        <v>0</v>
      </c>
      <c r="O12" s="337">
        <f>SUMIFS(Tabelle1324568910111213141516171619[CSOsSP Completed],Tabelle1324568910111213141516171619[Team],$C12)</f>
        <v>41</v>
      </c>
      <c r="P12" s="337">
        <f>SUMIFS(Tabelle1324568910111213141516171619[CSOsSP Removed],Tabelle1324568910111213141516171619[Team],$C12)</f>
        <v>0</v>
      </c>
      <c r="Q12" s="338">
        <f>SUMIFS(Tabelle1324568910111213141516171619[CSOsSP Not Completed],Tabelle1324568910111213141516171619[Team],$C12)</f>
        <v>21</v>
      </c>
      <c r="R12" s="339">
        <f t="shared" si="0"/>
        <v>0.66129032258064513</v>
      </c>
      <c r="T12" s="340"/>
    </row>
    <row r="13" spans="2:22" ht="13.5" customHeight="1">
      <c r="B13" s="415"/>
      <c r="C13" s="342" t="s">
        <v>107</v>
      </c>
      <c r="D13" s="331">
        <f>COUNTIFS(Tabelle1324568910111213141516171619[Team],$C13)</f>
        <v>0</v>
      </c>
      <c r="E13" s="332">
        <f>COUNTIFS(Tabelle1324568910111213141516171619[Team],$C13,Tabelle1324568910111213141516171619[Status],$E$5)</f>
        <v>0</v>
      </c>
      <c r="F13" s="333">
        <f>SUMIFS(Tabelle1324568910111213141516171619[Jira Story Points],Tabelle1324568910111213141516171619[Pulled after Start],"",Tabelle1324568910111213141516171619[Team],$C13)</f>
        <v>0</v>
      </c>
      <c r="G13" s="334">
        <f>SUMIFS(Tabelle1324568910111213141516171619[Jira Story Points],Tabelle1324568910111213141516171619[Pulled after Start],"yes",Tabelle1324568910111213141516171619[Team],$C13)</f>
        <v>0</v>
      </c>
      <c r="H13" s="335">
        <f>SUMIFS(Tabelle1324568910111213141516171619[Jira Story Points],Tabelle1324568910111213141516171619[Status],$H$5,Tabelle1324568910111213141516171619[Team],$C13)</f>
        <v>0</v>
      </c>
      <c r="I13" s="334">
        <f>SUMIFS(Tabelle1324568910111213141516171619[Jira Story Points],Tabelle1324568910111213141516171619[Status],$I$5,Tabelle1324568910111213141516171619[Team],$C13)</f>
        <v>0</v>
      </c>
      <c r="J13" s="334">
        <f>SUMIFS(Tabelle1324568910111213141516171619[Jira Story Points],Tabelle1324568910111213141516171619[Status],$J$5,Tabelle1324568910111213141516171619[Team],$C13)</f>
        <v>0</v>
      </c>
      <c r="K13" s="336">
        <f>SUMIFS(Tabelle1324568910111213141516171619[Jira Story Points],Tabelle1324568910111213141516171619[Team],$C13)</f>
        <v>0</v>
      </c>
      <c r="M13" s="334">
        <f>SUMIFS(Tabelle1324568910111213141516171619[COsSP Initially Planned],Tabelle1324568910111213141516171619[Team],$C13)</f>
        <v>0</v>
      </c>
      <c r="N13" s="334">
        <f>SUMIFS(Tabelle1324568910111213141516171619[COsSP Pulled after Start],Tabelle1324568910111213141516171619[Team],$C13)</f>
        <v>0</v>
      </c>
      <c r="O13" s="337">
        <f>SUMIFS(Tabelle1324568910111213141516171619[CSOsSP Completed],Tabelle1324568910111213141516171619[Team],$C13)</f>
        <v>0</v>
      </c>
      <c r="P13" s="337">
        <f>SUMIFS(Tabelle1324568910111213141516171619[CSOsSP Removed],Tabelle1324568910111213141516171619[Team],$C13)</f>
        <v>0</v>
      </c>
      <c r="Q13" s="338">
        <f>SUMIFS(Tabelle1324568910111213141516171619[CSOsSP Not Completed],Tabelle1324568910111213141516171619[Team],$C13)</f>
        <v>0</v>
      </c>
      <c r="R13" s="339" t="str">
        <f t="shared" si="0"/>
        <v xml:space="preserve"> </v>
      </c>
      <c r="T13" s="340"/>
    </row>
    <row r="14" spans="2:22" ht="13.5" customHeight="1">
      <c r="B14" s="415"/>
      <c r="C14" s="338" t="s">
        <v>21</v>
      </c>
      <c r="D14" s="331">
        <f>COUNTIFS(Tabelle1324568910111213141516171619[Team],$C14)</f>
        <v>0</v>
      </c>
      <c r="E14" s="332">
        <f>COUNTIFS(Tabelle1324568910111213141516171619[Team],$C14,Tabelle1324568910111213141516171619[Status],$E$5)</f>
        <v>0</v>
      </c>
      <c r="F14" s="333">
        <f>SUMIFS(Tabelle1324568910111213141516171619[Jira Story Points],Tabelle1324568910111213141516171619[Pulled after Start],"",Tabelle1324568910111213141516171619[Team],$C14)</f>
        <v>0</v>
      </c>
      <c r="G14" s="334">
        <f>SUMIFS(Tabelle1324568910111213141516171619[Jira Story Points],Tabelle1324568910111213141516171619[Pulled after Start],"yes",Tabelle1324568910111213141516171619[Team],$C14)</f>
        <v>0</v>
      </c>
      <c r="H14" s="335">
        <f>SUMIFS(Tabelle1324568910111213141516171619[Jira Story Points],Tabelle1324568910111213141516171619[Status],$H$5,Tabelle1324568910111213141516171619[Team],$C14)</f>
        <v>0</v>
      </c>
      <c r="I14" s="334">
        <f>SUMIFS(Tabelle1324568910111213141516171619[Jira Story Points],Tabelle1324568910111213141516171619[Status],$I$5,Tabelle1324568910111213141516171619[Team],$C14)</f>
        <v>0</v>
      </c>
      <c r="J14" s="334">
        <f>SUMIFS(Tabelle1324568910111213141516171619[Jira Story Points],Tabelle1324568910111213141516171619[Status],$J$5,Tabelle1324568910111213141516171619[Team],$C14)</f>
        <v>0</v>
      </c>
      <c r="K14" s="336">
        <f>SUMIFS(Tabelle1324568910111213141516171619[Jira Story Points],Tabelle1324568910111213141516171619[Team],$C14)</f>
        <v>0</v>
      </c>
      <c r="M14" s="334">
        <f>SUMIFS(Tabelle1324568910111213141516171619[COsSP Initially Planned],Tabelle1324568910111213141516171619[Team],$C14)</f>
        <v>0</v>
      </c>
      <c r="N14" s="334">
        <f>SUMIFS(Tabelle1324568910111213141516171619[COsSP Pulled after Start],Tabelle1324568910111213141516171619[Team],$C14)</f>
        <v>0</v>
      </c>
      <c r="O14" s="337">
        <f>SUMIFS(Tabelle1324568910111213141516171619[CSOsSP Completed],Tabelle1324568910111213141516171619[Team],$C14)</f>
        <v>0</v>
      </c>
      <c r="P14" s="337">
        <f>SUMIFS(Tabelle1324568910111213141516171619[CSOsSP Removed],Tabelle1324568910111213141516171619[Team],$C14)</f>
        <v>0</v>
      </c>
      <c r="Q14" s="338">
        <f>SUMIFS(Tabelle1324568910111213141516171619[CSOsSP Not Completed],Tabelle1324568910111213141516171619[Team],$C14)</f>
        <v>0</v>
      </c>
      <c r="R14" s="339" t="str">
        <f t="shared" si="0"/>
        <v xml:space="preserve"> </v>
      </c>
      <c r="T14" s="340"/>
    </row>
    <row r="15" spans="2:22" ht="13.5" customHeight="1">
      <c r="B15" s="415"/>
      <c r="C15" s="338" t="s">
        <v>9</v>
      </c>
      <c r="D15" s="331">
        <f>COUNTIFS(Tabelle1324568910111213141516171619[Team],$C15)</f>
        <v>0</v>
      </c>
      <c r="E15" s="332">
        <f>COUNTIFS(Tabelle1324568910111213141516171619[Team],$C15,Tabelle1324568910111213141516171619[Status],$E$5)</f>
        <v>0</v>
      </c>
      <c r="F15" s="333">
        <f>SUMIFS(Tabelle1324568910111213141516171619[Jira Story Points],Tabelle1324568910111213141516171619[Pulled after Start],"",Tabelle1324568910111213141516171619[Team],$C15)</f>
        <v>0</v>
      </c>
      <c r="G15" s="334">
        <f>SUMIFS(Tabelle1324568910111213141516171619[Jira Story Points],Tabelle1324568910111213141516171619[Pulled after Start],"yes",Tabelle1324568910111213141516171619[Team],$C15)</f>
        <v>0</v>
      </c>
      <c r="H15" s="335">
        <f>SUMIFS(Tabelle1324568910111213141516171619[Jira Story Points],Tabelle1324568910111213141516171619[Status],$H$5,Tabelle1324568910111213141516171619[Team],$C15)</f>
        <v>0</v>
      </c>
      <c r="I15" s="334">
        <f>SUMIFS(Tabelle1324568910111213141516171619[Jira Story Points],Tabelle1324568910111213141516171619[Status],$I$5,Tabelle1324568910111213141516171619[Team],$C15)</f>
        <v>0</v>
      </c>
      <c r="J15" s="334">
        <f>SUMIFS(Tabelle1324568910111213141516171619[Jira Story Points],Tabelle1324568910111213141516171619[Status],$J$5,Tabelle1324568910111213141516171619[Team],$C15)</f>
        <v>0</v>
      </c>
      <c r="K15" s="336">
        <f>SUMIFS(Tabelle1324568910111213141516171619[Jira Story Points],Tabelle1324568910111213141516171619[Team],$C15)</f>
        <v>0</v>
      </c>
      <c r="M15" s="334">
        <f>SUMIFS(Tabelle1324568910111213141516171619[COsSP Initially Planned],Tabelle1324568910111213141516171619[Team],$C15)</f>
        <v>0</v>
      </c>
      <c r="N15" s="334">
        <f>SUMIFS(Tabelle1324568910111213141516171619[COsSP Pulled after Start],Tabelle1324568910111213141516171619[Team],$C15)</f>
        <v>0</v>
      </c>
      <c r="O15" s="337">
        <f>SUMIFS(Tabelle1324568910111213141516171619[CSOsSP Completed],Tabelle1324568910111213141516171619[Team],$C15)</f>
        <v>0</v>
      </c>
      <c r="P15" s="337">
        <f>SUMIFS(Tabelle1324568910111213141516171619[CSOsSP Removed],Tabelle1324568910111213141516171619[Team],$C15)</f>
        <v>0</v>
      </c>
      <c r="Q15" s="338">
        <f>SUMIFS(Tabelle1324568910111213141516171619[CSOsSP Not Completed],Tabelle1324568910111213141516171619[Team],$C15)</f>
        <v>0</v>
      </c>
      <c r="R15" s="339" t="str">
        <f t="shared" si="0"/>
        <v xml:space="preserve"> </v>
      </c>
      <c r="T15" s="340"/>
    </row>
    <row r="16" spans="2:22" ht="13.5" customHeight="1" thickBot="1">
      <c r="C16" s="343" t="s">
        <v>172</v>
      </c>
      <c r="D16" s="344">
        <f t="shared" ref="D16:K16" si="1">SUM(D6:D13)</f>
        <v>105</v>
      </c>
      <c r="E16" s="345">
        <f t="shared" si="1"/>
        <v>80</v>
      </c>
      <c r="F16" s="344">
        <f t="shared" si="1"/>
        <v>241</v>
      </c>
      <c r="G16" s="346">
        <f t="shared" si="1"/>
        <v>117</v>
      </c>
      <c r="H16" s="347">
        <f t="shared" si="1"/>
        <v>277</v>
      </c>
      <c r="I16" s="347">
        <f t="shared" si="1"/>
        <v>71</v>
      </c>
      <c r="J16" s="347">
        <f t="shared" si="1"/>
        <v>10</v>
      </c>
      <c r="K16" s="348">
        <f t="shared" si="1"/>
        <v>358</v>
      </c>
      <c r="M16" s="349">
        <f>SUM(M6:M13)</f>
        <v>215</v>
      </c>
      <c r="N16" s="325">
        <f>SUM(N6:N13)</f>
        <v>117</v>
      </c>
      <c r="O16" s="328">
        <f>SUM(O6:O13)</f>
        <v>255</v>
      </c>
      <c r="P16" s="328">
        <f>SUM(P6:P13)</f>
        <v>6</v>
      </c>
      <c r="Q16" s="350">
        <f>SUM(Q6:Q13)</f>
        <v>71</v>
      </c>
      <c r="R16" s="351" t="s">
        <v>185</v>
      </c>
      <c r="T16" s="352"/>
      <c r="U16" s="352"/>
      <c r="V16" s="352"/>
    </row>
    <row r="17" spans="1:22" ht="13.5" customHeight="1">
      <c r="T17" s="354"/>
      <c r="U17" s="354"/>
      <c r="V17" s="354"/>
    </row>
    <row r="18" spans="1:22" ht="13.5" customHeight="1">
      <c r="T18" s="354"/>
      <c r="U18" s="354"/>
      <c r="V18" s="354"/>
    </row>
    <row r="19" spans="1:22" ht="13.5" customHeight="1">
      <c r="T19" s="354"/>
      <c r="U19" s="354"/>
      <c r="V19" s="354"/>
    </row>
    <row r="20" spans="1:22" ht="13.5" customHeight="1">
      <c r="T20" s="354"/>
      <c r="U20" s="354"/>
      <c r="V20" s="354"/>
    </row>
    <row r="21" spans="1:22" ht="13.5" customHeight="1">
      <c r="C21" s="356" t="s">
        <v>186</v>
      </c>
      <c r="D21" s="357"/>
      <c r="E21" s="357"/>
      <c r="F21" s="357"/>
      <c r="G21" s="357"/>
      <c r="H21" s="357"/>
      <c r="I21" s="357"/>
      <c r="J21" s="357"/>
      <c r="K21" s="357"/>
      <c r="L21" s="357"/>
      <c r="M21" s="357"/>
      <c r="N21" s="357"/>
      <c r="O21" s="357"/>
      <c r="T21" s="354"/>
      <c r="U21" s="354"/>
      <c r="V21" s="354"/>
    </row>
    <row r="22" spans="1:22" ht="13.5" customHeight="1">
      <c r="C22" s="318"/>
      <c r="D22" s="436" t="s">
        <v>187</v>
      </c>
      <c r="E22" s="436"/>
      <c r="F22" s="436" t="s">
        <v>106</v>
      </c>
      <c r="G22" s="436"/>
      <c r="H22" s="436" t="s">
        <v>172</v>
      </c>
      <c r="I22" s="436"/>
      <c r="J22" s="437" t="s">
        <v>188</v>
      </c>
      <c r="K22" s="437"/>
      <c r="L22" s="437" t="s">
        <v>189</v>
      </c>
      <c r="M22" s="437"/>
      <c r="N22" s="427" t="s">
        <v>172</v>
      </c>
      <c r="O22" s="427"/>
    </row>
    <row r="23" spans="1:22" ht="13.5" customHeight="1">
      <c r="C23" s="318"/>
      <c r="D23" s="358" t="s">
        <v>190</v>
      </c>
      <c r="E23" s="359" t="s">
        <v>191</v>
      </c>
      <c r="F23" s="358" t="s">
        <v>190</v>
      </c>
      <c r="G23" s="359" t="s">
        <v>191</v>
      </c>
      <c r="H23" s="359" t="s">
        <v>190</v>
      </c>
      <c r="I23" s="359" t="s">
        <v>191</v>
      </c>
      <c r="J23" s="360" t="s">
        <v>190</v>
      </c>
      <c r="K23" s="361" t="s">
        <v>191</v>
      </c>
      <c r="L23" s="362" t="s">
        <v>190</v>
      </c>
      <c r="M23" s="362" t="s">
        <v>191</v>
      </c>
      <c r="N23" s="362" t="s">
        <v>190</v>
      </c>
      <c r="O23" s="362" t="s">
        <v>191</v>
      </c>
    </row>
    <row r="24" spans="1:22" ht="13.5" customHeight="1">
      <c r="C24" s="363" t="s">
        <v>192</v>
      </c>
      <c r="D24" s="335">
        <f>COUNTIFS(Tabelle1324568910111213141516171619[Team],"*",Tabelle1324568910111213141516171619[Pulled after Start],"&lt;&gt;yes")</f>
        <v>67</v>
      </c>
      <c r="E24" s="335">
        <f>SUMIFS(Tabelle1324568910111213141516171619[Jira Story Points],Tabelle1324568910111213141516171619[Team],"*",Tabelle1324568910111213141516171619[Pulled after Start],"&lt;&gt;yes")+COUNTIFS(Tabelle1324568910111213141516171619[Team],"*",Tabelle1324568910111213141516171619[Jira Story Points],"-",Tabelle1324568910111213141516171619[Pulled after Start],"&lt;&gt;yes")*$M$28</f>
        <v>247</v>
      </c>
      <c r="F24" s="335">
        <f>COUNTIF(Tabelle1324568910111213141516171619[Pulled after Start],"yes")</f>
        <v>38</v>
      </c>
      <c r="G24" s="335">
        <f>SUMIFS(Tabelle1324568910111213141516171619[Jira Story Points],Tabelle1324568910111213141516171619[Team],"*",Tabelle1324568910111213141516171619[Pulled after Start],"yes")+COUNTIFS(Tabelle1324568910111213141516171619[Team],"*",Tabelle1324568910111213141516171619[Jira Story Points],"-",Tabelle1324568910111213141516171619[Pulled after Start],"yes")*$M$28</f>
        <v>119</v>
      </c>
      <c r="H24" s="335">
        <f t="shared" ref="H24:I27" si="2">D24+F24</f>
        <v>105</v>
      </c>
      <c r="I24" s="335">
        <f t="shared" si="2"/>
        <v>366</v>
      </c>
      <c r="J24" s="335">
        <f>COUNTIFS(Tabelle1324568910111213141516171619[Team],"*",Tabelle1324568910111213141516171619[Jira Story Points],"&lt;&gt;-")</f>
        <v>101</v>
      </c>
      <c r="K24" s="364">
        <f>SUMIFS(Tabelle1324568910111213141516171619[Jira Story Points],Tabelle1324568910111213141516171619[Team],"*",Tabelle1324568910111213141516171619[Jira Story Points],"&lt;&gt;-")</f>
        <v>358</v>
      </c>
      <c r="L24" s="365">
        <f>COUNTIFS(Tabelle1324568910111213141516171619[Team],"*",Tabelle1324568910111213141516171619[Jira Story Points],"-")</f>
        <v>4</v>
      </c>
      <c r="M24" s="365">
        <f>L24*$M$28</f>
        <v>8</v>
      </c>
      <c r="N24" s="366">
        <f t="shared" ref="N24:O27" si="3">J24+L24</f>
        <v>105</v>
      </c>
      <c r="O24" s="335">
        <f t="shared" si="3"/>
        <v>366</v>
      </c>
    </row>
    <row r="25" spans="1:22" ht="13.5" customHeight="1">
      <c r="C25" s="363" t="s">
        <v>125</v>
      </c>
      <c r="D25" s="335">
        <f>COUNTIFS(Tabelle1324568910111213141516171619[Team],"*",Tabelle1324568910111213141516171619[Pulled after Start],"&lt;&gt;yes",Tabelle1324568910111213141516171619[Status],H5)</f>
        <v>50</v>
      </c>
      <c r="E25" s="335">
        <f>SUMIFS(Tabelle1324568910111213141516171619[Jira Story Points],Tabelle1324568910111213141516171619[Team],"*",Tabelle1324568910111213141516171619[Pulled after Start],"&lt;&gt;yes",Tabelle1324568910111213141516171619[Status],H5)+COUNTIFS(Tabelle1324568910111213141516171619[Team],"*",Tabelle1324568910111213141516171619[Jira Story Points],"-",Tabelle1324568910111213141516171619[Pulled after Start],"&lt;&gt;yes",Tabelle1324568910111213141516171619[Status],H5)*$M$28</f>
        <v>184</v>
      </c>
      <c r="F25" s="335">
        <f>COUNTIFS(Tabelle1324568910111213141516171619[Pulled after Start],"yes",Tabelle1324568910111213141516171619[Status],H5)</f>
        <v>30</v>
      </c>
      <c r="G25" s="335">
        <f>SUMIFS(Tabelle1324568910111213141516171619[Jira Story Points],Tabelle1324568910111213141516171619[Team],"*",Tabelle1324568910111213141516171619[Pulled after Start],"yes",Tabelle1324568910111213141516171619[Status],H5)+COUNTIFS(Tabelle1324568910111213141516171619[Team],"*",Tabelle1324568910111213141516171619[Jira Story Points],"-",Tabelle1324568910111213141516171619[Pulled after Start],"yes",Tabelle1324568910111213141516171619[Status],H5)*$M$28</f>
        <v>93</v>
      </c>
      <c r="H25" s="335">
        <f t="shared" si="2"/>
        <v>80</v>
      </c>
      <c r="I25" s="335">
        <f t="shared" si="2"/>
        <v>277</v>
      </c>
      <c r="J25" s="335">
        <f>COUNTIFS(Tabelle1324568910111213141516171619[Team],"*",Tabelle1324568910111213141516171619[Jira Story Points],"&lt;&gt;-",Tabelle1324568910111213141516171619[Status],H5)</f>
        <v>80</v>
      </c>
      <c r="K25" s="335">
        <f>SUMIFS(Tabelle1324568910111213141516171619[Jira Story Points],Tabelle1324568910111213141516171619[Team],"*",Tabelle1324568910111213141516171619[Jira Story Points],"&lt;&gt;-",Tabelle1324568910111213141516171619[Status],H5)</f>
        <v>277</v>
      </c>
      <c r="L25" s="367">
        <f>COUNTIFS(Tabelle1324568910111213141516171619[Team],"*",Tabelle1324568910111213141516171619[Jira Story Points],"-",Tabelle1324568910111213141516171619[Status],H5)</f>
        <v>0</v>
      </c>
      <c r="M25" s="365">
        <f>L25*$M$28</f>
        <v>0</v>
      </c>
      <c r="N25" s="335">
        <f t="shared" si="3"/>
        <v>80</v>
      </c>
      <c r="O25" s="335">
        <f t="shared" si="3"/>
        <v>277</v>
      </c>
    </row>
    <row r="26" spans="1:22" ht="13.5" customHeight="1">
      <c r="C26" s="363" t="s">
        <v>127</v>
      </c>
      <c r="D26" s="335">
        <f>COUNTIFS(Tabelle1324568910111213141516171619[Team],"*",Tabelle1324568910111213141516171619[Pulled after Start],"&lt;&gt;yes",Tabelle1324568910111213141516171619[Status],I5)</f>
        <v>13</v>
      </c>
      <c r="E26" s="335">
        <f>SUMIFS(Tabelle1324568910111213141516171619[Jira Story Points],Tabelle1324568910111213141516171619[Team],"*",Tabelle1324568910111213141516171619[Pulled after Start],"&lt;&gt;yes",Tabelle1324568910111213141516171619[Status],I5)+COUNTIFS(Tabelle1324568910111213141516171619[Team],"*",Tabelle1324568910111213141516171619[Jira Story Points],"-",Tabelle1324568910111213141516171619[Pulled after Start],"&lt;&gt;yes",Tabelle1324568910111213141516171619[Status],I5)*$M$28</f>
        <v>49</v>
      </c>
      <c r="F26" s="335">
        <f>COUNTIFS(Tabelle1324568910111213141516171619[Pulled after Start],"yes",Tabelle1324568910111213141516171619[Status],I5)</f>
        <v>7</v>
      </c>
      <c r="G26" s="335">
        <f>SUMIFS(Tabelle1324568910111213141516171619[Jira Story Points],Tabelle1324568910111213141516171619[Team],"*",Tabelle1324568910111213141516171619[Pulled after Start],"yes",Tabelle1324568910111213141516171619[Status],I5)+COUNTIFS(Tabelle1324568910111213141516171619[Team],"*",Tabelle1324568910111213141516171619[Jira Story Points],"-",Tabelle1324568910111213141516171619[Pulled after Start],"yes",Tabelle1324568910111213141516171619[Status],I5)*$M$28</f>
        <v>24</v>
      </c>
      <c r="H26" s="335">
        <f t="shared" si="2"/>
        <v>20</v>
      </c>
      <c r="I26" s="335">
        <f t="shared" si="2"/>
        <v>73</v>
      </c>
      <c r="J26" s="335">
        <f>COUNTIFS(Tabelle1324568910111213141516171619[Team],"*",Tabelle1324568910111213141516171619[Jira Story Points],"&lt;&gt;-",Tabelle1324568910111213141516171619[Status],I5)</f>
        <v>19</v>
      </c>
      <c r="K26" s="335">
        <f>SUMIFS(Tabelle1324568910111213141516171619[Jira Story Points],Tabelle1324568910111213141516171619[Team],"*",Tabelle1324568910111213141516171619[Jira Story Points],"&lt;&gt;-",Tabelle1324568910111213141516171619[Status],I5)</f>
        <v>71</v>
      </c>
      <c r="L26" s="367">
        <f>COUNTIFS(Tabelle1324568910111213141516171619[Team],"*",Tabelle1324568910111213141516171619[Jira Story Points],"-",Tabelle1324568910111213141516171619[Status],I5)</f>
        <v>1</v>
      </c>
      <c r="M26" s="365">
        <f>L26*$M$28</f>
        <v>2</v>
      </c>
      <c r="N26" s="335">
        <f t="shared" si="3"/>
        <v>20</v>
      </c>
      <c r="O26" s="335">
        <f t="shared" si="3"/>
        <v>73</v>
      </c>
    </row>
    <row r="27" spans="1:22" ht="13.5" customHeight="1">
      <c r="C27" s="363" t="s">
        <v>126</v>
      </c>
      <c r="D27" s="335">
        <f>COUNTIFS(Tabelle1324568910111213141516171619[Team],"*",Tabelle1324568910111213141516171619[Pulled after Start],"&lt;&gt;yes",Tabelle1324568910111213141516171619[Status],J5)</f>
        <v>4</v>
      </c>
      <c r="E27" s="335">
        <f>SUMIFS(Tabelle1324568910111213141516171619[Jira Story Points],Tabelle1324568910111213141516171619[Team],"*",Tabelle1324568910111213141516171619[Pulled after Start],"&lt;&gt;yes",Tabelle1324568910111213141516171619[Status],J5)+COUNTIFS(Tabelle1324568910111213141516171619[Team],"*",Tabelle1324568910111213141516171619[Jira Story Points],"-",Tabelle1324568910111213141516171619[Pulled after Start],"&lt;&gt;yes",Tabelle1324568910111213141516171619[Status],J5)*$M$28</f>
        <v>14</v>
      </c>
      <c r="F27" s="335">
        <f>COUNTIFS(Tabelle1324568910111213141516171619[Pulled after Start],"yes",Tabelle1324568910111213141516171619[Status],J5)</f>
        <v>1</v>
      </c>
      <c r="G27" s="335">
        <f>SUMIFS(Tabelle1324568910111213141516171619[Jira Story Points],Tabelle1324568910111213141516171619[Team],"*",Tabelle1324568910111213141516171619[Pulled after Start],"yes",Tabelle1324568910111213141516171619[Status],J5)+COUNTIFS(Tabelle1324568910111213141516171619[Team],"*",Tabelle1324568910111213141516171619[Jira Story Points],"-",Tabelle1324568910111213141516171619[Pulled after Start],"yes",Tabelle1324568910111213141516171619[Status],J5)*$M$28</f>
        <v>2</v>
      </c>
      <c r="H27" s="335">
        <f t="shared" si="2"/>
        <v>5</v>
      </c>
      <c r="I27" s="335">
        <f t="shared" si="2"/>
        <v>16</v>
      </c>
      <c r="J27" s="335">
        <f>COUNTIFS(Tabelle1324568910111213141516171619[Team],"*",Tabelle1324568910111213141516171619[Jira Story Points],"&lt;&gt;-",Tabelle1324568910111213141516171619[Status],J5)</f>
        <v>2</v>
      </c>
      <c r="K27" s="335">
        <f>SUMIFS(Tabelle1324568910111213141516171619[Jira Story Points],Tabelle1324568910111213141516171619[Team],"*",Tabelle1324568910111213141516171619[Jira Story Points],"&lt;&gt;-",Tabelle1324568910111213141516171619[Status],J5)</f>
        <v>10</v>
      </c>
      <c r="L27" s="367">
        <f>COUNTIFS(Tabelle1324568910111213141516171619[Team],"*",Tabelle1324568910111213141516171619[Jira Story Points],"-",Tabelle1324568910111213141516171619[Status],J5)</f>
        <v>3</v>
      </c>
      <c r="M27" s="365">
        <f>L27*$M$28</f>
        <v>6</v>
      </c>
      <c r="N27" s="335">
        <f t="shared" si="3"/>
        <v>5</v>
      </c>
      <c r="O27" s="335">
        <f t="shared" si="3"/>
        <v>16</v>
      </c>
    </row>
    <row r="28" spans="1:22" ht="13.5" customHeight="1" thickBot="1">
      <c r="C28" s="315"/>
      <c r="D28" s="315"/>
      <c r="E28" s="315"/>
      <c r="F28" s="315"/>
      <c r="G28" s="315"/>
      <c r="H28" s="315"/>
      <c r="I28" s="315"/>
      <c r="J28" s="315"/>
      <c r="K28" s="315"/>
      <c r="L28" s="368" t="s">
        <v>193</v>
      </c>
      <c r="M28" s="369">
        <v>2</v>
      </c>
    </row>
    <row r="29" spans="1:22" ht="13.5" customHeight="1" thickTop="1"/>
    <row r="31" spans="1:22" s="374" customFormat="1" ht="30.75" customHeight="1">
      <c r="A31" s="370" t="s">
        <v>194</v>
      </c>
      <c r="B31" s="370" t="s">
        <v>195</v>
      </c>
      <c r="C31" s="370" t="s">
        <v>196</v>
      </c>
      <c r="D31" s="370" t="s">
        <v>197</v>
      </c>
      <c r="E31" s="370" t="s">
        <v>198</v>
      </c>
      <c r="F31" s="370" t="s">
        <v>199</v>
      </c>
      <c r="G31" s="370" t="s">
        <v>167</v>
      </c>
      <c r="H31" s="370" t="s">
        <v>106</v>
      </c>
      <c r="I31" s="370" t="s">
        <v>200</v>
      </c>
      <c r="J31" s="370" t="s">
        <v>168</v>
      </c>
      <c r="K31" s="370" t="s">
        <v>201</v>
      </c>
      <c r="L31" s="370" t="s">
        <v>202</v>
      </c>
      <c r="M31" s="370" t="s">
        <v>203</v>
      </c>
      <c r="N31" s="371" t="s">
        <v>204</v>
      </c>
      <c r="O31" s="372" t="s">
        <v>205</v>
      </c>
      <c r="P31" s="372" t="s">
        <v>206</v>
      </c>
      <c r="Q31" s="373" t="s">
        <v>207</v>
      </c>
      <c r="R31" s="372" t="s">
        <v>208</v>
      </c>
    </row>
    <row r="32" spans="1:22" ht="13.5" customHeight="1">
      <c r="A32" s="202" t="s">
        <v>213</v>
      </c>
      <c r="B32" t="s">
        <v>214</v>
      </c>
      <c r="C32" s="203" t="s">
        <v>215</v>
      </c>
      <c r="D32" s="203">
        <v>1</v>
      </c>
      <c r="E32" s="203" t="s">
        <v>216</v>
      </c>
      <c r="F32" s="204">
        <v>5</v>
      </c>
      <c r="G32" s="203" t="s">
        <v>12</v>
      </c>
      <c r="H32" s="205" t="s">
        <v>209</v>
      </c>
      <c r="I32" s="206" t="s">
        <v>217</v>
      </c>
      <c r="J32" s="206"/>
      <c r="K32" s="203" t="s">
        <v>125</v>
      </c>
      <c r="L32" s="204"/>
      <c r="M32" s="204"/>
      <c r="N32" s="378">
        <f>IF(OR(Tabelle1324568910111213141516171619[[#This Row],[Pulled after Start]]="yes",Tabelle1324568910111213141516171619[[#This Row],[Jira Story Points]]="-"),0,MIN(Tabelle1324568910111213141516171619[[#This Row],[Jira Story Points]],Tabelle1324568910111213141516171619[[#This Row],[Carry-over]]))</f>
        <v>0</v>
      </c>
      <c r="O32" s="379">
        <f>SUM(IF(ISBLANK(Tabelle1324568910111213141516171619[[#This Row],[Carry-over]]),Tabelle1324568910111213141516171619[[#This Row],[Jira Story Points]],Tabelle1324568910111213141516171619[[#This Row],[Carry-over]]),-Tabelle1324568910111213141516171619[[#This Row],[COsSP Initially Planned]])</f>
        <v>5</v>
      </c>
      <c r="P3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5</v>
      </c>
      <c r="Q32" s="379">
        <f>IF(Tabelle1324568910111213141516171619[[#This Row],[Status]]=$J$5,Tabelle1324568910111213141516171619[[#This Row],[COsSP Initially Planned]]+Tabelle1324568910111213141516171619[[#This Row],[COsSP Pulled after Start]]-Tabelle1324568910111213141516171619[[#This Row],[CSOsSP Completed]],0)</f>
        <v>0</v>
      </c>
      <c r="R32" s="379">
        <f>Tabelle1324568910111213141516171619[[#This Row],[COsSP Initially Planned]]+Tabelle1324568910111213141516171619[[#This Row],[COsSP Pulled after Start]]-Tabelle1324568910111213141516171619[[#This Row],[CSOsSP Completed]]-Tabelle1324568910111213141516171619[[#This Row],[CSOsSP Removed]]</f>
        <v>0</v>
      </c>
    </row>
    <row r="33" spans="1:18" ht="13.5" customHeight="1">
      <c r="A33" s="202" t="s">
        <v>218</v>
      </c>
      <c r="B33" t="s">
        <v>219</v>
      </c>
      <c r="C33" s="375" t="s">
        <v>215</v>
      </c>
      <c r="D33" s="375">
        <v>1</v>
      </c>
      <c r="E33" s="375" t="s">
        <v>216</v>
      </c>
      <c r="F33" s="376">
        <v>3</v>
      </c>
      <c r="G33" s="375" t="s">
        <v>12</v>
      </c>
      <c r="H33" s="380" t="s">
        <v>209</v>
      </c>
      <c r="I33" s="377" t="s">
        <v>217</v>
      </c>
      <c r="J33" s="377"/>
      <c r="K33" s="375" t="s">
        <v>125</v>
      </c>
      <c r="L33" s="376"/>
      <c r="M33" s="376"/>
      <c r="N33" s="378">
        <f>IF(OR(Tabelle1324568910111213141516171619[[#This Row],[Pulled after Start]]="yes",Tabelle1324568910111213141516171619[[#This Row],[Jira Story Points]]="-"),0,MIN(Tabelle1324568910111213141516171619[[#This Row],[Jira Story Points]],Tabelle1324568910111213141516171619[[#This Row],[Carry-over]]))</f>
        <v>0</v>
      </c>
      <c r="O33" s="379">
        <f>SUM(IF(ISBLANK(Tabelle1324568910111213141516171619[[#This Row],[Carry-over]]),Tabelle1324568910111213141516171619[[#This Row],[Jira Story Points]],Tabelle1324568910111213141516171619[[#This Row],[Carry-over]]),-Tabelle1324568910111213141516171619[[#This Row],[COsSP Initially Planned]])</f>
        <v>3</v>
      </c>
      <c r="P3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33" s="379">
        <f>IF(Tabelle1324568910111213141516171619[[#This Row],[Status]]=$J$5,Tabelle1324568910111213141516171619[[#This Row],[COsSP Initially Planned]]+Tabelle1324568910111213141516171619[[#This Row],[COsSP Pulled after Start]]-Tabelle1324568910111213141516171619[[#This Row],[CSOsSP Completed]],0)</f>
        <v>0</v>
      </c>
      <c r="R33" s="379">
        <f>Tabelle1324568910111213141516171619[[#This Row],[COsSP Initially Planned]]+Tabelle1324568910111213141516171619[[#This Row],[COsSP Pulled after Start]]-Tabelle1324568910111213141516171619[[#This Row],[CSOsSP Completed]]-Tabelle1324568910111213141516171619[[#This Row],[CSOsSP Removed]]</f>
        <v>0</v>
      </c>
    </row>
    <row r="34" spans="1:18" s="374" customFormat="1" ht="15">
      <c r="A34" s="202" t="s">
        <v>220</v>
      </c>
      <c r="B34" t="s">
        <v>221</v>
      </c>
      <c r="C34" s="375" t="s">
        <v>222</v>
      </c>
      <c r="D34" s="375">
        <v>3</v>
      </c>
      <c r="E34" s="375" t="s">
        <v>216</v>
      </c>
      <c r="F34" s="376">
        <v>3</v>
      </c>
      <c r="G34" s="375" t="s">
        <v>12</v>
      </c>
      <c r="H34" s="380"/>
      <c r="I34" s="377" t="s">
        <v>217</v>
      </c>
      <c r="J34" s="202" t="s">
        <v>223</v>
      </c>
      <c r="K34" s="375" t="s">
        <v>125</v>
      </c>
      <c r="L34" s="376">
        <v>0</v>
      </c>
      <c r="M34" s="376"/>
      <c r="N34" s="378">
        <f>IF(OR(Tabelle1324568910111213141516171619[[#This Row],[Pulled after Start]]="yes",Tabelle1324568910111213141516171619[[#This Row],[Jira Story Points]]="-"),0,MIN(Tabelle1324568910111213141516171619[[#This Row],[Jira Story Points]],Tabelle1324568910111213141516171619[[#This Row],[Carry-over]]))</f>
        <v>0</v>
      </c>
      <c r="O34" s="379">
        <f>SUM(IF(ISBLANK(Tabelle1324568910111213141516171619[[#This Row],[Carry-over]]),Tabelle1324568910111213141516171619[[#This Row],[Jira Story Points]],Tabelle1324568910111213141516171619[[#This Row],[Carry-over]]),-Tabelle1324568910111213141516171619[[#This Row],[COsSP Initially Planned]])</f>
        <v>0</v>
      </c>
      <c r="P3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4" s="379">
        <f>IF(Tabelle1324568910111213141516171619[[#This Row],[Status]]=$J$5,Tabelle1324568910111213141516171619[[#This Row],[COsSP Initially Planned]]+Tabelle1324568910111213141516171619[[#This Row],[COsSP Pulled after Start]]-Tabelle1324568910111213141516171619[[#This Row],[CSOsSP Completed]],0)</f>
        <v>0</v>
      </c>
      <c r="R34" s="379">
        <f>Tabelle1324568910111213141516171619[[#This Row],[COsSP Initially Planned]]+Tabelle1324568910111213141516171619[[#This Row],[COsSP Pulled after Start]]-Tabelle1324568910111213141516171619[[#This Row],[CSOsSP Completed]]-Tabelle1324568910111213141516171619[[#This Row],[CSOsSP Removed]]</f>
        <v>0</v>
      </c>
    </row>
    <row r="35" spans="1:18" ht="13.5" customHeight="1">
      <c r="A35" s="202" t="s">
        <v>224</v>
      </c>
      <c r="B35" t="s">
        <v>225</v>
      </c>
      <c r="C35" s="375" t="s">
        <v>222</v>
      </c>
      <c r="D35" s="375">
        <v>3</v>
      </c>
      <c r="E35" s="375" t="s">
        <v>226</v>
      </c>
      <c r="F35" s="376">
        <v>5</v>
      </c>
      <c r="G35" s="375" t="s">
        <v>12</v>
      </c>
      <c r="H35" s="380"/>
      <c r="I35" s="377" t="s">
        <v>227</v>
      </c>
      <c r="J35" s="202" t="s">
        <v>228</v>
      </c>
      <c r="K35" s="375" t="s">
        <v>125</v>
      </c>
      <c r="L35" s="376">
        <v>2</v>
      </c>
      <c r="M35" s="376"/>
      <c r="N35" s="378">
        <f>IF(OR(Tabelle1324568910111213141516171619[[#This Row],[Pulled after Start]]="yes",Tabelle1324568910111213141516171619[[#This Row],[Jira Story Points]]="-"),0,MIN(Tabelle1324568910111213141516171619[[#This Row],[Jira Story Points]],Tabelle1324568910111213141516171619[[#This Row],[Carry-over]]))</f>
        <v>2</v>
      </c>
      <c r="O35" s="379">
        <f>SUM(IF(ISBLANK(Tabelle1324568910111213141516171619[[#This Row],[Carry-over]]),Tabelle1324568910111213141516171619[[#This Row],[Jira Story Points]],Tabelle1324568910111213141516171619[[#This Row],[Carry-over]]),-Tabelle1324568910111213141516171619[[#This Row],[COsSP Initially Planned]])</f>
        <v>0</v>
      </c>
      <c r="P3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2</v>
      </c>
      <c r="Q35" s="379">
        <f>IF(Tabelle1324568910111213141516171619[[#This Row],[Status]]=$J$5,Tabelle1324568910111213141516171619[[#This Row],[COsSP Initially Planned]]+Tabelle1324568910111213141516171619[[#This Row],[COsSP Pulled after Start]]-Tabelle1324568910111213141516171619[[#This Row],[CSOsSP Completed]],0)</f>
        <v>0</v>
      </c>
      <c r="R35" s="379">
        <f>Tabelle1324568910111213141516171619[[#This Row],[COsSP Initially Planned]]+Tabelle1324568910111213141516171619[[#This Row],[COsSP Pulled after Start]]-Tabelle1324568910111213141516171619[[#This Row],[CSOsSP Completed]]-Tabelle1324568910111213141516171619[[#This Row],[CSOsSP Removed]]</f>
        <v>0</v>
      </c>
    </row>
    <row r="36" spans="1:18" ht="13.5" customHeight="1">
      <c r="A36" s="202" t="s">
        <v>229</v>
      </c>
      <c r="B36" t="s">
        <v>230</v>
      </c>
      <c r="C36" s="375" t="s">
        <v>215</v>
      </c>
      <c r="D36" s="375">
        <v>2</v>
      </c>
      <c r="E36" s="375" t="s">
        <v>216</v>
      </c>
      <c r="F36" s="376">
        <v>2</v>
      </c>
      <c r="G36" s="375" t="s">
        <v>12</v>
      </c>
      <c r="H36" s="380"/>
      <c r="I36" s="377" t="s">
        <v>231</v>
      </c>
      <c r="J36" s="377"/>
      <c r="K36" s="375" t="s">
        <v>125</v>
      </c>
      <c r="L36" s="376"/>
      <c r="M36" s="376"/>
      <c r="N36" s="378">
        <f>IF(OR(Tabelle1324568910111213141516171619[[#This Row],[Pulled after Start]]="yes",Tabelle1324568910111213141516171619[[#This Row],[Jira Story Points]]="-"),0,MIN(Tabelle1324568910111213141516171619[[#This Row],[Jira Story Points]],Tabelle1324568910111213141516171619[[#This Row],[Carry-over]]))</f>
        <v>2</v>
      </c>
      <c r="O36" s="379">
        <f>SUM(IF(ISBLANK(Tabelle1324568910111213141516171619[[#This Row],[Carry-over]]),Tabelle1324568910111213141516171619[[#This Row],[Jira Story Points]],Tabelle1324568910111213141516171619[[#This Row],[Carry-over]]),-Tabelle1324568910111213141516171619[[#This Row],[COsSP Initially Planned]])</f>
        <v>0</v>
      </c>
      <c r="P3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2</v>
      </c>
      <c r="Q36" s="379">
        <f>IF(Tabelle1324568910111213141516171619[[#This Row],[Status]]=$J$5,Tabelle1324568910111213141516171619[[#This Row],[COsSP Initially Planned]]+Tabelle1324568910111213141516171619[[#This Row],[COsSP Pulled after Start]]-Tabelle1324568910111213141516171619[[#This Row],[CSOsSP Completed]],0)</f>
        <v>0</v>
      </c>
      <c r="R36" s="379">
        <f>Tabelle1324568910111213141516171619[[#This Row],[COsSP Initially Planned]]+Tabelle1324568910111213141516171619[[#This Row],[COsSP Pulled after Start]]-Tabelle1324568910111213141516171619[[#This Row],[CSOsSP Completed]]-Tabelle1324568910111213141516171619[[#This Row],[CSOsSP Removed]]</f>
        <v>0</v>
      </c>
    </row>
    <row r="37" spans="1:18" ht="13.5" customHeight="1">
      <c r="A37" s="202" t="s">
        <v>232</v>
      </c>
      <c r="B37" t="s">
        <v>233</v>
      </c>
      <c r="C37" s="375" t="s">
        <v>234</v>
      </c>
      <c r="D37" s="375">
        <v>1</v>
      </c>
      <c r="E37" s="375" t="s">
        <v>216</v>
      </c>
      <c r="F37" s="376">
        <v>3</v>
      </c>
      <c r="G37" s="375" t="s">
        <v>12</v>
      </c>
      <c r="H37" s="380"/>
      <c r="I37" s="377" t="s">
        <v>235</v>
      </c>
      <c r="J37" s="377"/>
      <c r="K37" s="375" t="s">
        <v>125</v>
      </c>
      <c r="L37" s="376"/>
      <c r="M37" s="376"/>
      <c r="N37" s="378">
        <f>IF(OR(Tabelle1324568910111213141516171619[[#This Row],[Pulled after Start]]="yes",Tabelle1324568910111213141516171619[[#This Row],[Jira Story Points]]="-"),0,MIN(Tabelle1324568910111213141516171619[[#This Row],[Jira Story Points]],Tabelle1324568910111213141516171619[[#This Row],[Carry-over]]))</f>
        <v>3</v>
      </c>
      <c r="O37" s="379">
        <f>SUM(IF(ISBLANK(Tabelle1324568910111213141516171619[[#This Row],[Carry-over]]),Tabelle1324568910111213141516171619[[#This Row],[Jira Story Points]],Tabelle1324568910111213141516171619[[#This Row],[Carry-over]]),-Tabelle1324568910111213141516171619[[#This Row],[COsSP Initially Planned]])</f>
        <v>0</v>
      </c>
      <c r="P3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37" s="379">
        <f>IF(Tabelle1324568910111213141516171619[[#This Row],[Status]]=$J$5,Tabelle1324568910111213141516171619[[#This Row],[COsSP Initially Planned]]+Tabelle1324568910111213141516171619[[#This Row],[COsSP Pulled after Start]]-Tabelle1324568910111213141516171619[[#This Row],[CSOsSP Completed]],0)</f>
        <v>0</v>
      </c>
      <c r="R37" s="379">
        <f>Tabelle1324568910111213141516171619[[#This Row],[COsSP Initially Planned]]+Tabelle1324568910111213141516171619[[#This Row],[COsSP Pulled after Start]]-Tabelle1324568910111213141516171619[[#This Row],[CSOsSP Completed]]-Tabelle1324568910111213141516171619[[#This Row],[CSOsSP Removed]]</f>
        <v>0</v>
      </c>
    </row>
    <row r="38" spans="1:18" ht="13.5" customHeight="1">
      <c r="A38" s="202" t="s">
        <v>236</v>
      </c>
      <c r="B38" t="s">
        <v>237</v>
      </c>
      <c r="C38" s="375" t="s">
        <v>222</v>
      </c>
      <c r="D38" s="375">
        <v>2</v>
      </c>
      <c r="E38" s="375" t="s">
        <v>238</v>
      </c>
      <c r="F38" s="376">
        <v>5</v>
      </c>
      <c r="G38" s="375" t="s">
        <v>12</v>
      </c>
      <c r="H38" s="380"/>
      <c r="I38" s="377" t="s">
        <v>239</v>
      </c>
      <c r="J38" s="202" t="s">
        <v>240</v>
      </c>
      <c r="K38" s="375" t="s">
        <v>127</v>
      </c>
      <c r="L38" s="376"/>
      <c r="M38" s="376"/>
      <c r="N38" s="378">
        <f>IF(OR(Tabelle1324568910111213141516171619[[#This Row],[Pulled after Start]]="yes",Tabelle1324568910111213141516171619[[#This Row],[Jira Story Points]]="-"),0,MIN(Tabelle1324568910111213141516171619[[#This Row],[Jira Story Points]],Tabelle1324568910111213141516171619[[#This Row],[Carry-over]]))</f>
        <v>5</v>
      </c>
      <c r="O38" s="379">
        <f>SUM(IF(ISBLANK(Tabelle1324568910111213141516171619[[#This Row],[Carry-over]]),Tabelle1324568910111213141516171619[[#This Row],[Jira Story Points]],Tabelle1324568910111213141516171619[[#This Row],[Carry-over]]),-Tabelle1324568910111213141516171619[[#This Row],[COsSP Initially Planned]])</f>
        <v>0</v>
      </c>
      <c r="P3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8" s="379">
        <f>IF(Tabelle1324568910111213141516171619[[#This Row],[Status]]=$J$5,Tabelle1324568910111213141516171619[[#This Row],[COsSP Initially Planned]]+Tabelle1324568910111213141516171619[[#This Row],[COsSP Pulled after Start]]-Tabelle1324568910111213141516171619[[#This Row],[CSOsSP Completed]],0)</f>
        <v>0</v>
      </c>
      <c r="R38" s="379">
        <f>Tabelle1324568910111213141516171619[[#This Row],[COsSP Initially Planned]]+Tabelle1324568910111213141516171619[[#This Row],[COsSP Pulled after Start]]-Tabelle1324568910111213141516171619[[#This Row],[CSOsSP Completed]]-Tabelle1324568910111213141516171619[[#This Row],[CSOsSP Removed]]</f>
        <v>5</v>
      </c>
    </row>
    <row r="39" spans="1:18" ht="13.5" customHeight="1">
      <c r="A39" s="202" t="s">
        <v>241</v>
      </c>
      <c r="B39" t="s">
        <v>242</v>
      </c>
      <c r="C39" s="203" t="s">
        <v>222</v>
      </c>
      <c r="D39" s="203">
        <v>2</v>
      </c>
      <c r="E39" s="203" t="s">
        <v>243</v>
      </c>
      <c r="F39" s="204" t="s">
        <v>210</v>
      </c>
      <c r="G39" s="203" t="s">
        <v>12</v>
      </c>
      <c r="H39" s="205"/>
      <c r="I39" s="206" t="s">
        <v>217</v>
      </c>
      <c r="J39" s="202" t="s">
        <v>240</v>
      </c>
      <c r="K39" s="375" t="s">
        <v>126</v>
      </c>
      <c r="L39" s="204"/>
      <c r="M39" s="204"/>
      <c r="N39" s="378">
        <f>IF(OR(Tabelle1324568910111213141516171619[[#This Row],[Pulled after Start]]="yes",Tabelle1324568910111213141516171619[[#This Row],[Jira Story Points]]="-"),0,MIN(Tabelle1324568910111213141516171619[[#This Row],[Jira Story Points]],Tabelle1324568910111213141516171619[[#This Row],[Carry-over]]))</f>
        <v>0</v>
      </c>
      <c r="O39" s="379">
        <f>SUM(IF(ISBLANK(Tabelle1324568910111213141516171619[[#This Row],[Carry-over]]),Tabelle1324568910111213141516171619[[#This Row],[Jira Story Points]],Tabelle1324568910111213141516171619[[#This Row],[Carry-over]]),-Tabelle1324568910111213141516171619[[#This Row],[COsSP Initially Planned]])</f>
        <v>0</v>
      </c>
      <c r="P3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9" s="379">
        <f>IF(Tabelle1324568910111213141516171619[[#This Row],[Status]]=$J$5,Tabelle1324568910111213141516171619[[#This Row],[COsSP Initially Planned]]+Tabelle1324568910111213141516171619[[#This Row],[COsSP Pulled after Start]]-Tabelle1324568910111213141516171619[[#This Row],[CSOsSP Completed]],0)</f>
        <v>0</v>
      </c>
      <c r="R39" s="379">
        <f>Tabelle1324568910111213141516171619[[#This Row],[COsSP Initially Planned]]+Tabelle1324568910111213141516171619[[#This Row],[COsSP Pulled after Start]]-Tabelle1324568910111213141516171619[[#This Row],[CSOsSP Completed]]-Tabelle1324568910111213141516171619[[#This Row],[CSOsSP Removed]]</f>
        <v>0</v>
      </c>
    </row>
    <row r="40" spans="1:18" ht="13.5" customHeight="1">
      <c r="A40" s="202" t="s">
        <v>244</v>
      </c>
      <c r="B40" t="s">
        <v>245</v>
      </c>
      <c r="C40" s="375" t="s">
        <v>222</v>
      </c>
      <c r="D40" s="375">
        <v>2</v>
      </c>
      <c r="E40" s="375" t="s">
        <v>243</v>
      </c>
      <c r="F40" s="376" t="s">
        <v>210</v>
      </c>
      <c r="G40" s="375" t="s">
        <v>12</v>
      </c>
      <c r="H40" s="380" t="s">
        <v>209</v>
      </c>
      <c r="I40" s="377" t="s">
        <v>246</v>
      </c>
      <c r="J40" s="202" t="s">
        <v>240</v>
      </c>
      <c r="K40" s="375" t="s">
        <v>126</v>
      </c>
      <c r="L40" s="376"/>
      <c r="M40" s="376"/>
      <c r="N40" s="378">
        <f>IF(OR(Tabelle1324568910111213141516171619[[#This Row],[Pulled after Start]]="yes",Tabelle1324568910111213141516171619[[#This Row],[Jira Story Points]]="-"),0,MIN(Tabelle1324568910111213141516171619[[#This Row],[Jira Story Points]],Tabelle1324568910111213141516171619[[#This Row],[Carry-over]]))</f>
        <v>0</v>
      </c>
      <c r="O40" s="379">
        <f>SUM(IF(ISBLANK(Tabelle1324568910111213141516171619[[#This Row],[Carry-over]]),Tabelle1324568910111213141516171619[[#This Row],[Jira Story Points]],Tabelle1324568910111213141516171619[[#This Row],[Carry-over]]),-Tabelle1324568910111213141516171619[[#This Row],[COsSP Initially Planned]])</f>
        <v>0</v>
      </c>
      <c r="P4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40" s="379">
        <f>IF(Tabelle1324568910111213141516171619[[#This Row],[Status]]=$J$5,Tabelle1324568910111213141516171619[[#This Row],[COsSP Initially Planned]]+Tabelle1324568910111213141516171619[[#This Row],[COsSP Pulled after Start]]-Tabelle1324568910111213141516171619[[#This Row],[CSOsSP Completed]],0)</f>
        <v>0</v>
      </c>
      <c r="R40" s="379">
        <f>Tabelle1324568910111213141516171619[[#This Row],[COsSP Initially Planned]]+Tabelle1324568910111213141516171619[[#This Row],[COsSP Pulled after Start]]-Tabelle1324568910111213141516171619[[#This Row],[CSOsSP Completed]]-Tabelle1324568910111213141516171619[[#This Row],[CSOsSP Removed]]</f>
        <v>0</v>
      </c>
    </row>
    <row r="41" spans="1:18" ht="13.5" customHeight="1">
      <c r="A41" s="202" t="s">
        <v>247</v>
      </c>
      <c r="B41" t="s">
        <v>248</v>
      </c>
      <c r="C41" s="375" t="s">
        <v>222</v>
      </c>
      <c r="D41" s="375">
        <v>3</v>
      </c>
      <c r="E41" s="375" t="s">
        <v>243</v>
      </c>
      <c r="F41" s="376" t="s">
        <v>210</v>
      </c>
      <c r="G41" s="375" t="s">
        <v>12</v>
      </c>
      <c r="H41" s="380"/>
      <c r="I41" s="377" t="s">
        <v>246</v>
      </c>
      <c r="J41" s="202" t="s">
        <v>240</v>
      </c>
      <c r="K41" s="375" t="s">
        <v>126</v>
      </c>
      <c r="L41" s="376"/>
      <c r="M41" s="376"/>
      <c r="N41" s="378">
        <f>IF(OR(Tabelle1324568910111213141516171619[[#This Row],[Pulled after Start]]="yes",Tabelle1324568910111213141516171619[[#This Row],[Jira Story Points]]="-"),0,MIN(Tabelle1324568910111213141516171619[[#This Row],[Jira Story Points]],Tabelle1324568910111213141516171619[[#This Row],[Carry-over]]))</f>
        <v>0</v>
      </c>
      <c r="O41" s="379">
        <f>SUM(IF(ISBLANK(Tabelle1324568910111213141516171619[[#This Row],[Carry-over]]),Tabelle1324568910111213141516171619[[#This Row],[Jira Story Points]],Tabelle1324568910111213141516171619[[#This Row],[Carry-over]]),-Tabelle1324568910111213141516171619[[#This Row],[COsSP Initially Planned]])</f>
        <v>0</v>
      </c>
      <c r="P4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41" s="379">
        <f>IF(Tabelle1324568910111213141516171619[[#This Row],[Status]]=$J$5,Tabelle1324568910111213141516171619[[#This Row],[COsSP Initially Planned]]+Tabelle1324568910111213141516171619[[#This Row],[COsSP Pulled after Start]]-Tabelle1324568910111213141516171619[[#This Row],[CSOsSP Completed]],0)</f>
        <v>0</v>
      </c>
      <c r="R41" s="379">
        <f>Tabelle1324568910111213141516171619[[#This Row],[COsSP Initially Planned]]+Tabelle1324568910111213141516171619[[#This Row],[COsSP Pulled after Start]]-Tabelle1324568910111213141516171619[[#This Row],[CSOsSP Completed]]-Tabelle1324568910111213141516171619[[#This Row],[CSOsSP Removed]]</f>
        <v>0</v>
      </c>
    </row>
    <row r="42" spans="1:18" ht="13.5" customHeight="1">
      <c r="A42" s="202" t="s">
        <v>249</v>
      </c>
      <c r="B42" t="s">
        <v>250</v>
      </c>
      <c r="C42" s="375" t="s">
        <v>215</v>
      </c>
      <c r="D42" s="375">
        <v>2</v>
      </c>
      <c r="E42" s="375" t="s">
        <v>216</v>
      </c>
      <c r="F42" s="376">
        <v>3</v>
      </c>
      <c r="G42" s="375" t="s">
        <v>12</v>
      </c>
      <c r="H42" s="380"/>
      <c r="I42" s="377" t="s">
        <v>217</v>
      </c>
      <c r="J42" s="202" t="s">
        <v>251</v>
      </c>
      <c r="K42" s="375" t="s">
        <v>125</v>
      </c>
      <c r="L42" s="376"/>
      <c r="M42" s="376"/>
      <c r="N42" s="378">
        <f>IF(OR(Tabelle1324568910111213141516171619[[#This Row],[Pulled after Start]]="yes",Tabelle1324568910111213141516171619[[#This Row],[Jira Story Points]]="-"),0,MIN(Tabelle1324568910111213141516171619[[#This Row],[Jira Story Points]],Tabelle1324568910111213141516171619[[#This Row],[Carry-over]]))</f>
        <v>3</v>
      </c>
      <c r="O42" s="379">
        <f>SUM(IF(ISBLANK(Tabelle1324568910111213141516171619[[#This Row],[Carry-over]]),Tabelle1324568910111213141516171619[[#This Row],[Jira Story Points]],Tabelle1324568910111213141516171619[[#This Row],[Carry-over]]),-Tabelle1324568910111213141516171619[[#This Row],[COsSP Initially Planned]])</f>
        <v>0</v>
      </c>
      <c r="P4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42" s="379">
        <f>IF(Tabelle1324568910111213141516171619[[#This Row],[Status]]=$J$5,Tabelle1324568910111213141516171619[[#This Row],[COsSP Initially Planned]]+Tabelle1324568910111213141516171619[[#This Row],[COsSP Pulled after Start]]-Tabelle1324568910111213141516171619[[#This Row],[CSOsSP Completed]],0)</f>
        <v>0</v>
      </c>
      <c r="R42" s="379">
        <f>Tabelle1324568910111213141516171619[[#This Row],[COsSP Initially Planned]]+Tabelle1324568910111213141516171619[[#This Row],[COsSP Pulled after Start]]-Tabelle1324568910111213141516171619[[#This Row],[CSOsSP Completed]]-Tabelle1324568910111213141516171619[[#This Row],[CSOsSP Removed]]</f>
        <v>0</v>
      </c>
    </row>
    <row r="43" spans="1:18" ht="13.5" customHeight="1">
      <c r="A43" s="202" t="s">
        <v>252</v>
      </c>
      <c r="B43" t="s">
        <v>253</v>
      </c>
      <c r="C43" s="375" t="s">
        <v>215</v>
      </c>
      <c r="D43" s="375">
        <v>3</v>
      </c>
      <c r="E43" s="375" t="s">
        <v>254</v>
      </c>
      <c r="F43" s="376">
        <v>5</v>
      </c>
      <c r="G43" s="375" t="s">
        <v>12</v>
      </c>
      <c r="H43" s="380"/>
      <c r="I43" s="377" t="s">
        <v>217</v>
      </c>
      <c r="J43" s="202" t="s">
        <v>240</v>
      </c>
      <c r="K43" s="375" t="s">
        <v>127</v>
      </c>
      <c r="L43" s="376"/>
      <c r="M43" s="376"/>
      <c r="N43" s="378">
        <f>IF(OR(Tabelle1324568910111213141516171619[[#This Row],[Pulled after Start]]="yes",Tabelle1324568910111213141516171619[[#This Row],[Jira Story Points]]="-"),0,MIN(Tabelle1324568910111213141516171619[[#This Row],[Jira Story Points]],Tabelle1324568910111213141516171619[[#This Row],[Carry-over]]))</f>
        <v>5</v>
      </c>
      <c r="O43" s="379">
        <f>SUM(IF(ISBLANK(Tabelle1324568910111213141516171619[[#This Row],[Carry-over]]),Tabelle1324568910111213141516171619[[#This Row],[Jira Story Points]],Tabelle1324568910111213141516171619[[#This Row],[Carry-over]]),-Tabelle1324568910111213141516171619[[#This Row],[COsSP Initially Planned]])</f>
        <v>0</v>
      </c>
      <c r="P4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43" s="379">
        <f>IF(Tabelle1324568910111213141516171619[[#This Row],[Status]]=$J$5,Tabelle1324568910111213141516171619[[#This Row],[COsSP Initially Planned]]+Tabelle1324568910111213141516171619[[#This Row],[COsSP Pulled after Start]]-Tabelle1324568910111213141516171619[[#This Row],[CSOsSP Completed]],0)</f>
        <v>0</v>
      </c>
      <c r="R43" s="379">
        <f>Tabelle1324568910111213141516171619[[#This Row],[COsSP Initially Planned]]+Tabelle1324568910111213141516171619[[#This Row],[COsSP Pulled after Start]]-Tabelle1324568910111213141516171619[[#This Row],[CSOsSP Completed]]-Tabelle1324568910111213141516171619[[#This Row],[CSOsSP Removed]]</f>
        <v>5</v>
      </c>
    </row>
    <row r="44" spans="1:18" ht="13.5" customHeight="1">
      <c r="A44" s="202" t="s">
        <v>255</v>
      </c>
      <c r="B44" t="s">
        <v>256</v>
      </c>
      <c r="C44" s="375" t="s">
        <v>215</v>
      </c>
      <c r="D44" s="375">
        <v>3</v>
      </c>
      <c r="E44" s="375" t="s">
        <v>254</v>
      </c>
      <c r="F44" s="376">
        <v>5</v>
      </c>
      <c r="G44" s="375" t="s">
        <v>12</v>
      </c>
      <c r="H44" s="380"/>
      <c r="I44" s="377" t="s">
        <v>257</v>
      </c>
      <c r="J44" s="377"/>
      <c r="K44" s="375" t="s">
        <v>126</v>
      </c>
      <c r="L44" s="376"/>
      <c r="M44" s="376">
        <v>3</v>
      </c>
      <c r="N44" s="378">
        <f>IF(OR(Tabelle1324568910111213141516171619[[#This Row],[Pulled after Start]]="yes",Tabelle1324568910111213141516171619[[#This Row],[Jira Story Points]]="-"),0,MIN(Tabelle1324568910111213141516171619[[#This Row],[Jira Story Points]],Tabelle1324568910111213141516171619[[#This Row],[Carry-over]]))</f>
        <v>5</v>
      </c>
      <c r="O44" s="379">
        <f>SUM(IF(ISBLANK(Tabelle1324568910111213141516171619[[#This Row],[Carry-over]]),Tabelle1324568910111213141516171619[[#This Row],[Jira Story Points]],Tabelle1324568910111213141516171619[[#This Row],[Carry-over]]),-Tabelle1324568910111213141516171619[[#This Row],[COsSP Initially Planned]])</f>
        <v>0</v>
      </c>
      <c r="P4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2</v>
      </c>
      <c r="Q44" s="379">
        <f>IF(Tabelle1324568910111213141516171619[[#This Row],[Status]]=$J$5,Tabelle1324568910111213141516171619[[#This Row],[COsSP Initially Planned]]+Tabelle1324568910111213141516171619[[#This Row],[COsSP Pulled after Start]]-Tabelle1324568910111213141516171619[[#This Row],[CSOsSP Completed]],0)</f>
        <v>3</v>
      </c>
      <c r="R44" s="379">
        <f>Tabelle1324568910111213141516171619[[#This Row],[COsSP Initially Planned]]+Tabelle1324568910111213141516171619[[#This Row],[COsSP Pulled after Start]]-Tabelle1324568910111213141516171619[[#This Row],[CSOsSP Completed]]-Tabelle1324568910111213141516171619[[#This Row],[CSOsSP Removed]]</f>
        <v>0</v>
      </c>
    </row>
    <row r="45" spans="1:18" ht="13.5" customHeight="1">
      <c r="A45" s="202" t="s">
        <v>258</v>
      </c>
      <c r="B45" t="s">
        <v>259</v>
      </c>
      <c r="C45" s="375" t="s">
        <v>215</v>
      </c>
      <c r="D45" s="375">
        <v>3</v>
      </c>
      <c r="E45" s="375" t="s">
        <v>254</v>
      </c>
      <c r="F45" s="376">
        <v>5</v>
      </c>
      <c r="G45" s="375" t="s">
        <v>12</v>
      </c>
      <c r="H45" s="380"/>
      <c r="I45" s="377" t="s">
        <v>257</v>
      </c>
      <c r="J45" s="377"/>
      <c r="K45" s="375" t="s">
        <v>126</v>
      </c>
      <c r="L45" s="376"/>
      <c r="M45" s="376">
        <v>3</v>
      </c>
      <c r="N45" s="378">
        <f>IF(OR(Tabelle1324568910111213141516171619[[#This Row],[Pulled after Start]]="yes",Tabelle1324568910111213141516171619[[#This Row],[Jira Story Points]]="-"),0,MIN(Tabelle1324568910111213141516171619[[#This Row],[Jira Story Points]],Tabelle1324568910111213141516171619[[#This Row],[Carry-over]]))</f>
        <v>5</v>
      </c>
      <c r="O45" s="379">
        <f>SUM(IF(ISBLANK(Tabelle1324568910111213141516171619[[#This Row],[Carry-over]]),Tabelle1324568910111213141516171619[[#This Row],[Jira Story Points]],Tabelle1324568910111213141516171619[[#This Row],[Carry-over]]),-Tabelle1324568910111213141516171619[[#This Row],[COsSP Initially Planned]])</f>
        <v>0</v>
      </c>
      <c r="P4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2</v>
      </c>
      <c r="Q45" s="379">
        <f>IF(Tabelle1324568910111213141516171619[[#This Row],[Status]]=$J$5,Tabelle1324568910111213141516171619[[#This Row],[COsSP Initially Planned]]+Tabelle1324568910111213141516171619[[#This Row],[COsSP Pulled after Start]]-Tabelle1324568910111213141516171619[[#This Row],[CSOsSP Completed]],0)</f>
        <v>3</v>
      </c>
      <c r="R45" s="379">
        <f>Tabelle1324568910111213141516171619[[#This Row],[COsSP Initially Planned]]+Tabelle1324568910111213141516171619[[#This Row],[COsSP Pulled after Start]]-Tabelle1324568910111213141516171619[[#This Row],[CSOsSP Completed]]-Tabelle1324568910111213141516171619[[#This Row],[CSOsSP Removed]]</f>
        <v>0</v>
      </c>
    </row>
    <row r="46" spans="1:18" ht="13.5" customHeight="1">
      <c r="A46" s="202" t="s">
        <v>260</v>
      </c>
      <c r="B46" t="s">
        <v>261</v>
      </c>
      <c r="C46" s="375" t="s">
        <v>215</v>
      </c>
      <c r="D46" s="375">
        <v>3</v>
      </c>
      <c r="E46" s="375" t="s">
        <v>238</v>
      </c>
      <c r="F46" s="376">
        <v>5</v>
      </c>
      <c r="G46" s="375" t="s">
        <v>12</v>
      </c>
      <c r="H46" s="380"/>
      <c r="I46" s="377" t="s">
        <v>217</v>
      </c>
      <c r="J46" s="202" t="s">
        <v>240</v>
      </c>
      <c r="K46" s="375" t="s">
        <v>127</v>
      </c>
      <c r="L46" s="376"/>
      <c r="M46" s="376"/>
      <c r="N46" s="378">
        <f>IF(OR(Tabelle1324568910111213141516171619[[#This Row],[Pulled after Start]]="yes",Tabelle1324568910111213141516171619[[#This Row],[Jira Story Points]]="-"),0,MIN(Tabelle1324568910111213141516171619[[#This Row],[Jira Story Points]],Tabelle1324568910111213141516171619[[#This Row],[Carry-over]]))</f>
        <v>5</v>
      </c>
      <c r="O46" s="379">
        <f>SUM(IF(ISBLANK(Tabelle1324568910111213141516171619[[#This Row],[Carry-over]]),Tabelle1324568910111213141516171619[[#This Row],[Jira Story Points]],Tabelle1324568910111213141516171619[[#This Row],[Carry-over]]),-Tabelle1324568910111213141516171619[[#This Row],[COsSP Initially Planned]])</f>
        <v>0</v>
      </c>
      <c r="P4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46" s="379">
        <f>IF(Tabelle1324568910111213141516171619[[#This Row],[Status]]=$J$5,Tabelle1324568910111213141516171619[[#This Row],[COsSP Initially Planned]]+Tabelle1324568910111213141516171619[[#This Row],[COsSP Pulled after Start]]-Tabelle1324568910111213141516171619[[#This Row],[CSOsSP Completed]],0)</f>
        <v>0</v>
      </c>
      <c r="R46" s="379">
        <f>Tabelle1324568910111213141516171619[[#This Row],[COsSP Initially Planned]]+Tabelle1324568910111213141516171619[[#This Row],[COsSP Pulled after Start]]-Tabelle1324568910111213141516171619[[#This Row],[CSOsSP Completed]]-Tabelle1324568910111213141516171619[[#This Row],[CSOsSP Removed]]</f>
        <v>5</v>
      </c>
    </row>
    <row r="47" spans="1:18" ht="13.5" customHeight="1">
      <c r="A47" s="202" t="s">
        <v>262</v>
      </c>
      <c r="B47" t="s">
        <v>263</v>
      </c>
      <c r="C47" s="375" t="s">
        <v>234</v>
      </c>
      <c r="D47" s="375">
        <v>3</v>
      </c>
      <c r="E47" s="375" t="s">
        <v>264</v>
      </c>
      <c r="F47" s="376" t="s">
        <v>210</v>
      </c>
      <c r="G47" s="375" t="s">
        <v>12</v>
      </c>
      <c r="H47" s="380"/>
      <c r="I47" s="377" t="s">
        <v>217</v>
      </c>
      <c r="J47" s="377"/>
      <c r="K47" s="375" t="s">
        <v>127</v>
      </c>
      <c r="L47" s="376"/>
      <c r="M47" s="376"/>
      <c r="N47" s="378">
        <f>IF(OR(Tabelle1324568910111213141516171619[[#This Row],[Pulled after Start]]="yes",Tabelle1324568910111213141516171619[[#This Row],[Jira Story Points]]="-"),0,MIN(Tabelle1324568910111213141516171619[[#This Row],[Jira Story Points]],Tabelle1324568910111213141516171619[[#This Row],[Carry-over]]))</f>
        <v>0</v>
      </c>
      <c r="O47" s="379">
        <f>SUM(IF(ISBLANK(Tabelle1324568910111213141516171619[[#This Row],[Carry-over]]),Tabelle1324568910111213141516171619[[#This Row],[Jira Story Points]],Tabelle1324568910111213141516171619[[#This Row],[Carry-over]]),-Tabelle1324568910111213141516171619[[#This Row],[COsSP Initially Planned]])</f>
        <v>0</v>
      </c>
      <c r="P4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47" s="379">
        <f>IF(Tabelle1324568910111213141516171619[[#This Row],[Status]]=$J$5,Tabelle1324568910111213141516171619[[#This Row],[COsSP Initially Planned]]+Tabelle1324568910111213141516171619[[#This Row],[COsSP Pulled after Start]]-Tabelle1324568910111213141516171619[[#This Row],[CSOsSP Completed]],0)</f>
        <v>0</v>
      </c>
      <c r="R47" s="379">
        <f>Tabelle1324568910111213141516171619[[#This Row],[COsSP Initially Planned]]+Tabelle1324568910111213141516171619[[#This Row],[COsSP Pulled after Start]]-Tabelle1324568910111213141516171619[[#This Row],[CSOsSP Completed]]-Tabelle1324568910111213141516171619[[#This Row],[CSOsSP Removed]]</f>
        <v>0</v>
      </c>
    </row>
    <row r="48" spans="1:18" ht="13.5" customHeight="1">
      <c r="A48" s="202" t="s">
        <v>265</v>
      </c>
      <c r="B48" t="s">
        <v>266</v>
      </c>
      <c r="C48" s="375" t="s">
        <v>222</v>
      </c>
      <c r="D48" s="375">
        <v>3</v>
      </c>
      <c r="E48" s="375" t="s">
        <v>216</v>
      </c>
      <c r="F48" s="376">
        <v>3</v>
      </c>
      <c r="G48" s="375" t="s">
        <v>12</v>
      </c>
      <c r="H48" s="380"/>
      <c r="I48" s="377" t="s">
        <v>227</v>
      </c>
      <c r="J48" s="202" t="s">
        <v>267</v>
      </c>
      <c r="K48" s="375" t="s">
        <v>125</v>
      </c>
      <c r="L48" s="376"/>
      <c r="M48" s="376"/>
      <c r="N48" s="378">
        <f>IF(OR(Tabelle1324568910111213141516171619[[#This Row],[Pulled after Start]]="yes",Tabelle1324568910111213141516171619[[#This Row],[Jira Story Points]]="-"),0,MIN(Tabelle1324568910111213141516171619[[#This Row],[Jira Story Points]],Tabelle1324568910111213141516171619[[#This Row],[Carry-over]]))</f>
        <v>3</v>
      </c>
      <c r="O48" s="379">
        <f>SUM(IF(ISBLANK(Tabelle1324568910111213141516171619[[#This Row],[Carry-over]]),Tabelle1324568910111213141516171619[[#This Row],[Jira Story Points]],Tabelle1324568910111213141516171619[[#This Row],[Carry-over]]),-Tabelle1324568910111213141516171619[[#This Row],[COsSP Initially Planned]])</f>
        <v>0</v>
      </c>
      <c r="P4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48" s="379">
        <f>IF(Tabelle1324568910111213141516171619[[#This Row],[Status]]=$J$5,Tabelle1324568910111213141516171619[[#This Row],[COsSP Initially Planned]]+Tabelle1324568910111213141516171619[[#This Row],[COsSP Pulled after Start]]-Tabelle1324568910111213141516171619[[#This Row],[CSOsSP Completed]],0)</f>
        <v>0</v>
      </c>
      <c r="R48" s="379">
        <f>Tabelle1324568910111213141516171619[[#This Row],[COsSP Initially Planned]]+Tabelle1324568910111213141516171619[[#This Row],[COsSP Pulled after Start]]-Tabelle1324568910111213141516171619[[#This Row],[CSOsSP Completed]]-Tabelle1324568910111213141516171619[[#This Row],[CSOsSP Removed]]</f>
        <v>0</v>
      </c>
    </row>
    <row r="49" spans="1:18" ht="13.5" customHeight="1">
      <c r="A49" s="202" t="s">
        <v>268</v>
      </c>
      <c r="B49" t="s">
        <v>269</v>
      </c>
      <c r="C49" s="375" t="s">
        <v>222</v>
      </c>
      <c r="D49" s="375">
        <v>3</v>
      </c>
      <c r="E49" s="375" t="s">
        <v>216</v>
      </c>
      <c r="F49" s="376">
        <v>1</v>
      </c>
      <c r="G49" s="375" t="s">
        <v>12</v>
      </c>
      <c r="H49" s="380" t="s">
        <v>209</v>
      </c>
      <c r="I49" s="377" t="s">
        <v>270</v>
      </c>
      <c r="J49" s="377"/>
      <c r="K49" s="375" t="s">
        <v>125</v>
      </c>
      <c r="L49" s="376"/>
      <c r="M49" s="376"/>
      <c r="N49" s="378">
        <f>IF(OR(Tabelle1324568910111213141516171619[[#This Row],[Pulled after Start]]="yes",Tabelle1324568910111213141516171619[[#This Row],[Jira Story Points]]="-"),0,MIN(Tabelle1324568910111213141516171619[[#This Row],[Jira Story Points]],Tabelle1324568910111213141516171619[[#This Row],[Carry-over]]))</f>
        <v>0</v>
      </c>
      <c r="O49" s="379">
        <f>SUM(IF(ISBLANK(Tabelle1324568910111213141516171619[[#This Row],[Carry-over]]),Tabelle1324568910111213141516171619[[#This Row],[Jira Story Points]],Tabelle1324568910111213141516171619[[#This Row],[Carry-over]]),-Tabelle1324568910111213141516171619[[#This Row],[COsSP Initially Planned]])</f>
        <v>1</v>
      </c>
      <c r="P4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1</v>
      </c>
      <c r="Q49" s="379">
        <f>IF(Tabelle1324568910111213141516171619[[#This Row],[Status]]=$J$5,Tabelle1324568910111213141516171619[[#This Row],[COsSP Initially Planned]]+Tabelle1324568910111213141516171619[[#This Row],[COsSP Pulled after Start]]-Tabelle1324568910111213141516171619[[#This Row],[CSOsSP Completed]],0)</f>
        <v>0</v>
      </c>
      <c r="R49" s="379">
        <f>Tabelle1324568910111213141516171619[[#This Row],[COsSP Initially Planned]]+Tabelle1324568910111213141516171619[[#This Row],[COsSP Pulled after Start]]-Tabelle1324568910111213141516171619[[#This Row],[CSOsSP Completed]]-Tabelle1324568910111213141516171619[[#This Row],[CSOsSP Removed]]</f>
        <v>0</v>
      </c>
    </row>
    <row r="50" spans="1:18" ht="13.5" customHeight="1">
      <c r="A50" s="202" t="s">
        <v>271</v>
      </c>
      <c r="B50" t="s">
        <v>272</v>
      </c>
      <c r="C50" s="375" t="s">
        <v>222</v>
      </c>
      <c r="D50" s="375">
        <v>3</v>
      </c>
      <c r="E50" s="375" t="s">
        <v>273</v>
      </c>
      <c r="F50" s="376">
        <v>1</v>
      </c>
      <c r="G50" s="375" t="s">
        <v>12</v>
      </c>
      <c r="H50" s="380" t="s">
        <v>209</v>
      </c>
      <c r="I50" s="377" t="s">
        <v>270</v>
      </c>
      <c r="J50" s="377"/>
      <c r="K50" s="375" t="s">
        <v>127</v>
      </c>
      <c r="L50" s="376"/>
      <c r="M50" s="376"/>
      <c r="N50" s="378">
        <f>IF(OR(Tabelle1324568910111213141516171619[[#This Row],[Pulled after Start]]="yes",Tabelle1324568910111213141516171619[[#This Row],[Jira Story Points]]="-"),0,MIN(Tabelle1324568910111213141516171619[[#This Row],[Jira Story Points]],Tabelle1324568910111213141516171619[[#This Row],[Carry-over]]))</f>
        <v>0</v>
      </c>
      <c r="O50" s="379">
        <f>SUM(IF(ISBLANK(Tabelle1324568910111213141516171619[[#This Row],[Carry-over]]),Tabelle1324568910111213141516171619[[#This Row],[Jira Story Points]],Tabelle1324568910111213141516171619[[#This Row],[Carry-over]]),-Tabelle1324568910111213141516171619[[#This Row],[COsSP Initially Planned]])</f>
        <v>1</v>
      </c>
      <c r="P5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50" s="379">
        <f>IF(Tabelle1324568910111213141516171619[[#This Row],[Status]]=$J$5,Tabelle1324568910111213141516171619[[#This Row],[COsSP Initially Planned]]+Tabelle1324568910111213141516171619[[#This Row],[COsSP Pulled after Start]]-Tabelle1324568910111213141516171619[[#This Row],[CSOsSP Completed]],0)</f>
        <v>0</v>
      </c>
      <c r="R50" s="379">
        <f>Tabelle1324568910111213141516171619[[#This Row],[COsSP Initially Planned]]+Tabelle1324568910111213141516171619[[#This Row],[COsSP Pulled after Start]]-Tabelle1324568910111213141516171619[[#This Row],[CSOsSP Completed]]-Tabelle1324568910111213141516171619[[#This Row],[CSOsSP Removed]]</f>
        <v>1</v>
      </c>
    </row>
    <row r="51" spans="1:18" ht="13.5" customHeight="1">
      <c r="A51" s="202" t="s">
        <v>274</v>
      </c>
      <c r="B51" t="s">
        <v>275</v>
      </c>
      <c r="C51" s="375" t="s">
        <v>222</v>
      </c>
      <c r="D51" s="375">
        <v>2</v>
      </c>
      <c r="E51" s="375" t="s">
        <v>238</v>
      </c>
      <c r="F51" s="376">
        <v>1</v>
      </c>
      <c r="G51" s="375" t="s">
        <v>12</v>
      </c>
      <c r="H51" s="380" t="s">
        <v>209</v>
      </c>
      <c r="I51" s="377" t="s">
        <v>217</v>
      </c>
      <c r="J51" s="377"/>
      <c r="K51" s="375" t="s">
        <v>127</v>
      </c>
      <c r="L51" s="376"/>
      <c r="M51" s="376"/>
      <c r="N51" s="378">
        <f>IF(OR(Tabelle1324568910111213141516171619[[#This Row],[Pulled after Start]]="yes",Tabelle1324568910111213141516171619[[#This Row],[Jira Story Points]]="-"),0,MIN(Tabelle1324568910111213141516171619[[#This Row],[Jira Story Points]],Tabelle1324568910111213141516171619[[#This Row],[Carry-over]]))</f>
        <v>0</v>
      </c>
      <c r="O51" s="379">
        <f>SUM(IF(ISBLANK(Tabelle1324568910111213141516171619[[#This Row],[Carry-over]]),Tabelle1324568910111213141516171619[[#This Row],[Jira Story Points]],Tabelle1324568910111213141516171619[[#This Row],[Carry-over]]),-Tabelle1324568910111213141516171619[[#This Row],[COsSP Initially Planned]])</f>
        <v>1</v>
      </c>
      <c r="P5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51" s="379">
        <f>IF(Tabelle1324568910111213141516171619[[#This Row],[Status]]=$J$5,Tabelle1324568910111213141516171619[[#This Row],[COsSP Initially Planned]]+Tabelle1324568910111213141516171619[[#This Row],[COsSP Pulled after Start]]-Tabelle1324568910111213141516171619[[#This Row],[CSOsSP Completed]],0)</f>
        <v>0</v>
      </c>
      <c r="R51" s="379">
        <f>Tabelle1324568910111213141516171619[[#This Row],[COsSP Initially Planned]]+Tabelle1324568910111213141516171619[[#This Row],[COsSP Pulled after Start]]-Tabelle1324568910111213141516171619[[#This Row],[CSOsSP Completed]]-Tabelle1324568910111213141516171619[[#This Row],[CSOsSP Removed]]</f>
        <v>1</v>
      </c>
    </row>
    <row r="52" spans="1:18" ht="13.5" customHeight="1">
      <c r="A52" s="251" t="s">
        <v>276</v>
      </c>
      <c r="B52" s="251" t="s">
        <v>277</v>
      </c>
      <c r="C52" s="375" t="s">
        <v>234</v>
      </c>
      <c r="D52" s="375">
        <v>3</v>
      </c>
      <c r="E52" s="375" t="s">
        <v>278</v>
      </c>
      <c r="F52" s="376">
        <v>1</v>
      </c>
      <c r="G52" s="36" t="s">
        <v>17</v>
      </c>
      <c r="H52" s="397"/>
      <c r="I52" t="s">
        <v>270</v>
      </c>
      <c r="J52" s="377"/>
      <c r="K52" s="375" t="s">
        <v>125</v>
      </c>
      <c r="L52" s="376"/>
      <c r="M52" s="376"/>
      <c r="N52" s="378">
        <f>IF(OR(Tabelle1324568910111213141516171619[[#This Row],[Pulled after Start]]="yes",Tabelle1324568910111213141516171619[[#This Row],[Jira Story Points]]="-"),0,MIN(Tabelle1324568910111213141516171619[[#This Row],[Jira Story Points]],Tabelle1324568910111213141516171619[[#This Row],[Carry-over]]))</f>
        <v>1</v>
      </c>
      <c r="O52" s="379">
        <f>SUM(IF(ISBLANK(Tabelle1324568910111213141516171619[[#This Row],[Carry-over]]),Tabelle1324568910111213141516171619[[#This Row],[Jira Story Points]],Tabelle1324568910111213141516171619[[#This Row],[Carry-over]]),-Tabelle1324568910111213141516171619[[#This Row],[COsSP Initially Planned]])</f>
        <v>0</v>
      </c>
      <c r="P5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1</v>
      </c>
      <c r="Q52" s="379">
        <f>IF(Tabelle1324568910111213141516171619[[#This Row],[Status]]=$J$5,Tabelle1324568910111213141516171619[[#This Row],[COsSP Initially Planned]]+Tabelle1324568910111213141516171619[[#This Row],[COsSP Pulled after Start]]-Tabelle1324568910111213141516171619[[#This Row],[CSOsSP Completed]],0)</f>
        <v>0</v>
      </c>
      <c r="R52" s="379">
        <f>Tabelle1324568910111213141516171619[[#This Row],[COsSP Initially Planned]]+Tabelle1324568910111213141516171619[[#This Row],[COsSP Pulled after Start]]-Tabelle1324568910111213141516171619[[#This Row],[CSOsSP Completed]]-Tabelle1324568910111213141516171619[[#This Row],[CSOsSP Removed]]</f>
        <v>0</v>
      </c>
    </row>
    <row r="53" spans="1:18" ht="13.5" customHeight="1">
      <c r="A53" s="251" t="s">
        <v>279</v>
      </c>
      <c r="B53" s="398" t="s">
        <v>280</v>
      </c>
      <c r="C53" s="375" t="s">
        <v>234</v>
      </c>
      <c r="D53" s="375">
        <v>3</v>
      </c>
      <c r="E53" s="375" t="s">
        <v>281</v>
      </c>
      <c r="F53" s="204">
        <v>13</v>
      </c>
      <c r="G53" s="36" t="s">
        <v>17</v>
      </c>
      <c r="H53" s="397"/>
      <c r="I53" t="s">
        <v>270</v>
      </c>
      <c r="J53" s="377"/>
      <c r="K53" s="375" t="s">
        <v>125</v>
      </c>
      <c r="L53" s="376">
        <v>3</v>
      </c>
      <c r="M53" s="376"/>
      <c r="N53" s="378">
        <f>IF(OR(Tabelle1324568910111213141516171619[[#This Row],[Pulled after Start]]="yes",Tabelle1324568910111213141516171619[[#This Row],[Jira Story Points]]="-"),0,MIN(Tabelle1324568910111213141516171619[[#This Row],[Jira Story Points]],Tabelle1324568910111213141516171619[[#This Row],[Carry-over]]))</f>
        <v>3</v>
      </c>
      <c r="O53" s="379">
        <f>SUM(IF(ISBLANK(Tabelle1324568910111213141516171619[[#This Row],[Carry-over]]),Tabelle1324568910111213141516171619[[#This Row],[Jira Story Points]],Tabelle1324568910111213141516171619[[#This Row],[Carry-over]]),-Tabelle1324568910111213141516171619[[#This Row],[COsSP Initially Planned]])</f>
        <v>0</v>
      </c>
      <c r="P5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53" s="379">
        <f>IF(Tabelle1324568910111213141516171619[[#This Row],[Status]]=$J$5,Tabelle1324568910111213141516171619[[#This Row],[COsSP Initially Planned]]+Tabelle1324568910111213141516171619[[#This Row],[COsSP Pulled after Start]]-Tabelle1324568910111213141516171619[[#This Row],[CSOsSP Completed]],0)</f>
        <v>0</v>
      </c>
      <c r="R53" s="379">
        <f>Tabelle1324568910111213141516171619[[#This Row],[COsSP Initially Planned]]+Tabelle1324568910111213141516171619[[#This Row],[COsSP Pulled after Start]]-Tabelle1324568910111213141516171619[[#This Row],[CSOsSP Completed]]-Tabelle1324568910111213141516171619[[#This Row],[CSOsSP Removed]]</f>
        <v>0</v>
      </c>
    </row>
    <row r="54" spans="1:18" ht="13.5" customHeight="1">
      <c r="A54" s="251" t="s">
        <v>282</v>
      </c>
      <c r="B54" s="398" t="s">
        <v>283</v>
      </c>
      <c r="C54" s="375" t="s">
        <v>234</v>
      </c>
      <c r="D54" s="203">
        <v>2</v>
      </c>
      <c r="E54" s="375" t="s">
        <v>281</v>
      </c>
      <c r="F54" s="204">
        <v>2</v>
      </c>
      <c r="G54" s="36" t="s">
        <v>17</v>
      </c>
      <c r="H54" s="397"/>
      <c r="I54" t="s">
        <v>217</v>
      </c>
      <c r="J54" s="377"/>
      <c r="K54" s="375" t="s">
        <v>125</v>
      </c>
      <c r="L54" s="376"/>
      <c r="M54" s="376"/>
      <c r="N54" s="378">
        <f>IF(OR(Tabelle1324568910111213141516171619[[#This Row],[Pulled after Start]]="yes",Tabelle1324568910111213141516171619[[#This Row],[Jira Story Points]]="-"),0,MIN(Tabelle1324568910111213141516171619[[#This Row],[Jira Story Points]],Tabelle1324568910111213141516171619[[#This Row],[Carry-over]]))</f>
        <v>2</v>
      </c>
      <c r="O54" s="379">
        <f>SUM(IF(ISBLANK(Tabelle1324568910111213141516171619[[#This Row],[Carry-over]]),Tabelle1324568910111213141516171619[[#This Row],[Jira Story Points]],Tabelle1324568910111213141516171619[[#This Row],[Carry-over]]),-Tabelle1324568910111213141516171619[[#This Row],[COsSP Initially Planned]])</f>
        <v>0</v>
      </c>
      <c r="P5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2</v>
      </c>
      <c r="Q54" s="379">
        <f>IF(Tabelle1324568910111213141516171619[[#This Row],[Status]]=$J$5,Tabelle1324568910111213141516171619[[#This Row],[COsSP Initially Planned]]+Tabelle1324568910111213141516171619[[#This Row],[COsSP Pulled after Start]]-Tabelle1324568910111213141516171619[[#This Row],[CSOsSP Completed]],0)</f>
        <v>0</v>
      </c>
      <c r="R54" s="379">
        <f>Tabelle1324568910111213141516171619[[#This Row],[COsSP Initially Planned]]+Tabelle1324568910111213141516171619[[#This Row],[COsSP Pulled after Start]]-Tabelle1324568910111213141516171619[[#This Row],[CSOsSP Completed]]-Tabelle1324568910111213141516171619[[#This Row],[CSOsSP Removed]]</f>
        <v>0</v>
      </c>
    </row>
    <row r="55" spans="1:18" ht="13.5" customHeight="1">
      <c r="A55" s="251" t="s">
        <v>284</v>
      </c>
      <c r="B55" s="398" t="s">
        <v>285</v>
      </c>
      <c r="C55" s="375" t="s">
        <v>215</v>
      </c>
      <c r="D55" s="203">
        <v>2</v>
      </c>
      <c r="E55" s="375" t="s">
        <v>278</v>
      </c>
      <c r="F55" s="204">
        <v>3</v>
      </c>
      <c r="G55" s="36" t="s">
        <v>17</v>
      </c>
      <c r="H55" s="397"/>
      <c r="I55" t="s">
        <v>217</v>
      </c>
      <c r="J55" s="377"/>
      <c r="K55" s="375" t="s">
        <v>125</v>
      </c>
      <c r="L55" s="376"/>
      <c r="M55" s="376"/>
      <c r="N55" s="378">
        <f>IF(OR(Tabelle1324568910111213141516171619[[#This Row],[Pulled after Start]]="yes",Tabelle1324568910111213141516171619[[#This Row],[Jira Story Points]]="-"),0,MIN(Tabelle1324568910111213141516171619[[#This Row],[Jira Story Points]],Tabelle1324568910111213141516171619[[#This Row],[Carry-over]]))</f>
        <v>3</v>
      </c>
      <c r="O55" s="379">
        <f>SUM(IF(ISBLANK(Tabelle1324568910111213141516171619[[#This Row],[Carry-over]]),Tabelle1324568910111213141516171619[[#This Row],[Jira Story Points]],Tabelle1324568910111213141516171619[[#This Row],[Carry-over]]),-Tabelle1324568910111213141516171619[[#This Row],[COsSP Initially Planned]])</f>
        <v>0</v>
      </c>
      <c r="P5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55" s="379">
        <f>IF(Tabelle1324568910111213141516171619[[#This Row],[Status]]=$J$5,Tabelle1324568910111213141516171619[[#This Row],[COsSP Initially Planned]]+Tabelle1324568910111213141516171619[[#This Row],[COsSP Pulled after Start]]-Tabelle1324568910111213141516171619[[#This Row],[CSOsSP Completed]],0)</f>
        <v>0</v>
      </c>
      <c r="R55" s="379">
        <f>Tabelle1324568910111213141516171619[[#This Row],[COsSP Initially Planned]]+Tabelle1324568910111213141516171619[[#This Row],[COsSP Pulled after Start]]-Tabelle1324568910111213141516171619[[#This Row],[CSOsSP Completed]]-Tabelle1324568910111213141516171619[[#This Row],[CSOsSP Removed]]</f>
        <v>0</v>
      </c>
    </row>
    <row r="56" spans="1:18" ht="13.5" customHeight="1">
      <c r="A56" s="251" t="s">
        <v>286</v>
      </c>
      <c r="B56" s="398" t="s">
        <v>287</v>
      </c>
      <c r="C56" s="375" t="s">
        <v>215</v>
      </c>
      <c r="D56" s="203">
        <v>2</v>
      </c>
      <c r="E56" s="375" t="s">
        <v>288</v>
      </c>
      <c r="F56" s="204">
        <v>3</v>
      </c>
      <c r="G56" s="36" t="s">
        <v>17</v>
      </c>
      <c r="H56" s="397"/>
      <c r="I56" t="s">
        <v>217</v>
      </c>
      <c r="J56" s="377"/>
      <c r="K56" s="375" t="s">
        <v>127</v>
      </c>
      <c r="L56" s="376"/>
      <c r="M56" s="376"/>
      <c r="N56" s="378">
        <f>IF(OR(Tabelle1324568910111213141516171619[[#This Row],[Pulled after Start]]="yes",Tabelle1324568910111213141516171619[[#This Row],[Jira Story Points]]="-"),0,MIN(Tabelle1324568910111213141516171619[[#This Row],[Jira Story Points]],Tabelle1324568910111213141516171619[[#This Row],[Carry-over]]))</f>
        <v>3</v>
      </c>
      <c r="O56" s="379">
        <f>SUM(IF(ISBLANK(Tabelle1324568910111213141516171619[[#This Row],[Carry-over]]),Tabelle1324568910111213141516171619[[#This Row],[Jira Story Points]],Tabelle1324568910111213141516171619[[#This Row],[Carry-over]]),-Tabelle1324568910111213141516171619[[#This Row],[COsSP Initially Planned]])</f>
        <v>0</v>
      </c>
      <c r="P5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56" s="379">
        <f>IF(Tabelle1324568910111213141516171619[[#This Row],[Status]]=$J$5,Tabelle1324568910111213141516171619[[#This Row],[COsSP Initially Planned]]+Tabelle1324568910111213141516171619[[#This Row],[COsSP Pulled after Start]]-Tabelle1324568910111213141516171619[[#This Row],[CSOsSP Completed]],0)</f>
        <v>0</v>
      </c>
      <c r="R56" s="379">
        <f>Tabelle1324568910111213141516171619[[#This Row],[COsSP Initially Planned]]+Tabelle1324568910111213141516171619[[#This Row],[COsSP Pulled after Start]]-Tabelle1324568910111213141516171619[[#This Row],[CSOsSP Completed]]-Tabelle1324568910111213141516171619[[#This Row],[CSOsSP Removed]]</f>
        <v>3</v>
      </c>
    </row>
    <row r="57" spans="1:18" ht="13.5" customHeight="1">
      <c r="A57" s="251" t="s">
        <v>289</v>
      </c>
      <c r="B57" s="398" t="s">
        <v>290</v>
      </c>
      <c r="C57" s="375" t="s">
        <v>215</v>
      </c>
      <c r="D57" s="203">
        <v>2</v>
      </c>
      <c r="E57" s="375" t="s">
        <v>291</v>
      </c>
      <c r="F57" s="204">
        <v>3</v>
      </c>
      <c r="G57" s="36" t="s">
        <v>17</v>
      </c>
      <c r="H57" s="397"/>
      <c r="I57" t="s">
        <v>217</v>
      </c>
      <c r="J57" s="377"/>
      <c r="K57" s="375" t="s">
        <v>127</v>
      </c>
      <c r="L57" s="376"/>
      <c r="M57" s="376"/>
      <c r="N57" s="378">
        <f>IF(OR(Tabelle1324568910111213141516171619[[#This Row],[Pulled after Start]]="yes",Tabelle1324568910111213141516171619[[#This Row],[Jira Story Points]]="-"),0,MIN(Tabelle1324568910111213141516171619[[#This Row],[Jira Story Points]],Tabelle1324568910111213141516171619[[#This Row],[Carry-over]]))</f>
        <v>3</v>
      </c>
      <c r="O57" s="379">
        <f>SUM(IF(ISBLANK(Tabelle1324568910111213141516171619[[#This Row],[Carry-over]]),Tabelle1324568910111213141516171619[[#This Row],[Jira Story Points]],Tabelle1324568910111213141516171619[[#This Row],[Carry-over]]),-Tabelle1324568910111213141516171619[[#This Row],[COsSP Initially Planned]])</f>
        <v>0</v>
      </c>
      <c r="P5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57" s="379">
        <f>IF(Tabelle1324568910111213141516171619[[#This Row],[Status]]=$J$5,Tabelle1324568910111213141516171619[[#This Row],[COsSP Initially Planned]]+Tabelle1324568910111213141516171619[[#This Row],[COsSP Pulled after Start]]-Tabelle1324568910111213141516171619[[#This Row],[CSOsSP Completed]],0)</f>
        <v>0</v>
      </c>
      <c r="R57" s="379">
        <f>Tabelle1324568910111213141516171619[[#This Row],[COsSP Initially Planned]]+Tabelle1324568910111213141516171619[[#This Row],[COsSP Pulled after Start]]-Tabelle1324568910111213141516171619[[#This Row],[CSOsSP Completed]]-Tabelle1324568910111213141516171619[[#This Row],[CSOsSP Removed]]</f>
        <v>3</v>
      </c>
    </row>
    <row r="58" spans="1:18" ht="13.5" customHeight="1">
      <c r="A58" s="251" t="s">
        <v>292</v>
      </c>
      <c r="B58" s="398" t="s">
        <v>293</v>
      </c>
      <c r="C58" s="375" t="s">
        <v>215</v>
      </c>
      <c r="D58" s="203">
        <v>2</v>
      </c>
      <c r="E58" s="375" t="s">
        <v>278</v>
      </c>
      <c r="F58" s="204">
        <v>2</v>
      </c>
      <c r="G58" s="36" t="s">
        <v>17</v>
      </c>
      <c r="H58" s="397"/>
      <c r="I58" t="s">
        <v>217</v>
      </c>
      <c r="J58" s="377"/>
      <c r="K58" s="375" t="s">
        <v>125</v>
      </c>
      <c r="L58" s="376"/>
      <c r="M58" s="376"/>
      <c r="N58" s="378">
        <f>IF(OR(Tabelle1324568910111213141516171619[[#This Row],[Pulled after Start]]="yes",Tabelle1324568910111213141516171619[[#This Row],[Jira Story Points]]="-"),0,MIN(Tabelle1324568910111213141516171619[[#This Row],[Jira Story Points]],Tabelle1324568910111213141516171619[[#This Row],[Carry-over]]))</f>
        <v>2</v>
      </c>
      <c r="O58" s="379">
        <f>SUM(IF(ISBLANK(Tabelle1324568910111213141516171619[[#This Row],[Carry-over]]),Tabelle1324568910111213141516171619[[#This Row],[Jira Story Points]],Tabelle1324568910111213141516171619[[#This Row],[Carry-over]]),-Tabelle1324568910111213141516171619[[#This Row],[COsSP Initially Planned]])</f>
        <v>0</v>
      </c>
      <c r="P5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2</v>
      </c>
      <c r="Q58" s="379">
        <f>IF(Tabelle1324568910111213141516171619[[#This Row],[Status]]=$J$5,Tabelle1324568910111213141516171619[[#This Row],[COsSP Initially Planned]]+Tabelle1324568910111213141516171619[[#This Row],[COsSP Pulled after Start]]-Tabelle1324568910111213141516171619[[#This Row],[CSOsSP Completed]],0)</f>
        <v>0</v>
      </c>
      <c r="R58" s="379">
        <f>Tabelle1324568910111213141516171619[[#This Row],[COsSP Initially Planned]]+Tabelle1324568910111213141516171619[[#This Row],[COsSP Pulled after Start]]-Tabelle1324568910111213141516171619[[#This Row],[CSOsSP Completed]]-Tabelle1324568910111213141516171619[[#This Row],[CSOsSP Removed]]</f>
        <v>0</v>
      </c>
    </row>
    <row r="59" spans="1:18" ht="13.5" customHeight="1">
      <c r="A59" s="251" t="s">
        <v>294</v>
      </c>
      <c r="B59" s="398" t="s">
        <v>295</v>
      </c>
      <c r="C59" s="375" t="s">
        <v>215</v>
      </c>
      <c r="D59" s="203">
        <v>3</v>
      </c>
      <c r="E59" s="375" t="s">
        <v>296</v>
      </c>
      <c r="F59" s="204">
        <v>2</v>
      </c>
      <c r="G59" s="36" t="s">
        <v>17</v>
      </c>
      <c r="H59" s="397"/>
      <c r="I59" t="s">
        <v>217</v>
      </c>
      <c r="J59" s="377"/>
      <c r="K59" s="375" t="s">
        <v>127</v>
      </c>
      <c r="L59" s="376"/>
      <c r="M59" s="376"/>
      <c r="N59" s="378">
        <f>IF(OR(Tabelle1324568910111213141516171619[[#This Row],[Pulled after Start]]="yes",Tabelle1324568910111213141516171619[[#This Row],[Jira Story Points]]="-"),0,MIN(Tabelle1324568910111213141516171619[[#This Row],[Jira Story Points]],Tabelle1324568910111213141516171619[[#This Row],[Carry-over]]))</f>
        <v>2</v>
      </c>
      <c r="O59" s="379">
        <f>SUM(IF(ISBLANK(Tabelle1324568910111213141516171619[[#This Row],[Carry-over]]),Tabelle1324568910111213141516171619[[#This Row],[Jira Story Points]],Tabelle1324568910111213141516171619[[#This Row],[Carry-over]]),-Tabelle1324568910111213141516171619[[#This Row],[COsSP Initially Planned]])</f>
        <v>0</v>
      </c>
      <c r="P5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59" s="379">
        <f>IF(Tabelle1324568910111213141516171619[[#This Row],[Status]]=$J$5,Tabelle1324568910111213141516171619[[#This Row],[COsSP Initially Planned]]+Tabelle1324568910111213141516171619[[#This Row],[COsSP Pulled after Start]]-Tabelle1324568910111213141516171619[[#This Row],[CSOsSP Completed]],0)</f>
        <v>0</v>
      </c>
      <c r="R59" s="379">
        <f>Tabelle1324568910111213141516171619[[#This Row],[COsSP Initially Planned]]+Tabelle1324568910111213141516171619[[#This Row],[COsSP Pulled after Start]]-Tabelle1324568910111213141516171619[[#This Row],[CSOsSP Completed]]-Tabelle1324568910111213141516171619[[#This Row],[CSOsSP Removed]]</f>
        <v>2</v>
      </c>
    </row>
    <row r="60" spans="1:18" ht="13.5" customHeight="1">
      <c r="A60" s="251" t="s">
        <v>297</v>
      </c>
      <c r="B60" s="398" t="s">
        <v>298</v>
      </c>
      <c r="C60" s="203" t="s">
        <v>222</v>
      </c>
      <c r="D60" s="203">
        <v>3</v>
      </c>
      <c r="E60" s="375" t="s">
        <v>288</v>
      </c>
      <c r="F60" s="204">
        <v>3</v>
      </c>
      <c r="G60" s="36" t="s">
        <v>17</v>
      </c>
      <c r="H60" s="397"/>
      <c r="I60" t="s">
        <v>227</v>
      </c>
      <c r="J60" s="377"/>
      <c r="K60" s="375" t="s">
        <v>127</v>
      </c>
      <c r="L60" s="376"/>
      <c r="M60" s="376"/>
      <c r="N60" s="378">
        <f>IF(OR(Tabelle1324568910111213141516171619[[#This Row],[Pulled after Start]]="yes",Tabelle1324568910111213141516171619[[#This Row],[Jira Story Points]]="-"),0,MIN(Tabelle1324568910111213141516171619[[#This Row],[Jira Story Points]],Tabelle1324568910111213141516171619[[#This Row],[Carry-over]]))</f>
        <v>3</v>
      </c>
      <c r="O60" s="379">
        <f>SUM(IF(ISBLANK(Tabelle1324568910111213141516171619[[#This Row],[Carry-over]]),Tabelle1324568910111213141516171619[[#This Row],[Jira Story Points]],Tabelle1324568910111213141516171619[[#This Row],[Carry-over]]),-Tabelle1324568910111213141516171619[[#This Row],[COsSP Initially Planned]])</f>
        <v>0</v>
      </c>
      <c r="P6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60" s="379">
        <f>IF(Tabelle1324568910111213141516171619[[#This Row],[Status]]=$J$5,Tabelle1324568910111213141516171619[[#This Row],[COsSP Initially Planned]]+Tabelle1324568910111213141516171619[[#This Row],[COsSP Pulled after Start]]-Tabelle1324568910111213141516171619[[#This Row],[CSOsSP Completed]],0)</f>
        <v>0</v>
      </c>
      <c r="R60" s="379">
        <f>Tabelle1324568910111213141516171619[[#This Row],[COsSP Initially Planned]]+Tabelle1324568910111213141516171619[[#This Row],[COsSP Pulled after Start]]-Tabelle1324568910111213141516171619[[#This Row],[CSOsSP Completed]]-Tabelle1324568910111213141516171619[[#This Row],[CSOsSP Removed]]</f>
        <v>3</v>
      </c>
    </row>
    <row r="61" spans="1:18" ht="13.5" customHeight="1">
      <c r="A61" s="251" t="s">
        <v>299</v>
      </c>
      <c r="B61" s="398" t="s">
        <v>300</v>
      </c>
      <c r="C61" s="203" t="s">
        <v>215</v>
      </c>
      <c r="D61" s="203">
        <v>3</v>
      </c>
      <c r="E61" s="375" t="s">
        <v>278</v>
      </c>
      <c r="F61" s="204">
        <v>3</v>
      </c>
      <c r="G61" s="36" t="s">
        <v>17</v>
      </c>
      <c r="H61" s="397"/>
      <c r="I61" t="s">
        <v>217</v>
      </c>
      <c r="J61" s="377"/>
      <c r="K61" s="375" t="s">
        <v>125</v>
      </c>
      <c r="L61" s="376"/>
      <c r="M61" s="376"/>
      <c r="N61" s="378">
        <f>IF(OR(Tabelle1324568910111213141516171619[[#This Row],[Pulled after Start]]="yes",Tabelle1324568910111213141516171619[[#This Row],[Jira Story Points]]="-"),0,MIN(Tabelle1324568910111213141516171619[[#This Row],[Jira Story Points]],Tabelle1324568910111213141516171619[[#This Row],[Carry-over]]))</f>
        <v>3</v>
      </c>
      <c r="O61" s="379">
        <f>SUM(IF(ISBLANK(Tabelle1324568910111213141516171619[[#This Row],[Carry-over]]),Tabelle1324568910111213141516171619[[#This Row],[Jira Story Points]],Tabelle1324568910111213141516171619[[#This Row],[Carry-over]]),-Tabelle1324568910111213141516171619[[#This Row],[COsSP Initially Planned]])</f>
        <v>0</v>
      </c>
      <c r="P6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61" s="379">
        <f>IF(Tabelle1324568910111213141516171619[[#This Row],[Status]]=$J$5,Tabelle1324568910111213141516171619[[#This Row],[COsSP Initially Planned]]+Tabelle1324568910111213141516171619[[#This Row],[COsSP Pulled after Start]]-Tabelle1324568910111213141516171619[[#This Row],[CSOsSP Completed]],0)</f>
        <v>0</v>
      </c>
      <c r="R61" s="379">
        <f>Tabelle1324568910111213141516171619[[#This Row],[COsSP Initially Planned]]+Tabelle1324568910111213141516171619[[#This Row],[COsSP Pulled after Start]]-Tabelle1324568910111213141516171619[[#This Row],[CSOsSP Completed]]-Tabelle1324568910111213141516171619[[#This Row],[CSOsSP Removed]]</f>
        <v>0</v>
      </c>
    </row>
    <row r="62" spans="1:18" ht="13.5" customHeight="1">
      <c r="A62" s="251" t="s">
        <v>301</v>
      </c>
      <c r="B62" s="398" t="s">
        <v>302</v>
      </c>
      <c r="C62" s="375" t="s">
        <v>234</v>
      </c>
      <c r="D62" s="203">
        <v>3</v>
      </c>
      <c r="E62" s="375" t="s">
        <v>278</v>
      </c>
      <c r="F62" s="204">
        <v>3</v>
      </c>
      <c r="G62" s="36" t="s">
        <v>17</v>
      </c>
      <c r="H62" s="397"/>
      <c r="I62" t="s">
        <v>217</v>
      </c>
      <c r="J62" s="377"/>
      <c r="K62" s="375" t="s">
        <v>125</v>
      </c>
      <c r="L62" s="376"/>
      <c r="M62" s="376"/>
      <c r="N62" s="378">
        <f>IF(OR(Tabelle1324568910111213141516171619[[#This Row],[Pulled after Start]]="yes",Tabelle1324568910111213141516171619[[#This Row],[Jira Story Points]]="-"),0,MIN(Tabelle1324568910111213141516171619[[#This Row],[Jira Story Points]],Tabelle1324568910111213141516171619[[#This Row],[Carry-over]]))</f>
        <v>3</v>
      </c>
      <c r="O62" s="379">
        <f>SUM(IF(ISBLANK(Tabelle1324568910111213141516171619[[#This Row],[Carry-over]]),Tabelle1324568910111213141516171619[[#This Row],[Jira Story Points]],Tabelle1324568910111213141516171619[[#This Row],[Carry-over]]),-Tabelle1324568910111213141516171619[[#This Row],[COsSP Initially Planned]])</f>
        <v>0</v>
      </c>
      <c r="P6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62" s="379">
        <f>IF(Tabelle1324568910111213141516171619[[#This Row],[Status]]=$J$5,Tabelle1324568910111213141516171619[[#This Row],[COsSP Initially Planned]]+Tabelle1324568910111213141516171619[[#This Row],[COsSP Pulled after Start]]-Tabelle1324568910111213141516171619[[#This Row],[CSOsSP Completed]],0)</f>
        <v>0</v>
      </c>
      <c r="R62" s="379">
        <f>Tabelle1324568910111213141516171619[[#This Row],[COsSP Initially Planned]]+Tabelle1324568910111213141516171619[[#This Row],[COsSP Pulled after Start]]-Tabelle1324568910111213141516171619[[#This Row],[CSOsSP Completed]]-Tabelle1324568910111213141516171619[[#This Row],[CSOsSP Removed]]</f>
        <v>0</v>
      </c>
    </row>
    <row r="63" spans="1:18" ht="13.5" customHeight="1">
      <c r="A63" s="251" t="s">
        <v>303</v>
      </c>
      <c r="B63" s="398" t="s">
        <v>304</v>
      </c>
      <c r="C63" s="375" t="s">
        <v>234</v>
      </c>
      <c r="D63" s="203">
        <v>3</v>
      </c>
      <c r="E63" s="375" t="s">
        <v>281</v>
      </c>
      <c r="F63" s="204">
        <v>5</v>
      </c>
      <c r="G63" s="36" t="s">
        <v>17</v>
      </c>
      <c r="H63" s="397"/>
      <c r="I63" t="s">
        <v>270</v>
      </c>
      <c r="J63" s="377"/>
      <c r="K63" s="375" t="s">
        <v>127</v>
      </c>
      <c r="L63" s="376"/>
      <c r="M63" s="376"/>
      <c r="N63" s="378">
        <f>IF(OR(Tabelle1324568910111213141516171619[[#This Row],[Pulled after Start]]="yes",Tabelle1324568910111213141516171619[[#This Row],[Jira Story Points]]="-"),0,MIN(Tabelle1324568910111213141516171619[[#This Row],[Jira Story Points]],Tabelle1324568910111213141516171619[[#This Row],[Carry-over]]))</f>
        <v>5</v>
      </c>
      <c r="O63" s="379">
        <f>SUM(IF(ISBLANK(Tabelle1324568910111213141516171619[[#This Row],[Carry-over]]),Tabelle1324568910111213141516171619[[#This Row],[Jira Story Points]],Tabelle1324568910111213141516171619[[#This Row],[Carry-over]]),-Tabelle1324568910111213141516171619[[#This Row],[COsSP Initially Planned]])</f>
        <v>0</v>
      </c>
      <c r="P6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63" s="379">
        <f>IF(Tabelle1324568910111213141516171619[[#This Row],[Status]]=$J$5,Tabelle1324568910111213141516171619[[#This Row],[COsSP Initially Planned]]+Tabelle1324568910111213141516171619[[#This Row],[COsSP Pulled after Start]]-Tabelle1324568910111213141516171619[[#This Row],[CSOsSP Completed]],0)</f>
        <v>0</v>
      </c>
      <c r="R63" s="379">
        <f>Tabelle1324568910111213141516171619[[#This Row],[COsSP Initially Planned]]+Tabelle1324568910111213141516171619[[#This Row],[COsSP Pulled after Start]]-Tabelle1324568910111213141516171619[[#This Row],[CSOsSP Completed]]-Tabelle1324568910111213141516171619[[#This Row],[CSOsSP Removed]]</f>
        <v>5</v>
      </c>
    </row>
    <row r="64" spans="1:18" ht="13.5" customHeight="1">
      <c r="A64" s="251" t="s">
        <v>305</v>
      </c>
      <c r="B64" s="398" t="s">
        <v>306</v>
      </c>
      <c r="C64" s="375" t="s">
        <v>234</v>
      </c>
      <c r="D64" s="203">
        <v>3</v>
      </c>
      <c r="E64" s="375" t="s">
        <v>307</v>
      </c>
      <c r="F64" s="204">
        <v>3</v>
      </c>
      <c r="G64" s="36" t="s">
        <v>17</v>
      </c>
      <c r="H64" s="397"/>
      <c r="I64" t="s">
        <v>270</v>
      </c>
      <c r="J64" s="377"/>
      <c r="K64" s="375" t="s">
        <v>127</v>
      </c>
      <c r="L64" s="376">
        <v>3</v>
      </c>
      <c r="M64" s="376"/>
      <c r="N64" s="378">
        <f>IF(OR(Tabelle1324568910111213141516171619[[#This Row],[Pulled after Start]]="yes",Tabelle1324568910111213141516171619[[#This Row],[Jira Story Points]]="-"),0,MIN(Tabelle1324568910111213141516171619[[#This Row],[Jira Story Points]],Tabelle1324568910111213141516171619[[#This Row],[Carry-over]]))</f>
        <v>3</v>
      </c>
      <c r="O64" s="379">
        <f>SUM(IF(ISBLANK(Tabelle1324568910111213141516171619[[#This Row],[Carry-over]]),Tabelle1324568910111213141516171619[[#This Row],[Jira Story Points]],Tabelle1324568910111213141516171619[[#This Row],[Carry-over]]),-Tabelle1324568910111213141516171619[[#This Row],[COsSP Initially Planned]])</f>
        <v>0</v>
      </c>
      <c r="P6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64" s="379">
        <f>IF(Tabelle1324568910111213141516171619[[#This Row],[Status]]=$J$5,Tabelle1324568910111213141516171619[[#This Row],[COsSP Initially Planned]]+Tabelle1324568910111213141516171619[[#This Row],[COsSP Pulled after Start]]-Tabelle1324568910111213141516171619[[#This Row],[CSOsSP Completed]],0)</f>
        <v>0</v>
      </c>
      <c r="R64" s="379">
        <f>Tabelle1324568910111213141516171619[[#This Row],[COsSP Initially Planned]]+Tabelle1324568910111213141516171619[[#This Row],[COsSP Pulled after Start]]-Tabelle1324568910111213141516171619[[#This Row],[CSOsSP Completed]]-Tabelle1324568910111213141516171619[[#This Row],[CSOsSP Removed]]</f>
        <v>3</v>
      </c>
    </row>
    <row r="65" spans="1:18" ht="13.5" customHeight="1">
      <c r="A65" s="251" t="s">
        <v>308</v>
      </c>
      <c r="B65" s="398" t="s">
        <v>309</v>
      </c>
      <c r="C65" s="375" t="s">
        <v>234</v>
      </c>
      <c r="D65" s="203">
        <v>3</v>
      </c>
      <c r="E65" s="375" t="s">
        <v>281</v>
      </c>
      <c r="F65" s="204">
        <v>5</v>
      </c>
      <c r="G65" s="36" t="s">
        <v>17</v>
      </c>
      <c r="H65" s="397"/>
      <c r="I65" t="s">
        <v>217</v>
      </c>
      <c r="J65" s="377"/>
      <c r="K65" s="375" t="s">
        <v>125</v>
      </c>
      <c r="L65" s="376"/>
      <c r="M65" s="376"/>
      <c r="N65" s="378">
        <f>IF(OR(Tabelle1324568910111213141516171619[[#This Row],[Pulled after Start]]="yes",Tabelle1324568910111213141516171619[[#This Row],[Jira Story Points]]="-"),0,MIN(Tabelle1324568910111213141516171619[[#This Row],[Jira Story Points]],Tabelle1324568910111213141516171619[[#This Row],[Carry-over]]))</f>
        <v>5</v>
      </c>
      <c r="O65" s="379">
        <f>SUM(IF(ISBLANK(Tabelle1324568910111213141516171619[[#This Row],[Carry-over]]),Tabelle1324568910111213141516171619[[#This Row],[Jira Story Points]],Tabelle1324568910111213141516171619[[#This Row],[Carry-over]]),-Tabelle1324568910111213141516171619[[#This Row],[COsSP Initially Planned]])</f>
        <v>0</v>
      </c>
      <c r="P6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5</v>
      </c>
      <c r="Q65" s="379">
        <f>IF(Tabelle1324568910111213141516171619[[#This Row],[Status]]=$J$5,Tabelle1324568910111213141516171619[[#This Row],[COsSP Initially Planned]]+Tabelle1324568910111213141516171619[[#This Row],[COsSP Pulled after Start]]-Tabelle1324568910111213141516171619[[#This Row],[CSOsSP Completed]],0)</f>
        <v>0</v>
      </c>
      <c r="R65" s="379">
        <f>Tabelle1324568910111213141516171619[[#This Row],[COsSP Initially Planned]]+Tabelle1324568910111213141516171619[[#This Row],[COsSP Pulled after Start]]-Tabelle1324568910111213141516171619[[#This Row],[CSOsSP Completed]]-Tabelle1324568910111213141516171619[[#This Row],[CSOsSP Removed]]</f>
        <v>0</v>
      </c>
    </row>
    <row r="66" spans="1:18" ht="13.5" customHeight="1">
      <c r="A66" s="251" t="s">
        <v>310</v>
      </c>
      <c r="B66" s="398" t="s">
        <v>311</v>
      </c>
      <c r="C66" s="375" t="s">
        <v>234</v>
      </c>
      <c r="D66" s="203">
        <v>3</v>
      </c>
      <c r="E66" s="375" t="s">
        <v>281</v>
      </c>
      <c r="F66" s="204">
        <v>5</v>
      </c>
      <c r="G66" s="36" t="s">
        <v>17</v>
      </c>
      <c r="H66" s="397"/>
      <c r="I66" t="s">
        <v>217</v>
      </c>
      <c r="J66" s="377"/>
      <c r="K66" s="375" t="s">
        <v>125</v>
      </c>
      <c r="L66" s="376"/>
      <c r="M66" s="376"/>
      <c r="N66" s="378">
        <f>IF(OR(Tabelle1324568910111213141516171619[[#This Row],[Pulled after Start]]="yes",Tabelle1324568910111213141516171619[[#This Row],[Jira Story Points]]="-"),0,MIN(Tabelle1324568910111213141516171619[[#This Row],[Jira Story Points]],Tabelle1324568910111213141516171619[[#This Row],[Carry-over]]))</f>
        <v>5</v>
      </c>
      <c r="O66" s="379">
        <f>SUM(IF(ISBLANK(Tabelle1324568910111213141516171619[[#This Row],[Carry-over]]),Tabelle1324568910111213141516171619[[#This Row],[Jira Story Points]],Tabelle1324568910111213141516171619[[#This Row],[Carry-over]]),-Tabelle1324568910111213141516171619[[#This Row],[COsSP Initially Planned]])</f>
        <v>0</v>
      </c>
      <c r="P6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5</v>
      </c>
      <c r="Q66" s="379">
        <f>IF(Tabelle1324568910111213141516171619[[#This Row],[Status]]=$J$5,Tabelle1324568910111213141516171619[[#This Row],[COsSP Initially Planned]]+Tabelle1324568910111213141516171619[[#This Row],[COsSP Pulled after Start]]-Tabelle1324568910111213141516171619[[#This Row],[CSOsSP Completed]],0)</f>
        <v>0</v>
      </c>
      <c r="R66" s="379">
        <f>Tabelle1324568910111213141516171619[[#This Row],[COsSP Initially Planned]]+Tabelle1324568910111213141516171619[[#This Row],[COsSP Pulled after Start]]-Tabelle1324568910111213141516171619[[#This Row],[CSOsSP Completed]]-Tabelle1324568910111213141516171619[[#This Row],[CSOsSP Removed]]</f>
        <v>0</v>
      </c>
    </row>
    <row r="67" spans="1:18" ht="13.5" customHeight="1">
      <c r="A67" s="251" t="s">
        <v>312</v>
      </c>
      <c r="B67" s="398" t="s">
        <v>313</v>
      </c>
      <c r="C67" s="375" t="s">
        <v>234</v>
      </c>
      <c r="D67" s="203">
        <v>3</v>
      </c>
      <c r="E67" s="375" t="s">
        <v>281</v>
      </c>
      <c r="F67" s="204">
        <v>5</v>
      </c>
      <c r="G67" s="36" t="s">
        <v>17</v>
      </c>
      <c r="H67" s="397"/>
      <c r="I67" t="s">
        <v>217</v>
      </c>
      <c r="J67" s="377"/>
      <c r="K67" s="375" t="s">
        <v>125</v>
      </c>
      <c r="L67" s="376"/>
      <c r="M67" s="376"/>
      <c r="N67" s="378">
        <f>IF(OR(Tabelle1324568910111213141516171619[[#This Row],[Pulled after Start]]="yes",Tabelle1324568910111213141516171619[[#This Row],[Jira Story Points]]="-"),0,MIN(Tabelle1324568910111213141516171619[[#This Row],[Jira Story Points]],Tabelle1324568910111213141516171619[[#This Row],[Carry-over]]))</f>
        <v>5</v>
      </c>
      <c r="O67" s="379">
        <f>SUM(IF(ISBLANK(Tabelle1324568910111213141516171619[[#This Row],[Carry-over]]),Tabelle1324568910111213141516171619[[#This Row],[Jira Story Points]],Tabelle1324568910111213141516171619[[#This Row],[Carry-over]]),-Tabelle1324568910111213141516171619[[#This Row],[COsSP Initially Planned]])</f>
        <v>0</v>
      </c>
      <c r="P6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5</v>
      </c>
      <c r="Q67" s="379">
        <f>IF(Tabelle1324568910111213141516171619[[#This Row],[Status]]=$J$5,Tabelle1324568910111213141516171619[[#This Row],[COsSP Initially Planned]]+Tabelle1324568910111213141516171619[[#This Row],[COsSP Pulled after Start]]-Tabelle1324568910111213141516171619[[#This Row],[CSOsSP Completed]],0)</f>
        <v>0</v>
      </c>
      <c r="R67" s="379">
        <f>Tabelle1324568910111213141516171619[[#This Row],[COsSP Initially Planned]]+Tabelle1324568910111213141516171619[[#This Row],[COsSP Pulled after Start]]-Tabelle1324568910111213141516171619[[#This Row],[CSOsSP Completed]]-Tabelle1324568910111213141516171619[[#This Row],[CSOsSP Removed]]</f>
        <v>0</v>
      </c>
    </row>
    <row r="68" spans="1:18" ht="13.5" customHeight="1">
      <c r="A68" s="251" t="s">
        <v>314</v>
      </c>
      <c r="B68" s="398" t="s">
        <v>315</v>
      </c>
      <c r="C68" s="375" t="s">
        <v>234</v>
      </c>
      <c r="D68" s="203">
        <v>3</v>
      </c>
      <c r="E68" s="375" t="s">
        <v>281</v>
      </c>
      <c r="F68" s="204">
        <v>3</v>
      </c>
      <c r="G68" s="36" t="s">
        <v>17</v>
      </c>
      <c r="H68"/>
      <c r="I68" t="s">
        <v>270</v>
      </c>
      <c r="J68" s="377"/>
      <c r="K68" s="375" t="s">
        <v>125</v>
      </c>
      <c r="L68" s="376"/>
      <c r="M68" s="376"/>
      <c r="N68" s="378">
        <f>IF(OR(Tabelle1324568910111213141516171619[[#This Row],[Pulled after Start]]="yes",Tabelle1324568910111213141516171619[[#This Row],[Jira Story Points]]="-"),0,MIN(Tabelle1324568910111213141516171619[[#This Row],[Jira Story Points]],Tabelle1324568910111213141516171619[[#This Row],[Carry-over]]))</f>
        <v>3</v>
      </c>
      <c r="O68" s="379">
        <f>SUM(IF(ISBLANK(Tabelle1324568910111213141516171619[[#This Row],[Carry-over]]),Tabelle1324568910111213141516171619[[#This Row],[Jira Story Points]],Tabelle1324568910111213141516171619[[#This Row],[Carry-over]]),-Tabelle1324568910111213141516171619[[#This Row],[COsSP Initially Planned]])</f>
        <v>0</v>
      </c>
      <c r="P6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68" s="379">
        <f>IF(Tabelle1324568910111213141516171619[[#This Row],[Status]]=$J$5,Tabelle1324568910111213141516171619[[#This Row],[COsSP Initially Planned]]+Tabelle1324568910111213141516171619[[#This Row],[COsSP Pulled after Start]]-Tabelle1324568910111213141516171619[[#This Row],[CSOsSP Completed]],0)</f>
        <v>0</v>
      </c>
      <c r="R68" s="379">
        <f>Tabelle1324568910111213141516171619[[#This Row],[COsSP Initially Planned]]+Tabelle1324568910111213141516171619[[#This Row],[COsSP Pulled after Start]]-Tabelle1324568910111213141516171619[[#This Row],[CSOsSP Completed]]-Tabelle1324568910111213141516171619[[#This Row],[CSOsSP Removed]]</f>
        <v>0</v>
      </c>
    </row>
    <row r="69" spans="1:18" ht="13.5" customHeight="1">
      <c r="A69" s="251" t="s">
        <v>316</v>
      </c>
      <c r="B69" s="47" t="s">
        <v>317</v>
      </c>
      <c r="C69" s="375" t="s">
        <v>215</v>
      </c>
      <c r="D69" s="375">
        <v>2</v>
      </c>
      <c r="E69" s="375" t="s">
        <v>307</v>
      </c>
      <c r="F69" s="376">
        <v>2</v>
      </c>
      <c r="G69" s="375" t="s">
        <v>17</v>
      </c>
      <c r="H69" s="380"/>
      <c r="I69" s="377" t="s">
        <v>217</v>
      </c>
      <c r="J69" s="377"/>
      <c r="K69" s="375" t="s">
        <v>127</v>
      </c>
      <c r="L69" s="376"/>
      <c r="M69" s="376"/>
      <c r="N69" s="378">
        <f>IF(OR(Tabelle1324568910111213141516171619[[#This Row],[Pulled after Start]]="yes",Tabelle1324568910111213141516171619[[#This Row],[Jira Story Points]]="-"),0,MIN(Tabelle1324568910111213141516171619[[#This Row],[Jira Story Points]],Tabelle1324568910111213141516171619[[#This Row],[Carry-over]]))</f>
        <v>2</v>
      </c>
      <c r="O69" s="379">
        <f>SUM(IF(ISBLANK(Tabelle1324568910111213141516171619[[#This Row],[Carry-over]]),Tabelle1324568910111213141516171619[[#This Row],[Jira Story Points]],Tabelle1324568910111213141516171619[[#This Row],[Carry-over]]),-Tabelle1324568910111213141516171619[[#This Row],[COsSP Initially Planned]])</f>
        <v>0</v>
      </c>
      <c r="P6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69" s="379">
        <f>IF(Tabelle1324568910111213141516171619[[#This Row],[Status]]=$J$5,Tabelle1324568910111213141516171619[[#This Row],[COsSP Initially Planned]]+Tabelle1324568910111213141516171619[[#This Row],[COsSP Pulled after Start]]-Tabelle1324568910111213141516171619[[#This Row],[CSOsSP Completed]],0)</f>
        <v>0</v>
      </c>
      <c r="R69" s="379">
        <f>Tabelle1324568910111213141516171619[[#This Row],[COsSP Initially Planned]]+Tabelle1324568910111213141516171619[[#This Row],[COsSP Pulled after Start]]-Tabelle1324568910111213141516171619[[#This Row],[CSOsSP Completed]]-Tabelle1324568910111213141516171619[[#This Row],[CSOsSP Removed]]</f>
        <v>2</v>
      </c>
    </row>
    <row r="70" spans="1:18" ht="13.5" customHeight="1">
      <c r="A70" s="251" t="s">
        <v>318</v>
      </c>
      <c r="B70" s="47" t="s">
        <v>319</v>
      </c>
      <c r="C70" s="375" t="s">
        <v>234</v>
      </c>
      <c r="D70" s="375">
        <v>3</v>
      </c>
      <c r="E70" s="375" t="s">
        <v>278</v>
      </c>
      <c r="F70" s="376">
        <v>3</v>
      </c>
      <c r="G70" s="375" t="s">
        <v>17</v>
      </c>
      <c r="H70" s="380"/>
      <c r="I70" s="377" t="s">
        <v>270</v>
      </c>
      <c r="J70" s="377"/>
      <c r="K70" s="375" t="s">
        <v>125</v>
      </c>
      <c r="L70" s="376"/>
      <c r="M70" s="376"/>
      <c r="N70" s="378">
        <f>IF(OR(Tabelle1324568910111213141516171619[[#This Row],[Pulled after Start]]="yes",Tabelle1324568910111213141516171619[[#This Row],[Jira Story Points]]="-"),0,MIN(Tabelle1324568910111213141516171619[[#This Row],[Jira Story Points]],Tabelle1324568910111213141516171619[[#This Row],[Carry-over]]))</f>
        <v>3</v>
      </c>
      <c r="O70" s="379">
        <f>SUM(IF(ISBLANK(Tabelle1324568910111213141516171619[[#This Row],[Carry-over]]),Tabelle1324568910111213141516171619[[#This Row],[Jira Story Points]],Tabelle1324568910111213141516171619[[#This Row],[Carry-over]]),-Tabelle1324568910111213141516171619[[#This Row],[COsSP Initially Planned]])</f>
        <v>0</v>
      </c>
      <c r="P7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70" s="379">
        <f>IF(Tabelle1324568910111213141516171619[[#This Row],[Status]]=$J$5,Tabelle1324568910111213141516171619[[#This Row],[COsSP Initially Planned]]+Tabelle1324568910111213141516171619[[#This Row],[COsSP Pulled after Start]]-Tabelle1324568910111213141516171619[[#This Row],[CSOsSP Completed]],0)</f>
        <v>0</v>
      </c>
      <c r="R70" s="379">
        <f>Tabelle1324568910111213141516171619[[#This Row],[COsSP Initially Planned]]+Tabelle1324568910111213141516171619[[#This Row],[COsSP Pulled after Start]]-Tabelle1324568910111213141516171619[[#This Row],[CSOsSP Completed]]-Tabelle1324568910111213141516171619[[#This Row],[CSOsSP Removed]]</f>
        <v>0</v>
      </c>
    </row>
    <row r="71" spans="1:18" ht="13.5" customHeight="1">
      <c r="A71" s="251" t="s">
        <v>320</v>
      </c>
      <c r="B71" s="47" t="s">
        <v>321</v>
      </c>
      <c r="C71" s="375" t="s">
        <v>215</v>
      </c>
      <c r="D71" s="375">
        <v>1</v>
      </c>
      <c r="E71" s="375" t="s">
        <v>278</v>
      </c>
      <c r="F71" s="376">
        <v>3</v>
      </c>
      <c r="G71" s="375" t="s">
        <v>17</v>
      </c>
      <c r="H71" s="380"/>
      <c r="I71" s="377" t="s">
        <v>217</v>
      </c>
      <c r="J71" s="377"/>
      <c r="K71" s="375" t="s">
        <v>125</v>
      </c>
      <c r="L71" s="376"/>
      <c r="M71" s="376"/>
      <c r="N71" s="378">
        <f>IF(OR(Tabelle1324568910111213141516171619[[#This Row],[Pulled after Start]]="yes",Tabelle1324568910111213141516171619[[#This Row],[Jira Story Points]]="-"),0,MIN(Tabelle1324568910111213141516171619[[#This Row],[Jira Story Points]],Tabelle1324568910111213141516171619[[#This Row],[Carry-over]]))</f>
        <v>3</v>
      </c>
      <c r="O71" s="379">
        <f>SUM(IF(ISBLANK(Tabelle1324568910111213141516171619[[#This Row],[Carry-over]]),Tabelle1324568910111213141516171619[[#This Row],[Jira Story Points]],Tabelle1324568910111213141516171619[[#This Row],[Carry-over]]),-Tabelle1324568910111213141516171619[[#This Row],[COsSP Initially Planned]])</f>
        <v>0</v>
      </c>
      <c r="P7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71" s="379">
        <f>IF(Tabelle1324568910111213141516171619[[#This Row],[Status]]=$J$5,Tabelle1324568910111213141516171619[[#This Row],[COsSP Initially Planned]]+Tabelle1324568910111213141516171619[[#This Row],[COsSP Pulled after Start]]-Tabelle1324568910111213141516171619[[#This Row],[CSOsSP Completed]],0)</f>
        <v>0</v>
      </c>
      <c r="R71" s="379">
        <f>Tabelle1324568910111213141516171619[[#This Row],[COsSP Initially Planned]]+Tabelle1324568910111213141516171619[[#This Row],[COsSP Pulled after Start]]-Tabelle1324568910111213141516171619[[#This Row],[CSOsSP Completed]]-Tabelle1324568910111213141516171619[[#This Row],[CSOsSP Removed]]</f>
        <v>0</v>
      </c>
    </row>
    <row r="72" spans="1:18" ht="13.5" customHeight="1">
      <c r="A72" s="251" t="s">
        <v>322</v>
      </c>
      <c r="B72" s="47" t="s">
        <v>323</v>
      </c>
      <c r="C72" s="203" t="s">
        <v>234</v>
      </c>
      <c r="D72" s="375">
        <v>3</v>
      </c>
      <c r="E72" s="375" t="s">
        <v>324</v>
      </c>
      <c r="F72" s="376">
        <v>1</v>
      </c>
      <c r="G72" s="375" t="s">
        <v>32</v>
      </c>
      <c r="H72" s="205" t="s">
        <v>209</v>
      </c>
      <c r="I72" s="377"/>
      <c r="J72" s="377"/>
      <c r="K72" s="375" t="s">
        <v>125</v>
      </c>
      <c r="L72" s="376"/>
      <c r="M72" s="376"/>
      <c r="N72" s="378">
        <f>IF(OR(Tabelle1324568910111213141516171619[[#This Row],[Pulled after Start]]="yes",Tabelle1324568910111213141516171619[[#This Row],[Jira Story Points]]="-"),0,MIN(Tabelle1324568910111213141516171619[[#This Row],[Jira Story Points]],Tabelle1324568910111213141516171619[[#This Row],[Carry-over]]))</f>
        <v>0</v>
      </c>
      <c r="O72" s="379">
        <f>SUM(IF(ISBLANK(Tabelle1324568910111213141516171619[[#This Row],[Carry-over]]),Tabelle1324568910111213141516171619[[#This Row],[Jira Story Points]],Tabelle1324568910111213141516171619[[#This Row],[Carry-over]]),-Tabelle1324568910111213141516171619[[#This Row],[COsSP Initially Planned]])</f>
        <v>1</v>
      </c>
      <c r="P7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1</v>
      </c>
      <c r="Q72" s="379">
        <f>IF(Tabelle1324568910111213141516171619[[#This Row],[Status]]=$J$5,Tabelle1324568910111213141516171619[[#This Row],[COsSP Initially Planned]]+Tabelle1324568910111213141516171619[[#This Row],[COsSP Pulled after Start]]-Tabelle1324568910111213141516171619[[#This Row],[CSOsSP Completed]],0)</f>
        <v>0</v>
      </c>
      <c r="R72" s="379">
        <f>Tabelle1324568910111213141516171619[[#This Row],[COsSP Initially Planned]]+Tabelle1324568910111213141516171619[[#This Row],[COsSP Pulled after Start]]-Tabelle1324568910111213141516171619[[#This Row],[CSOsSP Completed]]-Tabelle1324568910111213141516171619[[#This Row],[CSOsSP Removed]]</f>
        <v>0</v>
      </c>
    </row>
    <row r="73" spans="1:18" ht="13.5" customHeight="1">
      <c r="A73" s="251" t="s">
        <v>325</v>
      </c>
      <c r="B73" s="47" t="s">
        <v>326</v>
      </c>
      <c r="C73" s="203" t="s">
        <v>222</v>
      </c>
      <c r="D73" s="375">
        <v>3</v>
      </c>
      <c r="E73" s="375" t="s">
        <v>327</v>
      </c>
      <c r="F73" s="376">
        <v>8</v>
      </c>
      <c r="G73" s="375" t="s">
        <v>32</v>
      </c>
      <c r="H73" s="380"/>
      <c r="I73" s="377"/>
      <c r="J73" s="377"/>
      <c r="K73" s="375" t="s">
        <v>125</v>
      </c>
      <c r="L73" s="376">
        <v>3</v>
      </c>
      <c r="M73" s="376"/>
      <c r="N73" s="378">
        <f>IF(OR(Tabelle1324568910111213141516171619[[#This Row],[Pulled after Start]]="yes",Tabelle1324568910111213141516171619[[#This Row],[Jira Story Points]]="-"),0,MIN(Tabelle1324568910111213141516171619[[#This Row],[Jira Story Points]],Tabelle1324568910111213141516171619[[#This Row],[Carry-over]]))</f>
        <v>3</v>
      </c>
      <c r="O73" s="379">
        <f>SUM(IF(ISBLANK(Tabelle1324568910111213141516171619[[#This Row],[Carry-over]]),Tabelle1324568910111213141516171619[[#This Row],[Jira Story Points]],Tabelle1324568910111213141516171619[[#This Row],[Carry-over]]),-Tabelle1324568910111213141516171619[[#This Row],[COsSP Initially Planned]])</f>
        <v>0</v>
      </c>
      <c r="P7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73" s="379">
        <f>IF(Tabelle1324568910111213141516171619[[#This Row],[Status]]=$J$5,Tabelle1324568910111213141516171619[[#This Row],[COsSP Initially Planned]]+Tabelle1324568910111213141516171619[[#This Row],[COsSP Pulled after Start]]-Tabelle1324568910111213141516171619[[#This Row],[CSOsSP Completed]],0)</f>
        <v>0</v>
      </c>
      <c r="R73" s="379">
        <f>Tabelle1324568910111213141516171619[[#This Row],[COsSP Initially Planned]]+Tabelle1324568910111213141516171619[[#This Row],[COsSP Pulled after Start]]-Tabelle1324568910111213141516171619[[#This Row],[CSOsSP Completed]]-Tabelle1324568910111213141516171619[[#This Row],[CSOsSP Removed]]</f>
        <v>0</v>
      </c>
    </row>
    <row r="74" spans="1:18" ht="13.5" customHeight="1">
      <c r="A74" s="251" t="s">
        <v>328</v>
      </c>
      <c r="B74" s="47" t="s">
        <v>329</v>
      </c>
      <c r="C74" s="203" t="s">
        <v>234</v>
      </c>
      <c r="D74" s="375">
        <v>3</v>
      </c>
      <c r="E74" s="375" t="s">
        <v>330</v>
      </c>
      <c r="F74" s="376">
        <v>8</v>
      </c>
      <c r="G74" s="375" t="s">
        <v>32</v>
      </c>
      <c r="H74" s="380"/>
      <c r="I74" s="377"/>
      <c r="J74" s="377"/>
      <c r="K74" s="375" t="s">
        <v>127</v>
      </c>
      <c r="L74" s="376">
        <v>8</v>
      </c>
      <c r="M74" s="376"/>
      <c r="N74" s="378">
        <f>IF(OR(Tabelle1324568910111213141516171619[[#This Row],[Pulled after Start]]="yes",Tabelle1324568910111213141516171619[[#This Row],[Jira Story Points]]="-"),0,MIN(Tabelle1324568910111213141516171619[[#This Row],[Jira Story Points]],Tabelle1324568910111213141516171619[[#This Row],[Carry-over]]))</f>
        <v>8</v>
      </c>
      <c r="O74" s="379">
        <f>SUM(IF(ISBLANK(Tabelle1324568910111213141516171619[[#This Row],[Carry-over]]),Tabelle1324568910111213141516171619[[#This Row],[Jira Story Points]],Tabelle1324568910111213141516171619[[#This Row],[Carry-over]]),-Tabelle1324568910111213141516171619[[#This Row],[COsSP Initially Planned]])</f>
        <v>0</v>
      </c>
      <c r="P7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74" s="379">
        <f>IF(Tabelle1324568910111213141516171619[[#This Row],[Status]]=$J$5,Tabelle1324568910111213141516171619[[#This Row],[COsSP Initially Planned]]+Tabelle1324568910111213141516171619[[#This Row],[COsSP Pulled after Start]]-Tabelle1324568910111213141516171619[[#This Row],[CSOsSP Completed]],0)</f>
        <v>0</v>
      </c>
      <c r="R74" s="379">
        <f>Tabelle1324568910111213141516171619[[#This Row],[COsSP Initially Planned]]+Tabelle1324568910111213141516171619[[#This Row],[COsSP Pulled after Start]]-Tabelle1324568910111213141516171619[[#This Row],[CSOsSP Completed]]-Tabelle1324568910111213141516171619[[#This Row],[CSOsSP Removed]]</f>
        <v>8</v>
      </c>
    </row>
    <row r="75" spans="1:18" ht="13.5" customHeight="1">
      <c r="A75" s="251" t="s">
        <v>331</v>
      </c>
      <c r="B75" s="47" t="s">
        <v>332</v>
      </c>
      <c r="C75" s="203" t="s">
        <v>222</v>
      </c>
      <c r="D75" s="375">
        <v>3</v>
      </c>
      <c r="E75" s="375" t="s">
        <v>324</v>
      </c>
      <c r="F75" s="376">
        <v>5</v>
      </c>
      <c r="G75" s="375" t="s">
        <v>32</v>
      </c>
      <c r="H75" s="380"/>
      <c r="I75" s="377"/>
      <c r="J75" s="377"/>
      <c r="K75" s="375" t="s">
        <v>125</v>
      </c>
      <c r="L75" s="376">
        <v>2</v>
      </c>
      <c r="M75" s="376"/>
      <c r="N75" s="378">
        <f>IF(OR(Tabelle1324568910111213141516171619[[#This Row],[Pulled after Start]]="yes",Tabelle1324568910111213141516171619[[#This Row],[Jira Story Points]]="-"),0,MIN(Tabelle1324568910111213141516171619[[#This Row],[Jira Story Points]],Tabelle1324568910111213141516171619[[#This Row],[Carry-over]]))</f>
        <v>2</v>
      </c>
      <c r="O75" s="379">
        <f>SUM(IF(ISBLANK(Tabelle1324568910111213141516171619[[#This Row],[Carry-over]]),Tabelle1324568910111213141516171619[[#This Row],[Jira Story Points]],Tabelle1324568910111213141516171619[[#This Row],[Carry-over]]),-Tabelle1324568910111213141516171619[[#This Row],[COsSP Initially Planned]])</f>
        <v>0</v>
      </c>
      <c r="P7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2</v>
      </c>
      <c r="Q75" s="379">
        <f>IF(Tabelle1324568910111213141516171619[[#This Row],[Status]]=$J$5,Tabelle1324568910111213141516171619[[#This Row],[COsSP Initially Planned]]+Tabelle1324568910111213141516171619[[#This Row],[COsSP Pulled after Start]]-Tabelle1324568910111213141516171619[[#This Row],[CSOsSP Completed]],0)</f>
        <v>0</v>
      </c>
      <c r="R75" s="379">
        <f>Tabelle1324568910111213141516171619[[#This Row],[COsSP Initially Planned]]+Tabelle1324568910111213141516171619[[#This Row],[COsSP Pulled after Start]]-Tabelle1324568910111213141516171619[[#This Row],[CSOsSP Completed]]-Tabelle1324568910111213141516171619[[#This Row],[CSOsSP Removed]]</f>
        <v>0</v>
      </c>
    </row>
    <row r="76" spans="1:18" ht="13.5" customHeight="1">
      <c r="A76" s="251" t="s">
        <v>333</v>
      </c>
      <c r="B76" s="47" t="s">
        <v>334</v>
      </c>
      <c r="C76" s="203" t="s">
        <v>215</v>
      </c>
      <c r="D76" s="375">
        <v>3</v>
      </c>
      <c r="E76" s="375" t="s">
        <v>324</v>
      </c>
      <c r="F76" s="376">
        <v>3</v>
      </c>
      <c r="G76" s="375" t="s">
        <v>32</v>
      </c>
      <c r="H76" s="380"/>
      <c r="I76" s="377"/>
      <c r="J76" s="377"/>
      <c r="K76" s="375" t="s">
        <v>125</v>
      </c>
      <c r="L76" s="376">
        <v>1</v>
      </c>
      <c r="M76" s="376"/>
      <c r="N76" s="378">
        <f>IF(OR(Tabelle1324568910111213141516171619[[#This Row],[Pulled after Start]]="yes",Tabelle1324568910111213141516171619[[#This Row],[Jira Story Points]]="-"),0,MIN(Tabelle1324568910111213141516171619[[#This Row],[Jira Story Points]],Tabelle1324568910111213141516171619[[#This Row],[Carry-over]]))</f>
        <v>1</v>
      </c>
      <c r="O76" s="379">
        <f>SUM(IF(ISBLANK(Tabelle1324568910111213141516171619[[#This Row],[Carry-over]]),Tabelle1324568910111213141516171619[[#This Row],[Jira Story Points]],Tabelle1324568910111213141516171619[[#This Row],[Carry-over]]),-Tabelle1324568910111213141516171619[[#This Row],[COsSP Initially Planned]])</f>
        <v>0</v>
      </c>
      <c r="P7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1</v>
      </c>
      <c r="Q76" s="379">
        <f>IF(Tabelle1324568910111213141516171619[[#This Row],[Status]]=$J$5,Tabelle1324568910111213141516171619[[#This Row],[COsSP Initially Planned]]+Tabelle1324568910111213141516171619[[#This Row],[COsSP Pulled after Start]]-Tabelle1324568910111213141516171619[[#This Row],[CSOsSP Completed]],0)</f>
        <v>0</v>
      </c>
      <c r="R76" s="379">
        <f>Tabelle1324568910111213141516171619[[#This Row],[COsSP Initially Planned]]+Tabelle1324568910111213141516171619[[#This Row],[COsSP Pulled after Start]]-Tabelle1324568910111213141516171619[[#This Row],[CSOsSP Completed]]-Tabelle1324568910111213141516171619[[#This Row],[CSOsSP Removed]]</f>
        <v>0</v>
      </c>
    </row>
    <row r="77" spans="1:18" ht="13.5" customHeight="1">
      <c r="A77" s="251" t="s">
        <v>335</v>
      </c>
      <c r="B77" s="47" t="s">
        <v>336</v>
      </c>
      <c r="C77" s="203" t="s">
        <v>215</v>
      </c>
      <c r="D77" s="375">
        <v>3</v>
      </c>
      <c r="E77" s="375" t="s">
        <v>324</v>
      </c>
      <c r="F77" s="376">
        <v>3</v>
      </c>
      <c r="G77" s="375" t="s">
        <v>32</v>
      </c>
      <c r="H77" s="380"/>
      <c r="I77" s="377"/>
      <c r="J77" s="377"/>
      <c r="K77" s="375" t="s">
        <v>125</v>
      </c>
      <c r="L77" s="376"/>
      <c r="M77" s="376"/>
      <c r="N77" s="378">
        <f>IF(OR(Tabelle1324568910111213141516171619[[#This Row],[Pulled after Start]]="yes",Tabelle1324568910111213141516171619[[#This Row],[Jira Story Points]]="-"),0,MIN(Tabelle1324568910111213141516171619[[#This Row],[Jira Story Points]],Tabelle1324568910111213141516171619[[#This Row],[Carry-over]]))</f>
        <v>3</v>
      </c>
      <c r="O77" s="379">
        <f>SUM(IF(ISBLANK(Tabelle1324568910111213141516171619[[#This Row],[Carry-over]]),Tabelle1324568910111213141516171619[[#This Row],[Jira Story Points]],Tabelle1324568910111213141516171619[[#This Row],[Carry-over]]),-Tabelle1324568910111213141516171619[[#This Row],[COsSP Initially Planned]])</f>
        <v>0</v>
      </c>
      <c r="P7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77" s="379">
        <f>IF(Tabelle1324568910111213141516171619[[#This Row],[Status]]=$J$5,Tabelle1324568910111213141516171619[[#This Row],[COsSP Initially Planned]]+Tabelle1324568910111213141516171619[[#This Row],[COsSP Pulled after Start]]-Tabelle1324568910111213141516171619[[#This Row],[CSOsSP Completed]],0)</f>
        <v>0</v>
      </c>
      <c r="R77" s="379">
        <f>Tabelle1324568910111213141516171619[[#This Row],[COsSP Initially Planned]]+Tabelle1324568910111213141516171619[[#This Row],[COsSP Pulled after Start]]-Tabelle1324568910111213141516171619[[#This Row],[CSOsSP Completed]]-Tabelle1324568910111213141516171619[[#This Row],[CSOsSP Removed]]</f>
        <v>0</v>
      </c>
    </row>
    <row r="78" spans="1:18" ht="13.5" customHeight="1">
      <c r="A78" s="251" t="s">
        <v>337</v>
      </c>
      <c r="B78" s="47" t="s">
        <v>338</v>
      </c>
      <c r="C78" s="203" t="s">
        <v>222</v>
      </c>
      <c r="D78" s="375">
        <v>3</v>
      </c>
      <c r="E78" s="375" t="s">
        <v>324</v>
      </c>
      <c r="F78" s="376">
        <v>5</v>
      </c>
      <c r="G78" s="375" t="s">
        <v>32</v>
      </c>
      <c r="H78" s="380"/>
      <c r="I78" s="377"/>
      <c r="J78" s="377"/>
      <c r="K78" s="375" t="s">
        <v>125</v>
      </c>
      <c r="L78" s="376"/>
      <c r="M78" s="376"/>
      <c r="N78" s="378">
        <f>IF(OR(Tabelle1324568910111213141516171619[[#This Row],[Pulled after Start]]="yes",Tabelle1324568910111213141516171619[[#This Row],[Jira Story Points]]="-"),0,MIN(Tabelle1324568910111213141516171619[[#This Row],[Jira Story Points]],Tabelle1324568910111213141516171619[[#This Row],[Carry-over]]))</f>
        <v>5</v>
      </c>
      <c r="O78" s="379">
        <f>SUM(IF(ISBLANK(Tabelle1324568910111213141516171619[[#This Row],[Carry-over]]),Tabelle1324568910111213141516171619[[#This Row],[Jira Story Points]],Tabelle1324568910111213141516171619[[#This Row],[Carry-over]]),-Tabelle1324568910111213141516171619[[#This Row],[COsSP Initially Planned]])</f>
        <v>0</v>
      </c>
      <c r="P7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5</v>
      </c>
      <c r="Q78" s="379">
        <f>IF(Tabelle1324568910111213141516171619[[#This Row],[Status]]=$J$5,Tabelle1324568910111213141516171619[[#This Row],[COsSP Initially Planned]]+Tabelle1324568910111213141516171619[[#This Row],[COsSP Pulled after Start]]-Tabelle1324568910111213141516171619[[#This Row],[CSOsSP Completed]],0)</f>
        <v>0</v>
      </c>
      <c r="R78" s="379">
        <f>Tabelle1324568910111213141516171619[[#This Row],[COsSP Initially Planned]]+Tabelle1324568910111213141516171619[[#This Row],[COsSP Pulled after Start]]-Tabelle1324568910111213141516171619[[#This Row],[CSOsSP Completed]]-Tabelle1324568910111213141516171619[[#This Row],[CSOsSP Removed]]</f>
        <v>0</v>
      </c>
    </row>
    <row r="79" spans="1:18" ht="13.5" customHeight="1">
      <c r="A79" s="251" t="s">
        <v>339</v>
      </c>
      <c r="B79" s="47" t="s">
        <v>340</v>
      </c>
      <c r="C79" s="203" t="s">
        <v>222</v>
      </c>
      <c r="D79" s="375">
        <v>3</v>
      </c>
      <c r="E79" s="375" t="s">
        <v>324</v>
      </c>
      <c r="F79" s="376">
        <v>2</v>
      </c>
      <c r="G79" s="375" t="s">
        <v>32</v>
      </c>
      <c r="H79" s="380"/>
      <c r="I79" s="377"/>
      <c r="J79" s="377"/>
      <c r="K79" s="375" t="s">
        <v>125</v>
      </c>
      <c r="L79" s="376"/>
      <c r="M79" s="376"/>
      <c r="N79" s="378">
        <f>IF(OR(Tabelle1324568910111213141516171619[[#This Row],[Pulled after Start]]="yes",Tabelle1324568910111213141516171619[[#This Row],[Jira Story Points]]="-"),0,MIN(Tabelle1324568910111213141516171619[[#This Row],[Jira Story Points]],Tabelle1324568910111213141516171619[[#This Row],[Carry-over]]))</f>
        <v>2</v>
      </c>
      <c r="O79" s="379">
        <f>SUM(IF(ISBLANK(Tabelle1324568910111213141516171619[[#This Row],[Carry-over]]),Tabelle1324568910111213141516171619[[#This Row],[Jira Story Points]],Tabelle1324568910111213141516171619[[#This Row],[Carry-over]]),-Tabelle1324568910111213141516171619[[#This Row],[COsSP Initially Planned]])</f>
        <v>0</v>
      </c>
      <c r="P7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2</v>
      </c>
      <c r="Q79" s="379">
        <f>IF(Tabelle1324568910111213141516171619[[#This Row],[Status]]=$J$5,Tabelle1324568910111213141516171619[[#This Row],[COsSP Initially Planned]]+Tabelle1324568910111213141516171619[[#This Row],[COsSP Pulled after Start]]-Tabelle1324568910111213141516171619[[#This Row],[CSOsSP Completed]],0)</f>
        <v>0</v>
      </c>
      <c r="R79" s="379">
        <f>Tabelle1324568910111213141516171619[[#This Row],[COsSP Initially Planned]]+Tabelle1324568910111213141516171619[[#This Row],[COsSP Pulled after Start]]-Tabelle1324568910111213141516171619[[#This Row],[CSOsSP Completed]]-Tabelle1324568910111213141516171619[[#This Row],[CSOsSP Removed]]</f>
        <v>0</v>
      </c>
    </row>
    <row r="80" spans="1:18" ht="13.5" customHeight="1">
      <c r="A80" s="251" t="s">
        <v>341</v>
      </c>
      <c r="B80" s="47" t="s">
        <v>342</v>
      </c>
      <c r="C80" s="203" t="s">
        <v>222</v>
      </c>
      <c r="D80" s="375">
        <v>3</v>
      </c>
      <c r="E80" s="375" t="s">
        <v>324</v>
      </c>
      <c r="F80" s="376">
        <v>2</v>
      </c>
      <c r="G80" s="375" t="s">
        <v>32</v>
      </c>
      <c r="H80" s="380"/>
      <c r="I80" s="377"/>
      <c r="J80" s="377"/>
      <c r="K80" s="375" t="s">
        <v>125</v>
      </c>
      <c r="L80" s="376"/>
      <c r="M80" s="376"/>
      <c r="N80" s="378">
        <f>IF(OR(Tabelle1324568910111213141516171619[[#This Row],[Pulled after Start]]="yes",Tabelle1324568910111213141516171619[[#This Row],[Jira Story Points]]="-"),0,MIN(Tabelle1324568910111213141516171619[[#This Row],[Jira Story Points]],Tabelle1324568910111213141516171619[[#This Row],[Carry-over]]))</f>
        <v>2</v>
      </c>
      <c r="O80" s="379">
        <f>SUM(IF(ISBLANK(Tabelle1324568910111213141516171619[[#This Row],[Carry-over]]),Tabelle1324568910111213141516171619[[#This Row],[Jira Story Points]],Tabelle1324568910111213141516171619[[#This Row],[Carry-over]]),-Tabelle1324568910111213141516171619[[#This Row],[COsSP Initially Planned]])</f>
        <v>0</v>
      </c>
      <c r="P8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2</v>
      </c>
      <c r="Q80" s="379">
        <f>IF(Tabelle1324568910111213141516171619[[#This Row],[Status]]=$J$5,Tabelle1324568910111213141516171619[[#This Row],[COsSP Initially Planned]]+Tabelle1324568910111213141516171619[[#This Row],[COsSP Pulled after Start]]-Tabelle1324568910111213141516171619[[#This Row],[CSOsSP Completed]],0)</f>
        <v>0</v>
      </c>
      <c r="R80" s="379">
        <f>Tabelle1324568910111213141516171619[[#This Row],[COsSP Initially Planned]]+Tabelle1324568910111213141516171619[[#This Row],[COsSP Pulled after Start]]-Tabelle1324568910111213141516171619[[#This Row],[CSOsSP Completed]]-Tabelle1324568910111213141516171619[[#This Row],[CSOsSP Removed]]</f>
        <v>0</v>
      </c>
    </row>
    <row r="81" spans="1:18" ht="13.5" customHeight="1">
      <c r="A81" s="251" t="s">
        <v>343</v>
      </c>
      <c r="B81" s="47" t="s">
        <v>344</v>
      </c>
      <c r="C81" s="203" t="s">
        <v>222</v>
      </c>
      <c r="D81" s="375">
        <v>3</v>
      </c>
      <c r="E81" s="375" t="s">
        <v>327</v>
      </c>
      <c r="F81" s="376">
        <v>5</v>
      </c>
      <c r="G81" s="375" t="s">
        <v>32</v>
      </c>
      <c r="H81" s="380"/>
      <c r="I81" s="377"/>
      <c r="J81" s="377"/>
      <c r="K81" s="375" t="s">
        <v>125</v>
      </c>
      <c r="L81" s="376"/>
      <c r="M81" s="376"/>
      <c r="N81" s="378">
        <f>IF(OR(Tabelle1324568910111213141516171619[[#This Row],[Pulled after Start]]="yes",Tabelle1324568910111213141516171619[[#This Row],[Jira Story Points]]="-"),0,MIN(Tabelle1324568910111213141516171619[[#This Row],[Jira Story Points]],Tabelle1324568910111213141516171619[[#This Row],[Carry-over]]))</f>
        <v>5</v>
      </c>
      <c r="O81" s="379">
        <f>SUM(IF(ISBLANK(Tabelle1324568910111213141516171619[[#This Row],[Carry-over]]),Tabelle1324568910111213141516171619[[#This Row],[Jira Story Points]],Tabelle1324568910111213141516171619[[#This Row],[Carry-over]]),-Tabelle1324568910111213141516171619[[#This Row],[COsSP Initially Planned]])</f>
        <v>0</v>
      </c>
      <c r="P8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5</v>
      </c>
      <c r="Q81" s="379">
        <f>IF(Tabelle1324568910111213141516171619[[#This Row],[Status]]=$J$5,Tabelle1324568910111213141516171619[[#This Row],[COsSP Initially Planned]]+Tabelle1324568910111213141516171619[[#This Row],[COsSP Pulled after Start]]-Tabelle1324568910111213141516171619[[#This Row],[CSOsSP Completed]],0)</f>
        <v>0</v>
      </c>
      <c r="R81" s="379">
        <f>Tabelle1324568910111213141516171619[[#This Row],[COsSP Initially Planned]]+Tabelle1324568910111213141516171619[[#This Row],[COsSP Pulled after Start]]-Tabelle1324568910111213141516171619[[#This Row],[CSOsSP Completed]]-Tabelle1324568910111213141516171619[[#This Row],[CSOsSP Removed]]</f>
        <v>0</v>
      </c>
    </row>
    <row r="82" spans="1:18" ht="13.5" customHeight="1">
      <c r="A82" s="251" t="s">
        <v>345</v>
      </c>
      <c r="B82" s="47" t="s">
        <v>346</v>
      </c>
      <c r="C82" s="203" t="s">
        <v>215</v>
      </c>
      <c r="D82" s="375">
        <v>3</v>
      </c>
      <c r="E82" s="375" t="s">
        <v>324</v>
      </c>
      <c r="F82" s="376">
        <v>3</v>
      </c>
      <c r="G82" s="375" t="s">
        <v>32</v>
      </c>
      <c r="H82" s="380"/>
      <c r="I82" s="377"/>
      <c r="J82" s="377"/>
      <c r="K82" s="375" t="s">
        <v>125</v>
      </c>
      <c r="L82" s="376"/>
      <c r="M82" s="376"/>
      <c r="N82" s="378">
        <f>IF(OR(Tabelle1324568910111213141516171619[[#This Row],[Pulled after Start]]="yes",Tabelle1324568910111213141516171619[[#This Row],[Jira Story Points]]="-"),0,MIN(Tabelle1324568910111213141516171619[[#This Row],[Jira Story Points]],Tabelle1324568910111213141516171619[[#This Row],[Carry-over]]))</f>
        <v>3</v>
      </c>
      <c r="O82" s="379">
        <f>SUM(IF(ISBLANK(Tabelle1324568910111213141516171619[[#This Row],[Carry-over]]),Tabelle1324568910111213141516171619[[#This Row],[Jira Story Points]],Tabelle1324568910111213141516171619[[#This Row],[Carry-over]]),-Tabelle1324568910111213141516171619[[#This Row],[COsSP Initially Planned]])</f>
        <v>0</v>
      </c>
      <c r="P8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82" s="379">
        <f>IF(Tabelle1324568910111213141516171619[[#This Row],[Status]]=$J$5,Tabelle1324568910111213141516171619[[#This Row],[COsSP Initially Planned]]+Tabelle1324568910111213141516171619[[#This Row],[COsSP Pulled after Start]]-Tabelle1324568910111213141516171619[[#This Row],[CSOsSP Completed]],0)</f>
        <v>0</v>
      </c>
      <c r="R82" s="379">
        <f>Tabelle1324568910111213141516171619[[#This Row],[COsSP Initially Planned]]+Tabelle1324568910111213141516171619[[#This Row],[COsSP Pulled after Start]]-Tabelle1324568910111213141516171619[[#This Row],[CSOsSP Completed]]-Tabelle1324568910111213141516171619[[#This Row],[CSOsSP Removed]]</f>
        <v>0</v>
      </c>
    </row>
    <row r="83" spans="1:18" ht="13.5" customHeight="1">
      <c r="A83" s="251" t="s">
        <v>347</v>
      </c>
      <c r="B83" s="47" t="s">
        <v>348</v>
      </c>
      <c r="C83" s="203" t="s">
        <v>215</v>
      </c>
      <c r="D83" s="375">
        <v>3</v>
      </c>
      <c r="E83" s="375" t="s">
        <v>324</v>
      </c>
      <c r="F83" s="376">
        <v>5</v>
      </c>
      <c r="G83" s="375" t="s">
        <v>32</v>
      </c>
      <c r="H83" s="205" t="s">
        <v>209</v>
      </c>
      <c r="I83" s="377"/>
      <c r="J83" s="377"/>
      <c r="K83" s="375" t="s">
        <v>125</v>
      </c>
      <c r="L83" s="376"/>
      <c r="M83" s="376"/>
      <c r="N83" s="378">
        <f>IF(OR(Tabelle1324568910111213141516171619[[#This Row],[Pulled after Start]]="yes",Tabelle1324568910111213141516171619[[#This Row],[Jira Story Points]]="-"),0,MIN(Tabelle1324568910111213141516171619[[#This Row],[Jira Story Points]],Tabelle1324568910111213141516171619[[#This Row],[Carry-over]]))</f>
        <v>0</v>
      </c>
      <c r="O83" s="379">
        <f>SUM(IF(ISBLANK(Tabelle1324568910111213141516171619[[#This Row],[Carry-over]]),Tabelle1324568910111213141516171619[[#This Row],[Jira Story Points]],Tabelle1324568910111213141516171619[[#This Row],[Carry-over]]),-Tabelle1324568910111213141516171619[[#This Row],[COsSP Initially Planned]])</f>
        <v>5</v>
      </c>
      <c r="P8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5</v>
      </c>
      <c r="Q83" s="379">
        <f>IF(Tabelle1324568910111213141516171619[[#This Row],[Status]]=$J$5,Tabelle1324568910111213141516171619[[#This Row],[COsSP Initially Planned]]+Tabelle1324568910111213141516171619[[#This Row],[COsSP Pulled after Start]]-Tabelle1324568910111213141516171619[[#This Row],[CSOsSP Completed]],0)</f>
        <v>0</v>
      </c>
      <c r="R83" s="379">
        <f>Tabelle1324568910111213141516171619[[#This Row],[COsSP Initially Planned]]+Tabelle1324568910111213141516171619[[#This Row],[COsSP Pulled after Start]]-Tabelle1324568910111213141516171619[[#This Row],[CSOsSP Completed]]-Tabelle1324568910111213141516171619[[#This Row],[CSOsSP Removed]]</f>
        <v>0</v>
      </c>
    </row>
    <row r="84" spans="1:18" ht="13.5" customHeight="1">
      <c r="A84" s="251" t="s">
        <v>349</v>
      </c>
      <c r="B84" s="47" t="s">
        <v>350</v>
      </c>
      <c r="C84" s="203" t="s">
        <v>234</v>
      </c>
      <c r="D84" s="375">
        <v>3</v>
      </c>
      <c r="E84" s="375" t="s">
        <v>351</v>
      </c>
      <c r="F84" s="376">
        <v>5</v>
      </c>
      <c r="G84" s="375" t="s">
        <v>32</v>
      </c>
      <c r="H84" s="205" t="s">
        <v>209</v>
      </c>
      <c r="I84" s="377"/>
      <c r="J84" s="377"/>
      <c r="K84" s="375" t="s">
        <v>125</v>
      </c>
      <c r="L84" s="376"/>
      <c r="M84" s="376"/>
      <c r="N84" s="378">
        <f>IF(OR(Tabelle1324568910111213141516171619[[#This Row],[Pulled after Start]]="yes",Tabelle1324568910111213141516171619[[#This Row],[Jira Story Points]]="-"),0,MIN(Tabelle1324568910111213141516171619[[#This Row],[Jira Story Points]],Tabelle1324568910111213141516171619[[#This Row],[Carry-over]]))</f>
        <v>0</v>
      </c>
      <c r="O84" s="379">
        <f>SUM(IF(ISBLANK(Tabelle1324568910111213141516171619[[#This Row],[Carry-over]]),Tabelle1324568910111213141516171619[[#This Row],[Jira Story Points]],Tabelle1324568910111213141516171619[[#This Row],[Carry-over]]),-Tabelle1324568910111213141516171619[[#This Row],[COsSP Initially Planned]])</f>
        <v>5</v>
      </c>
      <c r="P8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5</v>
      </c>
      <c r="Q84" s="379">
        <f>IF(Tabelle1324568910111213141516171619[[#This Row],[Status]]=$J$5,Tabelle1324568910111213141516171619[[#This Row],[COsSP Initially Planned]]+Tabelle1324568910111213141516171619[[#This Row],[COsSP Pulled after Start]]-Tabelle1324568910111213141516171619[[#This Row],[CSOsSP Completed]],0)</f>
        <v>0</v>
      </c>
      <c r="R84" s="379">
        <f>Tabelle1324568910111213141516171619[[#This Row],[COsSP Initially Planned]]+Tabelle1324568910111213141516171619[[#This Row],[COsSP Pulled after Start]]-Tabelle1324568910111213141516171619[[#This Row],[CSOsSP Completed]]-Tabelle1324568910111213141516171619[[#This Row],[CSOsSP Removed]]</f>
        <v>0</v>
      </c>
    </row>
    <row r="85" spans="1:18" ht="13.5" customHeight="1">
      <c r="A85" s="251" t="s">
        <v>352</v>
      </c>
      <c r="B85" s="47" t="s">
        <v>353</v>
      </c>
      <c r="C85" s="203" t="s">
        <v>222</v>
      </c>
      <c r="D85" s="375">
        <v>3</v>
      </c>
      <c r="E85" s="375" t="s">
        <v>327</v>
      </c>
      <c r="F85" s="376">
        <v>5</v>
      </c>
      <c r="G85" s="375" t="s">
        <v>32</v>
      </c>
      <c r="H85" s="205" t="s">
        <v>209</v>
      </c>
      <c r="I85" s="377"/>
      <c r="J85" s="377"/>
      <c r="K85" s="375" t="s">
        <v>125</v>
      </c>
      <c r="L85" s="376"/>
      <c r="M85" s="376"/>
      <c r="N85" s="378">
        <f>IF(OR(Tabelle1324568910111213141516171619[[#This Row],[Pulled after Start]]="yes",Tabelle1324568910111213141516171619[[#This Row],[Jira Story Points]]="-"),0,MIN(Tabelle1324568910111213141516171619[[#This Row],[Jira Story Points]],Tabelle1324568910111213141516171619[[#This Row],[Carry-over]]))</f>
        <v>0</v>
      </c>
      <c r="O85" s="379">
        <f>SUM(IF(ISBLANK(Tabelle1324568910111213141516171619[[#This Row],[Carry-over]]),Tabelle1324568910111213141516171619[[#This Row],[Jira Story Points]],Tabelle1324568910111213141516171619[[#This Row],[Carry-over]]),-Tabelle1324568910111213141516171619[[#This Row],[COsSP Initially Planned]])</f>
        <v>5</v>
      </c>
      <c r="P8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5</v>
      </c>
      <c r="Q85" s="379">
        <f>IF(Tabelle1324568910111213141516171619[[#This Row],[Status]]=$J$5,Tabelle1324568910111213141516171619[[#This Row],[COsSP Initially Planned]]+Tabelle1324568910111213141516171619[[#This Row],[COsSP Pulled after Start]]-Tabelle1324568910111213141516171619[[#This Row],[CSOsSP Completed]],0)</f>
        <v>0</v>
      </c>
      <c r="R85" s="379">
        <f>Tabelle1324568910111213141516171619[[#This Row],[COsSP Initially Planned]]+Tabelle1324568910111213141516171619[[#This Row],[COsSP Pulled after Start]]-Tabelle1324568910111213141516171619[[#This Row],[CSOsSP Completed]]-Tabelle1324568910111213141516171619[[#This Row],[CSOsSP Removed]]</f>
        <v>0</v>
      </c>
    </row>
    <row r="86" spans="1:18" ht="13.5" customHeight="1">
      <c r="A86" s="251" t="s">
        <v>354</v>
      </c>
      <c r="B86" s="47" t="s">
        <v>355</v>
      </c>
      <c r="C86" s="203" t="s">
        <v>234</v>
      </c>
      <c r="D86" s="375">
        <v>3</v>
      </c>
      <c r="E86" s="375" t="s">
        <v>324</v>
      </c>
      <c r="F86" s="376">
        <v>3</v>
      </c>
      <c r="G86" s="375" t="s">
        <v>32</v>
      </c>
      <c r="H86" s="380"/>
      <c r="I86" s="377"/>
      <c r="J86" s="377"/>
      <c r="K86" s="375" t="s">
        <v>125</v>
      </c>
      <c r="L86" s="376"/>
      <c r="M86" s="376"/>
      <c r="N86" s="378">
        <f>IF(OR(Tabelle1324568910111213141516171619[[#This Row],[Pulled after Start]]="yes",Tabelle1324568910111213141516171619[[#This Row],[Jira Story Points]]="-"),0,MIN(Tabelle1324568910111213141516171619[[#This Row],[Jira Story Points]],Tabelle1324568910111213141516171619[[#This Row],[Carry-over]]))</f>
        <v>3</v>
      </c>
      <c r="O86" s="379">
        <f>SUM(IF(ISBLANK(Tabelle1324568910111213141516171619[[#This Row],[Carry-over]]),Tabelle1324568910111213141516171619[[#This Row],[Jira Story Points]],Tabelle1324568910111213141516171619[[#This Row],[Carry-over]]),-Tabelle1324568910111213141516171619[[#This Row],[COsSP Initially Planned]])</f>
        <v>0</v>
      </c>
      <c r="P8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86" s="379">
        <f>IF(Tabelle1324568910111213141516171619[[#This Row],[Status]]=$J$5,Tabelle1324568910111213141516171619[[#This Row],[COsSP Initially Planned]]+Tabelle1324568910111213141516171619[[#This Row],[COsSP Pulled after Start]]-Tabelle1324568910111213141516171619[[#This Row],[CSOsSP Completed]],0)</f>
        <v>0</v>
      </c>
      <c r="R86" s="379">
        <f>Tabelle1324568910111213141516171619[[#This Row],[COsSP Initially Planned]]+Tabelle1324568910111213141516171619[[#This Row],[COsSP Pulled after Start]]-Tabelle1324568910111213141516171619[[#This Row],[CSOsSP Completed]]-Tabelle1324568910111213141516171619[[#This Row],[CSOsSP Removed]]</f>
        <v>0</v>
      </c>
    </row>
    <row r="87" spans="1:18" ht="13.5" customHeight="1">
      <c r="A87" s="251" t="s">
        <v>356</v>
      </c>
      <c r="B87" s="47" t="s">
        <v>357</v>
      </c>
      <c r="C87" s="203" t="s">
        <v>234</v>
      </c>
      <c r="D87" s="375">
        <v>3</v>
      </c>
      <c r="E87" s="375" t="s">
        <v>324</v>
      </c>
      <c r="F87" s="376">
        <v>2</v>
      </c>
      <c r="G87" s="375" t="s">
        <v>32</v>
      </c>
      <c r="H87" s="205" t="s">
        <v>209</v>
      </c>
      <c r="I87" s="377"/>
      <c r="J87" s="377"/>
      <c r="K87" s="375" t="s">
        <v>125</v>
      </c>
      <c r="L87" s="376"/>
      <c r="M87" s="376"/>
      <c r="N87" s="378">
        <f>IF(OR(Tabelle1324568910111213141516171619[[#This Row],[Pulled after Start]]="yes",Tabelle1324568910111213141516171619[[#This Row],[Jira Story Points]]="-"),0,MIN(Tabelle1324568910111213141516171619[[#This Row],[Jira Story Points]],Tabelle1324568910111213141516171619[[#This Row],[Carry-over]]))</f>
        <v>0</v>
      </c>
      <c r="O87" s="379">
        <f>SUM(IF(ISBLANK(Tabelle1324568910111213141516171619[[#This Row],[Carry-over]]),Tabelle1324568910111213141516171619[[#This Row],[Jira Story Points]],Tabelle1324568910111213141516171619[[#This Row],[Carry-over]]),-Tabelle1324568910111213141516171619[[#This Row],[COsSP Initially Planned]])</f>
        <v>2</v>
      </c>
      <c r="P8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2</v>
      </c>
      <c r="Q87" s="379">
        <f>IF(Tabelle1324568910111213141516171619[[#This Row],[Status]]=$J$5,Tabelle1324568910111213141516171619[[#This Row],[COsSP Initially Planned]]+Tabelle1324568910111213141516171619[[#This Row],[COsSP Pulled after Start]]-Tabelle1324568910111213141516171619[[#This Row],[CSOsSP Completed]],0)</f>
        <v>0</v>
      </c>
      <c r="R87" s="379">
        <f>Tabelle1324568910111213141516171619[[#This Row],[COsSP Initially Planned]]+Tabelle1324568910111213141516171619[[#This Row],[COsSP Pulled after Start]]-Tabelle1324568910111213141516171619[[#This Row],[CSOsSP Completed]]-Tabelle1324568910111213141516171619[[#This Row],[CSOsSP Removed]]</f>
        <v>0</v>
      </c>
    </row>
    <row r="88" spans="1:18" ht="13.5" customHeight="1">
      <c r="A88" s="251" t="s">
        <v>358</v>
      </c>
      <c r="B88" s="47" t="s">
        <v>359</v>
      </c>
      <c r="C88" s="203" t="s">
        <v>234</v>
      </c>
      <c r="D88" s="375">
        <v>3</v>
      </c>
      <c r="E88" s="375" t="s">
        <v>324</v>
      </c>
      <c r="F88" s="376">
        <v>3</v>
      </c>
      <c r="G88" s="375" t="s">
        <v>32</v>
      </c>
      <c r="H88" s="205" t="s">
        <v>209</v>
      </c>
      <c r="I88" s="377"/>
      <c r="J88" s="377"/>
      <c r="K88" s="375" t="s">
        <v>125</v>
      </c>
      <c r="L88" s="376"/>
      <c r="M88" s="376"/>
      <c r="N88" s="378">
        <f>IF(OR(Tabelle1324568910111213141516171619[[#This Row],[Pulled after Start]]="yes",Tabelle1324568910111213141516171619[[#This Row],[Jira Story Points]]="-"),0,MIN(Tabelle1324568910111213141516171619[[#This Row],[Jira Story Points]],Tabelle1324568910111213141516171619[[#This Row],[Carry-over]]))</f>
        <v>0</v>
      </c>
      <c r="O88" s="379">
        <f>SUM(IF(ISBLANK(Tabelle1324568910111213141516171619[[#This Row],[Carry-over]]),Tabelle1324568910111213141516171619[[#This Row],[Jira Story Points]],Tabelle1324568910111213141516171619[[#This Row],[Carry-over]]),-Tabelle1324568910111213141516171619[[#This Row],[COsSP Initially Planned]])</f>
        <v>3</v>
      </c>
      <c r="P8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88" s="379">
        <f>IF(Tabelle1324568910111213141516171619[[#This Row],[Status]]=$J$5,Tabelle1324568910111213141516171619[[#This Row],[COsSP Initially Planned]]+Tabelle1324568910111213141516171619[[#This Row],[COsSP Pulled after Start]]-Tabelle1324568910111213141516171619[[#This Row],[CSOsSP Completed]],0)</f>
        <v>0</v>
      </c>
      <c r="R88" s="379">
        <f>Tabelle1324568910111213141516171619[[#This Row],[COsSP Initially Planned]]+Tabelle1324568910111213141516171619[[#This Row],[COsSP Pulled after Start]]-Tabelle1324568910111213141516171619[[#This Row],[CSOsSP Completed]]-Tabelle1324568910111213141516171619[[#This Row],[CSOsSP Removed]]</f>
        <v>0</v>
      </c>
    </row>
    <row r="89" spans="1:18" ht="13.5" customHeight="1">
      <c r="A89" s="251" t="s">
        <v>360</v>
      </c>
      <c r="B89" s="47" t="s">
        <v>361</v>
      </c>
      <c r="C89" s="203" t="s">
        <v>234</v>
      </c>
      <c r="D89" s="375">
        <v>3</v>
      </c>
      <c r="E89" s="375" t="s">
        <v>330</v>
      </c>
      <c r="F89" s="376">
        <v>2</v>
      </c>
      <c r="G89" s="375" t="s">
        <v>32</v>
      </c>
      <c r="H89" s="205" t="s">
        <v>209</v>
      </c>
      <c r="I89" s="377"/>
      <c r="J89" s="377"/>
      <c r="K89" s="375" t="s">
        <v>125</v>
      </c>
      <c r="L89" s="376"/>
      <c r="M89" s="376"/>
      <c r="N89" s="378">
        <f>IF(OR(Tabelle1324568910111213141516171619[[#This Row],[Pulled after Start]]="yes",Tabelle1324568910111213141516171619[[#This Row],[Jira Story Points]]="-"),0,MIN(Tabelle1324568910111213141516171619[[#This Row],[Jira Story Points]],Tabelle1324568910111213141516171619[[#This Row],[Carry-over]]))</f>
        <v>0</v>
      </c>
      <c r="O89" s="379">
        <f>SUM(IF(ISBLANK(Tabelle1324568910111213141516171619[[#This Row],[Carry-over]]),Tabelle1324568910111213141516171619[[#This Row],[Jira Story Points]],Tabelle1324568910111213141516171619[[#This Row],[Carry-over]]),-Tabelle1324568910111213141516171619[[#This Row],[COsSP Initially Planned]])</f>
        <v>2</v>
      </c>
      <c r="P8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2</v>
      </c>
      <c r="Q89" s="379">
        <f>IF(Tabelle1324568910111213141516171619[[#This Row],[Status]]=$J$5,Tabelle1324568910111213141516171619[[#This Row],[COsSP Initially Planned]]+Tabelle1324568910111213141516171619[[#This Row],[COsSP Pulled after Start]]-Tabelle1324568910111213141516171619[[#This Row],[CSOsSP Completed]],0)</f>
        <v>0</v>
      </c>
      <c r="R89" s="379">
        <f>Tabelle1324568910111213141516171619[[#This Row],[COsSP Initially Planned]]+Tabelle1324568910111213141516171619[[#This Row],[COsSP Pulled after Start]]-Tabelle1324568910111213141516171619[[#This Row],[CSOsSP Completed]]-Tabelle1324568910111213141516171619[[#This Row],[CSOsSP Removed]]</f>
        <v>0</v>
      </c>
    </row>
    <row r="90" spans="1:18" ht="13.5" customHeight="1">
      <c r="A90" s="251" t="s">
        <v>362</v>
      </c>
      <c r="B90" s="47" t="s">
        <v>363</v>
      </c>
      <c r="C90" s="203" t="s">
        <v>215</v>
      </c>
      <c r="D90" s="375">
        <v>3</v>
      </c>
      <c r="E90" s="375" t="s">
        <v>327</v>
      </c>
      <c r="F90" s="376">
        <v>3</v>
      </c>
      <c r="G90" s="375" t="s">
        <v>32</v>
      </c>
      <c r="H90" s="205" t="s">
        <v>209</v>
      </c>
      <c r="I90" s="377"/>
      <c r="J90" s="377"/>
      <c r="K90" s="375" t="s">
        <v>125</v>
      </c>
      <c r="L90" s="376"/>
      <c r="M90" s="376"/>
      <c r="N90" s="378">
        <f>IF(OR(Tabelle1324568910111213141516171619[[#This Row],[Pulled after Start]]="yes",Tabelle1324568910111213141516171619[[#This Row],[Jira Story Points]]="-"),0,MIN(Tabelle1324568910111213141516171619[[#This Row],[Jira Story Points]],Tabelle1324568910111213141516171619[[#This Row],[Carry-over]]))</f>
        <v>0</v>
      </c>
      <c r="O90" s="379">
        <f>SUM(IF(ISBLANK(Tabelle1324568910111213141516171619[[#This Row],[Carry-over]]),Tabelle1324568910111213141516171619[[#This Row],[Jira Story Points]],Tabelle1324568910111213141516171619[[#This Row],[Carry-over]]),-Tabelle1324568910111213141516171619[[#This Row],[COsSP Initially Planned]])</f>
        <v>3</v>
      </c>
      <c r="P9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90" s="379">
        <f>IF(Tabelle1324568910111213141516171619[[#This Row],[Status]]=$J$5,Tabelle1324568910111213141516171619[[#This Row],[COsSP Initially Planned]]+Tabelle1324568910111213141516171619[[#This Row],[COsSP Pulled after Start]]-Tabelle1324568910111213141516171619[[#This Row],[CSOsSP Completed]],0)</f>
        <v>0</v>
      </c>
      <c r="R90" s="379">
        <f>Tabelle1324568910111213141516171619[[#This Row],[COsSP Initially Planned]]+Tabelle1324568910111213141516171619[[#This Row],[COsSP Pulled after Start]]-Tabelle1324568910111213141516171619[[#This Row],[CSOsSP Completed]]-Tabelle1324568910111213141516171619[[#This Row],[CSOsSP Removed]]</f>
        <v>0</v>
      </c>
    </row>
    <row r="91" spans="1:18" ht="13.5" customHeight="1">
      <c r="A91" s="251" t="s">
        <v>364</v>
      </c>
      <c r="B91" s="47" t="s">
        <v>365</v>
      </c>
      <c r="C91" s="203" t="s">
        <v>215</v>
      </c>
      <c r="D91" s="375">
        <v>3</v>
      </c>
      <c r="E91" s="375" t="s">
        <v>327</v>
      </c>
      <c r="F91" s="376">
        <v>3</v>
      </c>
      <c r="G91" s="375" t="s">
        <v>32</v>
      </c>
      <c r="H91" s="205" t="s">
        <v>209</v>
      </c>
      <c r="I91" s="377"/>
      <c r="J91" s="377"/>
      <c r="K91" s="375" t="s">
        <v>127</v>
      </c>
      <c r="L91" s="376"/>
      <c r="M91" s="376"/>
      <c r="N91" s="378">
        <f>IF(OR(Tabelle1324568910111213141516171619[[#This Row],[Pulled after Start]]="yes",Tabelle1324568910111213141516171619[[#This Row],[Jira Story Points]]="-"),0,MIN(Tabelle1324568910111213141516171619[[#This Row],[Jira Story Points]],Tabelle1324568910111213141516171619[[#This Row],[Carry-over]]))</f>
        <v>0</v>
      </c>
      <c r="O91" s="379">
        <f>SUM(IF(ISBLANK(Tabelle1324568910111213141516171619[[#This Row],[Carry-over]]),Tabelle1324568910111213141516171619[[#This Row],[Jira Story Points]],Tabelle1324568910111213141516171619[[#This Row],[Carry-over]]),-Tabelle1324568910111213141516171619[[#This Row],[COsSP Initially Planned]])</f>
        <v>3</v>
      </c>
      <c r="P9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91" s="379">
        <f>IF(Tabelle1324568910111213141516171619[[#This Row],[Status]]=$J$5,Tabelle1324568910111213141516171619[[#This Row],[COsSP Initially Planned]]+Tabelle1324568910111213141516171619[[#This Row],[COsSP Pulled after Start]]-Tabelle1324568910111213141516171619[[#This Row],[CSOsSP Completed]],0)</f>
        <v>0</v>
      </c>
      <c r="R91" s="379">
        <f>Tabelle1324568910111213141516171619[[#This Row],[COsSP Initially Planned]]+Tabelle1324568910111213141516171619[[#This Row],[COsSP Pulled after Start]]-Tabelle1324568910111213141516171619[[#This Row],[CSOsSP Completed]]-Tabelle1324568910111213141516171619[[#This Row],[CSOsSP Removed]]</f>
        <v>3</v>
      </c>
    </row>
    <row r="92" spans="1:18" ht="13.5" customHeight="1">
      <c r="A92" s="251" t="s">
        <v>366</v>
      </c>
      <c r="B92" s="47" t="s">
        <v>367</v>
      </c>
      <c r="C92" s="203" t="s">
        <v>234</v>
      </c>
      <c r="D92" s="375">
        <v>3</v>
      </c>
      <c r="E92" s="375" t="s">
        <v>330</v>
      </c>
      <c r="F92" s="376">
        <v>3</v>
      </c>
      <c r="G92" s="375" t="s">
        <v>32</v>
      </c>
      <c r="H92" s="205" t="s">
        <v>209</v>
      </c>
      <c r="I92" s="377"/>
      <c r="J92" s="377"/>
      <c r="K92" s="375" t="s">
        <v>127</v>
      </c>
      <c r="L92" s="376"/>
      <c r="M92" s="376"/>
      <c r="N92" s="378">
        <f>IF(OR(Tabelle1324568910111213141516171619[[#This Row],[Pulled after Start]]="yes",Tabelle1324568910111213141516171619[[#This Row],[Jira Story Points]]="-"),0,MIN(Tabelle1324568910111213141516171619[[#This Row],[Jira Story Points]],Tabelle1324568910111213141516171619[[#This Row],[Carry-over]]))</f>
        <v>0</v>
      </c>
      <c r="O92" s="379">
        <f>SUM(IF(ISBLANK(Tabelle1324568910111213141516171619[[#This Row],[Carry-over]]),Tabelle1324568910111213141516171619[[#This Row],[Jira Story Points]],Tabelle1324568910111213141516171619[[#This Row],[Carry-over]]),-Tabelle1324568910111213141516171619[[#This Row],[COsSP Initially Planned]])</f>
        <v>3</v>
      </c>
      <c r="P9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92" s="379">
        <f>IF(Tabelle1324568910111213141516171619[[#This Row],[Status]]=$J$5,Tabelle1324568910111213141516171619[[#This Row],[COsSP Initially Planned]]+Tabelle1324568910111213141516171619[[#This Row],[COsSP Pulled after Start]]-Tabelle1324568910111213141516171619[[#This Row],[CSOsSP Completed]],0)</f>
        <v>0</v>
      </c>
      <c r="R92" s="379">
        <f>Tabelle1324568910111213141516171619[[#This Row],[COsSP Initially Planned]]+Tabelle1324568910111213141516171619[[#This Row],[COsSP Pulled after Start]]-Tabelle1324568910111213141516171619[[#This Row],[CSOsSP Completed]]-Tabelle1324568910111213141516171619[[#This Row],[CSOsSP Removed]]</f>
        <v>3</v>
      </c>
    </row>
    <row r="93" spans="1:18" ht="13.5" customHeight="1">
      <c r="A93" s="251" t="s">
        <v>368</v>
      </c>
      <c r="B93" s="47" t="s">
        <v>369</v>
      </c>
      <c r="C93" s="203" t="s">
        <v>234</v>
      </c>
      <c r="D93" s="375">
        <v>3</v>
      </c>
      <c r="E93" s="375" t="s">
        <v>324</v>
      </c>
      <c r="F93" s="376">
        <v>1</v>
      </c>
      <c r="G93" s="375" t="s">
        <v>32</v>
      </c>
      <c r="H93" s="205" t="s">
        <v>209</v>
      </c>
      <c r="I93" s="377"/>
      <c r="J93" s="377"/>
      <c r="K93" s="375" t="s">
        <v>125</v>
      </c>
      <c r="L93" s="376"/>
      <c r="M93" s="376"/>
      <c r="N93" s="378">
        <f>IF(OR(Tabelle1324568910111213141516171619[[#This Row],[Pulled after Start]]="yes",Tabelle1324568910111213141516171619[[#This Row],[Jira Story Points]]="-"),0,MIN(Tabelle1324568910111213141516171619[[#This Row],[Jira Story Points]],Tabelle1324568910111213141516171619[[#This Row],[Carry-over]]))</f>
        <v>0</v>
      </c>
      <c r="O93" s="379">
        <f>SUM(IF(ISBLANK(Tabelle1324568910111213141516171619[[#This Row],[Carry-over]]),Tabelle1324568910111213141516171619[[#This Row],[Jira Story Points]],Tabelle1324568910111213141516171619[[#This Row],[Carry-over]]),-Tabelle1324568910111213141516171619[[#This Row],[COsSP Initially Planned]])</f>
        <v>1</v>
      </c>
      <c r="P9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1</v>
      </c>
      <c r="Q93" s="379">
        <f>IF(Tabelle1324568910111213141516171619[[#This Row],[Status]]=$J$5,Tabelle1324568910111213141516171619[[#This Row],[COsSP Initially Planned]]+Tabelle1324568910111213141516171619[[#This Row],[COsSP Pulled after Start]]-Tabelle1324568910111213141516171619[[#This Row],[CSOsSP Completed]],0)</f>
        <v>0</v>
      </c>
      <c r="R93" s="379">
        <f>Tabelle1324568910111213141516171619[[#This Row],[COsSP Initially Planned]]+Tabelle1324568910111213141516171619[[#This Row],[COsSP Pulled after Start]]-Tabelle1324568910111213141516171619[[#This Row],[CSOsSP Completed]]-Tabelle1324568910111213141516171619[[#This Row],[CSOsSP Removed]]</f>
        <v>0</v>
      </c>
    </row>
    <row r="94" spans="1:18" ht="13.5" customHeight="1">
      <c r="A94" s="399" t="s">
        <v>370</v>
      </c>
      <c r="B94" s="400" t="s">
        <v>371</v>
      </c>
      <c r="C94" s="401" t="s">
        <v>372</v>
      </c>
      <c r="D94" s="401">
        <v>3</v>
      </c>
      <c r="E94" s="401" t="s">
        <v>324</v>
      </c>
      <c r="F94" s="401">
        <v>3</v>
      </c>
      <c r="G94" s="401" t="s">
        <v>27</v>
      </c>
      <c r="H94" s="401" t="s">
        <v>209</v>
      </c>
      <c r="I94" s="377"/>
      <c r="J94" s="377"/>
      <c r="K94" s="375" t="s">
        <v>125</v>
      </c>
      <c r="L94" s="376"/>
      <c r="M94" s="376"/>
      <c r="N94" s="378">
        <f>IF(OR(Tabelle1324568910111213141516171619[[#This Row],[Pulled after Start]]="yes",Tabelle1324568910111213141516171619[[#This Row],[Jira Story Points]]="-"),0,MIN(Tabelle1324568910111213141516171619[[#This Row],[Jira Story Points]],Tabelle1324568910111213141516171619[[#This Row],[Carry-over]]))</f>
        <v>0</v>
      </c>
      <c r="O94" s="379">
        <f>SUM(IF(ISBLANK(Tabelle1324568910111213141516171619[[#This Row],[Carry-over]]),Tabelle1324568910111213141516171619[[#This Row],[Jira Story Points]],Tabelle1324568910111213141516171619[[#This Row],[Carry-over]]),-Tabelle1324568910111213141516171619[[#This Row],[COsSP Initially Planned]])</f>
        <v>3</v>
      </c>
      <c r="P9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94" s="379">
        <f>IF(Tabelle1324568910111213141516171619[[#This Row],[Status]]=$J$5,Tabelle1324568910111213141516171619[[#This Row],[COsSP Initially Planned]]+Tabelle1324568910111213141516171619[[#This Row],[COsSP Pulled after Start]]-Tabelle1324568910111213141516171619[[#This Row],[CSOsSP Completed]],0)</f>
        <v>0</v>
      </c>
      <c r="R94" s="379">
        <f>Tabelle1324568910111213141516171619[[#This Row],[COsSP Initially Planned]]+Tabelle1324568910111213141516171619[[#This Row],[COsSP Pulled after Start]]-Tabelle1324568910111213141516171619[[#This Row],[CSOsSP Completed]]-Tabelle1324568910111213141516171619[[#This Row],[CSOsSP Removed]]</f>
        <v>0</v>
      </c>
    </row>
    <row r="95" spans="1:18" ht="13.5" customHeight="1">
      <c r="A95" s="402" t="s">
        <v>373</v>
      </c>
      <c r="B95" s="403" t="s">
        <v>374</v>
      </c>
      <c r="C95" s="404" t="s">
        <v>375</v>
      </c>
      <c r="D95" s="404">
        <v>3</v>
      </c>
      <c r="E95" s="404" t="s">
        <v>324</v>
      </c>
      <c r="F95" s="404">
        <v>3</v>
      </c>
      <c r="G95" s="404" t="s">
        <v>27</v>
      </c>
      <c r="H95" s="404"/>
      <c r="I95" s="377"/>
      <c r="J95" s="377"/>
      <c r="K95" s="375" t="s">
        <v>125</v>
      </c>
      <c r="L95" s="376"/>
      <c r="M95" s="376"/>
      <c r="N95" s="378">
        <f>IF(OR(Tabelle1324568910111213141516171619[[#This Row],[Pulled after Start]]="yes",Tabelle1324568910111213141516171619[[#This Row],[Jira Story Points]]="-"),0,MIN(Tabelle1324568910111213141516171619[[#This Row],[Jira Story Points]],Tabelle1324568910111213141516171619[[#This Row],[Carry-over]]))</f>
        <v>3</v>
      </c>
      <c r="O95" s="379">
        <f>SUM(IF(ISBLANK(Tabelle1324568910111213141516171619[[#This Row],[Carry-over]]),Tabelle1324568910111213141516171619[[#This Row],[Jira Story Points]],Tabelle1324568910111213141516171619[[#This Row],[Carry-over]]),-Tabelle1324568910111213141516171619[[#This Row],[COsSP Initially Planned]])</f>
        <v>0</v>
      </c>
      <c r="P9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95" s="379">
        <f>IF(Tabelle1324568910111213141516171619[[#This Row],[Status]]=$J$5,Tabelle1324568910111213141516171619[[#This Row],[COsSP Initially Planned]]+Tabelle1324568910111213141516171619[[#This Row],[COsSP Pulled after Start]]-Tabelle1324568910111213141516171619[[#This Row],[CSOsSP Completed]],0)</f>
        <v>0</v>
      </c>
      <c r="R95" s="379">
        <f>Tabelle1324568910111213141516171619[[#This Row],[COsSP Initially Planned]]+Tabelle1324568910111213141516171619[[#This Row],[COsSP Pulled after Start]]-Tabelle1324568910111213141516171619[[#This Row],[CSOsSP Completed]]-Tabelle1324568910111213141516171619[[#This Row],[CSOsSP Removed]]</f>
        <v>0</v>
      </c>
    </row>
    <row r="96" spans="1:18" ht="13.5" customHeight="1">
      <c r="A96" s="399" t="s">
        <v>376</v>
      </c>
      <c r="B96" s="400" t="s">
        <v>377</v>
      </c>
      <c r="C96" s="401" t="s">
        <v>375</v>
      </c>
      <c r="D96" s="401">
        <v>4</v>
      </c>
      <c r="E96" s="401" t="s">
        <v>324</v>
      </c>
      <c r="F96" s="401">
        <v>3</v>
      </c>
      <c r="G96" s="401" t="s">
        <v>27</v>
      </c>
      <c r="H96" s="401"/>
      <c r="I96" s="377"/>
      <c r="J96" s="377"/>
      <c r="K96" s="375" t="s">
        <v>125</v>
      </c>
      <c r="L96" s="376"/>
      <c r="M96" s="376"/>
      <c r="N96" s="378">
        <f>IF(OR(Tabelle1324568910111213141516171619[[#This Row],[Pulled after Start]]="yes",Tabelle1324568910111213141516171619[[#This Row],[Jira Story Points]]="-"),0,MIN(Tabelle1324568910111213141516171619[[#This Row],[Jira Story Points]],Tabelle1324568910111213141516171619[[#This Row],[Carry-over]]))</f>
        <v>3</v>
      </c>
      <c r="O96" s="379">
        <f>SUM(IF(ISBLANK(Tabelle1324568910111213141516171619[[#This Row],[Carry-over]]),Tabelle1324568910111213141516171619[[#This Row],[Jira Story Points]],Tabelle1324568910111213141516171619[[#This Row],[Carry-over]]),-Tabelle1324568910111213141516171619[[#This Row],[COsSP Initially Planned]])</f>
        <v>0</v>
      </c>
      <c r="P9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96" s="379">
        <f>IF(Tabelle1324568910111213141516171619[[#This Row],[Status]]=$J$5,Tabelle1324568910111213141516171619[[#This Row],[COsSP Initially Planned]]+Tabelle1324568910111213141516171619[[#This Row],[COsSP Pulled after Start]]-Tabelle1324568910111213141516171619[[#This Row],[CSOsSP Completed]],0)</f>
        <v>0</v>
      </c>
      <c r="R96" s="379">
        <f>Tabelle1324568910111213141516171619[[#This Row],[COsSP Initially Planned]]+Tabelle1324568910111213141516171619[[#This Row],[COsSP Pulled after Start]]-Tabelle1324568910111213141516171619[[#This Row],[CSOsSP Completed]]-Tabelle1324568910111213141516171619[[#This Row],[CSOsSP Removed]]</f>
        <v>0</v>
      </c>
    </row>
    <row r="97" spans="1:18" ht="13.5" customHeight="1">
      <c r="A97" s="402" t="s">
        <v>378</v>
      </c>
      <c r="B97" s="403" t="s">
        <v>379</v>
      </c>
      <c r="C97" s="404" t="s">
        <v>372</v>
      </c>
      <c r="D97" s="404">
        <v>3</v>
      </c>
      <c r="E97" s="404" t="s">
        <v>324</v>
      </c>
      <c r="F97" s="404">
        <v>8</v>
      </c>
      <c r="G97" s="404" t="s">
        <v>27</v>
      </c>
      <c r="H97" s="404"/>
      <c r="I97" s="377"/>
      <c r="J97" s="377"/>
      <c r="K97" s="375" t="s">
        <v>125</v>
      </c>
      <c r="L97" s="376"/>
      <c r="M97" s="376"/>
      <c r="N97" s="378">
        <f>IF(OR(Tabelle1324568910111213141516171619[[#This Row],[Pulled after Start]]="yes",Tabelle1324568910111213141516171619[[#This Row],[Jira Story Points]]="-"),0,MIN(Tabelle1324568910111213141516171619[[#This Row],[Jira Story Points]],Tabelle1324568910111213141516171619[[#This Row],[Carry-over]]))</f>
        <v>8</v>
      </c>
      <c r="O97" s="379">
        <f>SUM(IF(ISBLANK(Tabelle1324568910111213141516171619[[#This Row],[Carry-over]]),Tabelle1324568910111213141516171619[[#This Row],[Jira Story Points]],Tabelle1324568910111213141516171619[[#This Row],[Carry-over]]),-Tabelle1324568910111213141516171619[[#This Row],[COsSP Initially Planned]])</f>
        <v>0</v>
      </c>
      <c r="P9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8</v>
      </c>
      <c r="Q97" s="379">
        <f>IF(Tabelle1324568910111213141516171619[[#This Row],[Status]]=$J$5,Tabelle1324568910111213141516171619[[#This Row],[COsSP Initially Planned]]+Tabelle1324568910111213141516171619[[#This Row],[COsSP Pulled after Start]]-Tabelle1324568910111213141516171619[[#This Row],[CSOsSP Completed]],0)</f>
        <v>0</v>
      </c>
      <c r="R97" s="379">
        <f>Tabelle1324568910111213141516171619[[#This Row],[COsSP Initially Planned]]+Tabelle1324568910111213141516171619[[#This Row],[COsSP Pulled after Start]]-Tabelle1324568910111213141516171619[[#This Row],[CSOsSP Completed]]-Tabelle1324568910111213141516171619[[#This Row],[CSOsSP Removed]]</f>
        <v>0</v>
      </c>
    </row>
    <row r="98" spans="1:18" ht="13.5" customHeight="1">
      <c r="A98" s="399" t="s">
        <v>380</v>
      </c>
      <c r="B98" s="400" t="s">
        <v>381</v>
      </c>
      <c r="C98" s="401" t="s">
        <v>382</v>
      </c>
      <c r="D98" s="401">
        <v>1</v>
      </c>
      <c r="E98" s="401" t="s">
        <v>324</v>
      </c>
      <c r="F98" s="401">
        <v>8</v>
      </c>
      <c r="G98" s="401" t="s">
        <v>27</v>
      </c>
      <c r="H98" s="401"/>
      <c r="I98" s="377"/>
      <c r="J98" s="377"/>
      <c r="K98" s="375" t="s">
        <v>125</v>
      </c>
      <c r="L98" s="376"/>
      <c r="M98" s="376"/>
      <c r="N98" s="378">
        <f>IF(OR(Tabelle1324568910111213141516171619[[#This Row],[Pulled after Start]]="yes",Tabelle1324568910111213141516171619[[#This Row],[Jira Story Points]]="-"),0,MIN(Tabelle1324568910111213141516171619[[#This Row],[Jira Story Points]],Tabelle1324568910111213141516171619[[#This Row],[Carry-over]]))</f>
        <v>8</v>
      </c>
      <c r="O98" s="379">
        <f>SUM(IF(ISBLANK(Tabelle1324568910111213141516171619[[#This Row],[Carry-over]]),Tabelle1324568910111213141516171619[[#This Row],[Jira Story Points]],Tabelle1324568910111213141516171619[[#This Row],[Carry-over]]),-Tabelle1324568910111213141516171619[[#This Row],[COsSP Initially Planned]])</f>
        <v>0</v>
      </c>
      <c r="P9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8</v>
      </c>
      <c r="Q98" s="379">
        <f>IF(Tabelle1324568910111213141516171619[[#This Row],[Status]]=$J$5,Tabelle1324568910111213141516171619[[#This Row],[COsSP Initially Planned]]+Tabelle1324568910111213141516171619[[#This Row],[COsSP Pulled after Start]]-Tabelle1324568910111213141516171619[[#This Row],[CSOsSP Completed]],0)</f>
        <v>0</v>
      </c>
      <c r="R98" s="379">
        <f>Tabelle1324568910111213141516171619[[#This Row],[COsSP Initially Planned]]+Tabelle1324568910111213141516171619[[#This Row],[COsSP Pulled after Start]]-Tabelle1324568910111213141516171619[[#This Row],[CSOsSP Completed]]-Tabelle1324568910111213141516171619[[#This Row],[CSOsSP Removed]]</f>
        <v>0</v>
      </c>
    </row>
    <row r="99" spans="1:18" ht="13.5" customHeight="1">
      <c r="A99" s="402" t="s">
        <v>383</v>
      </c>
      <c r="B99" s="403" t="s">
        <v>384</v>
      </c>
      <c r="C99" s="404" t="s">
        <v>375</v>
      </c>
      <c r="D99" s="404">
        <v>3</v>
      </c>
      <c r="E99" s="404" t="s">
        <v>324</v>
      </c>
      <c r="F99" s="404">
        <v>2</v>
      </c>
      <c r="G99" s="404" t="s">
        <v>27</v>
      </c>
      <c r="H99" s="404"/>
      <c r="I99" s="377"/>
      <c r="J99" s="377"/>
      <c r="K99" s="375" t="s">
        <v>125</v>
      </c>
      <c r="L99" s="376"/>
      <c r="M99" s="376"/>
      <c r="N99" s="378">
        <f>IF(OR(Tabelle1324568910111213141516171619[[#This Row],[Pulled after Start]]="yes",Tabelle1324568910111213141516171619[[#This Row],[Jira Story Points]]="-"),0,MIN(Tabelle1324568910111213141516171619[[#This Row],[Jira Story Points]],Tabelle1324568910111213141516171619[[#This Row],[Carry-over]]))</f>
        <v>2</v>
      </c>
      <c r="O99" s="379">
        <f>SUM(IF(ISBLANK(Tabelle1324568910111213141516171619[[#This Row],[Carry-over]]),Tabelle1324568910111213141516171619[[#This Row],[Jira Story Points]],Tabelle1324568910111213141516171619[[#This Row],[Carry-over]]),-Tabelle1324568910111213141516171619[[#This Row],[COsSP Initially Planned]])</f>
        <v>0</v>
      </c>
      <c r="P9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2</v>
      </c>
      <c r="Q99" s="379">
        <f>IF(Tabelle1324568910111213141516171619[[#This Row],[Status]]=$J$5,Tabelle1324568910111213141516171619[[#This Row],[COsSP Initially Planned]]+Tabelle1324568910111213141516171619[[#This Row],[COsSP Pulled after Start]]-Tabelle1324568910111213141516171619[[#This Row],[CSOsSP Completed]],0)</f>
        <v>0</v>
      </c>
      <c r="R99" s="379">
        <f>Tabelle1324568910111213141516171619[[#This Row],[COsSP Initially Planned]]+Tabelle1324568910111213141516171619[[#This Row],[COsSP Pulled after Start]]-Tabelle1324568910111213141516171619[[#This Row],[CSOsSP Completed]]-Tabelle1324568910111213141516171619[[#This Row],[CSOsSP Removed]]</f>
        <v>0</v>
      </c>
    </row>
    <row r="100" spans="1:18" ht="13.5" customHeight="1">
      <c r="A100" s="399" t="s">
        <v>385</v>
      </c>
      <c r="B100" s="400" t="s">
        <v>386</v>
      </c>
      <c r="C100" s="401" t="s">
        <v>382</v>
      </c>
      <c r="D100" s="401">
        <v>3</v>
      </c>
      <c r="E100" s="401" t="s">
        <v>324</v>
      </c>
      <c r="F100" s="401">
        <v>1</v>
      </c>
      <c r="G100" s="401" t="s">
        <v>27</v>
      </c>
      <c r="H100" s="401"/>
      <c r="I100" s="377"/>
      <c r="J100" s="377"/>
      <c r="K100" s="375" t="s">
        <v>125</v>
      </c>
      <c r="L100" s="376"/>
      <c r="M100" s="376"/>
      <c r="N100" s="378">
        <f>IF(OR(Tabelle1324568910111213141516171619[[#This Row],[Pulled after Start]]="yes",Tabelle1324568910111213141516171619[[#This Row],[Jira Story Points]]="-"),0,MIN(Tabelle1324568910111213141516171619[[#This Row],[Jira Story Points]],Tabelle1324568910111213141516171619[[#This Row],[Carry-over]]))</f>
        <v>1</v>
      </c>
      <c r="O100" s="379">
        <f>SUM(IF(ISBLANK(Tabelle1324568910111213141516171619[[#This Row],[Carry-over]]),Tabelle1324568910111213141516171619[[#This Row],[Jira Story Points]],Tabelle1324568910111213141516171619[[#This Row],[Carry-over]]),-Tabelle1324568910111213141516171619[[#This Row],[COsSP Initially Planned]])</f>
        <v>0</v>
      </c>
      <c r="P10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1</v>
      </c>
      <c r="Q100" s="379">
        <f>IF(Tabelle1324568910111213141516171619[[#This Row],[Status]]=$J$5,Tabelle1324568910111213141516171619[[#This Row],[COsSP Initially Planned]]+Tabelle1324568910111213141516171619[[#This Row],[COsSP Pulled after Start]]-Tabelle1324568910111213141516171619[[#This Row],[CSOsSP Completed]],0)</f>
        <v>0</v>
      </c>
      <c r="R100" s="379">
        <f>Tabelle1324568910111213141516171619[[#This Row],[COsSP Initially Planned]]+Tabelle1324568910111213141516171619[[#This Row],[COsSP Pulled after Start]]-Tabelle1324568910111213141516171619[[#This Row],[CSOsSP Completed]]-Tabelle1324568910111213141516171619[[#This Row],[CSOsSP Removed]]</f>
        <v>0</v>
      </c>
    </row>
    <row r="101" spans="1:18" ht="13.5" customHeight="1">
      <c r="A101" s="402" t="s">
        <v>387</v>
      </c>
      <c r="B101" s="403" t="s">
        <v>388</v>
      </c>
      <c r="C101" s="404" t="s">
        <v>372</v>
      </c>
      <c r="D101" s="404">
        <v>3</v>
      </c>
      <c r="E101" s="404" t="s">
        <v>324</v>
      </c>
      <c r="F101" s="404">
        <v>3</v>
      </c>
      <c r="G101" s="404" t="s">
        <v>27</v>
      </c>
      <c r="H101" s="404"/>
      <c r="I101" s="377"/>
      <c r="J101" s="377"/>
      <c r="K101" s="375" t="s">
        <v>125</v>
      </c>
      <c r="L101" s="376"/>
      <c r="M101" s="376"/>
      <c r="N101" s="378">
        <f>IF(OR(Tabelle1324568910111213141516171619[[#This Row],[Pulled after Start]]="yes",Tabelle1324568910111213141516171619[[#This Row],[Jira Story Points]]="-"),0,MIN(Tabelle1324568910111213141516171619[[#This Row],[Jira Story Points]],Tabelle1324568910111213141516171619[[#This Row],[Carry-over]]))</f>
        <v>3</v>
      </c>
      <c r="O101" s="379">
        <f>SUM(IF(ISBLANK(Tabelle1324568910111213141516171619[[#This Row],[Carry-over]]),Tabelle1324568910111213141516171619[[#This Row],[Jira Story Points]],Tabelle1324568910111213141516171619[[#This Row],[Carry-over]]),-Tabelle1324568910111213141516171619[[#This Row],[COsSP Initially Planned]])</f>
        <v>0</v>
      </c>
      <c r="P10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101" s="379">
        <f>IF(Tabelle1324568910111213141516171619[[#This Row],[Status]]=$J$5,Tabelle1324568910111213141516171619[[#This Row],[COsSP Initially Planned]]+Tabelle1324568910111213141516171619[[#This Row],[COsSP Pulled after Start]]-Tabelle1324568910111213141516171619[[#This Row],[CSOsSP Completed]],0)</f>
        <v>0</v>
      </c>
      <c r="R101" s="379">
        <f>Tabelle1324568910111213141516171619[[#This Row],[COsSP Initially Planned]]+Tabelle1324568910111213141516171619[[#This Row],[COsSP Pulled after Start]]-Tabelle1324568910111213141516171619[[#This Row],[CSOsSP Completed]]-Tabelle1324568910111213141516171619[[#This Row],[CSOsSP Removed]]</f>
        <v>0</v>
      </c>
    </row>
    <row r="102" spans="1:18" ht="13.5" customHeight="1">
      <c r="A102" s="399" t="s">
        <v>389</v>
      </c>
      <c r="B102" s="400" t="s">
        <v>390</v>
      </c>
      <c r="C102" s="401" t="s">
        <v>375</v>
      </c>
      <c r="D102" s="401">
        <v>4</v>
      </c>
      <c r="E102" s="401" t="s">
        <v>324</v>
      </c>
      <c r="F102" s="401">
        <v>3</v>
      </c>
      <c r="G102" s="401" t="s">
        <v>27</v>
      </c>
      <c r="H102" s="401" t="s">
        <v>209</v>
      </c>
      <c r="I102" s="377"/>
      <c r="J102" s="377"/>
      <c r="K102" s="375" t="s">
        <v>125</v>
      </c>
      <c r="L102" s="376"/>
      <c r="M102" s="376"/>
      <c r="N102" s="378">
        <f>IF(OR(Tabelle1324568910111213141516171619[[#This Row],[Pulled after Start]]="yes",Tabelle1324568910111213141516171619[[#This Row],[Jira Story Points]]="-"),0,MIN(Tabelle1324568910111213141516171619[[#This Row],[Jira Story Points]],Tabelle1324568910111213141516171619[[#This Row],[Carry-over]]))</f>
        <v>0</v>
      </c>
      <c r="O102" s="379">
        <f>SUM(IF(ISBLANK(Tabelle1324568910111213141516171619[[#This Row],[Carry-over]]),Tabelle1324568910111213141516171619[[#This Row],[Jira Story Points]],Tabelle1324568910111213141516171619[[#This Row],[Carry-over]]),-Tabelle1324568910111213141516171619[[#This Row],[COsSP Initially Planned]])</f>
        <v>3</v>
      </c>
      <c r="P10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102" s="379">
        <f>IF(Tabelle1324568910111213141516171619[[#This Row],[Status]]=$J$5,Tabelle1324568910111213141516171619[[#This Row],[COsSP Initially Planned]]+Tabelle1324568910111213141516171619[[#This Row],[COsSP Pulled after Start]]-Tabelle1324568910111213141516171619[[#This Row],[CSOsSP Completed]],0)</f>
        <v>0</v>
      </c>
      <c r="R102" s="379">
        <f>Tabelle1324568910111213141516171619[[#This Row],[COsSP Initially Planned]]+Tabelle1324568910111213141516171619[[#This Row],[COsSP Pulled after Start]]-Tabelle1324568910111213141516171619[[#This Row],[CSOsSP Completed]]-Tabelle1324568910111213141516171619[[#This Row],[CSOsSP Removed]]</f>
        <v>0</v>
      </c>
    </row>
    <row r="103" spans="1:18" ht="13.5" customHeight="1">
      <c r="A103" s="402" t="s">
        <v>391</v>
      </c>
      <c r="B103" s="403" t="s">
        <v>392</v>
      </c>
      <c r="C103" s="404" t="s">
        <v>372</v>
      </c>
      <c r="D103" s="404">
        <v>3</v>
      </c>
      <c r="E103" s="404" t="s">
        <v>324</v>
      </c>
      <c r="F103" s="404">
        <v>2</v>
      </c>
      <c r="G103" s="404" t="s">
        <v>27</v>
      </c>
      <c r="H103" s="404"/>
      <c r="I103" s="377"/>
      <c r="J103" s="377"/>
      <c r="K103" s="375" t="s">
        <v>125</v>
      </c>
      <c r="L103" s="376"/>
      <c r="M103" s="376"/>
      <c r="N103" s="378">
        <f>IF(OR(Tabelle1324568910111213141516171619[[#This Row],[Pulled after Start]]="yes",Tabelle1324568910111213141516171619[[#This Row],[Jira Story Points]]="-"),0,MIN(Tabelle1324568910111213141516171619[[#This Row],[Jira Story Points]],Tabelle1324568910111213141516171619[[#This Row],[Carry-over]]))</f>
        <v>2</v>
      </c>
      <c r="O103" s="379">
        <f>SUM(IF(ISBLANK(Tabelle1324568910111213141516171619[[#This Row],[Carry-over]]),Tabelle1324568910111213141516171619[[#This Row],[Jira Story Points]],Tabelle1324568910111213141516171619[[#This Row],[Carry-over]]),-Tabelle1324568910111213141516171619[[#This Row],[COsSP Initially Planned]])</f>
        <v>0</v>
      </c>
      <c r="P10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2</v>
      </c>
      <c r="Q103" s="379">
        <f>IF(Tabelle1324568910111213141516171619[[#This Row],[Status]]=$J$5,Tabelle1324568910111213141516171619[[#This Row],[COsSP Initially Planned]]+Tabelle1324568910111213141516171619[[#This Row],[COsSP Pulled after Start]]-Tabelle1324568910111213141516171619[[#This Row],[CSOsSP Completed]],0)</f>
        <v>0</v>
      </c>
      <c r="R103" s="379">
        <f>Tabelle1324568910111213141516171619[[#This Row],[COsSP Initially Planned]]+Tabelle1324568910111213141516171619[[#This Row],[COsSP Pulled after Start]]-Tabelle1324568910111213141516171619[[#This Row],[CSOsSP Completed]]-Tabelle1324568910111213141516171619[[#This Row],[CSOsSP Removed]]</f>
        <v>0</v>
      </c>
    </row>
    <row r="104" spans="1:18" ht="13.5" customHeight="1">
      <c r="A104" s="399" t="s">
        <v>393</v>
      </c>
      <c r="B104" s="400" t="s">
        <v>394</v>
      </c>
      <c r="C104" s="401" t="s">
        <v>372</v>
      </c>
      <c r="D104" s="401">
        <v>1</v>
      </c>
      <c r="E104" s="401" t="s">
        <v>324</v>
      </c>
      <c r="F104" s="401">
        <v>3</v>
      </c>
      <c r="G104" s="401" t="s">
        <v>27</v>
      </c>
      <c r="H104" s="401"/>
      <c r="I104" s="377"/>
      <c r="J104" s="377"/>
      <c r="K104" s="375" t="s">
        <v>125</v>
      </c>
      <c r="L104" s="376"/>
      <c r="M104" s="376"/>
      <c r="N104" s="378">
        <f>IF(OR(Tabelle1324568910111213141516171619[[#This Row],[Pulled after Start]]="yes",Tabelle1324568910111213141516171619[[#This Row],[Jira Story Points]]="-"),0,MIN(Tabelle1324568910111213141516171619[[#This Row],[Jira Story Points]],Tabelle1324568910111213141516171619[[#This Row],[Carry-over]]))</f>
        <v>3</v>
      </c>
      <c r="O104" s="379">
        <f>SUM(IF(ISBLANK(Tabelle1324568910111213141516171619[[#This Row],[Carry-over]]),Tabelle1324568910111213141516171619[[#This Row],[Jira Story Points]],Tabelle1324568910111213141516171619[[#This Row],[Carry-over]]),-Tabelle1324568910111213141516171619[[#This Row],[COsSP Initially Planned]])</f>
        <v>0</v>
      </c>
      <c r="P10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104" s="379">
        <f>IF(Tabelle1324568910111213141516171619[[#This Row],[Status]]=$J$5,Tabelle1324568910111213141516171619[[#This Row],[COsSP Initially Planned]]+Tabelle1324568910111213141516171619[[#This Row],[COsSP Pulled after Start]]-Tabelle1324568910111213141516171619[[#This Row],[CSOsSP Completed]],0)</f>
        <v>0</v>
      </c>
      <c r="R104" s="379">
        <f>Tabelle1324568910111213141516171619[[#This Row],[COsSP Initially Planned]]+Tabelle1324568910111213141516171619[[#This Row],[COsSP Pulled after Start]]-Tabelle1324568910111213141516171619[[#This Row],[CSOsSP Completed]]-Tabelle1324568910111213141516171619[[#This Row],[CSOsSP Removed]]</f>
        <v>0</v>
      </c>
    </row>
    <row r="105" spans="1:18" ht="13.5" customHeight="1">
      <c r="A105" s="402" t="s">
        <v>395</v>
      </c>
      <c r="B105" s="403" t="s">
        <v>396</v>
      </c>
      <c r="C105" s="404" t="s">
        <v>382</v>
      </c>
      <c r="D105" s="404">
        <v>3</v>
      </c>
      <c r="E105" s="404" t="s">
        <v>324</v>
      </c>
      <c r="F105" s="404">
        <v>1</v>
      </c>
      <c r="G105" s="404" t="s">
        <v>27</v>
      </c>
      <c r="H105" s="404"/>
      <c r="I105" s="377"/>
      <c r="J105" s="377"/>
      <c r="K105" s="375" t="s">
        <v>125</v>
      </c>
      <c r="L105" s="376"/>
      <c r="M105" s="376"/>
      <c r="N105" s="378">
        <f>IF(OR(Tabelle1324568910111213141516171619[[#This Row],[Pulled after Start]]="yes",Tabelle1324568910111213141516171619[[#This Row],[Jira Story Points]]="-"),0,MIN(Tabelle1324568910111213141516171619[[#This Row],[Jira Story Points]],Tabelle1324568910111213141516171619[[#This Row],[Carry-over]]))</f>
        <v>1</v>
      </c>
      <c r="O105" s="379">
        <f>SUM(IF(ISBLANK(Tabelle1324568910111213141516171619[[#This Row],[Carry-over]]),Tabelle1324568910111213141516171619[[#This Row],[Jira Story Points]],Tabelle1324568910111213141516171619[[#This Row],[Carry-over]]),-Tabelle1324568910111213141516171619[[#This Row],[COsSP Initially Planned]])</f>
        <v>0</v>
      </c>
      <c r="P10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1</v>
      </c>
      <c r="Q105" s="379">
        <f>IF(Tabelle1324568910111213141516171619[[#This Row],[Status]]=$J$5,Tabelle1324568910111213141516171619[[#This Row],[COsSP Initially Planned]]+Tabelle1324568910111213141516171619[[#This Row],[COsSP Pulled after Start]]-Tabelle1324568910111213141516171619[[#This Row],[CSOsSP Completed]],0)</f>
        <v>0</v>
      </c>
      <c r="R105" s="379">
        <f>Tabelle1324568910111213141516171619[[#This Row],[COsSP Initially Planned]]+Tabelle1324568910111213141516171619[[#This Row],[COsSP Pulled after Start]]-Tabelle1324568910111213141516171619[[#This Row],[CSOsSP Completed]]-Tabelle1324568910111213141516171619[[#This Row],[CSOsSP Removed]]</f>
        <v>0</v>
      </c>
    </row>
    <row r="106" spans="1:18" ht="13.5" customHeight="1">
      <c r="A106" s="399" t="s">
        <v>397</v>
      </c>
      <c r="B106" s="400" t="s">
        <v>398</v>
      </c>
      <c r="C106" s="401" t="s">
        <v>382</v>
      </c>
      <c r="D106" s="401">
        <v>3</v>
      </c>
      <c r="E106" s="401" t="s">
        <v>324</v>
      </c>
      <c r="F106" s="401">
        <v>3</v>
      </c>
      <c r="G106" s="401" t="s">
        <v>27</v>
      </c>
      <c r="H106" s="401"/>
      <c r="I106" s="377"/>
      <c r="J106" s="377"/>
      <c r="K106" s="375" t="s">
        <v>125</v>
      </c>
      <c r="L106" s="376"/>
      <c r="M106" s="376"/>
      <c r="N106" s="378">
        <f>IF(OR(Tabelle1324568910111213141516171619[[#This Row],[Pulled after Start]]="yes",Tabelle1324568910111213141516171619[[#This Row],[Jira Story Points]]="-"),0,MIN(Tabelle1324568910111213141516171619[[#This Row],[Jira Story Points]],Tabelle1324568910111213141516171619[[#This Row],[Carry-over]]))</f>
        <v>3</v>
      </c>
      <c r="O106" s="379">
        <f>SUM(IF(ISBLANK(Tabelle1324568910111213141516171619[[#This Row],[Carry-over]]),Tabelle1324568910111213141516171619[[#This Row],[Jira Story Points]],Tabelle1324568910111213141516171619[[#This Row],[Carry-over]]),-Tabelle1324568910111213141516171619[[#This Row],[COsSP Initially Planned]])</f>
        <v>0</v>
      </c>
      <c r="P10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106" s="379">
        <f>IF(Tabelle1324568910111213141516171619[[#This Row],[Status]]=$J$5,Tabelle1324568910111213141516171619[[#This Row],[COsSP Initially Planned]]+Tabelle1324568910111213141516171619[[#This Row],[COsSP Pulled after Start]]-Tabelle1324568910111213141516171619[[#This Row],[CSOsSP Completed]],0)</f>
        <v>0</v>
      </c>
      <c r="R106" s="379">
        <f>Tabelle1324568910111213141516171619[[#This Row],[COsSP Initially Planned]]+Tabelle1324568910111213141516171619[[#This Row],[COsSP Pulled after Start]]-Tabelle1324568910111213141516171619[[#This Row],[CSOsSP Completed]]-Tabelle1324568910111213141516171619[[#This Row],[CSOsSP Removed]]</f>
        <v>0</v>
      </c>
    </row>
    <row r="107" spans="1:18" ht="13.5" customHeight="1">
      <c r="A107" s="402" t="s">
        <v>399</v>
      </c>
      <c r="B107" s="403" t="s">
        <v>400</v>
      </c>
      <c r="C107" s="404" t="s">
        <v>372</v>
      </c>
      <c r="D107" s="404">
        <v>3</v>
      </c>
      <c r="E107" s="404" t="s">
        <v>324</v>
      </c>
      <c r="F107" s="404">
        <v>1</v>
      </c>
      <c r="G107" s="404" t="s">
        <v>27</v>
      </c>
      <c r="H107" s="404"/>
      <c r="I107" s="377"/>
      <c r="J107" s="377"/>
      <c r="K107" s="375" t="s">
        <v>125</v>
      </c>
      <c r="L107" s="376"/>
      <c r="M107" s="376"/>
      <c r="N107" s="378">
        <f>IF(OR(Tabelle1324568910111213141516171619[[#This Row],[Pulled after Start]]="yes",Tabelle1324568910111213141516171619[[#This Row],[Jira Story Points]]="-"),0,MIN(Tabelle1324568910111213141516171619[[#This Row],[Jira Story Points]],Tabelle1324568910111213141516171619[[#This Row],[Carry-over]]))</f>
        <v>1</v>
      </c>
      <c r="O107" s="379">
        <f>SUM(IF(ISBLANK(Tabelle1324568910111213141516171619[[#This Row],[Carry-over]]),Tabelle1324568910111213141516171619[[#This Row],[Jira Story Points]],Tabelle1324568910111213141516171619[[#This Row],[Carry-over]]),-Tabelle1324568910111213141516171619[[#This Row],[COsSP Initially Planned]])</f>
        <v>0</v>
      </c>
      <c r="P10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1</v>
      </c>
      <c r="Q107" s="379">
        <f>IF(Tabelle1324568910111213141516171619[[#This Row],[Status]]=$J$5,Tabelle1324568910111213141516171619[[#This Row],[COsSP Initially Planned]]+Tabelle1324568910111213141516171619[[#This Row],[COsSP Pulled after Start]]-Tabelle1324568910111213141516171619[[#This Row],[CSOsSP Completed]],0)</f>
        <v>0</v>
      </c>
      <c r="R107" s="379">
        <f>Tabelle1324568910111213141516171619[[#This Row],[COsSP Initially Planned]]+Tabelle1324568910111213141516171619[[#This Row],[COsSP Pulled after Start]]-Tabelle1324568910111213141516171619[[#This Row],[CSOsSP Completed]]-Tabelle1324568910111213141516171619[[#This Row],[CSOsSP Removed]]</f>
        <v>0</v>
      </c>
    </row>
    <row r="108" spans="1:18" ht="13.5" customHeight="1">
      <c r="A108" s="399" t="s">
        <v>401</v>
      </c>
      <c r="B108" s="400" t="s">
        <v>338</v>
      </c>
      <c r="C108" s="401" t="s">
        <v>372</v>
      </c>
      <c r="D108" s="401">
        <v>3</v>
      </c>
      <c r="E108" s="401" t="s">
        <v>324</v>
      </c>
      <c r="F108" s="401">
        <v>3</v>
      </c>
      <c r="G108" s="401" t="s">
        <v>27</v>
      </c>
      <c r="H108" s="401" t="s">
        <v>209</v>
      </c>
      <c r="I108" s="377"/>
      <c r="J108" s="377"/>
      <c r="K108" s="375" t="s">
        <v>125</v>
      </c>
      <c r="L108" s="376"/>
      <c r="M108" s="376"/>
      <c r="N108" s="378">
        <f>IF(OR(Tabelle1324568910111213141516171619[[#This Row],[Pulled after Start]]="yes",Tabelle1324568910111213141516171619[[#This Row],[Jira Story Points]]="-"),0,MIN(Tabelle1324568910111213141516171619[[#This Row],[Jira Story Points]],Tabelle1324568910111213141516171619[[#This Row],[Carry-over]]))</f>
        <v>0</v>
      </c>
      <c r="O108" s="379">
        <f>SUM(IF(ISBLANK(Tabelle1324568910111213141516171619[[#This Row],[Carry-over]]),Tabelle1324568910111213141516171619[[#This Row],[Jira Story Points]],Tabelle1324568910111213141516171619[[#This Row],[Carry-over]]),-Tabelle1324568910111213141516171619[[#This Row],[COsSP Initially Planned]])</f>
        <v>3</v>
      </c>
      <c r="P10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108" s="379">
        <f>IF(Tabelle1324568910111213141516171619[[#This Row],[Status]]=$J$5,Tabelle1324568910111213141516171619[[#This Row],[COsSP Initially Planned]]+Tabelle1324568910111213141516171619[[#This Row],[COsSP Pulled after Start]]-Tabelle1324568910111213141516171619[[#This Row],[CSOsSP Completed]],0)</f>
        <v>0</v>
      </c>
      <c r="R108" s="379">
        <f>Tabelle1324568910111213141516171619[[#This Row],[COsSP Initially Planned]]+Tabelle1324568910111213141516171619[[#This Row],[COsSP Pulled after Start]]-Tabelle1324568910111213141516171619[[#This Row],[CSOsSP Completed]]-Tabelle1324568910111213141516171619[[#This Row],[CSOsSP Removed]]</f>
        <v>0</v>
      </c>
    </row>
    <row r="109" spans="1:18" ht="13.5" customHeight="1">
      <c r="A109" s="402" t="s">
        <v>402</v>
      </c>
      <c r="B109" s="403" t="s">
        <v>403</v>
      </c>
      <c r="C109" s="404" t="s">
        <v>372</v>
      </c>
      <c r="D109" s="404">
        <v>3</v>
      </c>
      <c r="E109" s="404" t="s">
        <v>324</v>
      </c>
      <c r="F109" s="404">
        <v>8</v>
      </c>
      <c r="G109" s="404" t="s">
        <v>27</v>
      </c>
      <c r="H109" s="404" t="s">
        <v>209</v>
      </c>
      <c r="I109" s="377"/>
      <c r="J109" s="377"/>
      <c r="K109" s="375" t="s">
        <v>125</v>
      </c>
      <c r="L109" s="376"/>
      <c r="M109" s="376"/>
      <c r="N109" s="378">
        <f>IF(OR(Tabelle1324568910111213141516171619[[#This Row],[Pulled after Start]]="yes",Tabelle1324568910111213141516171619[[#This Row],[Jira Story Points]]="-"),0,MIN(Tabelle1324568910111213141516171619[[#This Row],[Jira Story Points]],Tabelle1324568910111213141516171619[[#This Row],[Carry-over]]))</f>
        <v>0</v>
      </c>
      <c r="O109" s="379">
        <f>SUM(IF(ISBLANK(Tabelle1324568910111213141516171619[[#This Row],[Carry-over]]),Tabelle1324568910111213141516171619[[#This Row],[Jira Story Points]],Tabelle1324568910111213141516171619[[#This Row],[Carry-over]]),-Tabelle1324568910111213141516171619[[#This Row],[COsSP Initially Planned]])</f>
        <v>8</v>
      </c>
      <c r="P10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8</v>
      </c>
      <c r="Q109" s="379">
        <f>IF(Tabelle1324568910111213141516171619[[#This Row],[Status]]=$J$5,Tabelle1324568910111213141516171619[[#This Row],[COsSP Initially Planned]]+Tabelle1324568910111213141516171619[[#This Row],[COsSP Pulled after Start]]-Tabelle1324568910111213141516171619[[#This Row],[CSOsSP Completed]],0)</f>
        <v>0</v>
      </c>
      <c r="R109" s="379">
        <f>Tabelle1324568910111213141516171619[[#This Row],[COsSP Initially Planned]]+Tabelle1324568910111213141516171619[[#This Row],[COsSP Pulled after Start]]-Tabelle1324568910111213141516171619[[#This Row],[CSOsSP Completed]]-Tabelle1324568910111213141516171619[[#This Row],[CSOsSP Removed]]</f>
        <v>0</v>
      </c>
    </row>
    <row r="110" spans="1:18" ht="13.5" customHeight="1">
      <c r="A110" s="399" t="s">
        <v>404</v>
      </c>
      <c r="B110" s="400" t="s">
        <v>405</v>
      </c>
      <c r="C110" s="401" t="s">
        <v>372</v>
      </c>
      <c r="D110" s="401">
        <v>3</v>
      </c>
      <c r="E110" s="401" t="s">
        <v>324</v>
      </c>
      <c r="F110" s="401">
        <v>5</v>
      </c>
      <c r="G110" s="401" t="s">
        <v>27</v>
      </c>
      <c r="H110" s="401"/>
      <c r="I110" s="377"/>
      <c r="J110" s="377"/>
      <c r="K110" s="375" t="s">
        <v>125</v>
      </c>
      <c r="L110" s="376"/>
      <c r="M110" s="376"/>
      <c r="N110" s="378">
        <f>IF(OR(Tabelle1324568910111213141516171619[[#This Row],[Pulled after Start]]="yes",Tabelle1324568910111213141516171619[[#This Row],[Jira Story Points]]="-"),0,MIN(Tabelle1324568910111213141516171619[[#This Row],[Jira Story Points]],Tabelle1324568910111213141516171619[[#This Row],[Carry-over]]))</f>
        <v>5</v>
      </c>
      <c r="O110" s="379">
        <f>SUM(IF(ISBLANK(Tabelle1324568910111213141516171619[[#This Row],[Carry-over]]),Tabelle1324568910111213141516171619[[#This Row],[Jira Story Points]],Tabelle1324568910111213141516171619[[#This Row],[Carry-over]]),-Tabelle1324568910111213141516171619[[#This Row],[COsSP Initially Planned]])</f>
        <v>0</v>
      </c>
      <c r="P11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5</v>
      </c>
      <c r="Q110" s="379">
        <f>IF(Tabelle1324568910111213141516171619[[#This Row],[Status]]=$J$5,Tabelle1324568910111213141516171619[[#This Row],[COsSP Initially Planned]]+Tabelle1324568910111213141516171619[[#This Row],[COsSP Pulled after Start]]-Tabelle1324568910111213141516171619[[#This Row],[CSOsSP Completed]],0)</f>
        <v>0</v>
      </c>
      <c r="R110" s="379">
        <f>Tabelle1324568910111213141516171619[[#This Row],[COsSP Initially Planned]]+Tabelle1324568910111213141516171619[[#This Row],[COsSP Pulled after Start]]-Tabelle1324568910111213141516171619[[#This Row],[CSOsSP Completed]]-Tabelle1324568910111213141516171619[[#This Row],[CSOsSP Removed]]</f>
        <v>0</v>
      </c>
    </row>
    <row r="111" spans="1:18" ht="13.5" customHeight="1">
      <c r="A111" s="402" t="s">
        <v>406</v>
      </c>
      <c r="B111" s="403" t="s">
        <v>407</v>
      </c>
      <c r="C111" s="404" t="s">
        <v>375</v>
      </c>
      <c r="D111" s="404">
        <v>1</v>
      </c>
      <c r="E111" s="404" t="s">
        <v>324</v>
      </c>
      <c r="F111" s="404">
        <v>3</v>
      </c>
      <c r="G111" s="404" t="s">
        <v>27</v>
      </c>
      <c r="H111" s="404" t="s">
        <v>209</v>
      </c>
      <c r="I111" s="377"/>
      <c r="J111" s="377"/>
      <c r="K111" s="375" t="s">
        <v>125</v>
      </c>
      <c r="L111" s="376"/>
      <c r="M111" s="376"/>
      <c r="N111" s="378">
        <f>IF(OR(Tabelle1324568910111213141516171619[[#This Row],[Pulled after Start]]="yes",Tabelle1324568910111213141516171619[[#This Row],[Jira Story Points]]="-"),0,MIN(Tabelle1324568910111213141516171619[[#This Row],[Jira Story Points]],Tabelle1324568910111213141516171619[[#This Row],[Carry-over]]))</f>
        <v>0</v>
      </c>
      <c r="O111" s="379">
        <f>SUM(IF(ISBLANK(Tabelle1324568910111213141516171619[[#This Row],[Carry-over]]),Tabelle1324568910111213141516171619[[#This Row],[Jira Story Points]],Tabelle1324568910111213141516171619[[#This Row],[Carry-over]]),-Tabelle1324568910111213141516171619[[#This Row],[COsSP Initially Planned]])</f>
        <v>3</v>
      </c>
      <c r="P11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111" s="379">
        <f>IF(Tabelle1324568910111213141516171619[[#This Row],[Status]]=$J$5,Tabelle1324568910111213141516171619[[#This Row],[COsSP Initially Planned]]+Tabelle1324568910111213141516171619[[#This Row],[COsSP Pulled after Start]]-Tabelle1324568910111213141516171619[[#This Row],[CSOsSP Completed]],0)</f>
        <v>0</v>
      </c>
      <c r="R111" s="379">
        <f>Tabelle1324568910111213141516171619[[#This Row],[COsSP Initially Planned]]+Tabelle1324568910111213141516171619[[#This Row],[COsSP Pulled after Start]]-Tabelle1324568910111213141516171619[[#This Row],[CSOsSP Completed]]-Tabelle1324568910111213141516171619[[#This Row],[CSOsSP Removed]]</f>
        <v>0</v>
      </c>
    </row>
    <row r="112" spans="1:18" ht="13.5" customHeight="1">
      <c r="A112" s="399" t="s">
        <v>408</v>
      </c>
      <c r="B112" s="400" t="s">
        <v>409</v>
      </c>
      <c r="C112" s="401" t="s">
        <v>375</v>
      </c>
      <c r="D112" s="401">
        <v>1</v>
      </c>
      <c r="E112" s="401" t="s">
        <v>324</v>
      </c>
      <c r="F112" s="401">
        <v>3</v>
      </c>
      <c r="G112" s="401" t="s">
        <v>27</v>
      </c>
      <c r="H112" s="401" t="s">
        <v>209</v>
      </c>
      <c r="I112" s="377"/>
      <c r="J112" s="377"/>
      <c r="K112" s="375" t="s">
        <v>125</v>
      </c>
      <c r="L112" s="376"/>
      <c r="M112" s="376"/>
      <c r="N112" s="378">
        <f>IF(OR(Tabelle1324568910111213141516171619[[#This Row],[Pulled after Start]]="yes",Tabelle1324568910111213141516171619[[#This Row],[Jira Story Points]]="-"),0,MIN(Tabelle1324568910111213141516171619[[#This Row],[Jira Story Points]],Tabelle1324568910111213141516171619[[#This Row],[Carry-over]]))</f>
        <v>0</v>
      </c>
      <c r="O112" s="379">
        <f>SUM(IF(ISBLANK(Tabelle1324568910111213141516171619[[#This Row],[Carry-over]]),Tabelle1324568910111213141516171619[[#This Row],[Jira Story Points]],Tabelle1324568910111213141516171619[[#This Row],[Carry-over]]),-Tabelle1324568910111213141516171619[[#This Row],[COsSP Initially Planned]])</f>
        <v>3</v>
      </c>
      <c r="P11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112" s="379">
        <f>IF(Tabelle1324568910111213141516171619[[#This Row],[Status]]=$J$5,Tabelle1324568910111213141516171619[[#This Row],[COsSP Initially Planned]]+Tabelle1324568910111213141516171619[[#This Row],[COsSP Pulled after Start]]-Tabelle1324568910111213141516171619[[#This Row],[CSOsSP Completed]],0)</f>
        <v>0</v>
      </c>
      <c r="R112" s="379">
        <f>Tabelle1324568910111213141516171619[[#This Row],[COsSP Initially Planned]]+Tabelle1324568910111213141516171619[[#This Row],[COsSP Pulled after Start]]-Tabelle1324568910111213141516171619[[#This Row],[CSOsSP Completed]]-Tabelle1324568910111213141516171619[[#This Row],[CSOsSP Removed]]</f>
        <v>0</v>
      </c>
    </row>
    <row r="113" spans="1:18" ht="13.5" customHeight="1">
      <c r="A113" s="402" t="s">
        <v>410</v>
      </c>
      <c r="B113" s="403" t="s">
        <v>411</v>
      </c>
      <c r="C113" s="404" t="s">
        <v>375</v>
      </c>
      <c r="D113" s="404">
        <v>1</v>
      </c>
      <c r="E113" s="404" t="s">
        <v>324</v>
      </c>
      <c r="F113" s="404">
        <v>3</v>
      </c>
      <c r="G113" s="404" t="s">
        <v>27</v>
      </c>
      <c r="H113" s="404" t="s">
        <v>209</v>
      </c>
      <c r="I113" s="377"/>
      <c r="J113" s="377"/>
      <c r="K113" s="375" t="s">
        <v>125</v>
      </c>
      <c r="L113" s="376"/>
      <c r="M113" s="376"/>
      <c r="N113" s="378">
        <f>IF(OR(Tabelle1324568910111213141516171619[[#This Row],[Pulled after Start]]="yes",Tabelle1324568910111213141516171619[[#This Row],[Jira Story Points]]="-"),0,MIN(Tabelle1324568910111213141516171619[[#This Row],[Jira Story Points]],Tabelle1324568910111213141516171619[[#This Row],[Carry-over]]))</f>
        <v>0</v>
      </c>
      <c r="O113" s="379">
        <f>SUM(IF(ISBLANK(Tabelle1324568910111213141516171619[[#This Row],[Carry-over]]),Tabelle1324568910111213141516171619[[#This Row],[Jira Story Points]],Tabelle1324568910111213141516171619[[#This Row],[Carry-over]]),-Tabelle1324568910111213141516171619[[#This Row],[COsSP Initially Planned]])</f>
        <v>3</v>
      </c>
      <c r="P11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113" s="379">
        <f>IF(Tabelle1324568910111213141516171619[[#This Row],[Status]]=$J$5,Tabelle1324568910111213141516171619[[#This Row],[COsSP Initially Planned]]+Tabelle1324568910111213141516171619[[#This Row],[COsSP Pulled after Start]]-Tabelle1324568910111213141516171619[[#This Row],[CSOsSP Completed]],0)</f>
        <v>0</v>
      </c>
      <c r="R113" s="379">
        <f>Tabelle1324568910111213141516171619[[#This Row],[COsSP Initially Planned]]+Tabelle1324568910111213141516171619[[#This Row],[COsSP Pulled after Start]]-Tabelle1324568910111213141516171619[[#This Row],[CSOsSP Completed]]-Tabelle1324568910111213141516171619[[#This Row],[CSOsSP Removed]]</f>
        <v>0</v>
      </c>
    </row>
    <row r="114" spans="1:18" ht="13.5" customHeight="1">
      <c r="A114" s="399" t="s">
        <v>412</v>
      </c>
      <c r="B114" s="400" t="s">
        <v>413</v>
      </c>
      <c r="C114" s="401" t="s">
        <v>372</v>
      </c>
      <c r="D114" s="401">
        <v>3</v>
      </c>
      <c r="E114" s="401" t="s">
        <v>324</v>
      </c>
      <c r="F114" s="401">
        <v>1</v>
      </c>
      <c r="G114" s="401" t="s">
        <v>27</v>
      </c>
      <c r="H114" s="401" t="s">
        <v>209</v>
      </c>
      <c r="I114" s="377"/>
      <c r="J114" s="377"/>
      <c r="K114" s="375" t="s">
        <v>125</v>
      </c>
      <c r="L114" s="376"/>
      <c r="M114" s="376"/>
      <c r="N114" s="378">
        <f>IF(OR(Tabelle1324568910111213141516171619[[#This Row],[Pulled after Start]]="yes",Tabelle1324568910111213141516171619[[#This Row],[Jira Story Points]]="-"),0,MIN(Tabelle1324568910111213141516171619[[#This Row],[Jira Story Points]],Tabelle1324568910111213141516171619[[#This Row],[Carry-over]]))</f>
        <v>0</v>
      </c>
      <c r="O114" s="379">
        <f>SUM(IF(ISBLANK(Tabelle1324568910111213141516171619[[#This Row],[Carry-over]]),Tabelle1324568910111213141516171619[[#This Row],[Jira Story Points]],Tabelle1324568910111213141516171619[[#This Row],[Carry-over]]),-Tabelle1324568910111213141516171619[[#This Row],[COsSP Initially Planned]])</f>
        <v>1</v>
      </c>
      <c r="P11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1</v>
      </c>
      <c r="Q114" s="379">
        <f>IF(Tabelle1324568910111213141516171619[[#This Row],[Status]]=$J$5,Tabelle1324568910111213141516171619[[#This Row],[COsSP Initially Planned]]+Tabelle1324568910111213141516171619[[#This Row],[COsSP Pulled after Start]]-Tabelle1324568910111213141516171619[[#This Row],[CSOsSP Completed]],0)</f>
        <v>0</v>
      </c>
      <c r="R114" s="379">
        <f>Tabelle1324568910111213141516171619[[#This Row],[COsSP Initially Planned]]+Tabelle1324568910111213141516171619[[#This Row],[COsSP Pulled after Start]]-Tabelle1324568910111213141516171619[[#This Row],[CSOsSP Completed]]-Tabelle1324568910111213141516171619[[#This Row],[CSOsSP Removed]]</f>
        <v>0</v>
      </c>
    </row>
    <row r="115" spans="1:18" ht="13.5" customHeight="1">
      <c r="A115" s="402" t="s">
        <v>414</v>
      </c>
      <c r="B115" s="403" t="s">
        <v>415</v>
      </c>
      <c r="C115" s="404" t="s">
        <v>372</v>
      </c>
      <c r="D115" s="404">
        <v>3</v>
      </c>
      <c r="E115" s="404" t="s">
        <v>324</v>
      </c>
      <c r="F115" s="404">
        <v>1</v>
      </c>
      <c r="G115" s="404" t="s">
        <v>27</v>
      </c>
      <c r="H115" s="404" t="s">
        <v>209</v>
      </c>
      <c r="I115" s="377"/>
      <c r="J115" s="377"/>
      <c r="K115" s="375" t="s">
        <v>125</v>
      </c>
      <c r="L115" s="376"/>
      <c r="M115" s="376"/>
      <c r="N115" s="378">
        <f>IF(OR(Tabelle1324568910111213141516171619[[#This Row],[Pulled after Start]]="yes",Tabelle1324568910111213141516171619[[#This Row],[Jira Story Points]]="-"),0,MIN(Tabelle1324568910111213141516171619[[#This Row],[Jira Story Points]],Tabelle1324568910111213141516171619[[#This Row],[Carry-over]]))</f>
        <v>0</v>
      </c>
      <c r="O115" s="379">
        <f>SUM(IF(ISBLANK(Tabelle1324568910111213141516171619[[#This Row],[Carry-over]]),Tabelle1324568910111213141516171619[[#This Row],[Jira Story Points]],Tabelle1324568910111213141516171619[[#This Row],[Carry-over]]),-Tabelle1324568910111213141516171619[[#This Row],[COsSP Initially Planned]])</f>
        <v>1</v>
      </c>
      <c r="P11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1</v>
      </c>
      <c r="Q115" s="379">
        <f>IF(Tabelle1324568910111213141516171619[[#This Row],[Status]]=$J$5,Tabelle1324568910111213141516171619[[#This Row],[COsSP Initially Planned]]+Tabelle1324568910111213141516171619[[#This Row],[COsSP Pulled after Start]]-Tabelle1324568910111213141516171619[[#This Row],[CSOsSP Completed]],0)</f>
        <v>0</v>
      </c>
      <c r="R115" s="379">
        <f>Tabelle1324568910111213141516171619[[#This Row],[COsSP Initially Planned]]+Tabelle1324568910111213141516171619[[#This Row],[COsSP Pulled after Start]]-Tabelle1324568910111213141516171619[[#This Row],[CSOsSP Completed]]-Tabelle1324568910111213141516171619[[#This Row],[CSOsSP Removed]]</f>
        <v>0</v>
      </c>
    </row>
    <row r="116" spans="1:18" ht="13.5" customHeight="1">
      <c r="A116" s="399" t="s">
        <v>416</v>
      </c>
      <c r="B116" s="400" t="s">
        <v>417</v>
      </c>
      <c r="C116" s="401" t="s">
        <v>375</v>
      </c>
      <c r="D116" s="401">
        <v>2</v>
      </c>
      <c r="E116" s="401" t="s">
        <v>324</v>
      </c>
      <c r="F116" s="401">
        <v>3</v>
      </c>
      <c r="G116" s="401" t="s">
        <v>27</v>
      </c>
      <c r="H116" s="401" t="s">
        <v>209</v>
      </c>
      <c r="I116" s="377"/>
      <c r="J116" s="377"/>
      <c r="K116" s="375" t="s">
        <v>125</v>
      </c>
      <c r="L116" s="376"/>
      <c r="M116" s="376"/>
      <c r="N116" s="378">
        <f>IF(OR(Tabelle1324568910111213141516171619[[#This Row],[Pulled after Start]]="yes",Tabelle1324568910111213141516171619[[#This Row],[Jira Story Points]]="-"),0,MIN(Tabelle1324568910111213141516171619[[#This Row],[Jira Story Points]],Tabelle1324568910111213141516171619[[#This Row],[Carry-over]]))</f>
        <v>0</v>
      </c>
      <c r="O116" s="379">
        <f>SUM(IF(ISBLANK(Tabelle1324568910111213141516171619[[#This Row],[Carry-over]]),Tabelle1324568910111213141516171619[[#This Row],[Jira Story Points]],Tabelle1324568910111213141516171619[[#This Row],[Carry-over]]),-Tabelle1324568910111213141516171619[[#This Row],[COsSP Initially Planned]])</f>
        <v>3</v>
      </c>
      <c r="P11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116" s="379">
        <f>IF(Tabelle1324568910111213141516171619[[#This Row],[Status]]=$J$5,Tabelle1324568910111213141516171619[[#This Row],[COsSP Initially Planned]]+Tabelle1324568910111213141516171619[[#This Row],[COsSP Pulled after Start]]-Tabelle1324568910111213141516171619[[#This Row],[CSOsSP Completed]],0)</f>
        <v>0</v>
      </c>
      <c r="R116" s="379">
        <f>Tabelle1324568910111213141516171619[[#This Row],[COsSP Initially Planned]]+Tabelle1324568910111213141516171619[[#This Row],[COsSP Pulled after Start]]-Tabelle1324568910111213141516171619[[#This Row],[CSOsSP Completed]]-Tabelle1324568910111213141516171619[[#This Row],[CSOsSP Removed]]</f>
        <v>0</v>
      </c>
    </row>
    <row r="117" spans="1:18" ht="13.5" customHeight="1">
      <c r="A117" s="402" t="s">
        <v>418</v>
      </c>
      <c r="B117" s="403" t="s">
        <v>419</v>
      </c>
      <c r="C117" s="404" t="s">
        <v>372</v>
      </c>
      <c r="D117" s="404">
        <v>3</v>
      </c>
      <c r="E117" s="404" t="s">
        <v>324</v>
      </c>
      <c r="F117" s="404">
        <v>2</v>
      </c>
      <c r="G117" s="404" t="s">
        <v>27</v>
      </c>
      <c r="H117" s="404" t="s">
        <v>209</v>
      </c>
      <c r="I117" s="377"/>
      <c r="J117" s="377"/>
      <c r="K117" s="375" t="s">
        <v>125</v>
      </c>
      <c r="L117" s="376"/>
      <c r="M117" s="376"/>
      <c r="N117" s="378">
        <f>IF(OR(Tabelle1324568910111213141516171619[[#This Row],[Pulled after Start]]="yes",Tabelle1324568910111213141516171619[[#This Row],[Jira Story Points]]="-"),0,MIN(Tabelle1324568910111213141516171619[[#This Row],[Jira Story Points]],Tabelle1324568910111213141516171619[[#This Row],[Carry-over]]))</f>
        <v>0</v>
      </c>
      <c r="O117" s="379">
        <f>SUM(IF(ISBLANK(Tabelle1324568910111213141516171619[[#This Row],[Carry-over]]),Tabelle1324568910111213141516171619[[#This Row],[Jira Story Points]],Tabelle1324568910111213141516171619[[#This Row],[Carry-over]]),-Tabelle1324568910111213141516171619[[#This Row],[COsSP Initially Planned]])</f>
        <v>2</v>
      </c>
      <c r="P11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2</v>
      </c>
      <c r="Q117" s="379">
        <f>IF(Tabelle1324568910111213141516171619[[#This Row],[Status]]=$J$5,Tabelle1324568910111213141516171619[[#This Row],[COsSP Initially Planned]]+Tabelle1324568910111213141516171619[[#This Row],[COsSP Pulled after Start]]-Tabelle1324568910111213141516171619[[#This Row],[CSOsSP Completed]],0)</f>
        <v>0</v>
      </c>
      <c r="R117" s="379">
        <f>Tabelle1324568910111213141516171619[[#This Row],[COsSP Initially Planned]]+Tabelle1324568910111213141516171619[[#This Row],[COsSP Pulled after Start]]-Tabelle1324568910111213141516171619[[#This Row],[CSOsSP Completed]]-Tabelle1324568910111213141516171619[[#This Row],[CSOsSP Removed]]</f>
        <v>0</v>
      </c>
    </row>
    <row r="118" spans="1:18" ht="13.5" customHeight="1">
      <c r="A118" s="399" t="s">
        <v>420</v>
      </c>
      <c r="B118" s="400" t="s">
        <v>421</v>
      </c>
      <c r="C118" s="401" t="s">
        <v>372</v>
      </c>
      <c r="D118" s="401">
        <v>3</v>
      </c>
      <c r="E118" s="401" t="s">
        <v>324</v>
      </c>
      <c r="F118" s="401">
        <v>2</v>
      </c>
      <c r="G118" s="401" t="s">
        <v>27</v>
      </c>
      <c r="H118" s="401" t="s">
        <v>209</v>
      </c>
      <c r="I118" s="377"/>
      <c r="J118" s="377"/>
      <c r="K118" s="375" t="s">
        <v>125</v>
      </c>
      <c r="L118" s="376"/>
      <c r="M118" s="376"/>
      <c r="N118" s="378">
        <f>IF(OR(Tabelle1324568910111213141516171619[[#This Row],[Pulled after Start]]="yes",Tabelle1324568910111213141516171619[[#This Row],[Jira Story Points]]="-"),0,MIN(Tabelle1324568910111213141516171619[[#This Row],[Jira Story Points]],Tabelle1324568910111213141516171619[[#This Row],[Carry-over]]))</f>
        <v>0</v>
      </c>
      <c r="O118" s="379">
        <f>SUM(IF(ISBLANK(Tabelle1324568910111213141516171619[[#This Row],[Carry-over]]),Tabelle1324568910111213141516171619[[#This Row],[Jira Story Points]],Tabelle1324568910111213141516171619[[#This Row],[Carry-over]]),-Tabelle1324568910111213141516171619[[#This Row],[COsSP Initially Planned]])</f>
        <v>2</v>
      </c>
      <c r="P11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2</v>
      </c>
      <c r="Q118" s="379">
        <f>IF(Tabelle1324568910111213141516171619[[#This Row],[Status]]=$J$5,Tabelle1324568910111213141516171619[[#This Row],[COsSP Initially Planned]]+Tabelle1324568910111213141516171619[[#This Row],[COsSP Pulled after Start]]-Tabelle1324568910111213141516171619[[#This Row],[CSOsSP Completed]],0)</f>
        <v>0</v>
      </c>
      <c r="R118" s="379">
        <f>Tabelle1324568910111213141516171619[[#This Row],[COsSP Initially Planned]]+Tabelle1324568910111213141516171619[[#This Row],[COsSP Pulled after Start]]-Tabelle1324568910111213141516171619[[#This Row],[CSOsSP Completed]]-Tabelle1324568910111213141516171619[[#This Row],[CSOsSP Removed]]</f>
        <v>0</v>
      </c>
    </row>
    <row r="119" spans="1:18" ht="13.5" customHeight="1">
      <c r="A119" s="402" t="s">
        <v>422</v>
      </c>
      <c r="B119" s="403" t="s">
        <v>423</v>
      </c>
      <c r="C119" s="404" t="s">
        <v>375</v>
      </c>
      <c r="D119" s="404">
        <v>2</v>
      </c>
      <c r="E119" s="404" t="s">
        <v>324</v>
      </c>
      <c r="F119" s="404">
        <v>3</v>
      </c>
      <c r="G119" s="404" t="s">
        <v>27</v>
      </c>
      <c r="H119" s="404" t="s">
        <v>209</v>
      </c>
      <c r="I119" s="377"/>
      <c r="J119" s="377"/>
      <c r="K119" s="375" t="s">
        <v>125</v>
      </c>
      <c r="L119" s="376"/>
      <c r="M119" s="376"/>
      <c r="N119" s="378">
        <f>IF(OR(Tabelle1324568910111213141516171619[[#This Row],[Pulled after Start]]="yes",Tabelle1324568910111213141516171619[[#This Row],[Jira Story Points]]="-"),0,MIN(Tabelle1324568910111213141516171619[[#This Row],[Jira Story Points]],Tabelle1324568910111213141516171619[[#This Row],[Carry-over]]))</f>
        <v>0</v>
      </c>
      <c r="O119" s="379">
        <f>SUM(IF(ISBLANK(Tabelle1324568910111213141516171619[[#This Row],[Carry-over]]),Tabelle1324568910111213141516171619[[#This Row],[Jira Story Points]],Tabelle1324568910111213141516171619[[#This Row],[Carry-over]]),-Tabelle1324568910111213141516171619[[#This Row],[COsSP Initially Planned]])</f>
        <v>3</v>
      </c>
      <c r="P11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119" s="379">
        <f>IF(Tabelle1324568910111213141516171619[[#This Row],[Status]]=$J$5,Tabelle1324568910111213141516171619[[#This Row],[COsSP Initially Planned]]+Tabelle1324568910111213141516171619[[#This Row],[COsSP Pulled after Start]]-Tabelle1324568910111213141516171619[[#This Row],[CSOsSP Completed]],0)</f>
        <v>0</v>
      </c>
      <c r="R119" s="379">
        <f>Tabelle1324568910111213141516171619[[#This Row],[COsSP Initially Planned]]+Tabelle1324568910111213141516171619[[#This Row],[COsSP Pulled after Start]]-Tabelle1324568910111213141516171619[[#This Row],[CSOsSP Completed]]-Tabelle1324568910111213141516171619[[#This Row],[CSOsSP Removed]]</f>
        <v>0</v>
      </c>
    </row>
    <row r="120" spans="1:18" ht="13.5" customHeight="1">
      <c r="A120" s="399" t="s">
        <v>424</v>
      </c>
      <c r="B120" s="400" t="s">
        <v>425</v>
      </c>
      <c r="C120" s="401" t="s">
        <v>372</v>
      </c>
      <c r="D120" s="401">
        <v>3</v>
      </c>
      <c r="E120" s="401" t="s">
        <v>327</v>
      </c>
      <c r="F120" s="401">
        <v>8</v>
      </c>
      <c r="G120" s="401" t="s">
        <v>27</v>
      </c>
      <c r="H120" s="401"/>
      <c r="I120" s="377"/>
      <c r="J120" s="377"/>
      <c r="K120" s="375" t="s">
        <v>125</v>
      </c>
      <c r="L120" s="376"/>
      <c r="M120" s="376"/>
      <c r="N120" s="378">
        <f>IF(OR(Tabelle1324568910111213141516171619[[#This Row],[Pulled after Start]]="yes",Tabelle1324568910111213141516171619[[#This Row],[Jira Story Points]]="-"),0,MIN(Tabelle1324568910111213141516171619[[#This Row],[Jira Story Points]],Tabelle1324568910111213141516171619[[#This Row],[Carry-over]]))</f>
        <v>8</v>
      </c>
      <c r="O120" s="379">
        <f>SUM(IF(ISBLANK(Tabelle1324568910111213141516171619[[#This Row],[Carry-over]]),Tabelle1324568910111213141516171619[[#This Row],[Jira Story Points]],Tabelle1324568910111213141516171619[[#This Row],[Carry-over]]),-Tabelle1324568910111213141516171619[[#This Row],[COsSP Initially Planned]])</f>
        <v>0</v>
      </c>
      <c r="P12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8</v>
      </c>
      <c r="Q120" s="379">
        <f>IF(Tabelle1324568910111213141516171619[[#This Row],[Status]]=$J$5,Tabelle1324568910111213141516171619[[#This Row],[COsSP Initially Planned]]+Tabelle1324568910111213141516171619[[#This Row],[COsSP Pulled after Start]]-Tabelle1324568910111213141516171619[[#This Row],[CSOsSP Completed]],0)</f>
        <v>0</v>
      </c>
      <c r="R120" s="379">
        <f>Tabelle1324568910111213141516171619[[#This Row],[COsSP Initially Planned]]+Tabelle1324568910111213141516171619[[#This Row],[COsSP Pulled after Start]]-Tabelle1324568910111213141516171619[[#This Row],[CSOsSP Completed]]-Tabelle1324568910111213141516171619[[#This Row],[CSOsSP Removed]]</f>
        <v>0</v>
      </c>
    </row>
    <row r="121" spans="1:18" ht="13.5" customHeight="1">
      <c r="A121" s="402" t="s">
        <v>426</v>
      </c>
      <c r="B121" s="403" t="s">
        <v>427</v>
      </c>
      <c r="C121" s="404" t="s">
        <v>375</v>
      </c>
      <c r="D121" s="404">
        <v>3</v>
      </c>
      <c r="E121" s="404" t="s">
        <v>324</v>
      </c>
      <c r="F121" s="404">
        <v>5</v>
      </c>
      <c r="G121" s="404" t="s">
        <v>27</v>
      </c>
      <c r="H121" s="404"/>
      <c r="I121" s="377"/>
      <c r="J121" s="377"/>
      <c r="K121" s="375" t="s">
        <v>125</v>
      </c>
      <c r="L121" s="376"/>
      <c r="M121" s="376"/>
      <c r="N121" s="378">
        <f>IF(OR(Tabelle1324568910111213141516171619[[#This Row],[Pulled after Start]]="yes",Tabelle1324568910111213141516171619[[#This Row],[Jira Story Points]]="-"),0,MIN(Tabelle1324568910111213141516171619[[#This Row],[Jira Story Points]],Tabelle1324568910111213141516171619[[#This Row],[Carry-over]]))</f>
        <v>5</v>
      </c>
      <c r="O121" s="379">
        <f>SUM(IF(ISBLANK(Tabelle1324568910111213141516171619[[#This Row],[Carry-over]]),Tabelle1324568910111213141516171619[[#This Row],[Jira Story Points]],Tabelle1324568910111213141516171619[[#This Row],[Carry-over]]),-Tabelle1324568910111213141516171619[[#This Row],[COsSP Initially Planned]])</f>
        <v>0</v>
      </c>
      <c r="P12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5</v>
      </c>
      <c r="Q121" s="379">
        <f>IF(Tabelle1324568910111213141516171619[[#This Row],[Status]]=$J$5,Tabelle1324568910111213141516171619[[#This Row],[COsSP Initially Planned]]+Tabelle1324568910111213141516171619[[#This Row],[COsSP Pulled after Start]]-Tabelle1324568910111213141516171619[[#This Row],[CSOsSP Completed]],0)</f>
        <v>0</v>
      </c>
      <c r="R121" s="379">
        <f>Tabelle1324568910111213141516171619[[#This Row],[COsSP Initially Planned]]+Tabelle1324568910111213141516171619[[#This Row],[COsSP Pulled after Start]]-Tabelle1324568910111213141516171619[[#This Row],[CSOsSP Completed]]-Tabelle1324568910111213141516171619[[#This Row],[CSOsSP Removed]]</f>
        <v>0</v>
      </c>
    </row>
    <row r="122" spans="1:18" ht="13.5" customHeight="1">
      <c r="A122" s="399" t="s">
        <v>428</v>
      </c>
      <c r="B122" s="400" t="s">
        <v>429</v>
      </c>
      <c r="C122" s="401" t="s">
        <v>372</v>
      </c>
      <c r="D122" s="401">
        <v>3</v>
      </c>
      <c r="E122" s="401" t="s">
        <v>324</v>
      </c>
      <c r="F122" s="401">
        <v>8</v>
      </c>
      <c r="G122" s="401" t="s">
        <v>27</v>
      </c>
      <c r="H122" s="401"/>
      <c r="I122" s="377"/>
      <c r="J122" s="377"/>
      <c r="K122" s="375" t="s">
        <v>125</v>
      </c>
      <c r="L122" s="376"/>
      <c r="M122" s="376"/>
      <c r="N122" s="378">
        <f>IF(OR(Tabelle1324568910111213141516171619[[#This Row],[Pulled after Start]]="yes",Tabelle1324568910111213141516171619[[#This Row],[Jira Story Points]]="-"),0,MIN(Tabelle1324568910111213141516171619[[#This Row],[Jira Story Points]],Tabelle1324568910111213141516171619[[#This Row],[Carry-over]]))</f>
        <v>8</v>
      </c>
      <c r="O122" s="379">
        <f>SUM(IF(ISBLANK(Tabelle1324568910111213141516171619[[#This Row],[Carry-over]]),Tabelle1324568910111213141516171619[[#This Row],[Jira Story Points]],Tabelle1324568910111213141516171619[[#This Row],[Carry-over]]),-Tabelle1324568910111213141516171619[[#This Row],[COsSP Initially Planned]])</f>
        <v>0</v>
      </c>
      <c r="P12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8</v>
      </c>
      <c r="Q122" s="379">
        <f>IF(Tabelle1324568910111213141516171619[[#This Row],[Status]]=$J$5,Tabelle1324568910111213141516171619[[#This Row],[COsSP Initially Planned]]+Tabelle1324568910111213141516171619[[#This Row],[COsSP Pulled after Start]]-Tabelle1324568910111213141516171619[[#This Row],[CSOsSP Completed]],0)</f>
        <v>0</v>
      </c>
      <c r="R122" s="379">
        <f>Tabelle1324568910111213141516171619[[#This Row],[COsSP Initially Planned]]+Tabelle1324568910111213141516171619[[#This Row],[COsSP Pulled after Start]]-Tabelle1324568910111213141516171619[[#This Row],[CSOsSP Completed]]-Tabelle1324568910111213141516171619[[#This Row],[CSOsSP Removed]]</f>
        <v>0</v>
      </c>
    </row>
    <row r="123" spans="1:18" ht="13.5" customHeight="1">
      <c r="A123" s="402" t="s">
        <v>430</v>
      </c>
      <c r="B123" s="403" t="s">
        <v>431</v>
      </c>
      <c r="C123" s="404" t="s">
        <v>372</v>
      </c>
      <c r="D123" s="404">
        <v>3</v>
      </c>
      <c r="E123" s="404" t="s">
        <v>324</v>
      </c>
      <c r="F123" s="404">
        <v>3</v>
      </c>
      <c r="G123" s="404" t="s">
        <v>27</v>
      </c>
      <c r="H123" s="404" t="s">
        <v>209</v>
      </c>
      <c r="I123" s="377"/>
      <c r="J123" s="377"/>
      <c r="K123" s="375" t="s">
        <v>125</v>
      </c>
      <c r="L123" s="376"/>
      <c r="M123" s="376"/>
      <c r="N123" s="378">
        <f>IF(OR(Tabelle1324568910111213141516171619[[#This Row],[Pulled after Start]]="yes",Tabelle1324568910111213141516171619[[#This Row],[Jira Story Points]]="-"),0,MIN(Tabelle1324568910111213141516171619[[#This Row],[Jira Story Points]],Tabelle1324568910111213141516171619[[#This Row],[Carry-over]]))</f>
        <v>0</v>
      </c>
      <c r="O123" s="379">
        <f>SUM(IF(ISBLANK(Tabelle1324568910111213141516171619[[#This Row],[Carry-over]]),Tabelle1324568910111213141516171619[[#This Row],[Jira Story Points]],Tabelle1324568910111213141516171619[[#This Row],[Carry-over]]),-Tabelle1324568910111213141516171619[[#This Row],[COsSP Initially Planned]])</f>
        <v>3</v>
      </c>
      <c r="P12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123" s="379">
        <f>IF(Tabelle1324568910111213141516171619[[#This Row],[Status]]=$J$5,Tabelle1324568910111213141516171619[[#This Row],[COsSP Initially Planned]]+Tabelle1324568910111213141516171619[[#This Row],[COsSP Pulled after Start]]-Tabelle1324568910111213141516171619[[#This Row],[CSOsSP Completed]],0)</f>
        <v>0</v>
      </c>
      <c r="R123" s="379">
        <f>Tabelle1324568910111213141516171619[[#This Row],[COsSP Initially Planned]]+Tabelle1324568910111213141516171619[[#This Row],[COsSP Pulled after Start]]-Tabelle1324568910111213141516171619[[#This Row],[CSOsSP Completed]]-Tabelle1324568910111213141516171619[[#This Row],[CSOsSP Removed]]</f>
        <v>0</v>
      </c>
    </row>
    <row r="124" spans="1:18" ht="13.5" customHeight="1">
      <c r="A124" s="399" t="s">
        <v>432</v>
      </c>
      <c r="B124" s="400" t="s">
        <v>433</v>
      </c>
      <c r="C124" s="401" t="s">
        <v>375</v>
      </c>
      <c r="D124" s="401">
        <v>3</v>
      </c>
      <c r="E124" s="401" t="s">
        <v>324</v>
      </c>
      <c r="F124" s="401">
        <v>3</v>
      </c>
      <c r="G124" s="401" t="s">
        <v>27</v>
      </c>
      <c r="H124" s="401"/>
      <c r="I124" s="377"/>
      <c r="J124" s="377"/>
      <c r="K124" s="375" t="s">
        <v>125</v>
      </c>
      <c r="L124" s="376"/>
      <c r="M124" s="376"/>
      <c r="N124" s="378">
        <f>IF(OR(Tabelle1324568910111213141516171619[[#This Row],[Pulled after Start]]="yes",Tabelle1324568910111213141516171619[[#This Row],[Jira Story Points]]="-"),0,MIN(Tabelle1324568910111213141516171619[[#This Row],[Jira Story Points]],Tabelle1324568910111213141516171619[[#This Row],[Carry-over]]))</f>
        <v>3</v>
      </c>
      <c r="O124" s="379">
        <f>SUM(IF(ISBLANK(Tabelle1324568910111213141516171619[[#This Row],[Carry-over]]),Tabelle1324568910111213141516171619[[#This Row],[Jira Story Points]],Tabelle1324568910111213141516171619[[#This Row],[Carry-over]]),-Tabelle1324568910111213141516171619[[#This Row],[COsSP Initially Planned]])</f>
        <v>0</v>
      </c>
      <c r="P12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124" s="379">
        <f>IF(Tabelle1324568910111213141516171619[[#This Row],[Status]]=$J$5,Tabelle1324568910111213141516171619[[#This Row],[COsSP Initially Planned]]+Tabelle1324568910111213141516171619[[#This Row],[COsSP Pulled after Start]]-Tabelle1324568910111213141516171619[[#This Row],[CSOsSP Completed]],0)</f>
        <v>0</v>
      </c>
      <c r="R124" s="379">
        <f>Tabelle1324568910111213141516171619[[#This Row],[COsSP Initially Planned]]+Tabelle1324568910111213141516171619[[#This Row],[COsSP Pulled after Start]]-Tabelle1324568910111213141516171619[[#This Row],[CSOsSP Completed]]-Tabelle1324568910111213141516171619[[#This Row],[CSOsSP Removed]]</f>
        <v>0</v>
      </c>
    </row>
    <row r="125" spans="1:18" ht="13.5" customHeight="1">
      <c r="A125" s="402" t="s">
        <v>434</v>
      </c>
      <c r="B125" s="403" t="s">
        <v>435</v>
      </c>
      <c r="C125" s="404" t="s">
        <v>375</v>
      </c>
      <c r="D125" s="404">
        <v>4</v>
      </c>
      <c r="E125" s="404" t="s">
        <v>324</v>
      </c>
      <c r="F125" s="404">
        <v>3</v>
      </c>
      <c r="G125" s="404" t="s">
        <v>27</v>
      </c>
      <c r="H125" s="404" t="s">
        <v>209</v>
      </c>
      <c r="I125" s="377"/>
      <c r="J125" s="377"/>
      <c r="K125" s="375" t="s">
        <v>125</v>
      </c>
      <c r="L125" s="376"/>
      <c r="M125" s="376"/>
      <c r="N125" s="378">
        <f>IF(OR(Tabelle1324568910111213141516171619[[#This Row],[Pulled after Start]]="yes",Tabelle1324568910111213141516171619[[#This Row],[Jira Story Points]]="-"),0,MIN(Tabelle1324568910111213141516171619[[#This Row],[Jira Story Points]],Tabelle1324568910111213141516171619[[#This Row],[Carry-over]]))</f>
        <v>0</v>
      </c>
      <c r="O125" s="379">
        <f>SUM(IF(ISBLANK(Tabelle1324568910111213141516171619[[#This Row],[Carry-over]]),Tabelle1324568910111213141516171619[[#This Row],[Jira Story Points]],Tabelle1324568910111213141516171619[[#This Row],[Carry-over]]),-Tabelle1324568910111213141516171619[[#This Row],[COsSP Initially Planned]])</f>
        <v>3</v>
      </c>
      <c r="P12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125" s="379">
        <f>IF(Tabelle1324568910111213141516171619[[#This Row],[Status]]=$J$5,Tabelle1324568910111213141516171619[[#This Row],[COsSP Initially Planned]]+Tabelle1324568910111213141516171619[[#This Row],[COsSP Pulled after Start]]-Tabelle1324568910111213141516171619[[#This Row],[CSOsSP Completed]],0)</f>
        <v>0</v>
      </c>
      <c r="R125" s="379">
        <f>Tabelle1324568910111213141516171619[[#This Row],[COsSP Initially Planned]]+Tabelle1324568910111213141516171619[[#This Row],[COsSP Pulled after Start]]-Tabelle1324568910111213141516171619[[#This Row],[CSOsSP Completed]]-Tabelle1324568910111213141516171619[[#This Row],[CSOsSP Removed]]</f>
        <v>0</v>
      </c>
    </row>
    <row r="126" spans="1:18" ht="13.5" customHeight="1">
      <c r="A126" s="399" t="s">
        <v>436</v>
      </c>
      <c r="B126" s="400" t="s">
        <v>437</v>
      </c>
      <c r="C126" s="401" t="s">
        <v>375</v>
      </c>
      <c r="D126" s="401">
        <v>4</v>
      </c>
      <c r="E126" s="401" t="s">
        <v>324</v>
      </c>
      <c r="F126" s="401">
        <v>3</v>
      </c>
      <c r="G126" s="401" t="s">
        <v>27</v>
      </c>
      <c r="H126" s="401" t="s">
        <v>209</v>
      </c>
      <c r="I126" s="377"/>
      <c r="J126" s="377"/>
      <c r="K126" s="375" t="s">
        <v>125</v>
      </c>
      <c r="L126" s="376"/>
      <c r="M126" s="376"/>
      <c r="N126" s="378">
        <f>IF(OR(Tabelle1324568910111213141516171619[[#This Row],[Pulled after Start]]="yes",Tabelle1324568910111213141516171619[[#This Row],[Jira Story Points]]="-"),0,MIN(Tabelle1324568910111213141516171619[[#This Row],[Jira Story Points]],Tabelle1324568910111213141516171619[[#This Row],[Carry-over]]))</f>
        <v>0</v>
      </c>
      <c r="O126" s="379">
        <f>SUM(IF(ISBLANK(Tabelle1324568910111213141516171619[[#This Row],[Carry-over]]),Tabelle1324568910111213141516171619[[#This Row],[Jira Story Points]],Tabelle1324568910111213141516171619[[#This Row],[Carry-over]]),-Tabelle1324568910111213141516171619[[#This Row],[COsSP Initially Planned]])</f>
        <v>3</v>
      </c>
      <c r="P12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126" s="379">
        <f>IF(Tabelle1324568910111213141516171619[[#This Row],[Status]]=$J$5,Tabelle1324568910111213141516171619[[#This Row],[COsSP Initially Planned]]+Tabelle1324568910111213141516171619[[#This Row],[COsSP Pulled after Start]]-Tabelle1324568910111213141516171619[[#This Row],[CSOsSP Completed]],0)</f>
        <v>0</v>
      </c>
      <c r="R126" s="379">
        <f>Tabelle1324568910111213141516171619[[#This Row],[COsSP Initially Planned]]+Tabelle1324568910111213141516171619[[#This Row],[COsSP Pulled after Start]]-Tabelle1324568910111213141516171619[[#This Row],[CSOsSP Completed]]-Tabelle1324568910111213141516171619[[#This Row],[CSOsSP Removed]]</f>
        <v>0</v>
      </c>
    </row>
    <row r="127" spans="1:18" ht="13.5" customHeight="1">
      <c r="A127" s="402" t="s">
        <v>438</v>
      </c>
      <c r="B127" s="403" t="s">
        <v>439</v>
      </c>
      <c r="C127" s="404" t="s">
        <v>382</v>
      </c>
      <c r="D127" s="404">
        <v>1</v>
      </c>
      <c r="E127" s="404" t="s">
        <v>324</v>
      </c>
      <c r="F127" s="404">
        <v>5</v>
      </c>
      <c r="G127" s="404" t="s">
        <v>27</v>
      </c>
      <c r="H127" s="404" t="s">
        <v>209</v>
      </c>
      <c r="I127" s="377"/>
      <c r="J127" s="377"/>
      <c r="K127" s="375" t="s">
        <v>125</v>
      </c>
      <c r="L127" s="376"/>
      <c r="M127" s="376"/>
      <c r="N127" s="378">
        <f>IF(OR(Tabelle1324568910111213141516171619[[#This Row],[Pulled after Start]]="yes",Tabelle1324568910111213141516171619[[#This Row],[Jira Story Points]]="-"),0,MIN(Tabelle1324568910111213141516171619[[#This Row],[Jira Story Points]],Tabelle1324568910111213141516171619[[#This Row],[Carry-over]]))</f>
        <v>0</v>
      </c>
      <c r="O127" s="379">
        <f>SUM(IF(ISBLANK(Tabelle1324568910111213141516171619[[#This Row],[Carry-over]]),Tabelle1324568910111213141516171619[[#This Row],[Jira Story Points]],Tabelle1324568910111213141516171619[[#This Row],[Carry-over]]),-Tabelle1324568910111213141516171619[[#This Row],[COsSP Initially Planned]])</f>
        <v>5</v>
      </c>
      <c r="P12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5</v>
      </c>
      <c r="Q127" s="379">
        <f>IF(Tabelle1324568910111213141516171619[[#This Row],[Status]]=$J$5,Tabelle1324568910111213141516171619[[#This Row],[COsSP Initially Planned]]+Tabelle1324568910111213141516171619[[#This Row],[COsSP Pulled after Start]]-Tabelle1324568910111213141516171619[[#This Row],[CSOsSP Completed]],0)</f>
        <v>0</v>
      </c>
      <c r="R127" s="379">
        <f>Tabelle1324568910111213141516171619[[#This Row],[COsSP Initially Planned]]+Tabelle1324568910111213141516171619[[#This Row],[COsSP Pulled after Start]]-Tabelle1324568910111213141516171619[[#This Row],[CSOsSP Completed]]-Tabelle1324568910111213141516171619[[#This Row],[CSOsSP Removed]]</f>
        <v>0</v>
      </c>
    </row>
    <row r="128" spans="1:18" ht="13.5" customHeight="1">
      <c r="A128" s="399" t="s">
        <v>440</v>
      </c>
      <c r="B128" s="400" t="s">
        <v>441</v>
      </c>
      <c r="C128" s="401" t="s">
        <v>372</v>
      </c>
      <c r="D128" s="401">
        <v>3</v>
      </c>
      <c r="E128" s="401" t="s">
        <v>324</v>
      </c>
      <c r="F128" s="401">
        <v>5</v>
      </c>
      <c r="G128" s="401" t="s">
        <v>27</v>
      </c>
      <c r="H128" s="401" t="s">
        <v>209</v>
      </c>
      <c r="I128" s="377"/>
      <c r="J128" s="377"/>
      <c r="K128" s="375" t="s">
        <v>125</v>
      </c>
      <c r="L128" s="376"/>
      <c r="M128" s="376"/>
      <c r="N128" s="378">
        <f>IF(OR(Tabelle1324568910111213141516171619[[#This Row],[Pulled after Start]]="yes",Tabelle1324568910111213141516171619[[#This Row],[Jira Story Points]]="-"),0,MIN(Tabelle1324568910111213141516171619[[#This Row],[Jira Story Points]],Tabelle1324568910111213141516171619[[#This Row],[Carry-over]]))</f>
        <v>0</v>
      </c>
      <c r="O128" s="379">
        <f>SUM(IF(ISBLANK(Tabelle1324568910111213141516171619[[#This Row],[Carry-over]]),Tabelle1324568910111213141516171619[[#This Row],[Jira Story Points]],Tabelle1324568910111213141516171619[[#This Row],[Carry-over]]),-Tabelle1324568910111213141516171619[[#This Row],[COsSP Initially Planned]])</f>
        <v>5</v>
      </c>
      <c r="P12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5</v>
      </c>
      <c r="Q128" s="379">
        <f>IF(Tabelle1324568910111213141516171619[[#This Row],[Status]]=$J$5,Tabelle1324568910111213141516171619[[#This Row],[COsSP Initially Planned]]+Tabelle1324568910111213141516171619[[#This Row],[COsSP Pulled after Start]]-Tabelle1324568910111213141516171619[[#This Row],[CSOsSP Completed]],0)</f>
        <v>0</v>
      </c>
      <c r="R128" s="379">
        <f>Tabelle1324568910111213141516171619[[#This Row],[COsSP Initially Planned]]+Tabelle1324568910111213141516171619[[#This Row],[COsSP Pulled after Start]]-Tabelle1324568910111213141516171619[[#This Row],[CSOsSP Completed]]-Tabelle1324568910111213141516171619[[#This Row],[CSOsSP Removed]]</f>
        <v>0</v>
      </c>
    </row>
    <row r="129" spans="1:18" ht="13.5" customHeight="1">
      <c r="A129" s="402" t="s">
        <v>442</v>
      </c>
      <c r="B129" s="403" t="s">
        <v>443</v>
      </c>
      <c r="C129" s="404" t="s">
        <v>375</v>
      </c>
      <c r="D129" s="404">
        <v>4</v>
      </c>
      <c r="E129" s="404" t="s">
        <v>327</v>
      </c>
      <c r="F129" s="404">
        <v>3</v>
      </c>
      <c r="G129" s="404" t="s">
        <v>27</v>
      </c>
      <c r="H129" s="404"/>
      <c r="I129" s="377"/>
      <c r="J129" s="377"/>
      <c r="K129" s="375" t="s">
        <v>125</v>
      </c>
      <c r="L129" s="376"/>
      <c r="M129" s="376"/>
      <c r="N129" s="378">
        <f>IF(OR(Tabelle1324568910111213141516171619[[#This Row],[Pulled after Start]]="yes",Tabelle1324568910111213141516171619[[#This Row],[Jira Story Points]]="-"),0,MIN(Tabelle1324568910111213141516171619[[#This Row],[Jira Story Points]],Tabelle1324568910111213141516171619[[#This Row],[Carry-over]]))</f>
        <v>3</v>
      </c>
      <c r="O129" s="379">
        <f>SUM(IF(ISBLANK(Tabelle1324568910111213141516171619[[#This Row],[Carry-over]]),Tabelle1324568910111213141516171619[[#This Row],[Jira Story Points]],Tabelle1324568910111213141516171619[[#This Row],[Carry-over]]),-Tabelle1324568910111213141516171619[[#This Row],[COsSP Initially Planned]])</f>
        <v>0</v>
      </c>
      <c r="P12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3</v>
      </c>
      <c r="Q129" s="379">
        <f>IF(Tabelle1324568910111213141516171619[[#This Row],[Status]]=$J$5,Tabelle1324568910111213141516171619[[#This Row],[COsSP Initially Planned]]+Tabelle1324568910111213141516171619[[#This Row],[COsSP Pulled after Start]]-Tabelle1324568910111213141516171619[[#This Row],[CSOsSP Completed]],0)</f>
        <v>0</v>
      </c>
      <c r="R129" s="379">
        <f>Tabelle1324568910111213141516171619[[#This Row],[COsSP Initially Planned]]+Tabelle1324568910111213141516171619[[#This Row],[COsSP Pulled after Start]]-Tabelle1324568910111213141516171619[[#This Row],[CSOsSP Completed]]-Tabelle1324568910111213141516171619[[#This Row],[CSOsSP Removed]]</f>
        <v>0</v>
      </c>
    </row>
    <row r="130" spans="1:18" ht="13.5" customHeight="1">
      <c r="A130" s="405" t="s">
        <v>444</v>
      </c>
      <c r="B130" s="400" t="s">
        <v>445</v>
      </c>
      <c r="C130" s="401" t="s">
        <v>372</v>
      </c>
      <c r="D130" s="401">
        <v>3</v>
      </c>
      <c r="E130" s="401" t="s">
        <v>327</v>
      </c>
      <c r="F130" s="401">
        <v>8</v>
      </c>
      <c r="G130" s="401" t="s">
        <v>27</v>
      </c>
      <c r="H130" s="401" t="s">
        <v>209</v>
      </c>
      <c r="I130" s="377"/>
      <c r="J130" s="377"/>
      <c r="K130" s="375" t="s">
        <v>127</v>
      </c>
      <c r="L130" s="376"/>
      <c r="M130" s="376"/>
      <c r="N130" s="378">
        <f>IF(OR(Tabelle1324568910111213141516171619[[#This Row],[Pulled after Start]]="yes",Tabelle1324568910111213141516171619[[#This Row],[Jira Story Points]]="-"),0,MIN(Tabelle1324568910111213141516171619[[#This Row],[Jira Story Points]],Tabelle1324568910111213141516171619[[#This Row],[Carry-over]]))</f>
        <v>0</v>
      </c>
      <c r="O130" s="379">
        <f>SUM(IF(ISBLANK(Tabelle1324568910111213141516171619[[#This Row],[Carry-over]]),Tabelle1324568910111213141516171619[[#This Row],[Jira Story Points]],Tabelle1324568910111213141516171619[[#This Row],[Carry-over]]),-Tabelle1324568910111213141516171619[[#This Row],[COsSP Initially Planned]])</f>
        <v>8</v>
      </c>
      <c r="P13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30" s="379">
        <f>IF(Tabelle1324568910111213141516171619[[#This Row],[Status]]=$J$5,Tabelle1324568910111213141516171619[[#This Row],[COsSP Initially Planned]]+Tabelle1324568910111213141516171619[[#This Row],[COsSP Pulled after Start]]-Tabelle1324568910111213141516171619[[#This Row],[CSOsSP Completed]],0)</f>
        <v>0</v>
      </c>
      <c r="R130" s="379">
        <f>Tabelle1324568910111213141516171619[[#This Row],[COsSP Initially Planned]]+Tabelle1324568910111213141516171619[[#This Row],[COsSP Pulled after Start]]-Tabelle1324568910111213141516171619[[#This Row],[CSOsSP Completed]]-Tabelle1324568910111213141516171619[[#This Row],[CSOsSP Removed]]</f>
        <v>8</v>
      </c>
    </row>
    <row r="131" spans="1:18" ht="13.5" customHeight="1">
      <c r="A131" s="406" t="s">
        <v>446</v>
      </c>
      <c r="B131" s="403" t="s">
        <v>447</v>
      </c>
      <c r="C131" s="404" t="s">
        <v>382</v>
      </c>
      <c r="D131" s="404">
        <v>3</v>
      </c>
      <c r="E131" s="404" t="s">
        <v>448</v>
      </c>
      <c r="F131" s="404"/>
      <c r="G131" s="404" t="s">
        <v>27</v>
      </c>
      <c r="H131" s="404"/>
      <c r="I131" s="377"/>
      <c r="J131" s="377"/>
      <c r="K131" s="375" t="s">
        <v>125</v>
      </c>
      <c r="L131" s="376"/>
      <c r="M131" s="376"/>
      <c r="N131" s="378">
        <f>IF(OR(Tabelle1324568910111213141516171619[[#This Row],[Pulled after Start]]="yes",Tabelle1324568910111213141516171619[[#This Row],[Jira Story Points]]="-"),0,MIN(Tabelle1324568910111213141516171619[[#This Row],[Jira Story Points]],Tabelle1324568910111213141516171619[[#This Row],[Carry-over]]))</f>
        <v>0</v>
      </c>
      <c r="O131" s="379">
        <f>SUM(IF(ISBLANK(Tabelle1324568910111213141516171619[[#This Row],[Carry-over]]),Tabelle1324568910111213141516171619[[#This Row],[Jira Story Points]],Tabelle1324568910111213141516171619[[#This Row],[Carry-over]]),-Tabelle1324568910111213141516171619[[#This Row],[COsSP Initially Planned]])</f>
        <v>0</v>
      </c>
      <c r="P13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31" s="379">
        <f>IF(Tabelle1324568910111213141516171619[[#This Row],[Status]]=$J$5,Tabelle1324568910111213141516171619[[#This Row],[COsSP Initially Planned]]+Tabelle1324568910111213141516171619[[#This Row],[COsSP Pulled after Start]]-Tabelle1324568910111213141516171619[[#This Row],[CSOsSP Completed]],0)</f>
        <v>0</v>
      </c>
      <c r="R131" s="379">
        <f>Tabelle1324568910111213141516171619[[#This Row],[COsSP Initially Planned]]+Tabelle1324568910111213141516171619[[#This Row],[COsSP Pulled after Start]]-Tabelle1324568910111213141516171619[[#This Row],[CSOsSP Completed]]-Tabelle1324568910111213141516171619[[#This Row],[CSOsSP Removed]]</f>
        <v>0</v>
      </c>
    </row>
    <row r="132" spans="1:18" ht="13.5" customHeight="1">
      <c r="A132" s="399" t="s">
        <v>449</v>
      </c>
      <c r="B132" s="400" t="s">
        <v>450</v>
      </c>
      <c r="C132" s="401" t="s">
        <v>382</v>
      </c>
      <c r="D132" s="401">
        <v>3</v>
      </c>
      <c r="E132" s="401" t="s">
        <v>327</v>
      </c>
      <c r="F132" s="401">
        <v>3</v>
      </c>
      <c r="G132" s="401" t="s">
        <v>27</v>
      </c>
      <c r="H132" s="401"/>
      <c r="I132" s="377"/>
      <c r="J132" s="377"/>
      <c r="K132" s="375" t="s">
        <v>127</v>
      </c>
      <c r="L132" s="376"/>
      <c r="M132" s="376"/>
      <c r="N132" s="378">
        <f>IF(OR(Tabelle1324568910111213141516171619[[#This Row],[Pulled after Start]]="yes",Tabelle1324568910111213141516171619[[#This Row],[Jira Story Points]]="-"),0,MIN(Tabelle1324568910111213141516171619[[#This Row],[Jira Story Points]],Tabelle1324568910111213141516171619[[#This Row],[Carry-over]]))</f>
        <v>3</v>
      </c>
      <c r="O132" s="379">
        <f>SUM(IF(ISBLANK(Tabelle1324568910111213141516171619[[#This Row],[Carry-over]]),Tabelle1324568910111213141516171619[[#This Row],[Jira Story Points]],Tabelle1324568910111213141516171619[[#This Row],[Carry-over]]),-Tabelle1324568910111213141516171619[[#This Row],[COsSP Initially Planned]])</f>
        <v>0</v>
      </c>
      <c r="P13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32" s="379">
        <f>IF(Tabelle1324568910111213141516171619[[#This Row],[Status]]=$J$5,Tabelle1324568910111213141516171619[[#This Row],[COsSP Initially Planned]]+Tabelle1324568910111213141516171619[[#This Row],[COsSP Pulled after Start]]-Tabelle1324568910111213141516171619[[#This Row],[CSOsSP Completed]],0)</f>
        <v>0</v>
      </c>
      <c r="R132" s="379">
        <f>Tabelle1324568910111213141516171619[[#This Row],[COsSP Initially Planned]]+Tabelle1324568910111213141516171619[[#This Row],[COsSP Pulled after Start]]-Tabelle1324568910111213141516171619[[#This Row],[CSOsSP Completed]]-Tabelle1324568910111213141516171619[[#This Row],[CSOsSP Removed]]</f>
        <v>3</v>
      </c>
    </row>
    <row r="133" spans="1:18" ht="13.5" customHeight="1">
      <c r="A133" s="406" t="s">
        <v>451</v>
      </c>
      <c r="B133" s="403" t="s">
        <v>452</v>
      </c>
      <c r="C133" s="404" t="s">
        <v>382</v>
      </c>
      <c r="D133" s="404">
        <v>3</v>
      </c>
      <c r="E133" s="404" t="s">
        <v>448</v>
      </c>
      <c r="F133" s="404"/>
      <c r="G133" s="404" t="s">
        <v>27</v>
      </c>
      <c r="H133" s="404"/>
      <c r="I133" s="377"/>
      <c r="J133" s="377"/>
      <c r="K133" s="375" t="s">
        <v>125</v>
      </c>
      <c r="L133" s="376"/>
      <c r="M133" s="376"/>
      <c r="N133" s="378">
        <f>IF(OR(Tabelle1324568910111213141516171619[[#This Row],[Pulled after Start]]="yes",Tabelle1324568910111213141516171619[[#This Row],[Jira Story Points]]="-"),0,MIN(Tabelle1324568910111213141516171619[[#This Row],[Jira Story Points]],Tabelle1324568910111213141516171619[[#This Row],[Carry-over]]))</f>
        <v>0</v>
      </c>
      <c r="O133" s="379">
        <f>SUM(IF(ISBLANK(Tabelle1324568910111213141516171619[[#This Row],[Carry-over]]),Tabelle1324568910111213141516171619[[#This Row],[Jira Story Points]],Tabelle1324568910111213141516171619[[#This Row],[Carry-over]]),-Tabelle1324568910111213141516171619[[#This Row],[COsSP Initially Planned]])</f>
        <v>0</v>
      </c>
      <c r="P13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33" s="379">
        <f>IF(Tabelle1324568910111213141516171619[[#This Row],[Status]]=$J$5,Tabelle1324568910111213141516171619[[#This Row],[COsSP Initially Planned]]+Tabelle1324568910111213141516171619[[#This Row],[COsSP Pulled after Start]]-Tabelle1324568910111213141516171619[[#This Row],[CSOsSP Completed]],0)</f>
        <v>0</v>
      </c>
      <c r="R133" s="379">
        <f>Tabelle1324568910111213141516171619[[#This Row],[COsSP Initially Planned]]+Tabelle1324568910111213141516171619[[#This Row],[COsSP Pulled after Start]]-Tabelle1324568910111213141516171619[[#This Row],[CSOsSP Completed]]-Tabelle1324568910111213141516171619[[#This Row],[CSOsSP Removed]]</f>
        <v>0</v>
      </c>
    </row>
    <row r="134" spans="1:18" ht="13.5" customHeight="1">
      <c r="A134" s="405" t="s">
        <v>453</v>
      </c>
      <c r="B134" s="400" t="s">
        <v>454</v>
      </c>
      <c r="C134" s="401" t="s">
        <v>372</v>
      </c>
      <c r="D134" s="401">
        <v>3</v>
      </c>
      <c r="E134" s="401" t="s">
        <v>327</v>
      </c>
      <c r="F134" s="401">
        <v>5</v>
      </c>
      <c r="G134" s="401" t="s">
        <v>27</v>
      </c>
      <c r="H134" s="401" t="s">
        <v>209</v>
      </c>
      <c r="I134" s="377"/>
      <c r="J134" s="377"/>
      <c r="K134" s="375" t="s">
        <v>127</v>
      </c>
      <c r="L134" s="376"/>
      <c r="M134" s="376"/>
      <c r="N134" s="378">
        <f>IF(OR(Tabelle1324568910111213141516171619[[#This Row],[Pulled after Start]]="yes",Tabelle1324568910111213141516171619[[#This Row],[Jira Story Points]]="-"),0,MIN(Tabelle1324568910111213141516171619[[#This Row],[Jira Story Points]],Tabelle1324568910111213141516171619[[#This Row],[Carry-over]]))</f>
        <v>0</v>
      </c>
      <c r="O134" s="379">
        <f>SUM(IF(ISBLANK(Tabelle1324568910111213141516171619[[#This Row],[Carry-over]]),Tabelle1324568910111213141516171619[[#This Row],[Jira Story Points]],Tabelle1324568910111213141516171619[[#This Row],[Carry-over]]),-Tabelle1324568910111213141516171619[[#This Row],[COsSP Initially Planned]])</f>
        <v>5</v>
      </c>
      <c r="P13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34" s="379">
        <f>IF(Tabelle1324568910111213141516171619[[#This Row],[Status]]=$J$5,Tabelle1324568910111213141516171619[[#This Row],[COsSP Initially Planned]]+Tabelle1324568910111213141516171619[[#This Row],[COsSP Pulled after Start]]-Tabelle1324568910111213141516171619[[#This Row],[CSOsSP Completed]],0)</f>
        <v>0</v>
      </c>
      <c r="R134" s="379">
        <f>Tabelle1324568910111213141516171619[[#This Row],[COsSP Initially Planned]]+Tabelle1324568910111213141516171619[[#This Row],[COsSP Pulled after Start]]-Tabelle1324568910111213141516171619[[#This Row],[CSOsSP Completed]]-Tabelle1324568910111213141516171619[[#This Row],[CSOsSP Removed]]</f>
        <v>5</v>
      </c>
    </row>
    <row r="135" spans="1:18" ht="13.5" customHeight="1">
      <c r="A135" s="406" t="s">
        <v>455</v>
      </c>
      <c r="B135" s="403" t="s">
        <v>456</v>
      </c>
      <c r="C135" s="404" t="s">
        <v>372</v>
      </c>
      <c r="D135" s="404">
        <v>3</v>
      </c>
      <c r="E135" s="404" t="s">
        <v>327</v>
      </c>
      <c r="F135" s="404">
        <v>3</v>
      </c>
      <c r="G135" s="404" t="s">
        <v>27</v>
      </c>
      <c r="H135" s="404" t="s">
        <v>209</v>
      </c>
      <c r="I135" s="377"/>
      <c r="J135" s="377"/>
      <c r="K135" s="375" t="s">
        <v>127</v>
      </c>
      <c r="L135" s="376"/>
      <c r="M135" s="376"/>
      <c r="N135" s="378">
        <f>IF(OR(Tabelle1324568910111213141516171619[[#This Row],[Pulled after Start]]="yes",Tabelle1324568910111213141516171619[[#This Row],[Jira Story Points]]="-"),0,MIN(Tabelle1324568910111213141516171619[[#This Row],[Jira Story Points]],Tabelle1324568910111213141516171619[[#This Row],[Carry-over]]))</f>
        <v>0</v>
      </c>
      <c r="O135" s="379">
        <f>SUM(IF(ISBLANK(Tabelle1324568910111213141516171619[[#This Row],[Carry-over]]),Tabelle1324568910111213141516171619[[#This Row],[Jira Story Points]],Tabelle1324568910111213141516171619[[#This Row],[Carry-over]]),-Tabelle1324568910111213141516171619[[#This Row],[COsSP Initially Planned]])</f>
        <v>3</v>
      </c>
      <c r="P13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35" s="379">
        <f>IF(Tabelle1324568910111213141516171619[[#This Row],[Status]]=$J$5,Tabelle1324568910111213141516171619[[#This Row],[COsSP Initially Planned]]+Tabelle1324568910111213141516171619[[#This Row],[COsSP Pulled after Start]]-Tabelle1324568910111213141516171619[[#This Row],[CSOsSP Completed]],0)</f>
        <v>0</v>
      </c>
      <c r="R135" s="379">
        <f>Tabelle1324568910111213141516171619[[#This Row],[COsSP Initially Planned]]+Tabelle1324568910111213141516171619[[#This Row],[COsSP Pulled after Start]]-Tabelle1324568910111213141516171619[[#This Row],[CSOsSP Completed]]-Tabelle1324568910111213141516171619[[#This Row],[CSOsSP Removed]]</f>
        <v>3</v>
      </c>
    </row>
    <row r="136" spans="1:18" ht="13.5" customHeight="1">
      <c r="A136" s="406" t="s">
        <v>457</v>
      </c>
      <c r="B136" s="400" t="s">
        <v>458</v>
      </c>
      <c r="C136" s="404" t="s">
        <v>372</v>
      </c>
      <c r="D136" s="375">
        <v>3</v>
      </c>
      <c r="E136" s="404" t="s">
        <v>324</v>
      </c>
      <c r="F136" s="376">
        <v>5</v>
      </c>
      <c r="G136" s="404" t="s">
        <v>27</v>
      </c>
      <c r="H136" s="380"/>
      <c r="I136" s="377"/>
      <c r="J136" s="377"/>
      <c r="K136" s="375" t="s">
        <v>125</v>
      </c>
      <c r="L136" s="376"/>
      <c r="M136" s="376"/>
      <c r="N136" s="378">
        <f>IF(OR(Tabelle1324568910111213141516171619[[#This Row],[Pulled after Start]]="yes",Tabelle1324568910111213141516171619[[#This Row],[Jira Story Points]]="-"),0,MIN(Tabelle1324568910111213141516171619[[#This Row],[Jira Story Points]],Tabelle1324568910111213141516171619[[#This Row],[Carry-over]]))</f>
        <v>5</v>
      </c>
      <c r="O136" s="379">
        <f>SUM(IF(ISBLANK(Tabelle1324568910111213141516171619[[#This Row],[Carry-over]]),Tabelle1324568910111213141516171619[[#This Row],[Jira Story Points]],Tabelle1324568910111213141516171619[[#This Row],[Carry-over]]),-Tabelle1324568910111213141516171619[[#This Row],[COsSP Initially Planned]])</f>
        <v>0</v>
      </c>
      <c r="P13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5</v>
      </c>
      <c r="Q136" s="379">
        <f>IF(Tabelle1324568910111213141516171619[[#This Row],[Status]]=$J$5,Tabelle1324568910111213141516171619[[#This Row],[COsSP Initially Planned]]+Tabelle1324568910111213141516171619[[#This Row],[COsSP Pulled after Start]]-Tabelle1324568910111213141516171619[[#This Row],[CSOsSP Completed]],0)</f>
        <v>0</v>
      </c>
      <c r="R136" s="379">
        <f>Tabelle1324568910111213141516171619[[#This Row],[COsSP Initially Planned]]+Tabelle1324568910111213141516171619[[#This Row],[COsSP Pulled after Start]]-Tabelle1324568910111213141516171619[[#This Row],[CSOsSP Completed]]-Tabelle1324568910111213141516171619[[#This Row],[CSOsSP Removed]]</f>
        <v>0</v>
      </c>
    </row>
    <row r="137" spans="1:18" ht="13.5" customHeight="1">
      <c r="A137" s="381"/>
      <c r="B137" s="47"/>
      <c r="C137" s="375"/>
      <c r="D137" s="375"/>
      <c r="E137" s="375"/>
      <c r="F137" s="376"/>
      <c r="G137" s="375"/>
      <c r="H137" s="380"/>
      <c r="I137" s="377"/>
      <c r="J137" s="377"/>
      <c r="K137" s="375"/>
      <c r="L137" s="376"/>
      <c r="M137" s="376"/>
      <c r="N137" s="378">
        <f>IF(OR(Tabelle1324568910111213141516171619[[#This Row],[Pulled after Start]]="yes",Tabelle1324568910111213141516171619[[#This Row],[Jira Story Points]]="-"),0,MIN(Tabelle1324568910111213141516171619[[#This Row],[Jira Story Points]],Tabelle1324568910111213141516171619[[#This Row],[Carry-over]]))</f>
        <v>0</v>
      </c>
      <c r="O137" s="379">
        <f>SUM(IF(ISBLANK(Tabelle1324568910111213141516171619[[#This Row],[Carry-over]]),Tabelle1324568910111213141516171619[[#This Row],[Jira Story Points]],Tabelle1324568910111213141516171619[[#This Row],[Carry-over]]),-Tabelle1324568910111213141516171619[[#This Row],[COsSP Initially Planned]])</f>
        <v>0</v>
      </c>
      <c r="P13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37" s="379">
        <f>IF(Tabelle1324568910111213141516171619[[#This Row],[Status]]=$J$5,Tabelle1324568910111213141516171619[[#This Row],[COsSP Initially Planned]]+Tabelle1324568910111213141516171619[[#This Row],[COsSP Pulled after Start]]-Tabelle1324568910111213141516171619[[#This Row],[CSOsSP Completed]],0)</f>
        <v>0</v>
      </c>
      <c r="R137" s="379">
        <f>Tabelle1324568910111213141516171619[[#This Row],[COsSP Initially Planned]]+Tabelle1324568910111213141516171619[[#This Row],[COsSP Pulled after Start]]-Tabelle1324568910111213141516171619[[#This Row],[CSOsSP Completed]]-Tabelle1324568910111213141516171619[[#This Row],[CSOsSP Removed]]</f>
        <v>0</v>
      </c>
    </row>
    <row r="138" spans="1:18" ht="13.5" customHeight="1">
      <c r="A138" s="381"/>
      <c r="B138" s="47"/>
      <c r="C138" s="375"/>
      <c r="D138" s="375"/>
      <c r="E138" s="375"/>
      <c r="F138" s="376"/>
      <c r="G138" s="375"/>
      <c r="H138" s="380"/>
      <c r="I138" s="377"/>
      <c r="J138" s="377"/>
      <c r="K138" s="375"/>
      <c r="L138" s="376"/>
      <c r="M138" s="376"/>
      <c r="N138" s="378">
        <f>IF(OR(Tabelle1324568910111213141516171619[[#This Row],[Pulled after Start]]="yes",Tabelle1324568910111213141516171619[[#This Row],[Jira Story Points]]="-"),0,MIN(Tabelle1324568910111213141516171619[[#This Row],[Jira Story Points]],Tabelle1324568910111213141516171619[[#This Row],[Carry-over]]))</f>
        <v>0</v>
      </c>
      <c r="O138" s="379">
        <f>SUM(IF(ISBLANK(Tabelle1324568910111213141516171619[[#This Row],[Carry-over]]),Tabelle1324568910111213141516171619[[#This Row],[Jira Story Points]],Tabelle1324568910111213141516171619[[#This Row],[Carry-over]]),-Tabelle1324568910111213141516171619[[#This Row],[COsSP Initially Planned]])</f>
        <v>0</v>
      </c>
      <c r="P13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38" s="379">
        <f>IF(Tabelle1324568910111213141516171619[[#This Row],[Status]]=$J$5,Tabelle1324568910111213141516171619[[#This Row],[COsSP Initially Planned]]+Tabelle1324568910111213141516171619[[#This Row],[COsSP Pulled after Start]]-Tabelle1324568910111213141516171619[[#This Row],[CSOsSP Completed]],0)</f>
        <v>0</v>
      </c>
      <c r="R138" s="379">
        <f>Tabelle1324568910111213141516171619[[#This Row],[COsSP Initially Planned]]+Tabelle1324568910111213141516171619[[#This Row],[COsSP Pulled after Start]]-Tabelle1324568910111213141516171619[[#This Row],[CSOsSP Completed]]-Tabelle1324568910111213141516171619[[#This Row],[CSOsSP Removed]]</f>
        <v>0</v>
      </c>
    </row>
    <row r="139" spans="1:18" ht="13.5" customHeight="1">
      <c r="A139" s="381"/>
      <c r="B139" s="47"/>
      <c r="C139" s="375"/>
      <c r="D139" s="375"/>
      <c r="E139" s="375"/>
      <c r="F139" s="376"/>
      <c r="G139" s="375"/>
      <c r="H139" s="380"/>
      <c r="I139" s="377"/>
      <c r="J139" s="377"/>
      <c r="K139" s="375"/>
      <c r="L139" s="376"/>
      <c r="M139" s="376"/>
      <c r="N139" s="378">
        <f>IF(OR(Tabelle1324568910111213141516171619[[#This Row],[Pulled after Start]]="yes",Tabelle1324568910111213141516171619[[#This Row],[Jira Story Points]]="-"),0,MIN(Tabelle1324568910111213141516171619[[#This Row],[Jira Story Points]],Tabelle1324568910111213141516171619[[#This Row],[Carry-over]]))</f>
        <v>0</v>
      </c>
      <c r="O139" s="379">
        <f>SUM(IF(ISBLANK(Tabelle1324568910111213141516171619[[#This Row],[Carry-over]]),Tabelle1324568910111213141516171619[[#This Row],[Jira Story Points]],Tabelle1324568910111213141516171619[[#This Row],[Carry-over]]),-Tabelle1324568910111213141516171619[[#This Row],[COsSP Initially Planned]])</f>
        <v>0</v>
      </c>
      <c r="P13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39" s="379">
        <f>IF(Tabelle1324568910111213141516171619[[#This Row],[Status]]=$J$5,Tabelle1324568910111213141516171619[[#This Row],[COsSP Initially Planned]]+Tabelle1324568910111213141516171619[[#This Row],[COsSP Pulled after Start]]-Tabelle1324568910111213141516171619[[#This Row],[CSOsSP Completed]],0)</f>
        <v>0</v>
      </c>
      <c r="R139" s="379">
        <f>Tabelle1324568910111213141516171619[[#This Row],[COsSP Initially Planned]]+Tabelle1324568910111213141516171619[[#This Row],[COsSP Pulled after Start]]-Tabelle1324568910111213141516171619[[#This Row],[CSOsSP Completed]]-Tabelle1324568910111213141516171619[[#This Row],[CSOsSP Removed]]</f>
        <v>0</v>
      </c>
    </row>
    <row r="140" spans="1:18" ht="13.5" customHeight="1">
      <c r="A140" s="381"/>
      <c r="B140" s="47"/>
      <c r="C140" s="375"/>
      <c r="D140" s="375"/>
      <c r="E140" s="375"/>
      <c r="F140" s="376"/>
      <c r="G140" s="375"/>
      <c r="H140" s="380"/>
      <c r="I140" s="377"/>
      <c r="J140" s="377"/>
      <c r="K140" s="375"/>
      <c r="L140" s="376"/>
      <c r="M140" s="376"/>
      <c r="N140" s="378">
        <f>IF(OR(Tabelle1324568910111213141516171619[[#This Row],[Pulled after Start]]="yes",Tabelle1324568910111213141516171619[[#This Row],[Jira Story Points]]="-"),0,MIN(Tabelle1324568910111213141516171619[[#This Row],[Jira Story Points]],Tabelle1324568910111213141516171619[[#This Row],[Carry-over]]))</f>
        <v>0</v>
      </c>
      <c r="O140" s="379">
        <f>SUM(IF(ISBLANK(Tabelle1324568910111213141516171619[[#This Row],[Carry-over]]),Tabelle1324568910111213141516171619[[#This Row],[Jira Story Points]],Tabelle1324568910111213141516171619[[#This Row],[Carry-over]]),-Tabelle1324568910111213141516171619[[#This Row],[COsSP Initially Planned]])</f>
        <v>0</v>
      </c>
      <c r="P14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40" s="379">
        <f>IF(Tabelle1324568910111213141516171619[[#This Row],[Status]]=$J$5,Tabelle1324568910111213141516171619[[#This Row],[COsSP Initially Planned]]+Tabelle1324568910111213141516171619[[#This Row],[COsSP Pulled after Start]]-Tabelle1324568910111213141516171619[[#This Row],[CSOsSP Completed]],0)</f>
        <v>0</v>
      </c>
      <c r="R140" s="379">
        <f>Tabelle1324568910111213141516171619[[#This Row],[COsSP Initially Planned]]+Tabelle1324568910111213141516171619[[#This Row],[COsSP Pulled after Start]]-Tabelle1324568910111213141516171619[[#This Row],[CSOsSP Completed]]-Tabelle1324568910111213141516171619[[#This Row],[CSOsSP Removed]]</f>
        <v>0</v>
      </c>
    </row>
    <row r="141" spans="1:18" ht="13.5" customHeight="1">
      <c r="A141" s="381"/>
      <c r="B141" s="47"/>
      <c r="C141" s="375"/>
      <c r="D141" s="375"/>
      <c r="E141" s="375"/>
      <c r="F141" s="376"/>
      <c r="G141" s="375"/>
      <c r="H141" s="380"/>
      <c r="I141" s="377"/>
      <c r="J141" s="377"/>
      <c r="K141" s="375"/>
      <c r="L141" s="376"/>
      <c r="M141" s="376"/>
      <c r="N141" s="378">
        <f>IF(OR(Tabelle1324568910111213141516171619[[#This Row],[Pulled after Start]]="yes",Tabelle1324568910111213141516171619[[#This Row],[Jira Story Points]]="-"),0,MIN(Tabelle1324568910111213141516171619[[#This Row],[Jira Story Points]],Tabelle1324568910111213141516171619[[#This Row],[Carry-over]]))</f>
        <v>0</v>
      </c>
      <c r="O141" s="379">
        <f>SUM(IF(ISBLANK(Tabelle1324568910111213141516171619[[#This Row],[Carry-over]]),Tabelle1324568910111213141516171619[[#This Row],[Jira Story Points]],Tabelle1324568910111213141516171619[[#This Row],[Carry-over]]),-Tabelle1324568910111213141516171619[[#This Row],[COsSP Initially Planned]])</f>
        <v>0</v>
      </c>
      <c r="P14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41" s="379">
        <f>IF(Tabelle1324568910111213141516171619[[#This Row],[Status]]=$J$5,Tabelle1324568910111213141516171619[[#This Row],[COsSP Initially Planned]]+Tabelle1324568910111213141516171619[[#This Row],[COsSP Pulled after Start]]-Tabelle1324568910111213141516171619[[#This Row],[CSOsSP Completed]],0)</f>
        <v>0</v>
      </c>
      <c r="R141" s="379">
        <f>Tabelle1324568910111213141516171619[[#This Row],[COsSP Initially Planned]]+Tabelle1324568910111213141516171619[[#This Row],[COsSP Pulled after Start]]-Tabelle1324568910111213141516171619[[#This Row],[CSOsSP Completed]]-Tabelle1324568910111213141516171619[[#This Row],[CSOsSP Removed]]</f>
        <v>0</v>
      </c>
    </row>
    <row r="142" spans="1:18" ht="13.5" customHeight="1">
      <c r="A142" s="381"/>
      <c r="B142" s="47"/>
      <c r="C142" s="375"/>
      <c r="D142" s="375"/>
      <c r="E142" s="375"/>
      <c r="F142" s="376"/>
      <c r="G142" s="375"/>
      <c r="H142" s="380"/>
      <c r="I142" s="377"/>
      <c r="J142" s="377"/>
      <c r="K142" s="375"/>
      <c r="L142" s="376"/>
      <c r="M142" s="376"/>
      <c r="N142" s="378">
        <f>IF(OR(Tabelle1324568910111213141516171619[[#This Row],[Pulled after Start]]="yes",Tabelle1324568910111213141516171619[[#This Row],[Jira Story Points]]="-"),0,MIN(Tabelle1324568910111213141516171619[[#This Row],[Jira Story Points]],Tabelle1324568910111213141516171619[[#This Row],[Carry-over]]))</f>
        <v>0</v>
      </c>
      <c r="O142" s="379">
        <f>SUM(IF(ISBLANK(Tabelle1324568910111213141516171619[[#This Row],[Carry-over]]),Tabelle1324568910111213141516171619[[#This Row],[Jira Story Points]],Tabelle1324568910111213141516171619[[#This Row],[Carry-over]]),-Tabelle1324568910111213141516171619[[#This Row],[COsSP Initially Planned]])</f>
        <v>0</v>
      </c>
      <c r="P14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42" s="379">
        <f>IF(Tabelle1324568910111213141516171619[[#This Row],[Status]]=$J$5,Tabelle1324568910111213141516171619[[#This Row],[COsSP Initially Planned]]+Tabelle1324568910111213141516171619[[#This Row],[COsSP Pulled after Start]]-Tabelle1324568910111213141516171619[[#This Row],[CSOsSP Completed]],0)</f>
        <v>0</v>
      </c>
      <c r="R142" s="379">
        <f>Tabelle1324568910111213141516171619[[#This Row],[COsSP Initially Planned]]+Tabelle1324568910111213141516171619[[#This Row],[COsSP Pulled after Start]]-Tabelle1324568910111213141516171619[[#This Row],[CSOsSP Completed]]-Tabelle1324568910111213141516171619[[#This Row],[CSOsSP Removed]]</f>
        <v>0</v>
      </c>
    </row>
    <row r="143" spans="1:18" ht="13.5" customHeight="1">
      <c r="A143" s="381"/>
      <c r="B143" s="47"/>
      <c r="C143" s="375"/>
      <c r="D143" s="375"/>
      <c r="E143" s="375"/>
      <c r="F143" s="376"/>
      <c r="G143" s="375"/>
      <c r="H143" s="380"/>
      <c r="I143" s="377"/>
      <c r="J143" s="377"/>
      <c r="K143" s="375"/>
      <c r="L143" s="376"/>
      <c r="M143" s="376"/>
      <c r="N143" s="378">
        <f>IF(OR(Tabelle1324568910111213141516171619[[#This Row],[Pulled after Start]]="yes",Tabelle1324568910111213141516171619[[#This Row],[Jira Story Points]]="-"),0,MIN(Tabelle1324568910111213141516171619[[#This Row],[Jira Story Points]],Tabelle1324568910111213141516171619[[#This Row],[Carry-over]]))</f>
        <v>0</v>
      </c>
      <c r="O143" s="379">
        <f>SUM(IF(ISBLANK(Tabelle1324568910111213141516171619[[#This Row],[Carry-over]]),Tabelle1324568910111213141516171619[[#This Row],[Jira Story Points]],Tabelle1324568910111213141516171619[[#This Row],[Carry-over]]),-Tabelle1324568910111213141516171619[[#This Row],[COsSP Initially Planned]])</f>
        <v>0</v>
      </c>
      <c r="P14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43" s="379">
        <f>IF(Tabelle1324568910111213141516171619[[#This Row],[Status]]=$J$5,Tabelle1324568910111213141516171619[[#This Row],[COsSP Initially Planned]]+Tabelle1324568910111213141516171619[[#This Row],[COsSP Pulled after Start]]-Tabelle1324568910111213141516171619[[#This Row],[CSOsSP Completed]],0)</f>
        <v>0</v>
      </c>
      <c r="R143" s="379">
        <f>Tabelle1324568910111213141516171619[[#This Row],[COsSP Initially Planned]]+Tabelle1324568910111213141516171619[[#This Row],[COsSP Pulled after Start]]-Tabelle1324568910111213141516171619[[#This Row],[CSOsSP Completed]]-Tabelle1324568910111213141516171619[[#This Row],[CSOsSP Removed]]</f>
        <v>0</v>
      </c>
    </row>
    <row r="144" spans="1:18" ht="13.5" customHeight="1">
      <c r="A144" s="381"/>
      <c r="B144" s="47"/>
      <c r="C144" s="375"/>
      <c r="D144" s="375"/>
      <c r="E144" s="375"/>
      <c r="F144" s="376"/>
      <c r="G144" s="375"/>
      <c r="H144" s="380"/>
      <c r="I144" s="377"/>
      <c r="J144" s="377"/>
      <c r="K144" s="375"/>
      <c r="L144" s="376"/>
      <c r="M144" s="376"/>
      <c r="N144" s="378">
        <f>IF(OR(Tabelle1324568910111213141516171619[[#This Row],[Pulled after Start]]="yes",Tabelle1324568910111213141516171619[[#This Row],[Jira Story Points]]="-"),0,MIN(Tabelle1324568910111213141516171619[[#This Row],[Jira Story Points]],Tabelle1324568910111213141516171619[[#This Row],[Carry-over]]))</f>
        <v>0</v>
      </c>
      <c r="O144" s="379">
        <f>SUM(IF(ISBLANK(Tabelle1324568910111213141516171619[[#This Row],[Carry-over]]),Tabelle1324568910111213141516171619[[#This Row],[Jira Story Points]],Tabelle1324568910111213141516171619[[#This Row],[Carry-over]]),-Tabelle1324568910111213141516171619[[#This Row],[COsSP Initially Planned]])</f>
        <v>0</v>
      </c>
      <c r="P14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44" s="379">
        <f>IF(Tabelle1324568910111213141516171619[[#This Row],[Status]]=$J$5,Tabelle1324568910111213141516171619[[#This Row],[COsSP Initially Planned]]+Tabelle1324568910111213141516171619[[#This Row],[COsSP Pulled after Start]]-Tabelle1324568910111213141516171619[[#This Row],[CSOsSP Completed]],0)</f>
        <v>0</v>
      </c>
      <c r="R144" s="379">
        <f>Tabelle1324568910111213141516171619[[#This Row],[COsSP Initially Planned]]+Tabelle1324568910111213141516171619[[#This Row],[COsSP Pulled after Start]]-Tabelle1324568910111213141516171619[[#This Row],[CSOsSP Completed]]-Tabelle1324568910111213141516171619[[#This Row],[CSOsSP Removed]]</f>
        <v>0</v>
      </c>
    </row>
    <row r="145" spans="1:18" ht="13.5" customHeight="1">
      <c r="A145" s="381"/>
      <c r="B145" s="47"/>
      <c r="C145" s="375"/>
      <c r="D145" s="375"/>
      <c r="E145" s="375"/>
      <c r="F145" s="376"/>
      <c r="G145" s="375"/>
      <c r="H145" s="380"/>
      <c r="I145" s="377"/>
      <c r="J145" s="377"/>
      <c r="K145" s="375"/>
      <c r="L145" s="376"/>
      <c r="M145" s="376"/>
      <c r="N145" s="378">
        <f>IF(OR(Tabelle1324568910111213141516171619[[#This Row],[Pulled after Start]]="yes",Tabelle1324568910111213141516171619[[#This Row],[Jira Story Points]]="-"),0,MIN(Tabelle1324568910111213141516171619[[#This Row],[Jira Story Points]],Tabelle1324568910111213141516171619[[#This Row],[Carry-over]]))</f>
        <v>0</v>
      </c>
      <c r="O145" s="379">
        <f>SUM(IF(ISBLANK(Tabelle1324568910111213141516171619[[#This Row],[Carry-over]]),Tabelle1324568910111213141516171619[[#This Row],[Jira Story Points]],Tabelle1324568910111213141516171619[[#This Row],[Carry-over]]),-Tabelle1324568910111213141516171619[[#This Row],[COsSP Initially Planned]])</f>
        <v>0</v>
      </c>
      <c r="P14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45" s="379">
        <f>IF(Tabelle1324568910111213141516171619[[#This Row],[Status]]=$J$5,Tabelle1324568910111213141516171619[[#This Row],[COsSP Initially Planned]]+Tabelle1324568910111213141516171619[[#This Row],[COsSP Pulled after Start]]-Tabelle1324568910111213141516171619[[#This Row],[CSOsSP Completed]],0)</f>
        <v>0</v>
      </c>
      <c r="R145" s="379">
        <f>Tabelle1324568910111213141516171619[[#This Row],[COsSP Initially Planned]]+Tabelle1324568910111213141516171619[[#This Row],[COsSP Pulled after Start]]-Tabelle1324568910111213141516171619[[#This Row],[CSOsSP Completed]]-Tabelle1324568910111213141516171619[[#This Row],[CSOsSP Removed]]</f>
        <v>0</v>
      </c>
    </row>
    <row r="146" spans="1:18" ht="13.5" customHeight="1">
      <c r="A146" s="381"/>
      <c r="B146" s="47"/>
      <c r="C146" s="375"/>
      <c r="D146" s="375"/>
      <c r="E146" s="375"/>
      <c r="F146" s="376"/>
      <c r="G146" s="375"/>
      <c r="H146" s="380"/>
      <c r="I146" s="377"/>
      <c r="J146" s="377"/>
      <c r="K146" s="375"/>
      <c r="L146" s="376"/>
      <c r="M146" s="376"/>
      <c r="N146" s="378">
        <f>IF(OR(Tabelle1324568910111213141516171619[[#This Row],[Pulled after Start]]="yes",Tabelle1324568910111213141516171619[[#This Row],[Jira Story Points]]="-"),0,MIN(Tabelle1324568910111213141516171619[[#This Row],[Jira Story Points]],Tabelle1324568910111213141516171619[[#This Row],[Carry-over]]))</f>
        <v>0</v>
      </c>
      <c r="O146" s="379">
        <f>SUM(IF(ISBLANK(Tabelle1324568910111213141516171619[[#This Row],[Carry-over]]),Tabelle1324568910111213141516171619[[#This Row],[Jira Story Points]],Tabelle1324568910111213141516171619[[#This Row],[Carry-over]]),-Tabelle1324568910111213141516171619[[#This Row],[COsSP Initially Planned]])</f>
        <v>0</v>
      </c>
      <c r="P14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46" s="379">
        <f>IF(Tabelle1324568910111213141516171619[[#This Row],[Status]]=$J$5,Tabelle1324568910111213141516171619[[#This Row],[COsSP Initially Planned]]+Tabelle1324568910111213141516171619[[#This Row],[COsSP Pulled after Start]]-Tabelle1324568910111213141516171619[[#This Row],[CSOsSP Completed]],0)</f>
        <v>0</v>
      </c>
      <c r="R146" s="379">
        <f>Tabelle1324568910111213141516171619[[#This Row],[COsSP Initially Planned]]+Tabelle1324568910111213141516171619[[#This Row],[COsSP Pulled after Start]]-Tabelle1324568910111213141516171619[[#This Row],[CSOsSP Completed]]-Tabelle1324568910111213141516171619[[#This Row],[CSOsSP Removed]]</f>
        <v>0</v>
      </c>
    </row>
    <row r="147" spans="1:18" ht="13.5" customHeight="1">
      <c r="A147" s="381"/>
      <c r="B147" s="47"/>
      <c r="C147" s="375"/>
      <c r="D147" s="375"/>
      <c r="E147" s="375"/>
      <c r="F147" s="376"/>
      <c r="G147" s="375"/>
      <c r="H147" s="380"/>
      <c r="I147" s="377"/>
      <c r="J147" s="377"/>
      <c r="K147" s="375"/>
      <c r="L147" s="376"/>
      <c r="M147" s="376"/>
      <c r="N147" s="378">
        <f>IF(OR(Tabelle1324568910111213141516171619[[#This Row],[Pulled after Start]]="yes",Tabelle1324568910111213141516171619[[#This Row],[Jira Story Points]]="-"),0,MIN(Tabelle1324568910111213141516171619[[#This Row],[Jira Story Points]],Tabelle1324568910111213141516171619[[#This Row],[Carry-over]]))</f>
        <v>0</v>
      </c>
      <c r="O147" s="379">
        <f>SUM(IF(ISBLANK(Tabelle1324568910111213141516171619[[#This Row],[Carry-over]]),Tabelle1324568910111213141516171619[[#This Row],[Jira Story Points]],Tabelle1324568910111213141516171619[[#This Row],[Carry-over]]),-Tabelle1324568910111213141516171619[[#This Row],[COsSP Initially Planned]])</f>
        <v>0</v>
      </c>
      <c r="P14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47" s="379">
        <f>IF(Tabelle1324568910111213141516171619[[#This Row],[Status]]=$J$5,Tabelle1324568910111213141516171619[[#This Row],[COsSP Initially Planned]]+Tabelle1324568910111213141516171619[[#This Row],[COsSP Pulled after Start]]-Tabelle1324568910111213141516171619[[#This Row],[CSOsSP Completed]],0)</f>
        <v>0</v>
      </c>
      <c r="R147" s="379">
        <f>Tabelle1324568910111213141516171619[[#This Row],[COsSP Initially Planned]]+Tabelle1324568910111213141516171619[[#This Row],[COsSP Pulled after Start]]-Tabelle1324568910111213141516171619[[#This Row],[CSOsSP Completed]]-Tabelle1324568910111213141516171619[[#This Row],[CSOsSP Removed]]</f>
        <v>0</v>
      </c>
    </row>
    <row r="148" spans="1:18" ht="13.5" customHeight="1">
      <c r="A148" s="381"/>
      <c r="B148" s="47"/>
      <c r="C148" s="375"/>
      <c r="D148" s="375"/>
      <c r="E148" s="375"/>
      <c r="F148" s="376"/>
      <c r="G148" s="375"/>
      <c r="H148" s="380"/>
      <c r="I148" s="377"/>
      <c r="J148" s="377"/>
      <c r="K148" s="375"/>
      <c r="L148" s="376"/>
      <c r="M148" s="376"/>
      <c r="N148" s="378">
        <f>IF(OR(Tabelle1324568910111213141516171619[[#This Row],[Pulled after Start]]="yes",Tabelle1324568910111213141516171619[[#This Row],[Jira Story Points]]="-"),0,MIN(Tabelle1324568910111213141516171619[[#This Row],[Jira Story Points]],Tabelle1324568910111213141516171619[[#This Row],[Carry-over]]))</f>
        <v>0</v>
      </c>
      <c r="O148" s="379">
        <f>SUM(IF(ISBLANK(Tabelle1324568910111213141516171619[[#This Row],[Carry-over]]),Tabelle1324568910111213141516171619[[#This Row],[Jira Story Points]],Tabelle1324568910111213141516171619[[#This Row],[Carry-over]]),-Tabelle1324568910111213141516171619[[#This Row],[COsSP Initially Planned]])</f>
        <v>0</v>
      </c>
      <c r="P14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48" s="379">
        <f>IF(Tabelle1324568910111213141516171619[[#This Row],[Status]]=$J$5,Tabelle1324568910111213141516171619[[#This Row],[COsSP Initially Planned]]+Tabelle1324568910111213141516171619[[#This Row],[COsSP Pulled after Start]]-Tabelle1324568910111213141516171619[[#This Row],[CSOsSP Completed]],0)</f>
        <v>0</v>
      </c>
      <c r="R148" s="379">
        <f>Tabelle1324568910111213141516171619[[#This Row],[COsSP Initially Planned]]+Tabelle1324568910111213141516171619[[#This Row],[COsSP Pulled after Start]]-Tabelle1324568910111213141516171619[[#This Row],[CSOsSP Completed]]-Tabelle1324568910111213141516171619[[#This Row],[CSOsSP Removed]]</f>
        <v>0</v>
      </c>
    </row>
    <row r="149" spans="1:18" ht="13.5" customHeight="1">
      <c r="A149" s="381"/>
      <c r="B149" s="47"/>
      <c r="C149" s="375"/>
      <c r="D149" s="375"/>
      <c r="E149" s="375"/>
      <c r="F149" s="376"/>
      <c r="G149" s="375"/>
      <c r="H149" s="380"/>
      <c r="I149" s="377"/>
      <c r="J149" s="377"/>
      <c r="K149" s="375"/>
      <c r="L149" s="376"/>
      <c r="M149" s="376"/>
      <c r="N149" s="378">
        <f>IF(OR(Tabelle1324568910111213141516171619[[#This Row],[Pulled after Start]]="yes",Tabelle1324568910111213141516171619[[#This Row],[Jira Story Points]]="-"),0,MIN(Tabelle1324568910111213141516171619[[#This Row],[Jira Story Points]],Tabelle1324568910111213141516171619[[#This Row],[Carry-over]]))</f>
        <v>0</v>
      </c>
      <c r="O149" s="379">
        <f>SUM(IF(ISBLANK(Tabelle1324568910111213141516171619[[#This Row],[Carry-over]]),Tabelle1324568910111213141516171619[[#This Row],[Jira Story Points]],Tabelle1324568910111213141516171619[[#This Row],[Carry-over]]),-Tabelle1324568910111213141516171619[[#This Row],[COsSP Initially Planned]])</f>
        <v>0</v>
      </c>
      <c r="P14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49" s="379">
        <f>IF(Tabelle1324568910111213141516171619[[#This Row],[Status]]=$J$5,Tabelle1324568910111213141516171619[[#This Row],[COsSP Initially Planned]]+Tabelle1324568910111213141516171619[[#This Row],[COsSP Pulled after Start]]-Tabelle1324568910111213141516171619[[#This Row],[CSOsSP Completed]],0)</f>
        <v>0</v>
      </c>
      <c r="R149" s="379">
        <f>Tabelle1324568910111213141516171619[[#This Row],[COsSP Initially Planned]]+Tabelle1324568910111213141516171619[[#This Row],[COsSP Pulled after Start]]-Tabelle1324568910111213141516171619[[#This Row],[CSOsSP Completed]]-Tabelle1324568910111213141516171619[[#This Row],[CSOsSP Removed]]</f>
        <v>0</v>
      </c>
    </row>
    <row r="150" spans="1:18" ht="13.5" customHeight="1">
      <c r="A150" s="381"/>
      <c r="B150" s="47"/>
      <c r="C150" s="375"/>
      <c r="D150" s="375"/>
      <c r="E150" s="375"/>
      <c r="F150" s="376"/>
      <c r="G150" s="375"/>
      <c r="H150" s="380"/>
      <c r="I150" s="377"/>
      <c r="J150" s="377"/>
      <c r="K150" s="375"/>
      <c r="L150" s="376"/>
      <c r="M150" s="376"/>
      <c r="N150" s="378">
        <f>IF(OR(Tabelle1324568910111213141516171619[[#This Row],[Pulled after Start]]="yes",Tabelle1324568910111213141516171619[[#This Row],[Jira Story Points]]="-"),0,MIN(Tabelle1324568910111213141516171619[[#This Row],[Jira Story Points]],Tabelle1324568910111213141516171619[[#This Row],[Carry-over]]))</f>
        <v>0</v>
      </c>
      <c r="O150" s="379">
        <f>SUM(IF(ISBLANK(Tabelle1324568910111213141516171619[[#This Row],[Carry-over]]),Tabelle1324568910111213141516171619[[#This Row],[Jira Story Points]],Tabelle1324568910111213141516171619[[#This Row],[Carry-over]]),-Tabelle1324568910111213141516171619[[#This Row],[COsSP Initially Planned]])</f>
        <v>0</v>
      </c>
      <c r="P15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50" s="379">
        <f>IF(Tabelle1324568910111213141516171619[[#This Row],[Status]]=$J$5,Tabelle1324568910111213141516171619[[#This Row],[COsSP Initially Planned]]+Tabelle1324568910111213141516171619[[#This Row],[COsSP Pulled after Start]]-Tabelle1324568910111213141516171619[[#This Row],[CSOsSP Completed]],0)</f>
        <v>0</v>
      </c>
      <c r="R150" s="379">
        <f>Tabelle1324568910111213141516171619[[#This Row],[COsSP Initially Planned]]+Tabelle1324568910111213141516171619[[#This Row],[COsSP Pulled after Start]]-Tabelle1324568910111213141516171619[[#This Row],[CSOsSP Completed]]-Tabelle1324568910111213141516171619[[#This Row],[CSOsSP Removed]]</f>
        <v>0</v>
      </c>
    </row>
    <row r="151" spans="1:18" ht="13.5" customHeight="1">
      <c r="A151" s="381"/>
      <c r="B151" s="47"/>
      <c r="C151" s="375"/>
      <c r="D151" s="375"/>
      <c r="E151" s="375"/>
      <c r="F151" s="376"/>
      <c r="G151" s="375"/>
      <c r="H151" s="380"/>
      <c r="I151" s="377"/>
      <c r="J151" s="377"/>
      <c r="K151" s="375"/>
      <c r="L151" s="376"/>
      <c r="M151" s="376"/>
      <c r="N151" s="378">
        <f>IF(OR(Tabelle1324568910111213141516171619[[#This Row],[Pulled after Start]]="yes",Tabelle1324568910111213141516171619[[#This Row],[Jira Story Points]]="-"),0,MIN(Tabelle1324568910111213141516171619[[#This Row],[Jira Story Points]],Tabelle1324568910111213141516171619[[#This Row],[Carry-over]]))</f>
        <v>0</v>
      </c>
      <c r="O151" s="379">
        <f>SUM(IF(ISBLANK(Tabelle1324568910111213141516171619[[#This Row],[Carry-over]]),Tabelle1324568910111213141516171619[[#This Row],[Jira Story Points]],Tabelle1324568910111213141516171619[[#This Row],[Carry-over]]),-Tabelle1324568910111213141516171619[[#This Row],[COsSP Initially Planned]])</f>
        <v>0</v>
      </c>
      <c r="P15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51" s="379">
        <f>IF(Tabelle1324568910111213141516171619[[#This Row],[Status]]=$J$5,Tabelle1324568910111213141516171619[[#This Row],[COsSP Initially Planned]]+Tabelle1324568910111213141516171619[[#This Row],[COsSP Pulled after Start]]-Tabelle1324568910111213141516171619[[#This Row],[CSOsSP Completed]],0)</f>
        <v>0</v>
      </c>
      <c r="R151" s="379">
        <f>Tabelle1324568910111213141516171619[[#This Row],[COsSP Initially Planned]]+Tabelle1324568910111213141516171619[[#This Row],[COsSP Pulled after Start]]-Tabelle1324568910111213141516171619[[#This Row],[CSOsSP Completed]]-Tabelle1324568910111213141516171619[[#This Row],[CSOsSP Removed]]</f>
        <v>0</v>
      </c>
    </row>
    <row r="152" spans="1:18" ht="13.5" customHeight="1">
      <c r="A152" s="381"/>
      <c r="B152" s="47"/>
      <c r="C152" s="375"/>
      <c r="D152" s="375"/>
      <c r="E152" s="375"/>
      <c r="F152" s="376"/>
      <c r="G152" s="375"/>
      <c r="H152" s="380"/>
      <c r="I152" s="377"/>
      <c r="J152" s="377"/>
      <c r="K152" s="375"/>
      <c r="L152" s="376"/>
      <c r="M152" s="376"/>
      <c r="N152" s="378">
        <f>IF(OR(Tabelle1324568910111213141516171619[[#This Row],[Pulled after Start]]="yes",Tabelle1324568910111213141516171619[[#This Row],[Jira Story Points]]="-"),0,MIN(Tabelle1324568910111213141516171619[[#This Row],[Jira Story Points]],Tabelle1324568910111213141516171619[[#This Row],[Carry-over]]))</f>
        <v>0</v>
      </c>
      <c r="O152" s="379">
        <f>SUM(IF(ISBLANK(Tabelle1324568910111213141516171619[[#This Row],[Carry-over]]),Tabelle1324568910111213141516171619[[#This Row],[Jira Story Points]],Tabelle1324568910111213141516171619[[#This Row],[Carry-over]]),-Tabelle1324568910111213141516171619[[#This Row],[COsSP Initially Planned]])</f>
        <v>0</v>
      </c>
      <c r="P15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52" s="379">
        <f>IF(Tabelle1324568910111213141516171619[[#This Row],[Status]]=$J$5,Tabelle1324568910111213141516171619[[#This Row],[COsSP Initially Planned]]+Tabelle1324568910111213141516171619[[#This Row],[COsSP Pulled after Start]]-Tabelle1324568910111213141516171619[[#This Row],[CSOsSP Completed]],0)</f>
        <v>0</v>
      </c>
      <c r="R152" s="379">
        <f>Tabelle1324568910111213141516171619[[#This Row],[COsSP Initially Planned]]+Tabelle1324568910111213141516171619[[#This Row],[COsSP Pulled after Start]]-Tabelle1324568910111213141516171619[[#This Row],[CSOsSP Completed]]-Tabelle1324568910111213141516171619[[#This Row],[CSOsSP Removed]]</f>
        <v>0</v>
      </c>
    </row>
    <row r="153" spans="1:18" ht="13.5" customHeight="1">
      <c r="A153" s="381"/>
      <c r="B153" s="47"/>
      <c r="C153" s="375"/>
      <c r="D153" s="375"/>
      <c r="E153" s="375"/>
      <c r="F153" s="376"/>
      <c r="G153" s="375"/>
      <c r="H153" s="380"/>
      <c r="I153" s="377"/>
      <c r="J153" s="377"/>
      <c r="K153" s="375"/>
      <c r="L153" s="376"/>
      <c r="M153" s="376"/>
      <c r="N153" s="378">
        <f>IF(OR(Tabelle1324568910111213141516171619[[#This Row],[Pulled after Start]]="yes",Tabelle1324568910111213141516171619[[#This Row],[Jira Story Points]]="-"),0,MIN(Tabelle1324568910111213141516171619[[#This Row],[Jira Story Points]],Tabelle1324568910111213141516171619[[#This Row],[Carry-over]]))</f>
        <v>0</v>
      </c>
      <c r="O153" s="379">
        <f>SUM(IF(ISBLANK(Tabelle1324568910111213141516171619[[#This Row],[Carry-over]]),Tabelle1324568910111213141516171619[[#This Row],[Jira Story Points]],Tabelle1324568910111213141516171619[[#This Row],[Carry-over]]),-Tabelle1324568910111213141516171619[[#This Row],[COsSP Initially Planned]])</f>
        <v>0</v>
      </c>
      <c r="P15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53" s="379">
        <f>IF(Tabelle1324568910111213141516171619[[#This Row],[Status]]=$J$5,Tabelle1324568910111213141516171619[[#This Row],[COsSP Initially Planned]]+Tabelle1324568910111213141516171619[[#This Row],[COsSP Pulled after Start]]-Tabelle1324568910111213141516171619[[#This Row],[CSOsSP Completed]],0)</f>
        <v>0</v>
      </c>
      <c r="R153" s="379">
        <f>Tabelle1324568910111213141516171619[[#This Row],[COsSP Initially Planned]]+Tabelle1324568910111213141516171619[[#This Row],[COsSP Pulled after Start]]-Tabelle1324568910111213141516171619[[#This Row],[CSOsSP Completed]]-Tabelle1324568910111213141516171619[[#This Row],[CSOsSP Removed]]</f>
        <v>0</v>
      </c>
    </row>
    <row r="154" spans="1:18" ht="13.5" customHeight="1">
      <c r="A154" s="381"/>
      <c r="B154" s="47"/>
      <c r="C154" s="375"/>
      <c r="D154" s="375"/>
      <c r="E154" s="375"/>
      <c r="F154" s="376"/>
      <c r="G154" s="375"/>
      <c r="H154" s="380"/>
      <c r="I154" s="377"/>
      <c r="J154" s="377"/>
      <c r="K154" s="375"/>
      <c r="L154" s="376"/>
      <c r="M154" s="376"/>
      <c r="N154" s="378">
        <f>IF(OR(Tabelle1324568910111213141516171619[[#This Row],[Pulled after Start]]="yes",Tabelle1324568910111213141516171619[[#This Row],[Jira Story Points]]="-"),0,MIN(Tabelle1324568910111213141516171619[[#This Row],[Jira Story Points]],Tabelle1324568910111213141516171619[[#This Row],[Carry-over]]))</f>
        <v>0</v>
      </c>
      <c r="O154" s="379">
        <f>SUM(IF(ISBLANK(Tabelle1324568910111213141516171619[[#This Row],[Carry-over]]),Tabelle1324568910111213141516171619[[#This Row],[Jira Story Points]],Tabelle1324568910111213141516171619[[#This Row],[Carry-over]]),-Tabelle1324568910111213141516171619[[#This Row],[COsSP Initially Planned]])</f>
        <v>0</v>
      </c>
      <c r="P15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54" s="379">
        <f>IF(Tabelle1324568910111213141516171619[[#This Row],[Status]]=$J$5,Tabelle1324568910111213141516171619[[#This Row],[COsSP Initially Planned]]+Tabelle1324568910111213141516171619[[#This Row],[COsSP Pulled after Start]]-Tabelle1324568910111213141516171619[[#This Row],[CSOsSP Completed]],0)</f>
        <v>0</v>
      </c>
      <c r="R154" s="379">
        <f>Tabelle1324568910111213141516171619[[#This Row],[COsSP Initially Planned]]+Tabelle1324568910111213141516171619[[#This Row],[COsSP Pulled after Start]]-Tabelle1324568910111213141516171619[[#This Row],[CSOsSP Completed]]-Tabelle1324568910111213141516171619[[#This Row],[CSOsSP Removed]]</f>
        <v>0</v>
      </c>
    </row>
    <row r="155" spans="1:18" ht="13.5" customHeight="1">
      <c r="A155" s="381"/>
      <c r="B155" s="47"/>
      <c r="C155" s="375"/>
      <c r="D155" s="375"/>
      <c r="E155" s="375"/>
      <c r="F155" s="376"/>
      <c r="G155" s="375"/>
      <c r="H155" s="380"/>
      <c r="I155" s="377"/>
      <c r="J155" s="377"/>
      <c r="K155" s="375"/>
      <c r="L155" s="376"/>
      <c r="M155" s="376"/>
      <c r="N155" s="378">
        <f>IF(OR(Tabelle1324568910111213141516171619[[#This Row],[Pulled after Start]]="yes",Tabelle1324568910111213141516171619[[#This Row],[Jira Story Points]]="-"),0,MIN(Tabelle1324568910111213141516171619[[#This Row],[Jira Story Points]],Tabelle1324568910111213141516171619[[#This Row],[Carry-over]]))</f>
        <v>0</v>
      </c>
      <c r="O155" s="379">
        <f>SUM(IF(ISBLANK(Tabelle1324568910111213141516171619[[#This Row],[Carry-over]]),Tabelle1324568910111213141516171619[[#This Row],[Jira Story Points]],Tabelle1324568910111213141516171619[[#This Row],[Carry-over]]),-Tabelle1324568910111213141516171619[[#This Row],[COsSP Initially Planned]])</f>
        <v>0</v>
      </c>
      <c r="P15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55" s="379">
        <f>IF(Tabelle1324568910111213141516171619[[#This Row],[Status]]=$J$5,Tabelle1324568910111213141516171619[[#This Row],[COsSP Initially Planned]]+Tabelle1324568910111213141516171619[[#This Row],[COsSP Pulled after Start]]-Tabelle1324568910111213141516171619[[#This Row],[CSOsSP Completed]],0)</f>
        <v>0</v>
      </c>
      <c r="R155" s="379">
        <f>Tabelle1324568910111213141516171619[[#This Row],[COsSP Initially Planned]]+Tabelle1324568910111213141516171619[[#This Row],[COsSP Pulled after Start]]-Tabelle1324568910111213141516171619[[#This Row],[CSOsSP Completed]]-Tabelle1324568910111213141516171619[[#This Row],[CSOsSP Removed]]</f>
        <v>0</v>
      </c>
    </row>
    <row r="156" spans="1:18" ht="13.5" customHeight="1">
      <c r="A156" s="381"/>
      <c r="B156" s="47"/>
      <c r="C156" s="375"/>
      <c r="D156" s="375"/>
      <c r="E156" s="375"/>
      <c r="F156" s="376"/>
      <c r="G156" s="375"/>
      <c r="H156" s="380"/>
      <c r="I156" s="377"/>
      <c r="J156" s="377"/>
      <c r="K156" s="375"/>
      <c r="L156" s="376"/>
      <c r="M156" s="376"/>
      <c r="N156" s="378">
        <f>IF(OR(Tabelle1324568910111213141516171619[[#This Row],[Pulled after Start]]="yes",Tabelle1324568910111213141516171619[[#This Row],[Jira Story Points]]="-"),0,MIN(Tabelle1324568910111213141516171619[[#This Row],[Jira Story Points]],Tabelle1324568910111213141516171619[[#This Row],[Carry-over]]))</f>
        <v>0</v>
      </c>
      <c r="O156" s="379">
        <f>SUM(IF(ISBLANK(Tabelle1324568910111213141516171619[[#This Row],[Carry-over]]),Tabelle1324568910111213141516171619[[#This Row],[Jira Story Points]],Tabelle1324568910111213141516171619[[#This Row],[Carry-over]]),-Tabelle1324568910111213141516171619[[#This Row],[COsSP Initially Planned]])</f>
        <v>0</v>
      </c>
      <c r="P15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56" s="379">
        <f>IF(Tabelle1324568910111213141516171619[[#This Row],[Status]]=$J$5,Tabelle1324568910111213141516171619[[#This Row],[COsSP Initially Planned]]+Tabelle1324568910111213141516171619[[#This Row],[COsSP Pulled after Start]]-Tabelle1324568910111213141516171619[[#This Row],[CSOsSP Completed]],0)</f>
        <v>0</v>
      </c>
      <c r="R156" s="379">
        <f>Tabelle1324568910111213141516171619[[#This Row],[COsSP Initially Planned]]+Tabelle1324568910111213141516171619[[#This Row],[COsSP Pulled after Start]]-Tabelle1324568910111213141516171619[[#This Row],[CSOsSP Completed]]-Tabelle1324568910111213141516171619[[#This Row],[CSOsSP Removed]]</f>
        <v>0</v>
      </c>
    </row>
    <row r="157" spans="1:18" ht="13.5" customHeight="1">
      <c r="A157" s="381"/>
      <c r="B157" s="47"/>
      <c r="C157" s="375"/>
      <c r="D157" s="375"/>
      <c r="E157" s="375"/>
      <c r="F157" s="376"/>
      <c r="G157" s="375"/>
      <c r="H157" s="380"/>
      <c r="I157" s="377"/>
      <c r="J157" s="377"/>
      <c r="K157" s="375"/>
      <c r="L157" s="376"/>
      <c r="M157" s="376"/>
      <c r="N157" s="378">
        <f>IF(OR(Tabelle1324568910111213141516171619[[#This Row],[Pulled after Start]]="yes",Tabelle1324568910111213141516171619[[#This Row],[Jira Story Points]]="-"),0,MIN(Tabelle1324568910111213141516171619[[#This Row],[Jira Story Points]],Tabelle1324568910111213141516171619[[#This Row],[Carry-over]]))</f>
        <v>0</v>
      </c>
      <c r="O157" s="379">
        <f>SUM(IF(ISBLANK(Tabelle1324568910111213141516171619[[#This Row],[Carry-over]]),Tabelle1324568910111213141516171619[[#This Row],[Jira Story Points]],Tabelle1324568910111213141516171619[[#This Row],[Carry-over]]),-Tabelle1324568910111213141516171619[[#This Row],[COsSP Initially Planned]])</f>
        <v>0</v>
      </c>
      <c r="P15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57" s="379">
        <f>IF(Tabelle1324568910111213141516171619[[#This Row],[Status]]=$J$5,Tabelle1324568910111213141516171619[[#This Row],[COsSP Initially Planned]]+Tabelle1324568910111213141516171619[[#This Row],[COsSP Pulled after Start]]-Tabelle1324568910111213141516171619[[#This Row],[CSOsSP Completed]],0)</f>
        <v>0</v>
      </c>
      <c r="R157" s="379">
        <f>Tabelle1324568910111213141516171619[[#This Row],[COsSP Initially Planned]]+Tabelle1324568910111213141516171619[[#This Row],[COsSP Pulled after Start]]-Tabelle1324568910111213141516171619[[#This Row],[CSOsSP Completed]]-Tabelle1324568910111213141516171619[[#This Row],[CSOsSP Removed]]</f>
        <v>0</v>
      </c>
    </row>
    <row r="158" spans="1:18" ht="13.5" customHeight="1">
      <c r="A158" s="381"/>
      <c r="B158" s="47"/>
      <c r="C158" s="375"/>
      <c r="D158" s="375"/>
      <c r="E158" s="375"/>
      <c r="F158" s="376"/>
      <c r="G158" s="375"/>
      <c r="H158" s="380"/>
      <c r="I158" s="377"/>
      <c r="J158" s="377"/>
      <c r="K158" s="375"/>
      <c r="L158" s="376"/>
      <c r="M158" s="376"/>
      <c r="N158" s="378">
        <f>IF(OR(Tabelle1324568910111213141516171619[[#This Row],[Pulled after Start]]="yes",Tabelle1324568910111213141516171619[[#This Row],[Jira Story Points]]="-"),0,MIN(Tabelle1324568910111213141516171619[[#This Row],[Jira Story Points]],Tabelle1324568910111213141516171619[[#This Row],[Carry-over]]))</f>
        <v>0</v>
      </c>
      <c r="O158" s="379">
        <f>SUM(IF(ISBLANK(Tabelle1324568910111213141516171619[[#This Row],[Carry-over]]),Tabelle1324568910111213141516171619[[#This Row],[Jira Story Points]],Tabelle1324568910111213141516171619[[#This Row],[Carry-over]]),-Tabelle1324568910111213141516171619[[#This Row],[COsSP Initially Planned]])</f>
        <v>0</v>
      </c>
      <c r="P15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58" s="379">
        <f>IF(Tabelle1324568910111213141516171619[[#This Row],[Status]]=$J$5,Tabelle1324568910111213141516171619[[#This Row],[COsSP Initially Planned]]+Tabelle1324568910111213141516171619[[#This Row],[COsSP Pulled after Start]]-Tabelle1324568910111213141516171619[[#This Row],[CSOsSP Completed]],0)</f>
        <v>0</v>
      </c>
      <c r="R158" s="379">
        <f>Tabelle1324568910111213141516171619[[#This Row],[COsSP Initially Planned]]+Tabelle1324568910111213141516171619[[#This Row],[COsSP Pulled after Start]]-Tabelle1324568910111213141516171619[[#This Row],[CSOsSP Completed]]-Tabelle1324568910111213141516171619[[#This Row],[CSOsSP Removed]]</f>
        <v>0</v>
      </c>
    </row>
    <row r="159" spans="1:18" ht="13.5" customHeight="1">
      <c r="A159" s="381"/>
      <c r="B159" s="47"/>
      <c r="C159" s="375"/>
      <c r="D159" s="375"/>
      <c r="E159" s="375"/>
      <c r="F159" s="376"/>
      <c r="G159" s="375"/>
      <c r="H159" s="380"/>
      <c r="I159" s="377"/>
      <c r="J159" s="377"/>
      <c r="K159" s="375"/>
      <c r="L159" s="376"/>
      <c r="M159" s="376"/>
      <c r="N159" s="378">
        <f>IF(OR(Tabelle1324568910111213141516171619[[#This Row],[Pulled after Start]]="yes",Tabelle1324568910111213141516171619[[#This Row],[Jira Story Points]]="-"),0,MIN(Tabelle1324568910111213141516171619[[#This Row],[Jira Story Points]],Tabelle1324568910111213141516171619[[#This Row],[Carry-over]]))</f>
        <v>0</v>
      </c>
      <c r="O159" s="379">
        <f>SUM(IF(ISBLANK(Tabelle1324568910111213141516171619[[#This Row],[Carry-over]]),Tabelle1324568910111213141516171619[[#This Row],[Jira Story Points]],Tabelle1324568910111213141516171619[[#This Row],[Carry-over]]),-Tabelle1324568910111213141516171619[[#This Row],[COsSP Initially Planned]])</f>
        <v>0</v>
      </c>
      <c r="P15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59" s="379">
        <f>IF(Tabelle1324568910111213141516171619[[#This Row],[Status]]=$J$5,Tabelle1324568910111213141516171619[[#This Row],[COsSP Initially Planned]]+Tabelle1324568910111213141516171619[[#This Row],[COsSP Pulled after Start]]-Tabelle1324568910111213141516171619[[#This Row],[CSOsSP Completed]],0)</f>
        <v>0</v>
      </c>
      <c r="R159" s="379">
        <f>Tabelle1324568910111213141516171619[[#This Row],[COsSP Initially Planned]]+Tabelle1324568910111213141516171619[[#This Row],[COsSP Pulled after Start]]-Tabelle1324568910111213141516171619[[#This Row],[CSOsSP Completed]]-Tabelle1324568910111213141516171619[[#This Row],[CSOsSP Removed]]</f>
        <v>0</v>
      </c>
    </row>
    <row r="160" spans="1:18" ht="13.5" customHeight="1">
      <c r="A160" s="381"/>
      <c r="B160" s="47"/>
      <c r="C160" s="375"/>
      <c r="D160" s="375"/>
      <c r="E160" s="375"/>
      <c r="F160" s="376"/>
      <c r="G160" s="375"/>
      <c r="H160" s="380"/>
      <c r="I160" s="377"/>
      <c r="J160" s="377"/>
      <c r="K160" s="375"/>
      <c r="L160" s="376"/>
      <c r="M160" s="376"/>
      <c r="N160" s="378">
        <f>IF(OR(Tabelle1324568910111213141516171619[[#This Row],[Pulled after Start]]="yes",Tabelle1324568910111213141516171619[[#This Row],[Jira Story Points]]="-"),0,MIN(Tabelle1324568910111213141516171619[[#This Row],[Jira Story Points]],Tabelle1324568910111213141516171619[[#This Row],[Carry-over]]))</f>
        <v>0</v>
      </c>
      <c r="O160" s="379">
        <f>SUM(IF(ISBLANK(Tabelle1324568910111213141516171619[[#This Row],[Carry-over]]),Tabelle1324568910111213141516171619[[#This Row],[Jira Story Points]],Tabelle1324568910111213141516171619[[#This Row],[Carry-over]]),-Tabelle1324568910111213141516171619[[#This Row],[COsSP Initially Planned]])</f>
        <v>0</v>
      </c>
      <c r="P16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60" s="379">
        <f>IF(Tabelle1324568910111213141516171619[[#This Row],[Status]]=$J$5,Tabelle1324568910111213141516171619[[#This Row],[COsSP Initially Planned]]+Tabelle1324568910111213141516171619[[#This Row],[COsSP Pulled after Start]]-Tabelle1324568910111213141516171619[[#This Row],[CSOsSP Completed]],0)</f>
        <v>0</v>
      </c>
      <c r="R160" s="379">
        <f>Tabelle1324568910111213141516171619[[#This Row],[COsSP Initially Planned]]+Tabelle1324568910111213141516171619[[#This Row],[COsSP Pulled after Start]]-Tabelle1324568910111213141516171619[[#This Row],[CSOsSP Completed]]-Tabelle1324568910111213141516171619[[#This Row],[CSOsSP Removed]]</f>
        <v>0</v>
      </c>
    </row>
    <row r="161" spans="1:18" ht="13.5" customHeight="1">
      <c r="A161" s="381"/>
      <c r="B161" s="47"/>
      <c r="C161" s="375"/>
      <c r="D161" s="375"/>
      <c r="E161" s="375"/>
      <c r="F161" s="376"/>
      <c r="G161" s="375"/>
      <c r="H161" s="380"/>
      <c r="I161" s="377"/>
      <c r="J161" s="377"/>
      <c r="K161" s="375"/>
      <c r="L161" s="376"/>
      <c r="M161" s="376"/>
      <c r="N161" s="378">
        <f>IF(OR(Tabelle1324568910111213141516171619[[#This Row],[Pulled after Start]]="yes",Tabelle1324568910111213141516171619[[#This Row],[Jira Story Points]]="-"),0,MIN(Tabelle1324568910111213141516171619[[#This Row],[Jira Story Points]],Tabelle1324568910111213141516171619[[#This Row],[Carry-over]]))</f>
        <v>0</v>
      </c>
      <c r="O161" s="379">
        <f>SUM(IF(ISBLANK(Tabelle1324568910111213141516171619[[#This Row],[Carry-over]]),Tabelle1324568910111213141516171619[[#This Row],[Jira Story Points]],Tabelle1324568910111213141516171619[[#This Row],[Carry-over]]),-Tabelle1324568910111213141516171619[[#This Row],[COsSP Initially Planned]])</f>
        <v>0</v>
      </c>
      <c r="P16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61" s="379">
        <f>IF(Tabelle1324568910111213141516171619[[#This Row],[Status]]=$J$5,Tabelle1324568910111213141516171619[[#This Row],[COsSP Initially Planned]]+Tabelle1324568910111213141516171619[[#This Row],[COsSP Pulled after Start]]-Tabelle1324568910111213141516171619[[#This Row],[CSOsSP Completed]],0)</f>
        <v>0</v>
      </c>
      <c r="R161" s="379">
        <f>Tabelle1324568910111213141516171619[[#This Row],[COsSP Initially Planned]]+Tabelle1324568910111213141516171619[[#This Row],[COsSP Pulled after Start]]-Tabelle1324568910111213141516171619[[#This Row],[CSOsSP Completed]]-Tabelle1324568910111213141516171619[[#This Row],[CSOsSP Removed]]</f>
        <v>0</v>
      </c>
    </row>
    <row r="162" spans="1:18" ht="13.5" customHeight="1">
      <c r="A162" s="381"/>
      <c r="B162" s="47"/>
      <c r="C162" s="375"/>
      <c r="D162" s="375"/>
      <c r="E162" s="375"/>
      <c r="F162" s="376"/>
      <c r="G162" s="375"/>
      <c r="H162" s="380"/>
      <c r="I162" s="377"/>
      <c r="J162" s="377"/>
      <c r="K162" s="375"/>
      <c r="L162" s="376"/>
      <c r="M162" s="376"/>
      <c r="N162" s="378">
        <f>IF(OR(Tabelle1324568910111213141516171619[[#This Row],[Pulled after Start]]="yes",Tabelle1324568910111213141516171619[[#This Row],[Jira Story Points]]="-"),0,MIN(Tabelle1324568910111213141516171619[[#This Row],[Jira Story Points]],Tabelle1324568910111213141516171619[[#This Row],[Carry-over]]))</f>
        <v>0</v>
      </c>
      <c r="O162" s="379">
        <f>SUM(IF(ISBLANK(Tabelle1324568910111213141516171619[[#This Row],[Carry-over]]),Tabelle1324568910111213141516171619[[#This Row],[Jira Story Points]],Tabelle1324568910111213141516171619[[#This Row],[Carry-over]]),-Tabelle1324568910111213141516171619[[#This Row],[COsSP Initially Planned]])</f>
        <v>0</v>
      </c>
      <c r="P16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62" s="379">
        <f>IF(Tabelle1324568910111213141516171619[[#This Row],[Status]]=$J$5,Tabelle1324568910111213141516171619[[#This Row],[COsSP Initially Planned]]+Tabelle1324568910111213141516171619[[#This Row],[COsSP Pulled after Start]]-Tabelle1324568910111213141516171619[[#This Row],[CSOsSP Completed]],0)</f>
        <v>0</v>
      </c>
      <c r="R162" s="379">
        <f>Tabelle1324568910111213141516171619[[#This Row],[COsSP Initially Planned]]+Tabelle1324568910111213141516171619[[#This Row],[COsSP Pulled after Start]]-Tabelle1324568910111213141516171619[[#This Row],[CSOsSP Completed]]-Tabelle1324568910111213141516171619[[#This Row],[CSOsSP Removed]]</f>
        <v>0</v>
      </c>
    </row>
    <row r="163" spans="1:18" ht="13.5" customHeight="1">
      <c r="A163" s="381"/>
      <c r="B163" s="47"/>
      <c r="C163" s="375"/>
      <c r="D163" s="375"/>
      <c r="E163" s="375"/>
      <c r="F163" s="376"/>
      <c r="G163" s="375"/>
      <c r="H163" s="380"/>
      <c r="I163" s="377"/>
      <c r="J163" s="377"/>
      <c r="K163" s="375"/>
      <c r="L163" s="376"/>
      <c r="M163" s="376"/>
      <c r="N163" s="378">
        <f>IF(OR(Tabelle1324568910111213141516171619[[#This Row],[Pulled after Start]]="yes",Tabelle1324568910111213141516171619[[#This Row],[Jira Story Points]]="-"),0,MIN(Tabelle1324568910111213141516171619[[#This Row],[Jira Story Points]],Tabelle1324568910111213141516171619[[#This Row],[Carry-over]]))</f>
        <v>0</v>
      </c>
      <c r="O163" s="379">
        <f>SUM(IF(ISBLANK(Tabelle1324568910111213141516171619[[#This Row],[Carry-over]]),Tabelle1324568910111213141516171619[[#This Row],[Jira Story Points]],Tabelle1324568910111213141516171619[[#This Row],[Carry-over]]),-Tabelle1324568910111213141516171619[[#This Row],[COsSP Initially Planned]])</f>
        <v>0</v>
      </c>
      <c r="P16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63" s="379">
        <f>IF(Tabelle1324568910111213141516171619[[#This Row],[Status]]=$J$5,Tabelle1324568910111213141516171619[[#This Row],[COsSP Initially Planned]]+Tabelle1324568910111213141516171619[[#This Row],[COsSP Pulled after Start]]-Tabelle1324568910111213141516171619[[#This Row],[CSOsSP Completed]],0)</f>
        <v>0</v>
      </c>
      <c r="R163" s="379">
        <f>Tabelle1324568910111213141516171619[[#This Row],[COsSP Initially Planned]]+Tabelle1324568910111213141516171619[[#This Row],[COsSP Pulled after Start]]-Tabelle1324568910111213141516171619[[#This Row],[CSOsSP Completed]]-Tabelle1324568910111213141516171619[[#This Row],[CSOsSP Removed]]</f>
        <v>0</v>
      </c>
    </row>
    <row r="164" spans="1:18" ht="13.5" customHeight="1">
      <c r="A164" s="381"/>
      <c r="B164" s="47"/>
      <c r="C164" s="375"/>
      <c r="D164" s="375"/>
      <c r="E164" s="375"/>
      <c r="F164" s="376"/>
      <c r="G164" s="375"/>
      <c r="H164" s="380"/>
      <c r="I164" s="377"/>
      <c r="J164" s="377"/>
      <c r="K164" s="375"/>
      <c r="L164" s="376"/>
      <c r="M164" s="376"/>
      <c r="N164" s="378">
        <f>IF(OR(Tabelle1324568910111213141516171619[[#This Row],[Pulled after Start]]="yes",Tabelle1324568910111213141516171619[[#This Row],[Jira Story Points]]="-"),0,MIN(Tabelle1324568910111213141516171619[[#This Row],[Jira Story Points]],Tabelle1324568910111213141516171619[[#This Row],[Carry-over]]))</f>
        <v>0</v>
      </c>
      <c r="O164" s="379">
        <f>SUM(IF(ISBLANK(Tabelle1324568910111213141516171619[[#This Row],[Carry-over]]),Tabelle1324568910111213141516171619[[#This Row],[Jira Story Points]],Tabelle1324568910111213141516171619[[#This Row],[Carry-over]]),-Tabelle1324568910111213141516171619[[#This Row],[COsSP Initially Planned]])</f>
        <v>0</v>
      </c>
      <c r="P16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64" s="379">
        <f>IF(Tabelle1324568910111213141516171619[[#This Row],[Status]]=$J$5,Tabelle1324568910111213141516171619[[#This Row],[COsSP Initially Planned]]+Tabelle1324568910111213141516171619[[#This Row],[COsSP Pulled after Start]]-Tabelle1324568910111213141516171619[[#This Row],[CSOsSP Completed]],0)</f>
        <v>0</v>
      </c>
      <c r="R164" s="379">
        <f>Tabelle1324568910111213141516171619[[#This Row],[COsSP Initially Planned]]+Tabelle1324568910111213141516171619[[#This Row],[COsSP Pulled after Start]]-Tabelle1324568910111213141516171619[[#This Row],[CSOsSP Completed]]-Tabelle1324568910111213141516171619[[#This Row],[CSOsSP Removed]]</f>
        <v>0</v>
      </c>
    </row>
    <row r="165" spans="1:18" ht="13.5" customHeight="1">
      <c r="A165" s="381"/>
      <c r="B165" s="47"/>
      <c r="C165" s="375"/>
      <c r="D165" s="375"/>
      <c r="E165" s="375"/>
      <c r="F165" s="376"/>
      <c r="G165" s="375"/>
      <c r="H165" s="380"/>
      <c r="I165" s="377"/>
      <c r="J165" s="377"/>
      <c r="K165" s="375"/>
      <c r="L165" s="376"/>
      <c r="M165" s="376"/>
      <c r="N165" s="378">
        <f>IF(OR(Tabelle1324568910111213141516171619[[#This Row],[Pulled after Start]]="yes",Tabelle1324568910111213141516171619[[#This Row],[Jira Story Points]]="-"),0,MIN(Tabelle1324568910111213141516171619[[#This Row],[Jira Story Points]],Tabelle1324568910111213141516171619[[#This Row],[Carry-over]]))</f>
        <v>0</v>
      </c>
      <c r="O165" s="379">
        <f>SUM(IF(ISBLANK(Tabelle1324568910111213141516171619[[#This Row],[Carry-over]]),Tabelle1324568910111213141516171619[[#This Row],[Jira Story Points]],Tabelle1324568910111213141516171619[[#This Row],[Carry-over]]),-Tabelle1324568910111213141516171619[[#This Row],[COsSP Initially Planned]])</f>
        <v>0</v>
      </c>
      <c r="P16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65" s="379">
        <f>IF(Tabelle1324568910111213141516171619[[#This Row],[Status]]=$J$5,Tabelle1324568910111213141516171619[[#This Row],[COsSP Initially Planned]]+Tabelle1324568910111213141516171619[[#This Row],[COsSP Pulled after Start]]-Tabelle1324568910111213141516171619[[#This Row],[CSOsSP Completed]],0)</f>
        <v>0</v>
      </c>
      <c r="R165" s="379">
        <f>Tabelle1324568910111213141516171619[[#This Row],[COsSP Initially Planned]]+Tabelle1324568910111213141516171619[[#This Row],[COsSP Pulled after Start]]-Tabelle1324568910111213141516171619[[#This Row],[CSOsSP Completed]]-Tabelle1324568910111213141516171619[[#This Row],[CSOsSP Removed]]</f>
        <v>0</v>
      </c>
    </row>
    <row r="166" spans="1:18" ht="13.5" customHeight="1">
      <c r="A166" s="381"/>
      <c r="B166" s="47"/>
      <c r="C166" s="375"/>
      <c r="D166" s="375"/>
      <c r="E166" s="375"/>
      <c r="F166" s="376"/>
      <c r="G166" s="375"/>
      <c r="H166" s="380"/>
      <c r="I166" s="377"/>
      <c r="J166" s="377"/>
      <c r="K166" s="375"/>
      <c r="L166" s="376"/>
      <c r="M166" s="376"/>
      <c r="N166" s="378">
        <f>IF(OR(Tabelle1324568910111213141516171619[[#This Row],[Pulled after Start]]="yes",Tabelle1324568910111213141516171619[[#This Row],[Jira Story Points]]="-"),0,MIN(Tabelle1324568910111213141516171619[[#This Row],[Jira Story Points]],Tabelle1324568910111213141516171619[[#This Row],[Carry-over]]))</f>
        <v>0</v>
      </c>
      <c r="O166" s="379">
        <f>SUM(IF(ISBLANK(Tabelle1324568910111213141516171619[[#This Row],[Carry-over]]),Tabelle1324568910111213141516171619[[#This Row],[Jira Story Points]],Tabelle1324568910111213141516171619[[#This Row],[Carry-over]]),-Tabelle1324568910111213141516171619[[#This Row],[COsSP Initially Planned]])</f>
        <v>0</v>
      </c>
      <c r="P16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66" s="379">
        <f>IF(Tabelle1324568910111213141516171619[[#This Row],[Status]]=$J$5,Tabelle1324568910111213141516171619[[#This Row],[COsSP Initially Planned]]+Tabelle1324568910111213141516171619[[#This Row],[COsSP Pulled after Start]]-Tabelle1324568910111213141516171619[[#This Row],[CSOsSP Completed]],0)</f>
        <v>0</v>
      </c>
      <c r="R166" s="379">
        <f>Tabelle1324568910111213141516171619[[#This Row],[COsSP Initially Planned]]+Tabelle1324568910111213141516171619[[#This Row],[COsSP Pulled after Start]]-Tabelle1324568910111213141516171619[[#This Row],[CSOsSP Completed]]-Tabelle1324568910111213141516171619[[#This Row],[CSOsSP Removed]]</f>
        <v>0</v>
      </c>
    </row>
    <row r="167" spans="1:18" ht="13.5" customHeight="1">
      <c r="A167" s="381"/>
      <c r="B167" s="47"/>
      <c r="C167" s="375"/>
      <c r="D167" s="375"/>
      <c r="E167" s="375"/>
      <c r="F167" s="376"/>
      <c r="G167" s="375"/>
      <c r="H167" s="380"/>
      <c r="I167" s="377"/>
      <c r="J167" s="377"/>
      <c r="K167" s="375"/>
      <c r="L167" s="376"/>
      <c r="M167" s="376"/>
      <c r="N167" s="378">
        <f>IF(OR(Tabelle1324568910111213141516171619[[#This Row],[Pulled after Start]]="yes",Tabelle1324568910111213141516171619[[#This Row],[Jira Story Points]]="-"),0,MIN(Tabelle1324568910111213141516171619[[#This Row],[Jira Story Points]],Tabelle1324568910111213141516171619[[#This Row],[Carry-over]]))</f>
        <v>0</v>
      </c>
      <c r="O167" s="379">
        <f>SUM(IF(ISBLANK(Tabelle1324568910111213141516171619[[#This Row],[Carry-over]]),Tabelle1324568910111213141516171619[[#This Row],[Jira Story Points]],Tabelle1324568910111213141516171619[[#This Row],[Carry-over]]),-Tabelle1324568910111213141516171619[[#This Row],[COsSP Initially Planned]])</f>
        <v>0</v>
      </c>
      <c r="P16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67" s="379">
        <f>IF(Tabelle1324568910111213141516171619[[#This Row],[Status]]=$J$5,Tabelle1324568910111213141516171619[[#This Row],[COsSP Initially Planned]]+Tabelle1324568910111213141516171619[[#This Row],[COsSP Pulled after Start]]-Tabelle1324568910111213141516171619[[#This Row],[CSOsSP Completed]],0)</f>
        <v>0</v>
      </c>
      <c r="R167" s="379">
        <f>Tabelle1324568910111213141516171619[[#This Row],[COsSP Initially Planned]]+Tabelle1324568910111213141516171619[[#This Row],[COsSP Pulled after Start]]-Tabelle1324568910111213141516171619[[#This Row],[CSOsSP Completed]]-Tabelle1324568910111213141516171619[[#This Row],[CSOsSP Removed]]</f>
        <v>0</v>
      </c>
    </row>
    <row r="168" spans="1:18" ht="13.5" customHeight="1">
      <c r="A168" s="381"/>
      <c r="B168" s="47"/>
      <c r="C168" s="375"/>
      <c r="D168" s="375"/>
      <c r="E168" s="375"/>
      <c r="F168" s="376"/>
      <c r="G168" s="375"/>
      <c r="H168" s="380"/>
      <c r="I168" s="377"/>
      <c r="J168" s="377"/>
      <c r="K168" s="375"/>
      <c r="L168" s="376"/>
      <c r="M168" s="376"/>
      <c r="N168" s="378">
        <f>IF(OR(Tabelle1324568910111213141516171619[[#This Row],[Pulled after Start]]="yes",Tabelle1324568910111213141516171619[[#This Row],[Jira Story Points]]="-"),0,MIN(Tabelle1324568910111213141516171619[[#This Row],[Jira Story Points]],Tabelle1324568910111213141516171619[[#This Row],[Carry-over]]))</f>
        <v>0</v>
      </c>
      <c r="O168" s="379">
        <f>SUM(IF(ISBLANK(Tabelle1324568910111213141516171619[[#This Row],[Carry-over]]),Tabelle1324568910111213141516171619[[#This Row],[Jira Story Points]],Tabelle1324568910111213141516171619[[#This Row],[Carry-over]]),-Tabelle1324568910111213141516171619[[#This Row],[COsSP Initially Planned]])</f>
        <v>0</v>
      </c>
      <c r="P16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68" s="379">
        <f>IF(Tabelle1324568910111213141516171619[[#This Row],[Status]]=$J$5,Tabelle1324568910111213141516171619[[#This Row],[COsSP Initially Planned]]+Tabelle1324568910111213141516171619[[#This Row],[COsSP Pulled after Start]]-Tabelle1324568910111213141516171619[[#This Row],[CSOsSP Completed]],0)</f>
        <v>0</v>
      </c>
      <c r="R168" s="379">
        <f>Tabelle1324568910111213141516171619[[#This Row],[COsSP Initially Planned]]+Tabelle1324568910111213141516171619[[#This Row],[COsSP Pulled after Start]]-Tabelle1324568910111213141516171619[[#This Row],[CSOsSP Completed]]-Tabelle1324568910111213141516171619[[#This Row],[CSOsSP Removed]]</f>
        <v>0</v>
      </c>
    </row>
    <row r="169" spans="1:18" ht="13.5" customHeight="1">
      <c r="A169" s="381"/>
      <c r="B169" s="47"/>
      <c r="C169" s="375"/>
      <c r="D169" s="375"/>
      <c r="E169" s="375"/>
      <c r="F169" s="376"/>
      <c r="G169" s="375"/>
      <c r="H169" s="380"/>
      <c r="I169" s="377"/>
      <c r="J169" s="377"/>
      <c r="K169" s="375"/>
      <c r="L169" s="376"/>
      <c r="M169" s="376"/>
      <c r="N169" s="378">
        <f>IF(OR(Tabelle1324568910111213141516171619[[#This Row],[Pulled after Start]]="yes",Tabelle1324568910111213141516171619[[#This Row],[Jira Story Points]]="-"),0,MIN(Tabelle1324568910111213141516171619[[#This Row],[Jira Story Points]],Tabelle1324568910111213141516171619[[#This Row],[Carry-over]]))</f>
        <v>0</v>
      </c>
      <c r="O169" s="379">
        <f>SUM(IF(ISBLANK(Tabelle1324568910111213141516171619[[#This Row],[Carry-over]]),Tabelle1324568910111213141516171619[[#This Row],[Jira Story Points]],Tabelle1324568910111213141516171619[[#This Row],[Carry-over]]),-Tabelle1324568910111213141516171619[[#This Row],[COsSP Initially Planned]])</f>
        <v>0</v>
      </c>
      <c r="P16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69" s="379">
        <f>IF(Tabelle1324568910111213141516171619[[#This Row],[Status]]=$J$5,Tabelle1324568910111213141516171619[[#This Row],[COsSP Initially Planned]]+Tabelle1324568910111213141516171619[[#This Row],[COsSP Pulled after Start]]-Tabelle1324568910111213141516171619[[#This Row],[CSOsSP Completed]],0)</f>
        <v>0</v>
      </c>
      <c r="R169" s="379">
        <f>Tabelle1324568910111213141516171619[[#This Row],[COsSP Initially Planned]]+Tabelle1324568910111213141516171619[[#This Row],[COsSP Pulled after Start]]-Tabelle1324568910111213141516171619[[#This Row],[CSOsSP Completed]]-Tabelle1324568910111213141516171619[[#This Row],[CSOsSP Removed]]</f>
        <v>0</v>
      </c>
    </row>
    <row r="170" spans="1:18" ht="13.5" customHeight="1">
      <c r="A170" s="381"/>
      <c r="B170" s="47"/>
      <c r="C170" s="375"/>
      <c r="D170" s="375"/>
      <c r="E170" s="375"/>
      <c r="F170" s="376"/>
      <c r="G170" s="375"/>
      <c r="H170" s="380"/>
      <c r="I170" s="377"/>
      <c r="J170" s="377"/>
      <c r="K170" s="375"/>
      <c r="L170" s="376"/>
      <c r="M170" s="376"/>
      <c r="N170" s="378">
        <f>IF(OR(Tabelle1324568910111213141516171619[[#This Row],[Pulled after Start]]="yes",Tabelle1324568910111213141516171619[[#This Row],[Jira Story Points]]="-"),0,MIN(Tabelle1324568910111213141516171619[[#This Row],[Jira Story Points]],Tabelle1324568910111213141516171619[[#This Row],[Carry-over]]))</f>
        <v>0</v>
      </c>
      <c r="O170" s="379">
        <f>SUM(IF(ISBLANK(Tabelle1324568910111213141516171619[[#This Row],[Carry-over]]),Tabelle1324568910111213141516171619[[#This Row],[Jira Story Points]],Tabelle1324568910111213141516171619[[#This Row],[Carry-over]]),-Tabelle1324568910111213141516171619[[#This Row],[COsSP Initially Planned]])</f>
        <v>0</v>
      </c>
      <c r="P17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70" s="379">
        <f>IF(Tabelle1324568910111213141516171619[[#This Row],[Status]]=$J$5,Tabelle1324568910111213141516171619[[#This Row],[COsSP Initially Planned]]+Tabelle1324568910111213141516171619[[#This Row],[COsSP Pulled after Start]]-Tabelle1324568910111213141516171619[[#This Row],[CSOsSP Completed]],0)</f>
        <v>0</v>
      </c>
      <c r="R170" s="379">
        <f>Tabelle1324568910111213141516171619[[#This Row],[COsSP Initially Planned]]+Tabelle1324568910111213141516171619[[#This Row],[COsSP Pulled after Start]]-Tabelle1324568910111213141516171619[[#This Row],[CSOsSP Completed]]-Tabelle1324568910111213141516171619[[#This Row],[CSOsSP Removed]]</f>
        <v>0</v>
      </c>
    </row>
    <row r="171" spans="1:18" ht="13.5" customHeight="1">
      <c r="A171" s="381"/>
      <c r="B171" s="47"/>
      <c r="C171" s="375"/>
      <c r="D171" s="375"/>
      <c r="E171" s="375"/>
      <c r="F171" s="376"/>
      <c r="G171" s="375"/>
      <c r="H171" s="380"/>
      <c r="I171" s="377"/>
      <c r="J171" s="377"/>
      <c r="K171" s="375"/>
      <c r="L171" s="376"/>
      <c r="M171" s="376"/>
      <c r="N171" s="378">
        <f>IF(OR(Tabelle1324568910111213141516171619[[#This Row],[Pulled after Start]]="yes",Tabelle1324568910111213141516171619[[#This Row],[Jira Story Points]]="-"),0,MIN(Tabelle1324568910111213141516171619[[#This Row],[Jira Story Points]],Tabelle1324568910111213141516171619[[#This Row],[Carry-over]]))</f>
        <v>0</v>
      </c>
      <c r="O171" s="379">
        <f>SUM(IF(ISBLANK(Tabelle1324568910111213141516171619[[#This Row],[Carry-over]]),Tabelle1324568910111213141516171619[[#This Row],[Jira Story Points]],Tabelle1324568910111213141516171619[[#This Row],[Carry-over]]),-Tabelle1324568910111213141516171619[[#This Row],[COsSP Initially Planned]])</f>
        <v>0</v>
      </c>
      <c r="P17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71" s="379">
        <f>IF(Tabelle1324568910111213141516171619[[#This Row],[Status]]=$J$5,Tabelle1324568910111213141516171619[[#This Row],[COsSP Initially Planned]]+Tabelle1324568910111213141516171619[[#This Row],[COsSP Pulled after Start]]-Tabelle1324568910111213141516171619[[#This Row],[CSOsSP Completed]],0)</f>
        <v>0</v>
      </c>
      <c r="R171" s="379">
        <f>Tabelle1324568910111213141516171619[[#This Row],[COsSP Initially Planned]]+Tabelle1324568910111213141516171619[[#This Row],[COsSP Pulled after Start]]-Tabelle1324568910111213141516171619[[#This Row],[CSOsSP Completed]]-Tabelle1324568910111213141516171619[[#This Row],[CSOsSP Removed]]</f>
        <v>0</v>
      </c>
    </row>
    <row r="172" spans="1:18" ht="13.5" customHeight="1">
      <c r="A172" s="381"/>
      <c r="B172" s="47"/>
      <c r="C172" s="375"/>
      <c r="D172" s="375"/>
      <c r="E172" s="375"/>
      <c r="F172" s="376"/>
      <c r="G172" s="375"/>
      <c r="H172" s="380"/>
      <c r="I172" s="377"/>
      <c r="J172" s="377"/>
      <c r="K172" s="375"/>
      <c r="L172" s="376"/>
      <c r="M172" s="376"/>
      <c r="N172" s="378">
        <f>IF(OR(Tabelle1324568910111213141516171619[[#This Row],[Pulled after Start]]="yes",Tabelle1324568910111213141516171619[[#This Row],[Jira Story Points]]="-"),0,MIN(Tabelle1324568910111213141516171619[[#This Row],[Jira Story Points]],Tabelle1324568910111213141516171619[[#This Row],[Carry-over]]))</f>
        <v>0</v>
      </c>
      <c r="O172" s="379">
        <f>SUM(IF(ISBLANK(Tabelle1324568910111213141516171619[[#This Row],[Carry-over]]),Tabelle1324568910111213141516171619[[#This Row],[Jira Story Points]],Tabelle1324568910111213141516171619[[#This Row],[Carry-over]]),-Tabelle1324568910111213141516171619[[#This Row],[COsSP Initially Planned]])</f>
        <v>0</v>
      </c>
      <c r="P17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72" s="379">
        <f>IF(Tabelle1324568910111213141516171619[[#This Row],[Status]]=$J$5,Tabelle1324568910111213141516171619[[#This Row],[COsSP Initially Planned]]+Tabelle1324568910111213141516171619[[#This Row],[COsSP Pulled after Start]]-Tabelle1324568910111213141516171619[[#This Row],[CSOsSP Completed]],0)</f>
        <v>0</v>
      </c>
      <c r="R172" s="379">
        <f>Tabelle1324568910111213141516171619[[#This Row],[COsSP Initially Planned]]+Tabelle1324568910111213141516171619[[#This Row],[COsSP Pulled after Start]]-Tabelle1324568910111213141516171619[[#This Row],[CSOsSP Completed]]-Tabelle1324568910111213141516171619[[#This Row],[CSOsSP Removed]]</f>
        <v>0</v>
      </c>
    </row>
    <row r="173" spans="1:18" ht="13.5" customHeight="1">
      <c r="A173" s="381"/>
      <c r="B173" s="47"/>
      <c r="C173" s="375"/>
      <c r="D173" s="375"/>
      <c r="E173" s="375"/>
      <c r="F173" s="376"/>
      <c r="G173" s="375"/>
      <c r="H173" s="380"/>
      <c r="I173" s="377"/>
      <c r="J173" s="377"/>
      <c r="K173" s="375"/>
      <c r="L173" s="376"/>
      <c r="M173" s="376"/>
      <c r="N173" s="378">
        <f>IF(OR(Tabelle1324568910111213141516171619[[#This Row],[Pulled after Start]]="yes",Tabelle1324568910111213141516171619[[#This Row],[Jira Story Points]]="-"),0,MIN(Tabelle1324568910111213141516171619[[#This Row],[Jira Story Points]],Tabelle1324568910111213141516171619[[#This Row],[Carry-over]]))</f>
        <v>0</v>
      </c>
      <c r="O173" s="379">
        <f>SUM(IF(ISBLANK(Tabelle1324568910111213141516171619[[#This Row],[Carry-over]]),Tabelle1324568910111213141516171619[[#This Row],[Jira Story Points]],Tabelle1324568910111213141516171619[[#This Row],[Carry-over]]),-Tabelle1324568910111213141516171619[[#This Row],[COsSP Initially Planned]])</f>
        <v>0</v>
      </c>
      <c r="P17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73" s="379">
        <f>IF(Tabelle1324568910111213141516171619[[#This Row],[Status]]=$J$5,Tabelle1324568910111213141516171619[[#This Row],[COsSP Initially Planned]]+Tabelle1324568910111213141516171619[[#This Row],[COsSP Pulled after Start]]-Tabelle1324568910111213141516171619[[#This Row],[CSOsSP Completed]],0)</f>
        <v>0</v>
      </c>
      <c r="R173" s="379">
        <f>Tabelle1324568910111213141516171619[[#This Row],[COsSP Initially Planned]]+Tabelle1324568910111213141516171619[[#This Row],[COsSP Pulled after Start]]-Tabelle1324568910111213141516171619[[#This Row],[CSOsSP Completed]]-Tabelle1324568910111213141516171619[[#This Row],[CSOsSP Removed]]</f>
        <v>0</v>
      </c>
    </row>
    <row r="174" spans="1:18" ht="13.5" customHeight="1">
      <c r="A174" s="381"/>
      <c r="B174" s="47"/>
      <c r="C174" s="375"/>
      <c r="D174" s="375"/>
      <c r="E174" s="375"/>
      <c r="F174" s="376"/>
      <c r="G174" s="375"/>
      <c r="H174" s="380"/>
      <c r="I174" s="377"/>
      <c r="J174" s="377"/>
      <c r="K174" s="375"/>
      <c r="L174" s="376"/>
      <c r="M174" s="376"/>
      <c r="N174" s="378">
        <f>IF(OR(Tabelle1324568910111213141516171619[[#This Row],[Pulled after Start]]="yes",Tabelle1324568910111213141516171619[[#This Row],[Jira Story Points]]="-"),0,MIN(Tabelle1324568910111213141516171619[[#This Row],[Jira Story Points]],Tabelle1324568910111213141516171619[[#This Row],[Carry-over]]))</f>
        <v>0</v>
      </c>
      <c r="O174" s="379">
        <f>SUM(IF(ISBLANK(Tabelle1324568910111213141516171619[[#This Row],[Carry-over]]),Tabelle1324568910111213141516171619[[#This Row],[Jira Story Points]],Tabelle1324568910111213141516171619[[#This Row],[Carry-over]]),-Tabelle1324568910111213141516171619[[#This Row],[COsSP Initially Planned]])</f>
        <v>0</v>
      </c>
      <c r="P17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74" s="379">
        <f>IF(Tabelle1324568910111213141516171619[[#This Row],[Status]]=$J$5,Tabelle1324568910111213141516171619[[#This Row],[COsSP Initially Planned]]+Tabelle1324568910111213141516171619[[#This Row],[COsSP Pulled after Start]]-Tabelle1324568910111213141516171619[[#This Row],[CSOsSP Completed]],0)</f>
        <v>0</v>
      </c>
      <c r="R174" s="379">
        <f>Tabelle1324568910111213141516171619[[#This Row],[COsSP Initially Planned]]+Tabelle1324568910111213141516171619[[#This Row],[COsSP Pulled after Start]]-Tabelle1324568910111213141516171619[[#This Row],[CSOsSP Completed]]-Tabelle1324568910111213141516171619[[#This Row],[CSOsSP Removed]]</f>
        <v>0</v>
      </c>
    </row>
    <row r="175" spans="1:18" ht="13.5" customHeight="1">
      <c r="A175" s="381"/>
      <c r="B175" s="47"/>
      <c r="C175" s="375"/>
      <c r="D175" s="375"/>
      <c r="E175" s="375"/>
      <c r="F175" s="376"/>
      <c r="G175" s="375"/>
      <c r="H175" s="380"/>
      <c r="I175" s="377"/>
      <c r="J175" s="377"/>
      <c r="K175" s="375"/>
      <c r="L175" s="376"/>
      <c r="M175" s="376"/>
      <c r="N175" s="378">
        <f>IF(OR(Tabelle1324568910111213141516171619[[#This Row],[Pulled after Start]]="yes",Tabelle1324568910111213141516171619[[#This Row],[Jira Story Points]]="-"),0,MIN(Tabelle1324568910111213141516171619[[#This Row],[Jira Story Points]],Tabelle1324568910111213141516171619[[#This Row],[Carry-over]]))</f>
        <v>0</v>
      </c>
      <c r="O175" s="379">
        <f>SUM(IF(ISBLANK(Tabelle1324568910111213141516171619[[#This Row],[Carry-over]]),Tabelle1324568910111213141516171619[[#This Row],[Jira Story Points]],Tabelle1324568910111213141516171619[[#This Row],[Carry-over]]),-Tabelle1324568910111213141516171619[[#This Row],[COsSP Initially Planned]])</f>
        <v>0</v>
      </c>
      <c r="P17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75" s="379">
        <f>IF(Tabelle1324568910111213141516171619[[#This Row],[Status]]=$J$5,Tabelle1324568910111213141516171619[[#This Row],[COsSP Initially Planned]]+Tabelle1324568910111213141516171619[[#This Row],[COsSP Pulled after Start]]-Tabelle1324568910111213141516171619[[#This Row],[CSOsSP Completed]],0)</f>
        <v>0</v>
      </c>
      <c r="R175" s="379">
        <f>Tabelle1324568910111213141516171619[[#This Row],[COsSP Initially Planned]]+Tabelle1324568910111213141516171619[[#This Row],[COsSP Pulled after Start]]-Tabelle1324568910111213141516171619[[#This Row],[CSOsSP Completed]]-Tabelle1324568910111213141516171619[[#This Row],[CSOsSP Removed]]</f>
        <v>0</v>
      </c>
    </row>
    <row r="176" spans="1:18" ht="13.5" customHeight="1">
      <c r="A176" s="381"/>
      <c r="B176" s="47"/>
      <c r="C176" s="375"/>
      <c r="D176" s="375"/>
      <c r="E176" s="375"/>
      <c r="F176" s="376"/>
      <c r="G176" s="375"/>
      <c r="H176" s="380"/>
      <c r="I176" s="377"/>
      <c r="J176" s="377"/>
      <c r="K176" s="375"/>
      <c r="L176" s="376"/>
      <c r="M176" s="376"/>
      <c r="N176" s="378">
        <f>IF(OR(Tabelle1324568910111213141516171619[[#This Row],[Pulled after Start]]="yes",Tabelle1324568910111213141516171619[[#This Row],[Jira Story Points]]="-"),0,MIN(Tabelle1324568910111213141516171619[[#This Row],[Jira Story Points]],Tabelle1324568910111213141516171619[[#This Row],[Carry-over]]))</f>
        <v>0</v>
      </c>
      <c r="O176" s="379">
        <f>SUM(IF(ISBLANK(Tabelle1324568910111213141516171619[[#This Row],[Carry-over]]),Tabelle1324568910111213141516171619[[#This Row],[Jira Story Points]],Tabelle1324568910111213141516171619[[#This Row],[Carry-over]]),-Tabelle1324568910111213141516171619[[#This Row],[COsSP Initially Planned]])</f>
        <v>0</v>
      </c>
      <c r="P17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76" s="379">
        <f>IF(Tabelle1324568910111213141516171619[[#This Row],[Status]]=$J$5,Tabelle1324568910111213141516171619[[#This Row],[COsSP Initially Planned]]+Tabelle1324568910111213141516171619[[#This Row],[COsSP Pulled after Start]]-Tabelle1324568910111213141516171619[[#This Row],[CSOsSP Completed]],0)</f>
        <v>0</v>
      </c>
      <c r="R176" s="379">
        <f>Tabelle1324568910111213141516171619[[#This Row],[COsSP Initially Planned]]+Tabelle1324568910111213141516171619[[#This Row],[COsSP Pulled after Start]]-Tabelle1324568910111213141516171619[[#This Row],[CSOsSP Completed]]-Tabelle1324568910111213141516171619[[#This Row],[CSOsSP Removed]]</f>
        <v>0</v>
      </c>
    </row>
    <row r="177" spans="1:18" ht="13.5" customHeight="1">
      <c r="A177" s="381"/>
      <c r="B177" s="47"/>
      <c r="C177" s="375"/>
      <c r="D177" s="375"/>
      <c r="E177" s="375"/>
      <c r="F177" s="376"/>
      <c r="G177" s="375"/>
      <c r="H177" s="380"/>
      <c r="I177" s="377"/>
      <c r="J177" s="377"/>
      <c r="K177" s="375"/>
      <c r="L177" s="376"/>
      <c r="M177" s="376"/>
      <c r="N177" s="378">
        <f>IF(OR(Tabelle1324568910111213141516171619[[#This Row],[Pulled after Start]]="yes",Tabelle1324568910111213141516171619[[#This Row],[Jira Story Points]]="-"),0,MIN(Tabelle1324568910111213141516171619[[#This Row],[Jira Story Points]],Tabelle1324568910111213141516171619[[#This Row],[Carry-over]]))</f>
        <v>0</v>
      </c>
      <c r="O177" s="379">
        <f>SUM(IF(ISBLANK(Tabelle1324568910111213141516171619[[#This Row],[Carry-over]]),Tabelle1324568910111213141516171619[[#This Row],[Jira Story Points]],Tabelle1324568910111213141516171619[[#This Row],[Carry-over]]),-Tabelle1324568910111213141516171619[[#This Row],[COsSP Initially Planned]])</f>
        <v>0</v>
      </c>
      <c r="P17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77" s="379">
        <f>IF(Tabelle1324568910111213141516171619[[#This Row],[Status]]=$J$5,Tabelle1324568910111213141516171619[[#This Row],[COsSP Initially Planned]]+Tabelle1324568910111213141516171619[[#This Row],[COsSP Pulled after Start]]-Tabelle1324568910111213141516171619[[#This Row],[CSOsSP Completed]],0)</f>
        <v>0</v>
      </c>
      <c r="R177" s="379">
        <f>Tabelle1324568910111213141516171619[[#This Row],[COsSP Initially Planned]]+Tabelle1324568910111213141516171619[[#This Row],[COsSP Pulled after Start]]-Tabelle1324568910111213141516171619[[#This Row],[CSOsSP Completed]]-Tabelle1324568910111213141516171619[[#This Row],[CSOsSP Removed]]</f>
        <v>0</v>
      </c>
    </row>
    <row r="178" spans="1:18" ht="13.5" customHeight="1">
      <c r="A178" s="381"/>
      <c r="B178" s="47"/>
      <c r="C178" s="375"/>
      <c r="D178" s="375"/>
      <c r="E178" s="375"/>
      <c r="F178" s="376"/>
      <c r="G178" s="375"/>
      <c r="H178" s="380"/>
      <c r="I178" s="377"/>
      <c r="J178" s="377"/>
      <c r="K178" s="375"/>
      <c r="L178" s="376"/>
      <c r="M178" s="376"/>
      <c r="N178" s="378">
        <f>IF(OR(Tabelle1324568910111213141516171619[[#This Row],[Pulled after Start]]="yes",Tabelle1324568910111213141516171619[[#This Row],[Jira Story Points]]="-"),0,MIN(Tabelle1324568910111213141516171619[[#This Row],[Jira Story Points]],Tabelle1324568910111213141516171619[[#This Row],[Carry-over]]))</f>
        <v>0</v>
      </c>
      <c r="O178" s="379">
        <f>SUM(IF(ISBLANK(Tabelle1324568910111213141516171619[[#This Row],[Carry-over]]),Tabelle1324568910111213141516171619[[#This Row],[Jira Story Points]],Tabelle1324568910111213141516171619[[#This Row],[Carry-over]]),-Tabelle1324568910111213141516171619[[#This Row],[COsSP Initially Planned]])</f>
        <v>0</v>
      </c>
      <c r="P17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78" s="379">
        <f>IF(Tabelle1324568910111213141516171619[[#This Row],[Status]]=$J$5,Tabelle1324568910111213141516171619[[#This Row],[COsSP Initially Planned]]+Tabelle1324568910111213141516171619[[#This Row],[COsSP Pulled after Start]]-Tabelle1324568910111213141516171619[[#This Row],[CSOsSP Completed]],0)</f>
        <v>0</v>
      </c>
      <c r="R178" s="379">
        <f>Tabelle1324568910111213141516171619[[#This Row],[COsSP Initially Planned]]+Tabelle1324568910111213141516171619[[#This Row],[COsSP Pulled after Start]]-Tabelle1324568910111213141516171619[[#This Row],[CSOsSP Completed]]-Tabelle1324568910111213141516171619[[#This Row],[CSOsSP Removed]]</f>
        <v>0</v>
      </c>
    </row>
    <row r="179" spans="1:18" ht="13.5" customHeight="1">
      <c r="A179" s="381"/>
      <c r="B179" s="47"/>
      <c r="C179" s="375"/>
      <c r="D179" s="375"/>
      <c r="E179" s="375"/>
      <c r="F179" s="376"/>
      <c r="G179" s="375"/>
      <c r="H179" s="380"/>
      <c r="I179" s="377"/>
      <c r="J179" s="377"/>
      <c r="K179" s="375"/>
      <c r="L179" s="376"/>
      <c r="M179" s="376"/>
      <c r="N179" s="378">
        <f>IF(OR(Tabelle1324568910111213141516171619[[#This Row],[Pulled after Start]]="yes",Tabelle1324568910111213141516171619[[#This Row],[Jira Story Points]]="-"),0,MIN(Tabelle1324568910111213141516171619[[#This Row],[Jira Story Points]],Tabelle1324568910111213141516171619[[#This Row],[Carry-over]]))</f>
        <v>0</v>
      </c>
      <c r="O179" s="379">
        <f>SUM(IF(ISBLANK(Tabelle1324568910111213141516171619[[#This Row],[Carry-over]]),Tabelle1324568910111213141516171619[[#This Row],[Jira Story Points]],Tabelle1324568910111213141516171619[[#This Row],[Carry-over]]),-Tabelle1324568910111213141516171619[[#This Row],[COsSP Initially Planned]])</f>
        <v>0</v>
      </c>
      <c r="P17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79" s="379">
        <f>IF(Tabelle1324568910111213141516171619[[#This Row],[Status]]=$J$5,Tabelle1324568910111213141516171619[[#This Row],[COsSP Initially Planned]]+Tabelle1324568910111213141516171619[[#This Row],[COsSP Pulled after Start]]-Tabelle1324568910111213141516171619[[#This Row],[CSOsSP Completed]],0)</f>
        <v>0</v>
      </c>
      <c r="R179" s="379">
        <f>Tabelle1324568910111213141516171619[[#This Row],[COsSP Initially Planned]]+Tabelle1324568910111213141516171619[[#This Row],[COsSP Pulled after Start]]-Tabelle1324568910111213141516171619[[#This Row],[CSOsSP Completed]]-Tabelle1324568910111213141516171619[[#This Row],[CSOsSP Removed]]</f>
        <v>0</v>
      </c>
    </row>
    <row r="180" spans="1:18" ht="13.5" customHeight="1">
      <c r="A180" s="381"/>
      <c r="B180" s="47"/>
      <c r="C180" s="375"/>
      <c r="D180" s="375"/>
      <c r="E180" s="375"/>
      <c r="F180" s="376"/>
      <c r="G180" s="375"/>
      <c r="H180" s="380"/>
      <c r="I180" s="377"/>
      <c r="J180" s="377"/>
      <c r="K180" s="375"/>
      <c r="L180" s="376"/>
      <c r="M180" s="376"/>
      <c r="N180" s="378">
        <f>IF(OR(Tabelle1324568910111213141516171619[[#This Row],[Pulled after Start]]="yes",Tabelle1324568910111213141516171619[[#This Row],[Jira Story Points]]="-"),0,MIN(Tabelle1324568910111213141516171619[[#This Row],[Jira Story Points]],Tabelle1324568910111213141516171619[[#This Row],[Carry-over]]))</f>
        <v>0</v>
      </c>
      <c r="O180" s="379">
        <f>SUM(IF(ISBLANK(Tabelle1324568910111213141516171619[[#This Row],[Carry-over]]),Tabelle1324568910111213141516171619[[#This Row],[Jira Story Points]],Tabelle1324568910111213141516171619[[#This Row],[Carry-over]]),-Tabelle1324568910111213141516171619[[#This Row],[COsSP Initially Planned]])</f>
        <v>0</v>
      </c>
      <c r="P18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80" s="379">
        <f>IF(Tabelle1324568910111213141516171619[[#This Row],[Status]]=$J$5,Tabelle1324568910111213141516171619[[#This Row],[COsSP Initially Planned]]+Tabelle1324568910111213141516171619[[#This Row],[COsSP Pulled after Start]]-Tabelle1324568910111213141516171619[[#This Row],[CSOsSP Completed]],0)</f>
        <v>0</v>
      </c>
      <c r="R180" s="379">
        <f>Tabelle1324568910111213141516171619[[#This Row],[COsSP Initially Planned]]+Tabelle1324568910111213141516171619[[#This Row],[COsSP Pulled after Start]]-Tabelle1324568910111213141516171619[[#This Row],[CSOsSP Completed]]-Tabelle1324568910111213141516171619[[#This Row],[CSOsSP Removed]]</f>
        <v>0</v>
      </c>
    </row>
    <row r="181" spans="1:18" ht="13.5" customHeight="1">
      <c r="A181" s="381"/>
      <c r="B181" s="47"/>
      <c r="C181" s="375"/>
      <c r="D181" s="375"/>
      <c r="E181" s="375"/>
      <c r="F181" s="376"/>
      <c r="G181" s="375"/>
      <c r="H181" s="380"/>
      <c r="I181" s="377"/>
      <c r="J181" s="377"/>
      <c r="K181" s="375"/>
      <c r="L181" s="376"/>
      <c r="M181" s="376"/>
      <c r="N181" s="378">
        <f>IF(OR(Tabelle1324568910111213141516171619[[#This Row],[Pulled after Start]]="yes",Tabelle1324568910111213141516171619[[#This Row],[Jira Story Points]]="-"),0,MIN(Tabelle1324568910111213141516171619[[#This Row],[Jira Story Points]],Tabelle1324568910111213141516171619[[#This Row],[Carry-over]]))</f>
        <v>0</v>
      </c>
      <c r="O181" s="379">
        <f>SUM(IF(ISBLANK(Tabelle1324568910111213141516171619[[#This Row],[Carry-over]]),Tabelle1324568910111213141516171619[[#This Row],[Jira Story Points]],Tabelle1324568910111213141516171619[[#This Row],[Carry-over]]),-Tabelle1324568910111213141516171619[[#This Row],[COsSP Initially Planned]])</f>
        <v>0</v>
      </c>
      <c r="P18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81" s="379">
        <f>IF(Tabelle1324568910111213141516171619[[#This Row],[Status]]=$J$5,Tabelle1324568910111213141516171619[[#This Row],[COsSP Initially Planned]]+Tabelle1324568910111213141516171619[[#This Row],[COsSP Pulled after Start]]-Tabelle1324568910111213141516171619[[#This Row],[CSOsSP Completed]],0)</f>
        <v>0</v>
      </c>
      <c r="R181" s="379">
        <f>Tabelle1324568910111213141516171619[[#This Row],[COsSP Initially Planned]]+Tabelle1324568910111213141516171619[[#This Row],[COsSP Pulled after Start]]-Tabelle1324568910111213141516171619[[#This Row],[CSOsSP Completed]]-Tabelle1324568910111213141516171619[[#This Row],[CSOsSP Removed]]</f>
        <v>0</v>
      </c>
    </row>
    <row r="182" spans="1:18" ht="13.5" customHeight="1">
      <c r="A182" s="381"/>
      <c r="B182" s="47"/>
      <c r="C182" s="375"/>
      <c r="D182" s="375"/>
      <c r="E182" s="375"/>
      <c r="F182" s="376"/>
      <c r="G182" s="375"/>
      <c r="H182" s="380"/>
      <c r="I182" s="377"/>
      <c r="J182" s="377"/>
      <c r="K182" s="375"/>
      <c r="L182" s="376"/>
      <c r="M182" s="376"/>
      <c r="N182" s="378">
        <f>IF(OR(Tabelle1324568910111213141516171619[[#This Row],[Pulled after Start]]="yes",Tabelle1324568910111213141516171619[[#This Row],[Jira Story Points]]="-"),0,MIN(Tabelle1324568910111213141516171619[[#This Row],[Jira Story Points]],Tabelle1324568910111213141516171619[[#This Row],[Carry-over]]))</f>
        <v>0</v>
      </c>
      <c r="O182" s="379">
        <f>SUM(IF(ISBLANK(Tabelle1324568910111213141516171619[[#This Row],[Carry-over]]),Tabelle1324568910111213141516171619[[#This Row],[Jira Story Points]],Tabelle1324568910111213141516171619[[#This Row],[Carry-over]]),-Tabelle1324568910111213141516171619[[#This Row],[COsSP Initially Planned]])</f>
        <v>0</v>
      </c>
      <c r="P18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82" s="379">
        <f>IF(Tabelle1324568910111213141516171619[[#This Row],[Status]]=$J$5,Tabelle1324568910111213141516171619[[#This Row],[COsSP Initially Planned]]+Tabelle1324568910111213141516171619[[#This Row],[COsSP Pulled after Start]]-Tabelle1324568910111213141516171619[[#This Row],[CSOsSP Completed]],0)</f>
        <v>0</v>
      </c>
      <c r="R182" s="379">
        <f>Tabelle1324568910111213141516171619[[#This Row],[COsSP Initially Planned]]+Tabelle1324568910111213141516171619[[#This Row],[COsSP Pulled after Start]]-Tabelle1324568910111213141516171619[[#This Row],[CSOsSP Completed]]-Tabelle1324568910111213141516171619[[#This Row],[CSOsSP Removed]]</f>
        <v>0</v>
      </c>
    </row>
    <row r="183" spans="1:18" ht="13.5" customHeight="1">
      <c r="A183" s="381"/>
      <c r="B183" s="47"/>
      <c r="C183" s="375"/>
      <c r="D183" s="375"/>
      <c r="E183" s="375"/>
      <c r="F183" s="376"/>
      <c r="G183" s="375"/>
      <c r="H183" s="380"/>
      <c r="I183" s="377"/>
      <c r="J183" s="377"/>
      <c r="K183" s="375"/>
      <c r="L183" s="376"/>
      <c r="M183" s="376"/>
      <c r="N183" s="378">
        <f>IF(OR(Tabelle1324568910111213141516171619[[#This Row],[Pulled after Start]]="yes",Tabelle1324568910111213141516171619[[#This Row],[Jira Story Points]]="-"),0,MIN(Tabelle1324568910111213141516171619[[#This Row],[Jira Story Points]],Tabelle1324568910111213141516171619[[#This Row],[Carry-over]]))</f>
        <v>0</v>
      </c>
      <c r="O183" s="379">
        <f>SUM(IF(ISBLANK(Tabelle1324568910111213141516171619[[#This Row],[Carry-over]]),Tabelle1324568910111213141516171619[[#This Row],[Jira Story Points]],Tabelle1324568910111213141516171619[[#This Row],[Carry-over]]),-Tabelle1324568910111213141516171619[[#This Row],[COsSP Initially Planned]])</f>
        <v>0</v>
      </c>
      <c r="P18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83" s="379">
        <f>IF(Tabelle1324568910111213141516171619[[#This Row],[Status]]=$J$5,Tabelle1324568910111213141516171619[[#This Row],[COsSP Initially Planned]]+Tabelle1324568910111213141516171619[[#This Row],[COsSP Pulled after Start]]-Tabelle1324568910111213141516171619[[#This Row],[CSOsSP Completed]],0)</f>
        <v>0</v>
      </c>
      <c r="R183" s="379">
        <f>Tabelle1324568910111213141516171619[[#This Row],[COsSP Initially Planned]]+Tabelle1324568910111213141516171619[[#This Row],[COsSP Pulled after Start]]-Tabelle1324568910111213141516171619[[#This Row],[CSOsSP Completed]]-Tabelle1324568910111213141516171619[[#This Row],[CSOsSP Removed]]</f>
        <v>0</v>
      </c>
    </row>
    <row r="184" spans="1:18" ht="13.5" customHeight="1">
      <c r="A184" s="381"/>
      <c r="B184" s="47"/>
      <c r="C184" s="375"/>
      <c r="D184" s="375"/>
      <c r="E184" s="375"/>
      <c r="F184" s="376"/>
      <c r="G184" s="375"/>
      <c r="H184" s="380"/>
      <c r="I184" s="377"/>
      <c r="J184" s="377"/>
      <c r="K184" s="375"/>
      <c r="L184" s="376"/>
      <c r="M184" s="376"/>
      <c r="N184" s="378">
        <f>IF(OR(Tabelle1324568910111213141516171619[[#This Row],[Pulled after Start]]="yes",Tabelle1324568910111213141516171619[[#This Row],[Jira Story Points]]="-"),0,MIN(Tabelle1324568910111213141516171619[[#This Row],[Jira Story Points]],Tabelle1324568910111213141516171619[[#This Row],[Carry-over]]))</f>
        <v>0</v>
      </c>
      <c r="O184" s="379">
        <f>SUM(IF(ISBLANK(Tabelle1324568910111213141516171619[[#This Row],[Carry-over]]),Tabelle1324568910111213141516171619[[#This Row],[Jira Story Points]],Tabelle1324568910111213141516171619[[#This Row],[Carry-over]]),-Tabelle1324568910111213141516171619[[#This Row],[COsSP Initially Planned]])</f>
        <v>0</v>
      </c>
      <c r="P18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84" s="379">
        <f>IF(Tabelle1324568910111213141516171619[[#This Row],[Status]]=$J$5,Tabelle1324568910111213141516171619[[#This Row],[COsSP Initially Planned]]+Tabelle1324568910111213141516171619[[#This Row],[COsSP Pulled after Start]]-Tabelle1324568910111213141516171619[[#This Row],[CSOsSP Completed]],0)</f>
        <v>0</v>
      </c>
      <c r="R184" s="379">
        <f>Tabelle1324568910111213141516171619[[#This Row],[COsSP Initially Planned]]+Tabelle1324568910111213141516171619[[#This Row],[COsSP Pulled after Start]]-Tabelle1324568910111213141516171619[[#This Row],[CSOsSP Completed]]-Tabelle1324568910111213141516171619[[#This Row],[CSOsSP Removed]]</f>
        <v>0</v>
      </c>
    </row>
    <row r="185" spans="1:18" ht="13.5" customHeight="1">
      <c r="A185" s="381"/>
      <c r="B185" s="47"/>
      <c r="C185" s="375"/>
      <c r="D185" s="375"/>
      <c r="E185" s="375"/>
      <c r="F185" s="376"/>
      <c r="G185" s="375"/>
      <c r="H185" s="380"/>
      <c r="I185" s="377"/>
      <c r="J185" s="377"/>
      <c r="K185" s="375"/>
      <c r="L185" s="376"/>
      <c r="M185" s="376"/>
      <c r="N185" s="378">
        <f>IF(OR(Tabelle1324568910111213141516171619[[#This Row],[Pulled after Start]]="yes",Tabelle1324568910111213141516171619[[#This Row],[Jira Story Points]]="-"),0,MIN(Tabelle1324568910111213141516171619[[#This Row],[Jira Story Points]],Tabelle1324568910111213141516171619[[#This Row],[Carry-over]]))</f>
        <v>0</v>
      </c>
      <c r="O185" s="379">
        <f>SUM(IF(ISBLANK(Tabelle1324568910111213141516171619[[#This Row],[Carry-over]]),Tabelle1324568910111213141516171619[[#This Row],[Jira Story Points]],Tabelle1324568910111213141516171619[[#This Row],[Carry-over]]),-Tabelle1324568910111213141516171619[[#This Row],[COsSP Initially Planned]])</f>
        <v>0</v>
      </c>
      <c r="P18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85" s="379">
        <f>IF(Tabelle1324568910111213141516171619[[#This Row],[Status]]=$J$5,Tabelle1324568910111213141516171619[[#This Row],[COsSP Initially Planned]]+Tabelle1324568910111213141516171619[[#This Row],[COsSP Pulled after Start]]-Tabelle1324568910111213141516171619[[#This Row],[CSOsSP Completed]],0)</f>
        <v>0</v>
      </c>
      <c r="R185" s="379">
        <f>Tabelle1324568910111213141516171619[[#This Row],[COsSP Initially Planned]]+Tabelle1324568910111213141516171619[[#This Row],[COsSP Pulled after Start]]-Tabelle1324568910111213141516171619[[#This Row],[CSOsSP Completed]]-Tabelle1324568910111213141516171619[[#This Row],[CSOsSP Removed]]</f>
        <v>0</v>
      </c>
    </row>
    <row r="186" spans="1:18" ht="13.5" customHeight="1">
      <c r="A186" s="381"/>
      <c r="B186" s="47"/>
      <c r="C186" s="375"/>
      <c r="D186" s="375"/>
      <c r="E186" s="375"/>
      <c r="F186" s="376"/>
      <c r="G186" s="375"/>
      <c r="H186" s="380"/>
      <c r="I186" s="377"/>
      <c r="J186" s="377"/>
      <c r="K186" s="375"/>
      <c r="L186" s="376"/>
      <c r="M186" s="376"/>
      <c r="N186" s="378">
        <f>IF(OR(Tabelle1324568910111213141516171619[[#This Row],[Pulled after Start]]="yes",Tabelle1324568910111213141516171619[[#This Row],[Jira Story Points]]="-"),0,MIN(Tabelle1324568910111213141516171619[[#This Row],[Jira Story Points]],Tabelle1324568910111213141516171619[[#This Row],[Carry-over]]))</f>
        <v>0</v>
      </c>
      <c r="O186" s="379">
        <f>SUM(IF(ISBLANK(Tabelle1324568910111213141516171619[[#This Row],[Carry-over]]),Tabelle1324568910111213141516171619[[#This Row],[Jira Story Points]],Tabelle1324568910111213141516171619[[#This Row],[Carry-over]]),-Tabelle1324568910111213141516171619[[#This Row],[COsSP Initially Planned]])</f>
        <v>0</v>
      </c>
      <c r="P18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86" s="379">
        <f>IF(Tabelle1324568910111213141516171619[[#This Row],[Status]]=$J$5,Tabelle1324568910111213141516171619[[#This Row],[COsSP Initially Planned]]+Tabelle1324568910111213141516171619[[#This Row],[COsSP Pulled after Start]]-Tabelle1324568910111213141516171619[[#This Row],[CSOsSP Completed]],0)</f>
        <v>0</v>
      </c>
      <c r="R186" s="379">
        <f>Tabelle1324568910111213141516171619[[#This Row],[COsSP Initially Planned]]+Tabelle1324568910111213141516171619[[#This Row],[COsSP Pulled after Start]]-Tabelle1324568910111213141516171619[[#This Row],[CSOsSP Completed]]-Tabelle1324568910111213141516171619[[#This Row],[CSOsSP Removed]]</f>
        <v>0</v>
      </c>
    </row>
    <row r="187" spans="1:18" ht="13.5" customHeight="1">
      <c r="A187" s="381"/>
      <c r="B187" s="47"/>
      <c r="C187" s="375"/>
      <c r="D187" s="375"/>
      <c r="E187" s="375"/>
      <c r="F187" s="376"/>
      <c r="G187" s="375"/>
      <c r="H187" s="380"/>
      <c r="I187" s="377"/>
      <c r="J187" s="377"/>
      <c r="K187" s="375"/>
      <c r="L187" s="376"/>
      <c r="M187" s="376"/>
      <c r="N187" s="378">
        <f>IF(OR(Tabelle1324568910111213141516171619[[#This Row],[Pulled after Start]]="yes",Tabelle1324568910111213141516171619[[#This Row],[Jira Story Points]]="-"),0,MIN(Tabelle1324568910111213141516171619[[#This Row],[Jira Story Points]],Tabelle1324568910111213141516171619[[#This Row],[Carry-over]]))</f>
        <v>0</v>
      </c>
      <c r="O187" s="379">
        <f>SUM(IF(ISBLANK(Tabelle1324568910111213141516171619[[#This Row],[Carry-over]]),Tabelle1324568910111213141516171619[[#This Row],[Jira Story Points]],Tabelle1324568910111213141516171619[[#This Row],[Carry-over]]),-Tabelle1324568910111213141516171619[[#This Row],[COsSP Initially Planned]])</f>
        <v>0</v>
      </c>
      <c r="P18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87" s="379">
        <f>IF(Tabelle1324568910111213141516171619[[#This Row],[Status]]=$J$5,Tabelle1324568910111213141516171619[[#This Row],[COsSP Initially Planned]]+Tabelle1324568910111213141516171619[[#This Row],[COsSP Pulled after Start]]-Tabelle1324568910111213141516171619[[#This Row],[CSOsSP Completed]],0)</f>
        <v>0</v>
      </c>
      <c r="R187" s="379">
        <f>Tabelle1324568910111213141516171619[[#This Row],[COsSP Initially Planned]]+Tabelle1324568910111213141516171619[[#This Row],[COsSP Pulled after Start]]-Tabelle1324568910111213141516171619[[#This Row],[CSOsSP Completed]]-Tabelle1324568910111213141516171619[[#This Row],[CSOsSP Removed]]</f>
        <v>0</v>
      </c>
    </row>
    <row r="188" spans="1:18" ht="13.5" customHeight="1">
      <c r="A188" s="381"/>
      <c r="B188" s="47"/>
      <c r="C188" s="375"/>
      <c r="D188" s="375"/>
      <c r="E188" s="375"/>
      <c r="F188" s="376"/>
      <c r="G188" s="375"/>
      <c r="H188" s="380"/>
      <c r="I188" s="377"/>
      <c r="J188" s="377"/>
      <c r="K188" s="375"/>
      <c r="L188" s="376"/>
      <c r="M188" s="376"/>
      <c r="N188" s="378">
        <f>IF(OR(Tabelle1324568910111213141516171619[[#This Row],[Pulled after Start]]="yes",Tabelle1324568910111213141516171619[[#This Row],[Jira Story Points]]="-"),0,MIN(Tabelle1324568910111213141516171619[[#This Row],[Jira Story Points]],Tabelle1324568910111213141516171619[[#This Row],[Carry-over]]))</f>
        <v>0</v>
      </c>
      <c r="O188" s="379">
        <f>SUM(IF(ISBLANK(Tabelle1324568910111213141516171619[[#This Row],[Carry-over]]),Tabelle1324568910111213141516171619[[#This Row],[Jira Story Points]],Tabelle1324568910111213141516171619[[#This Row],[Carry-over]]),-Tabelle1324568910111213141516171619[[#This Row],[COsSP Initially Planned]])</f>
        <v>0</v>
      </c>
      <c r="P18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88" s="379">
        <f>IF(Tabelle1324568910111213141516171619[[#This Row],[Status]]=$J$5,Tabelle1324568910111213141516171619[[#This Row],[COsSP Initially Planned]]+Tabelle1324568910111213141516171619[[#This Row],[COsSP Pulled after Start]]-Tabelle1324568910111213141516171619[[#This Row],[CSOsSP Completed]],0)</f>
        <v>0</v>
      </c>
      <c r="R188" s="379">
        <f>Tabelle1324568910111213141516171619[[#This Row],[COsSP Initially Planned]]+Tabelle1324568910111213141516171619[[#This Row],[COsSP Pulled after Start]]-Tabelle1324568910111213141516171619[[#This Row],[CSOsSP Completed]]-Tabelle1324568910111213141516171619[[#This Row],[CSOsSP Removed]]</f>
        <v>0</v>
      </c>
    </row>
    <row r="189" spans="1:18" ht="13.5" customHeight="1">
      <c r="A189" s="381"/>
      <c r="B189" s="47"/>
      <c r="C189" s="375"/>
      <c r="D189" s="375"/>
      <c r="E189" s="375"/>
      <c r="F189" s="376"/>
      <c r="G189" s="375"/>
      <c r="H189" s="380"/>
      <c r="I189" s="377"/>
      <c r="J189" s="377"/>
      <c r="K189" s="375"/>
      <c r="L189" s="376"/>
      <c r="M189" s="376"/>
      <c r="N189" s="378">
        <f>IF(OR(Tabelle1324568910111213141516171619[[#This Row],[Pulled after Start]]="yes",Tabelle1324568910111213141516171619[[#This Row],[Jira Story Points]]="-"),0,MIN(Tabelle1324568910111213141516171619[[#This Row],[Jira Story Points]],Tabelle1324568910111213141516171619[[#This Row],[Carry-over]]))</f>
        <v>0</v>
      </c>
      <c r="O189" s="379">
        <f>SUM(IF(ISBLANK(Tabelle1324568910111213141516171619[[#This Row],[Carry-over]]),Tabelle1324568910111213141516171619[[#This Row],[Jira Story Points]],Tabelle1324568910111213141516171619[[#This Row],[Carry-over]]),-Tabelle1324568910111213141516171619[[#This Row],[COsSP Initially Planned]])</f>
        <v>0</v>
      </c>
      <c r="P18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89" s="379">
        <f>IF(Tabelle1324568910111213141516171619[[#This Row],[Status]]=$J$5,Tabelle1324568910111213141516171619[[#This Row],[COsSP Initially Planned]]+Tabelle1324568910111213141516171619[[#This Row],[COsSP Pulled after Start]]-Tabelle1324568910111213141516171619[[#This Row],[CSOsSP Completed]],0)</f>
        <v>0</v>
      </c>
      <c r="R189" s="379">
        <f>Tabelle1324568910111213141516171619[[#This Row],[COsSP Initially Planned]]+Tabelle1324568910111213141516171619[[#This Row],[COsSP Pulled after Start]]-Tabelle1324568910111213141516171619[[#This Row],[CSOsSP Completed]]-Tabelle1324568910111213141516171619[[#This Row],[CSOsSP Removed]]</f>
        <v>0</v>
      </c>
    </row>
    <row r="190" spans="1:18" ht="13.5" customHeight="1">
      <c r="A190" s="381"/>
      <c r="B190" s="47"/>
      <c r="C190" s="375"/>
      <c r="D190" s="375"/>
      <c r="E190" s="375"/>
      <c r="F190" s="376"/>
      <c r="G190" s="375"/>
      <c r="H190" s="380"/>
      <c r="I190" s="377"/>
      <c r="J190" s="377"/>
      <c r="K190" s="375"/>
      <c r="L190" s="376"/>
      <c r="M190" s="376"/>
      <c r="N190" s="378">
        <f>IF(OR(Tabelle1324568910111213141516171619[[#This Row],[Pulled after Start]]="yes",Tabelle1324568910111213141516171619[[#This Row],[Jira Story Points]]="-"),0,MIN(Tabelle1324568910111213141516171619[[#This Row],[Jira Story Points]],Tabelle1324568910111213141516171619[[#This Row],[Carry-over]]))</f>
        <v>0</v>
      </c>
      <c r="O190" s="379">
        <f>SUM(IF(ISBLANK(Tabelle1324568910111213141516171619[[#This Row],[Carry-over]]),Tabelle1324568910111213141516171619[[#This Row],[Jira Story Points]],Tabelle1324568910111213141516171619[[#This Row],[Carry-over]]),-Tabelle1324568910111213141516171619[[#This Row],[COsSP Initially Planned]])</f>
        <v>0</v>
      </c>
      <c r="P19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90" s="379">
        <f>IF(Tabelle1324568910111213141516171619[[#This Row],[Status]]=$J$5,Tabelle1324568910111213141516171619[[#This Row],[COsSP Initially Planned]]+Tabelle1324568910111213141516171619[[#This Row],[COsSP Pulled after Start]]-Tabelle1324568910111213141516171619[[#This Row],[CSOsSP Completed]],0)</f>
        <v>0</v>
      </c>
      <c r="R190" s="379">
        <f>Tabelle1324568910111213141516171619[[#This Row],[COsSP Initially Planned]]+Tabelle1324568910111213141516171619[[#This Row],[COsSP Pulled after Start]]-Tabelle1324568910111213141516171619[[#This Row],[CSOsSP Completed]]-Tabelle1324568910111213141516171619[[#This Row],[CSOsSP Removed]]</f>
        <v>0</v>
      </c>
    </row>
    <row r="191" spans="1:18" ht="13.5" customHeight="1">
      <c r="A191" s="381"/>
      <c r="B191" s="47"/>
      <c r="C191" s="375"/>
      <c r="D191" s="375"/>
      <c r="E191" s="375"/>
      <c r="F191" s="376"/>
      <c r="G191" s="375"/>
      <c r="H191" s="380"/>
      <c r="I191" s="377"/>
      <c r="J191" s="377"/>
      <c r="K191" s="375"/>
      <c r="L191" s="376"/>
      <c r="M191" s="376"/>
      <c r="N191" s="378">
        <f>IF(OR(Tabelle1324568910111213141516171619[[#This Row],[Pulled after Start]]="yes",Tabelle1324568910111213141516171619[[#This Row],[Jira Story Points]]="-"),0,MIN(Tabelle1324568910111213141516171619[[#This Row],[Jira Story Points]],Tabelle1324568910111213141516171619[[#This Row],[Carry-over]]))</f>
        <v>0</v>
      </c>
      <c r="O191" s="379">
        <f>SUM(IF(ISBLANK(Tabelle1324568910111213141516171619[[#This Row],[Carry-over]]),Tabelle1324568910111213141516171619[[#This Row],[Jira Story Points]],Tabelle1324568910111213141516171619[[#This Row],[Carry-over]]),-Tabelle1324568910111213141516171619[[#This Row],[COsSP Initially Planned]])</f>
        <v>0</v>
      </c>
      <c r="P19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91" s="379">
        <f>IF(Tabelle1324568910111213141516171619[[#This Row],[Status]]=$J$5,Tabelle1324568910111213141516171619[[#This Row],[COsSP Initially Planned]]+Tabelle1324568910111213141516171619[[#This Row],[COsSP Pulled after Start]]-Tabelle1324568910111213141516171619[[#This Row],[CSOsSP Completed]],0)</f>
        <v>0</v>
      </c>
      <c r="R191" s="379">
        <f>Tabelle1324568910111213141516171619[[#This Row],[COsSP Initially Planned]]+Tabelle1324568910111213141516171619[[#This Row],[COsSP Pulled after Start]]-Tabelle1324568910111213141516171619[[#This Row],[CSOsSP Completed]]-Tabelle1324568910111213141516171619[[#This Row],[CSOsSP Removed]]</f>
        <v>0</v>
      </c>
    </row>
    <row r="192" spans="1:18" ht="13.5" customHeight="1">
      <c r="A192" s="381"/>
      <c r="B192" s="47"/>
      <c r="C192" s="375"/>
      <c r="D192" s="375"/>
      <c r="E192" s="375"/>
      <c r="F192" s="376"/>
      <c r="G192" s="375"/>
      <c r="H192" s="380"/>
      <c r="I192" s="377"/>
      <c r="J192" s="377"/>
      <c r="K192" s="375"/>
      <c r="L192" s="376"/>
      <c r="M192" s="376"/>
      <c r="N192" s="378">
        <f>IF(OR(Tabelle1324568910111213141516171619[[#This Row],[Pulled after Start]]="yes",Tabelle1324568910111213141516171619[[#This Row],[Jira Story Points]]="-"),0,MIN(Tabelle1324568910111213141516171619[[#This Row],[Jira Story Points]],Tabelle1324568910111213141516171619[[#This Row],[Carry-over]]))</f>
        <v>0</v>
      </c>
      <c r="O192" s="379">
        <f>SUM(IF(ISBLANK(Tabelle1324568910111213141516171619[[#This Row],[Carry-over]]),Tabelle1324568910111213141516171619[[#This Row],[Jira Story Points]],Tabelle1324568910111213141516171619[[#This Row],[Carry-over]]),-Tabelle1324568910111213141516171619[[#This Row],[COsSP Initially Planned]])</f>
        <v>0</v>
      </c>
      <c r="P19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92" s="379">
        <f>IF(Tabelle1324568910111213141516171619[[#This Row],[Status]]=$J$5,Tabelle1324568910111213141516171619[[#This Row],[COsSP Initially Planned]]+Tabelle1324568910111213141516171619[[#This Row],[COsSP Pulled after Start]]-Tabelle1324568910111213141516171619[[#This Row],[CSOsSP Completed]],0)</f>
        <v>0</v>
      </c>
      <c r="R192" s="379">
        <f>Tabelle1324568910111213141516171619[[#This Row],[COsSP Initially Planned]]+Tabelle1324568910111213141516171619[[#This Row],[COsSP Pulled after Start]]-Tabelle1324568910111213141516171619[[#This Row],[CSOsSP Completed]]-Tabelle1324568910111213141516171619[[#This Row],[CSOsSP Removed]]</f>
        <v>0</v>
      </c>
    </row>
    <row r="193" spans="1:18" ht="13.5" customHeight="1">
      <c r="A193" s="381"/>
      <c r="B193" s="47"/>
      <c r="C193" s="375"/>
      <c r="D193" s="375"/>
      <c r="E193" s="375"/>
      <c r="F193" s="376"/>
      <c r="G193" s="375"/>
      <c r="H193" s="380"/>
      <c r="I193" s="377"/>
      <c r="J193" s="377"/>
      <c r="K193" s="375"/>
      <c r="L193" s="376"/>
      <c r="M193" s="376"/>
      <c r="N193" s="378">
        <f>IF(OR(Tabelle1324568910111213141516171619[[#This Row],[Pulled after Start]]="yes",Tabelle1324568910111213141516171619[[#This Row],[Jira Story Points]]="-"),0,MIN(Tabelle1324568910111213141516171619[[#This Row],[Jira Story Points]],Tabelle1324568910111213141516171619[[#This Row],[Carry-over]]))</f>
        <v>0</v>
      </c>
      <c r="O193" s="379">
        <f>SUM(IF(ISBLANK(Tabelle1324568910111213141516171619[[#This Row],[Carry-over]]),Tabelle1324568910111213141516171619[[#This Row],[Jira Story Points]],Tabelle1324568910111213141516171619[[#This Row],[Carry-over]]),-Tabelle1324568910111213141516171619[[#This Row],[COsSP Initially Planned]])</f>
        <v>0</v>
      </c>
      <c r="P19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93" s="379">
        <f>IF(Tabelle1324568910111213141516171619[[#This Row],[Status]]=$J$5,Tabelle1324568910111213141516171619[[#This Row],[COsSP Initially Planned]]+Tabelle1324568910111213141516171619[[#This Row],[COsSP Pulled after Start]]-Tabelle1324568910111213141516171619[[#This Row],[CSOsSP Completed]],0)</f>
        <v>0</v>
      </c>
      <c r="R193" s="379">
        <f>Tabelle1324568910111213141516171619[[#This Row],[COsSP Initially Planned]]+Tabelle1324568910111213141516171619[[#This Row],[COsSP Pulled after Start]]-Tabelle1324568910111213141516171619[[#This Row],[CSOsSP Completed]]-Tabelle1324568910111213141516171619[[#This Row],[CSOsSP Removed]]</f>
        <v>0</v>
      </c>
    </row>
    <row r="194" spans="1:18" ht="13.5" customHeight="1">
      <c r="A194" s="381"/>
      <c r="B194" s="47"/>
      <c r="C194" s="375"/>
      <c r="D194" s="375"/>
      <c r="E194" s="375"/>
      <c r="F194" s="376"/>
      <c r="G194" s="375"/>
      <c r="H194" s="380"/>
      <c r="I194" s="377"/>
      <c r="J194" s="377"/>
      <c r="K194" s="375"/>
      <c r="L194" s="376"/>
      <c r="M194" s="376"/>
      <c r="N194" s="378">
        <f>IF(OR(Tabelle1324568910111213141516171619[[#This Row],[Pulled after Start]]="yes",Tabelle1324568910111213141516171619[[#This Row],[Jira Story Points]]="-"),0,MIN(Tabelle1324568910111213141516171619[[#This Row],[Jira Story Points]],Tabelle1324568910111213141516171619[[#This Row],[Carry-over]]))</f>
        <v>0</v>
      </c>
      <c r="O194" s="379">
        <f>SUM(IF(ISBLANK(Tabelle1324568910111213141516171619[[#This Row],[Carry-over]]),Tabelle1324568910111213141516171619[[#This Row],[Jira Story Points]],Tabelle1324568910111213141516171619[[#This Row],[Carry-over]]),-Tabelle1324568910111213141516171619[[#This Row],[COsSP Initially Planned]])</f>
        <v>0</v>
      </c>
      <c r="P19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94" s="379">
        <f>IF(Tabelle1324568910111213141516171619[[#This Row],[Status]]=$J$5,Tabelle1324568910111213141516171619[[#This Row],[COsSP Initially Planned]]+Tabelle1324568910111213141516171619[[#This Row],[COsSP Pulled after Start]]-Tabelle1324568910111213141516171619[[#This Row],[CSOsSP Completed]],0)</f>
        <v>0</v>
      </c>
      <c r="R194" s="379">
        <f>Tabelle1324568910111213141516171619[[#This Row],[COsSP Initially Planned]]+Tabelle1324568910111213141516171619[[#This Row],[COsSP Pulled after Start]]-Tabelle1324568910111213141516171619[[#This Row],[CSOsSP Completed]]-Tabelle1324568910111213141516171619[[#This Row],[CSOsSP Removed]]</f>
        <v>0</v>
      </c>
    </row>
    <row r="195" spans="1:18" ht="13.5" customHeight="1">
      <c r="A195" s="381"/>
      <c r="B195" s="47"/>
      <c r="C195" s="375"/>
      <c r="D195" s="375"/>
      <c r="E195" s="375"/>
      <c r="F195" s="376"/>
      <c r="G195" s="375"/>
      <c r="H195" s="380"/>
      <c r="I195" s="377"/>
      <c r="J195" s="377"/>
      <c r="K195" s="375"/>
      <c r="L195" s="376"/>
      <c r="M195" s="376"/>
      <c r="N195" s="378">
        <f>IF(OR(Tabelle1324568910111213141516171619[[#This Row],[Pulled after Start]]="yes",Tabelle1324568910111213141516171619[[#This Row],[Jira Story Points]]="-"),0,MIN(Tabelle1324568910111213141516171619[[#This Row],[Jira Story Points]],Tabelle1324568910111213141516171619[[#This Row],[Carry-over]]))</f>
        <v>0</v>
      </c>
      <c r="O195" s="379">
        <f>SUM(IF(ISBLANK(Tabelle1324568910111213141516171619[[#This Row],[Carry-over]]),Tabelle1324568910111213141516171619[[#This Row],[Jira Story Points]],Tabelle1324568910111213141516171619[[#This Row],[Carry-over]]),-Tabelle1324568910111213141516171619[[#This Row],[COsSP Initially Planned]])</f>
        <v>0</v>
      </c>
      <c r="P19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95" s="379">
        <f>IF(Tabelle1324568910111213141516171619[[#This Row],[Status]]=$J$5,Tabelle1324568910111213141516171619[[#This Row],[COsSP Initially Planned]]+Tabelle1324568910111213141516171619[[#This Row],[COsSP Pulled after Start]]-Tabelle1324568910111213141516171619[[#This Row],[CSOsSP Completed]],0)</f>
        <v>0</v>
      </c>
      <c r="R195" s="379">
        <f>Tabelle1324568910111213141516171619[[#This Row],[COsSP Initially Planned]]+Tabelle1324568910111213141516171619[[#This Row],[COsSP Pulled after Start]]-Tabelle1324568910111213141516171619[[#This Row],[CSOsSP Completed]]-Tabelle1324568910111213141516171619[[#This Row],[CSOsSP Removed]]</f>
        <v>0</v>
      </c>
    </row>
    <row r="196" spans="1:18" ht="13.5" customHeight="1">
      <c r="A196" s="381"/>
      <c r="B196" s="47"/>
      <c r="C196" s="375"/>
      <c r="D196" s="375"/>
      <c r="E196" s="375"/>
      <c r="F196" s="376"/>
      <c r="G196" s="375"/>
      <c r="H196" s="380"/>
      <c r="I196" s="377"/>
      <c r="J196" s="377"/>
      <c r="K196" s="375"/>
      <c r="L196" s="376"/>
      <c r="M196" s="376"/>
      <c r="N196" s="378">
        <f>IF(OR(Tabelle1324568910111213141516171619[[#This Row],[Pulled after Start]]="yes",Tabelle1324568910111213141516171619[[#This Row],[Jira Story Points]]="-"),0,MIN(Tabelle1324568910111213141516171619[[#This Row],[Jira Story Points]],Tabelle1324568910111213141516171619[[#This Row],[Carry-over]]))</f>
        <v>0</v>
      </c>
      <c r="O196" s="379">
        <f>SUM(IF(ISBLANK(Tabelle1324568910111213141516171619[[#This Row],[Carry-over]]),Tabelle1324568910111213141516171619[[#This Row],[Jira Story Points]],Tabelle1324568910111213141516171619[[#This Row],[Carry-over]]),-Tabelle1324568910111213141516171619[[#This Row],[COsSP Initially Planned]])</f>
        <v>0</v>
      </c>
      <c r="P19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96" s="379">
        <f>IF(Tabelle1324568910111213141516171619[[#This Row],[Status]]=$J$5,Tabelle1324568910111213141516171619[[#This Row],[COsSP Initially Planned]]+Tabelle1324568910111213141516171619[[#This Row],[COsSP Pulled after Start]]-Tabelle1324568910111213141516171619[[#This Row],[CSOsSP Completed]],0)</f>
        <v>0</v>
      </c>
      <c r="R196" s="379">
        <f>Tabelle1324568910111213141516171619[[#This Row],[COsSP Initially Planned]]+Tabelle1324568910111213141516171619[[#This Row],[COsSP Pulled after Start]]-Tabelle1324568910111213141516171619[[#This Row],[CSOsSP Completed]]-Tabelle1324568910111213141516171619[[#This Row],[CSOsSP Removed]]</f>
        <v>0</v>
      </c>
    </row>
    <row r="197" spans="1:18" ht="13.5" customHeight="1">
      <c r="A197" s="381"/>
      <c r="B197" s="47"/>
      <c r="C197" s="375"/>
      <c r="D197" s="375"/>
      <c r="E197" s="375"/>
      <c r="F197" s="376"/>
      <c r="G197" s="375"/>
      <c r="H197" s="380"/>
      <c r="I197" s="377"/>
      <c r="J197" s="377"/>
      <c r="K197" s="375"/>
      <c r="L197" s="376"/>
      <c r="M197" s="376"/>
      <c r="N197" s="378">
        <f>IF(OR(Tabelle1324568910111213141516171619[[#This Row],[Pulled after Start]]="yes",Tabelle1324568910111213141516171619[[#This Row],[Jira Story Points]]="-"),0,MIN(Tabelle1324568910111213141516171619[[#This Row],[Jira Story Points]],Tabelle1324568910111213141516171619[[#This Row],[Carry-over]]))</f>
        <v>0</v>
      </c>
      <c r="O197" s="379">
        <f>SUM(IF(ISBLANK(Tabelle1324568910111213141516171619[[#This Row],[Carry-over]]),Tabelle1324568910111213141516171619[[#This Row],[Jira Story Points]],Tabelle1324568910111213141516171619[[#This Row],[Carry-over]]),-Tabelle1324568910111213141516171619[[#This Row],[COsSP Initially Planned]])</f>
        <v>0</v>
      </c>
      <c r="P19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97" s="379">
        <f>IF(Tabelle1324568910111213141516171619[[#This Row],[Status]]=$J$5,Tabelle1324568910111213141516171619[[#This Row],[COsSP Initially Planned]]+Tabelle1324568910111213141516171619[[#This Row],[COsSP Pulled after Start]]-Tabelle1324568910111213141516171619[[#This Row],[CSOsSP Completed]],0)</f>
        <v>0</v>
      </c>
      <c r="R197" s="379">
        <f>Tabelle1324568910111213141516171619[[#This Row],[COsSP Initially Planned]]+Tabelle1324568910111213141516171619[[#This Row],[COsSP Pulled after Start]]-Tabelle1324568910111213141516171619[[#This Row],[CSOsSP Completed]]-Tabelle1324568910111213141516171619[[#This Row],[CSOsSP Removed]]</f>
        <v>0</v>
      </c>
    </row>
    <row r="198" spans="1:18" ht="13.5" customHeight="1">
      <c r="A198" s="381"/>
      <c r="B198" s="47"/>
      <c r="C198" s="375"/>
      <c r="D198" s="375"/>
      <c r="E198" s="375"/>
      <c r="F198" s="376"/>
      <c r="G198" s="375"/>
      <c r="H198" s="380"/>
      <c r="I198" s="377"/>
      <c r="J198" s="377"/>
      <c r="K198" s="375"/>
      <c r="L198" s="376"/>
      <c r="M198" s="376"/>
      <c r="N198" s="378">
        <f>IF(OR(Tabelle1324568910111213141516171619[[#This Row],[Pulled after Start]]="yes",Tabelle1324568910111213141516171619[[#This Row],[Jira Story Points]]="-"),0,MIN(Tabelle1324568910111213141516171619[[#This Row],[Jira Story Points]],Tabelle1324568910111213141516171619[[#This Row],[Carry-over]]))</f>
        <v>0</v>
      </c>
      <c r="O198" s="379">
        <f>SUM(IF(ISBLANK(Tabelle1324568910111213141516171619[[#This Row],[Carry-over]]),Tabelle1324568910111213141516171619[[#This Row],[Jira Story Points]],Tabelle1324568910111213141516171619[[#This Row],[Carry-over]]),-Tabelle1324568910111213141516171619[[#This Row],[COsSP Initially Planned]])</f>
        <v>0</v>
      </c>
      <c r="P19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98" s="379">
        <f>IF(Tabelle1324568910111213141516171619[[#This Row],[Status]]=$J$5,Tabelle1324568910111213141516171619[[#This Row],[COsSP Initially Planned]]+Tabelle1324568910111213141516171619[[#This Row],[COsSP Pulled after Start]]-Tabelle1324568910111213141516171619[[#This Row],[CSOsSP Completed]],0)</f>
        <v>0</v>
      </c>
      <c r="R198" s="379">
        <f>Tabelle1324568910111213141516171619[[#This Row],[COsSP Initially Planned]]+Tabelle1324568910111213141516171619[[#This Row],[COsSP Pulled after Start]]-Tabelle1324568910111213141516171619[[#This Row],[CSOsSP Completed]]-Tabelle1324568910111213141516171619[[#This Row],[CSOsSP Removed]]</f>
        <v>0</v>
      </c>
    </row>
    <row r="199" spans="1:18" ht="13.5" customHeight="1">
      <c r="A199" s="381"/>
      <c r="B199" s="47"/>
      <c r="C199" s="375"/>
      <c r="D199" s="375"/>
      <c r="E199" s="375"/>
      <c r="F199" s="376"/>
      <c r="G199" s="375"/>
      <c r="H199" s="380"/>
      <c r="I199" s="377"/>
      <c r="J199" s="377"/>
      <c r="K199" s="375"/>
      <c r="L199" s="376"/>
      <c r="M199" s="376"/>
      <c r="N199" s="378">
        <f>IF(OR(Tabelle1324568910111213141516171619[[#This Row],[Pulled after Start]]="yes",Tabelle1324568910111213141516171619[[#This Row],[Jira Story Points]]="-"),0,MIN(Tabelle1324568910111213141516171619[[#This Row],[Jira Story Points]],Tabelle1324568910111213141516171619[[#This Row],[Carry-over]]))</f>
        <v>0</v>
      </c>
      <c r="O199" s="379">
        <f>SUM(IF(ISBLANK(Tabelle1324568910111213141516171619[[#This Row],[Carry-over]]),Tabelle1324568910111213141516171619[[#This Row],[Jira Story Points]],Tabelle1324568910111213141516171619[[#This Row],[Carry-over]]),-Tabelle1324568910111213141516171619[[#This Row],[COsSP Initially Planned]])</f>
        <v>0</v>
      </c>
      <c r="P19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199" s="379">
        <f>IF(Tabelle1324568910111213141516171619[[#This Row],[Status]]=$J$5,Tabelle1324568910111213141516171619[[#This Row],[COsSP Initially Planned]]+Tabelle1324568910111213141516171619[[#This Row],[COsSP Pulled after Start]]-Tabelle1324568910111213141516171619[[#This Row],[CSOsSP Completed]],0)</f>
        <v>0</v>
      </c>
      <c r="R199" s="379">
        <f>Tabelle1324568910111213141516171619[[#This Row],[COsSP Initially Planned]]+Tabelle1324568910111213141516171619[[#This Row],[COsSP Pulled after Start]]-Tabelle1324568910111213141516171619[[#This Row],[CSOsSP Completed]]-Tabelle1324568910111213141516171619[[#This Row],[CSOsSP Removed]]</f>
        <v>0</v>
      </c>
    </row>
    <row r="200" spans="1:18" ht="13.5" customHeight="1">
      <c r="A200" s="383"/>
      <c r="B200" s="47"/>
      <c r="C200" s="203"/>
      <c r="D200" s="203"/>
      <c r="E200" s="203"/>
      <c r="F200" s="204"/>
      <c r="G200" s="203"/>
      <c r="H200" s="205"/>
      <c r="I200" s="206"/>
      <c r="J200" s="206"/>
      <c r="K200" s="203"/>
      <c r="L200" s="204"/>
      <c r="M200" s="204"/>
      <c r="N200" s="378">
        <f>IF(OR(Tabelle1324568910111213141516171619[[#This Row],[Pulled after Start]]="yes",Tabelle1324568910111213141516171619[[#This Row],[Jira Story Points]]="-"),0,MIN(Tabelle1324568910111213141516171619[[#This Row],[Jira Story Points]],Tabelle1324568910111213141516171619[[#This Row],[Carry-over]]))</f>
        <v>0</v>
      </c>
      <c r="O200" s="379">
        <f>SUM(IF(ISBLANK(Tabelle1324568910111213141516171619[[#This Row],[Carry-over]]),Tabelle1324568910111213141516171619[[#This Row],[Jira Story Points]],Tabelle1324568910111213141516171619[[#This Row],[Carry-over]]),-Tabelle1324568910111213141516171619[[#This Row],[COsSP Initially Planned]])</f>
        <v>0</v>
      </c>
      <c r="P20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00" s="379">
        <f>IF(Tabelle1324568910111213141516171619[[#This Row],[Status]]=$J$5,Tabelle1324568910111213141516171619[[#This Row],[COsSP Initially Planned]]+Tabelle1324568910111213141516171619[[#This Row],[COsSP Pulled after Start]]-Tabelle1324568910111213141516171619[[#This Row],[CSOsSP Completed]],0)</f>
        <v>0</v>
      </c>
      <c r="R200" s="379">
        <f>Tabelle1324568910111213141516171619[[#This Row],[COsSP Initially Planned]]+Tabelle1324568910111213141516171619[[#This Row],[COsSP Pulled after Start]]-Tabelle1324568910111213141516171619[[#This Row],[CSOsSP Completed]]-Tabelle1324568910111213141516171619[[#This Row],[CSOsSP Removed]]</f>
        <v>0</v>
      </c>
    </row>
    <row r="201" spans="1:18" ht="13.5" customHeight="1">
      <c r="A201" s="383"/>
      <c r="B201" s="47"/>
      <c r="C201" s="203"/>
      <c r="D201" s="203"/>
      <c r="E201" s="203"/>
      <c r="F201" s="204"/>
      <c r="G201" s="203"/>
      <c r="H201" s="205"/>
      <c r="I201" s="206"/>
      <c r="J201" s="206"/>
      <c r="K201" s="203"/>
      <c r="L201" s="204"/>
      <c r="M201" s="204"/>
      <c r="N201" s="378">
        <f>IF(OR(Tabelle1324568910111213141516171619[[#This Row],[Pulled after Start]]="yes",Tabelle1324568910111213141516171619[[#This Row],[Jira Story Points]]="-"),0,MIN(Tabelle1324568910111213141516171619[[#This Row],[Jira Story Points]],Tabelle1324568910111213141516171619[[#This Row],[Carry-over]]))</f>
        <v>0</v>
      </c>
      <c r="O201" s="379">
        <f>SUM(IF(ISBLANK(Tabelle1324568910111213141516171619[[#This Row],[Carry-over]]),Tabelle1324568910111213141516171619[[#This Row],[Jira Story Points]],Tabelle1324568910111213141516171619[[#This Row],[Carry-over]]),-Tabelle1324568910111213141516171619[[#This Row],[COsSP Initially Planned]])</f>
        <v>0</v>
      </c>
      <c r="P20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01" s="379">
        <f>IF(Tabelle1324568910111213141516171619[[#This Row],[Status]]=$J$5,Tabelle1324568910111213141516171619[[#This Row],[COsSP Initially Planned]]+Tabelle1324568910111213141516171619[[#This Row],[COsSP Pulled after Start]]-Tabelle1324568910111213141516171619[[#This Row],[CSOsSP Completed]],0)</f>
        <v>0</v>
      </c>
      <c r="R201" s="379">
        <f>Tabelle1324568910111213141516171619[[#This Row],[COsSP Initially Planned]]+Tabelle1324568910111213141516171619[[#This Row],[COsSP Pulled after Start]]-Tabelle1324568910111213141516171619[[#This Row],[CSOsSP Completed]]-Tabelle1324568910111213141516171619[[#This Row],[CSOsSP Removed]]</f>
        <v>0</v>
      </c>
    </row>
    <row r="202" spans="1:18" ht="13.5" customHeight="1">
      <c r="A202" s="383"/>
      <c r="B202" s="47"/>
      <c r="C202" s="203"/>
      <c r="D202" s="203"/>
      <c r="E202" s="203"/>
      <c r="F202" s="204"/>
      <c r="G202" s="203"/>
      <c r="H202" s="205"/>
      <c r="I202" s="206"/>
      <c r="J202" s="206"/>
      <c r="K202" s="203"/>
      <c r="L202" s="204"/>
      <c r="M202" s="204"/>
      <c r="N202" s="378">
        <f>IF(OR(Tabelle1324568910111213141516171619[[#This Row],[Pulled after Start]]="yes",Tabelle1324568910111213141516171619[[#This Row],[Jira Story Points]]="-"),0,MIN(Tabelle1324568910111213141516171619[[#This Row],[Jira Story Points]],Tabelle1324568910111213141516171619[[#This Row],[Carry-over]]))</f>
        <v>0</v>
      </c>
      <c r="O202" s="379">
        <f>SUM(IF(ISBLANK(Tabelle1324568910111213141516171619[[#This Row],[Carry-over]]),Tabelle1324568910111213141516171619[[#This Row],[Jira Story Points]],Tabelle1324568910111213141516171619[[#This Row],[Carry-over]]),-Tabelle1324568910111213141516171619[[#This Row],[COsSP Initially Planned]])</f>
        <v>0</v>
      </c>
      <c r="P20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02" s="379">
        <f>IF(Tabelle1324568910111213141516171619[[#This Row],[Status]]=$J$5,Tabelle1324568910111213141516171619[[#This Row],[COsSP Initially Planned]]+Tabelle1324568910111213141516171619[[#This Row],[COsSP Pulled after Start]]-Tabelle1324568910111213141516171619[[#This Row],[CSOsSP Completed]],0)</f>
        <v>0</v>
      </c>
      <c r="R202" s="379">
        <f>Tabelle1324568910111213141516171619[[#This Row],[COsSP Initially Planned]]+Tabelle1324568910111213141516171619[[#This Row],[COsSP Pulled after Start]]-Tabelle1324568910111213141516171619[[#This Row],[CSOsSP Completed]]-Tabelle1324568910111213141516171619[[#This Row],[CSOsSP Removed]]</f>
        <v>0</v>
      </c>
    </row>
    <row r="203" spans="1:18" ht="13.5" customHeight="1">
      <c r="A203" s="383"/>
      <c r="B203" s="47"/>
      <c r="C203" s="203"/>
      <c r="D203" s="203"/>
      <c r="E203" s="203"/>
      <c r="F203" s="204"/>
      <c r="G203" s="203"/>
      <c r="H203" s="205"/>
      <c r="I203" s="206"/>
      <c r="J203" s="206"/>
      <c r="K203" s="203"/>
      <c r="L203" s="204"/>
      <c r="M203" s="204"/>
      <c r="N203" s="378">
        <f>IF(OR(Tabelle1324568910111213141516171619[[#This Row],[Pulled after Start]]="yes",Tabelle1324568910111213141516171619[[#This Row],[Jira Story Points]]="-"),0,MIN(Tabelle1324568910111213141516171619[[#This Row],[Jira Story Points]],Tabelle1324568910111213141516171619[[#This Row],[Carry-over]]))</f>
        <v>0</v>
      </c>
      <c r="O203" s="379">
        <f>SUM(IF(ISBLANK(Tabelle1324568910111213141516171619[[#This Row],[Carry-over]]),Tabelle1324568910111213141516171619[[#This Row],[Jira Story Points]],Tabelle1324568910111213141516171619[[#This Row],[Carry-over]]),-Tabelle1324568910111213141516171619[[#This Row],[COsSP Initially Planned]])</f>
        <v>0</v>
      </c>
      <c r="P20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03" s="379">
        <f>IF(Tabelle1324568910111213141516171619[[#This Row],[Status]]=$J$5,Tabelle1324568910111213141516171619[[#This Row],[COsSP Initially Planned]]+Tabelle1324568910111213141516171619[[#This Row],[COsSP Pulled after Start]]-Tabelle1324568910111213141516171619[[#This Row],[CSOsSP Completed]],0)</f>
        <v>0</v>
      </c>
      <c r="R203" s="379">
        <f>Tabelle1324568910111213141516171619[[#This Row],[COsSP Initially Planned]]+Tabelle1324568910111213141516171619[[#This Row],[COsSP Pulled after Start]]-Tabelle1324568910111213141516171619[[#This Row],[CSOsSP Completed]]-Tabelle1324568910111213141516171619[[#This Row],[CSOsSP Removed]]</f>
        <v>0</v>
      </c>
    </row>
    <row r="204" spans="1:18" ht="13.5" customHeight="1">
      <c r="A204" s="383"/>
      <c r="B204" s="47"/>
      <c r="C204" s="203"/>
      <c r="D204" s="203"/>
      <c r="E204" s="203"/>
      <c r="F204" s="204"/>
      <c r="G204" s="203"/>
      <c r="H204" s="205"/>
      <c r="I204" s="206"/>
      <c r="J204" s="206"/>
      <c r="K204" s="203"/>
      <c r="L204" s="204"/>
      <c r="M204" s="204"/>
      <c r="N204" s="378">
        <f>IF(OR(Tabelle1324568910111213141516171619[[#This Row],[Pulled after Start]]="yes",Tabelle1324568910111213141516171619[[#This Row],[Jira Story Points]]="-"),0,MIN(Tabelle1324568910111213141516171619[[#This Row],[Jira Story Points]],Tabelle1324568910111213141516171619[[#This Row],[Carry-over]]))</f>
        <v>0</v>
      </c>
      <c r="O204" s="379">
        <f>SUM(IF(ISBLANK(Tabelle1324568910111213141516171619[[#This Row],[Carry-over]]),Tabelle1324568910111213141516171619[[#This Row],[Jira Story Points]],Tabelle1324568910111213141516171619[[#This Row],[Carry-over]]),-Tabelle1324568910111213141516171619[[#This Row],[COsSP Initially Planned]])</f>
        <v>0</v>
      </c>
      <c r="P20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04" s="379">
        <f>IF(Tabelle1324568910111213141516171619[[#This Row],[Status]]=$J$5,Tabelle1324568910111213141516171619[[#This Row],[COsSP Initially Planned]]+Tabelle1324568910111213141516171619[[#This Row],[COsSP Pulled after Start]]-Tabelle1324568910111213141516171619[[#This Row],[CSOsSP Completed]],0)</f>
        <v>0</v>
      </c>
      <c r="R204" s="379">
        <f>Tabelle1324568910111213141516171619[[#This Row],[COsSP Initially Planned]]+Tabelle1324568910111213141516171619[[#This Row],[COsSP Pulled after Start]]-Tabelle1324568910111213141516171619[[#This Row],[CSOsSP Completed]]-Tabelle1324568910111213141516171619[[#This Row],[CSOsSP Removed]]</f>
        <v>0</v>
      </c>
    </row>
    <row r="205" spans="1:18" ht="13.5" customHeight="1">
      <c r="A205" s="383"/>
      <c r="B205" s="47"/>
      <c r="C205" s="203"/>
      <c r="D205" s="203"/>
      <c r="E205" s="203"/>
      <c r="F205" s="204"/>
      <c r="G205" s="203"/>
      <c r="H205" s="205"/>
      <c r="I205" s="206"/>
      <c r="J205" s="206"/>
      <c r="K205" s="203"/>
      <c r="L205" s="204"/>
      <c r="M205" s="204"/>
      <c r="N205" s="378">
        <f>IF(OR(Tabelle1324568910111213141516171619[[#This Row],[Pulled after Start]]="yes",Tabelle1324568910111213141516171619[[#This Row],[Jira Story Points]]="-"),0,MIN(Tabelle1324568910111213141516171619[[#This Row],[Jira Story Points]],Tabelle1324568910111213141516171619[[#This Row],[Carry-over]]))</f>
        <v>0</v>
      </c>
      <c r="O205" s="379">
        <f>SUM(IF(ISBLANK(Tabelle1324568910111213141516171619[[#This Row],[Carry-over]]),Tabelle1324568910111213141516171619[[#This Row],[Jira Story Points]],Tabelle1324568910111213141516171619[[#This Row],[Carry-over]]),-Tabelle1324568910111213141516171619[[#This Row],[COsSP Initially Planned]])</f>
        <v>0</v>
      </c>
      <c r="P20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05" s="379">
        <f>IF(Tabelle1324568910111213141516171619[[#This Row],[Status]]=$J$5,Tabelle1324568910111213141516171619[[#This Row],[COsSP Initially Planned]]+Tabelle1324568910111213141516171619[[#This Row],[COsSP Pulled after Start]]-Tabelle1324568910111213141516171619[[#This Row],[CSOsSP Completed]],0)</f>
        <v>0</v>
      </c>
      <c r="R205" s="379">
        <f>Tabelle1324568910111213141516171619[[#This Row],[COsSP Initially Planned]]+Tabelle1324568910111213141516171619[[#This Row],[COsSP Pulled after Start]]-Tabelle1324568910111213141516171619[[#This Row],[CSOsSP Completed]]-Tabelle1324568910111213141516171619[[#This Row],[CSOsSP Removed]]</f>
        <v>0</v>
      </c>
    </row>
    <row r="206" spans="1:18" ht="13.5" customHeight="1">
      <c r="A206" s="383"/>
      <c r="B206" s="47"/>
      <c r="C206" s="203"/>
      <c r="D206" s="203"/>
      <c r="E206" s="203"/>
      <c r="F206" s="204"/>
      <c r="G206" s="203"/>
      <c r="H206" s="205"/>
      <c r="I206" s="206"/>
      <c r="J206" s="206"/>
      <c r="K206" s="203"/>
      <c r="L206" s="204"/>
      <c r="M206" s="204"/>
      <c r="N206" s="378">
        <f>IF(OR(Tabelle1324568910111213141516171619[[#This Row],[Pulled after Start]]="yes",Tabelle1324568910111213141516171619[[#This Row],[Jira Story Points]]="-"),0,MIN(Tabelle1324568910111213141516171619[[#This Row],[Jira Story Points]],Tabelle1324568910111213141516171619[[#This Row],[Carry-over]]))</f>
        <v>0</v>
      </c>
      <c r="O206" s="379">
        <f>SUM(IF(ISBLANK(Tabelle1324568910111213141516171619[[#This Row],[Carry-over]]),Tabelle1324568910111213141516171619[[#This Row],[Jira Story Points]],Tabelle1324568910111213141516171619[[#This Row],[Carry-over]]),-Tabelle1324568910111213141516171619[[#This Row],[COsSP Initially Planned]])</f>
        <v>0</v>
      </c>
      <c r="P20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06" s="379">
        <f>IF(Tabelle1324568910111213141516171619[[#This Row],[Status]]=$J$5,Tabelle1324568910111213141516171619[[#This Row],[COsSP Initially Planned]]+Tabelle1324568910111213141516171619[[#This Row],[COsSP Pulled after Start]]-Tabelle1324568910111213141516171619[[#This Row],[CSOsSP Completed]],0)</f>
        <v>0</v>
      </c>
      <c r="R206" s="379">
        <f>Tabelle1324568910111213141516171619[[#This Row],[COsSP Initially Planned]]+Tabelle1324568910111213141516171619[[#This Row],[COsSP Pulled after Start]]-Tabelle1324568910111213141516171619[[#This Row],[CSOsSP Completed]]-Tabelle1324568910111213141516171619[[#This Row],[CSOsSP Removed]]</f>
        <v>0</v>
      </c>
    </row>
    <row r="207" spans="1:18" ht="13.5" customHeight="1">
      <c r="A207" s="383"/>
      <c r="B207" s="47"/>
      <c r="C207" s="203"/>
      <c r="D207" s="203"/>
      <c r="E207" s="203"/>
      <c r="F207" s="204"/>
      <c r="G207" s="203"/>
      <c r="H207" s="205"/>
      <c r="I207" s="206"/>
      <c r="J207" s="206"/>
      <c r="K207" s="203"/>
      <c r="L207" s="204"/>
      <c r="M207" s="204"/>
      <c r="N207" s="378">
        <f>IF(OR(Tabelle1324568910111213141516171619[[#This Row],[Pulled after Start]]="yes",Tabelle1324568910111213141516171619[[#This Row],[Jira Story Points]]="-"),0,MIN(Tabelle1324568910111213141516171619[[#This Row],[Jira Story Points]],Tabelle1324568910111213141516171619[[#This Row],[Carry-over]]))</f>
        <v>0</v>
      </c>
      <c r="O207" s="379">
        <f>SUM(IF(ISBLANK(Tabelle1324568910111213141516171619[[#This Row],[Carry-over]]),Tabelle1324568910111213141516171619[[#This Row],[Jira Story Points]],Tabelle1324568910111213141516171619[[#This Row],[Carry-over]]),-Tabelle1324568910111213141516171619[[#This Row],[COsSP Initially Planned]])</f>
        <v>0</v>
      </c>
      <c r="P20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07" s="379">
        <f>IF(Tabelle1324568910111213141516171619[[#This Row],[Status]]=$J$5,Tabelle1324568910111213141516171619[[#This Row],[COsSP Initially Planned]]+Tabelle1324568910111213141516171619[[#This Row],[COsSP Pulled after Start]]-Tabelle1324568910111213141516171619[[#This Row],[CSOsSP Completed]],0)</f>
        <v>0</v>
      </c>
      <c r="R207" s="379">
        <f>Tabelle1324568910111213141516171619[[#This Row],[COsSP Initially Planned]]+Tabelle1324568910111213141516171619[[#This Row],[COsSP Pulled after Start]]-Tabelle1324568910111213141516171619[[#This Row],[CSOsSP Completed]]-Tabelle1324568910111213141516171619[[#This Row],[CSOsSP Removed]]</f>
        <v>0</v>
      </c>
    </row>
    <row r="208" spans="1:18" ht="13.5" customHeight="1">
      <c r="A208" s="383"/>
      <c r="B208" s="47"/>
      <c r="C208" s="203"/>
      <c r="D208" s="203"/>
      <c r="E208" s="203"/>
      <c r="F208" s="204"/>
      <c r="G208" s="203"/>
      <c r="H208" s="205"/>
      <c r="I208" s="206"/>
      <c r="J208" s="206"/>
      <c r="K208" s="203"/>
      <c r="L208" s="204"/>
      <c r="M208" s="204"/>
      <c r="N208" s="378">
        <f>IF(OR(Tabelle1324568910111213141516171619[[#This Row],[Pulled after Start]]="yes",Tabelle1324568910111213141516171619[[#This Row],[Jira Story Points]]="-"),0,MIN(Tabelle1324568910111213141516171619[[#This Row],[Jira Story Points]],Tabelle1324568910111213141516171619[[#This Row],[Carry-over]]))</f>
        <v>0</v>
      </c>
      <c r="O208" s="379">
        <f>SUM(IF(ISBLANK(Tabelle1324568910111213141516171619[[#This Row],[Carry-over]]),Tabelle1324568910111213141516171619[[#This Row],[Jira Story Points]],Tabelle1324568910111213141516171619[[#This Row],[Carry-over]]),-Tabelle1324568910111213141516171619[[#This Row],[COsSP Initially Planned]])</f>
        <v>0</v>
      </c>
      <c r="P20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08" s="379">
        <f>IF(Tabelle1324568910111213141516171619[[#This Row],[Status]]=$J$5,Tabelle1324568910111213141516171619[[#This Row],[COsSP Initially Planned]]+Tabelle1324568910111213141516171619[[#This Row],[COsSP Pulled after Start]]-Tabelle1324568910111213141516171619[[#This Row],[CSOsSP Completed]],0)</f>
        <v>0</v>
      </c>
      <c r="R208" s="379">
        <f>Tabelle1324568910111213141516171619[[#This Row],[COsSP Initially Planned]]+Tabelle1324568910111213141516171619[[#This Row],[COsSP Pulled after Start]]-Tabelle1324568910111213141516171619[[#This Row],[CSOsSP Completed]]-Tabelle1324568910111213141516171619[[#This Row],[CSOsSP Removed]]</f>
        <v>0</v>
      </c>
    </row>
    <row r="209" spans="1:18" ht="13.5" customHeight="1">
      <c r="A209" s="383"/>
      <c r="B209" s="47"/>
      <c r="C209" s="203"/>
      <c r="D209" s="203"/>
      <c r="E209" s="203"/>
      <c r="F209" s="204"/>
      <c r="G209" s="203"/>
      <c r="H209" s="205"/>
      <c r="I209" s="206"/>
      <c r="J209" s="206"/>
      <c r="K209" s="203"/>
      <c r="L209" s="204"/>
      <c r="M209" s="204"/>
      <c r="N209" s="378">
        <f>IF(OR(Tabelle1324568910111213141516171619[[#This Row],[Pulled after Start]]="yes",Tabelle1324568910111213141516171619[[#This Row],[Jira Story Points]]="-"),0,MIN(Tabelle1324568910111213141516171619[[#This Row],[Jira Story Points]],Tabelle1324568910111213141516171619[[#This Row],[Carry-over]]))</f>
        <v>0</v>
      </c>
      <c r="O209" s="379">
        <f>SUM(IF(ISBLANK(Tabelle1324568910111213141516171619[[#This Row],[Carry-over]]),Tabelle1324568910111213141516171619[[#This Row],[Jira Story Points]],Tabelle1324568910111213141516171619[[#This Row],[Carry-over]]),-Tabelle1324568910111213141516171619[[#This Row],[COsSP Initially Planned]])</f>
        <v>0</v>
      </c>
      <c r="P20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09" s="379">
        <f>IF(Tabelle1324568910111213141516171619[[#This Row],[Status]]=$J$5,Tabelle1324568910111213141516171619[[#This Row],[COsSP Initially Planned]]+Tabelle1324568910111213141516171619[[#This Row],[COsSP Pulled after Start]]-Tabelle1324568910111213141516171619[[#This Row],[CSOsSP Completed]],0)</f>
        <v>0</v>
      </c>
      <c r="R209" s="379">
        <f>Tabelle1324568910111213141516171619[[#This Row],[COsSP Initially Planned]]+Tabelle1324568910111213141516171619[[#This Row],[COsSP Pulled after Start]]-Tabelle1324568910111213141516171619[[#This Row],[CSOsSP Completed]]-Tabelle1324568910111213141516171619[[#This Row],[CSOsSP Removed]]</f>
        <v>0</v>
      </c>
    </row>
    <row r="210" spans="1:18" ht="13.5" customHeight="1">
      <c r="A210" s="383"/>
      <c r="B210" s="47"/>
      <c r="C210" s="203"/>
      <c r="D210" s="203"/>
      <c r="E210" s="203"/>
      <c r="F210" s="204"/>
      <c r="G210" s="203"/>
      <c r="H210" s="205"/>
      <c r="I210" s="206"/>
      <c r="J210" s="206"/>
      <c r="K210" s="203"/>
      <c r="L210" s="204"/>
      <c r="M210" s="204"/>
      <c r="N210" s="378">
        <f>IF(OR(Tabelle1324568910111213141516171619[[#This Row],[Pulled after Start]]="yes",Tabelle1324568910111213141516171619[[#This Row],[Jira Story Points]]="-"),0,MIN(Tabelle1324568910111213141516171619[[#This Row],[Jira Story Points]],Tabelle1324568910111213141516171619[[#This Row],[Carry-over]]))</f>
        <v>0</v>
      </c>
      <c r="O210" s="379">
        <f>SUM(IF(ISBLANK(Tabelle1324568910111213141516171619[[#This Row],[Carry-over]]),Tabelle1324568910111213141516171619[[#This Row],[Jira Story Points]],Tabelle1324568910111213141516171619[[#This Row],[Carry-over]]),-Tabelle1324568910111213141516171619[[#This Row],[COsSP Initially Planned]])</f>
        <v>0</v>
      </c>
      <c r="P21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10" s="379">
        <f>IF(Tabelle1324568910111213141516171619[[#This Row],[Status]]=$J$5,Tabelle1324568910111213141516171619[[#This Row],[COsSP Initially Planned]]+Tabelle1324568910111213141516171619[[#This Row],[COsSP Pulled after Start]]-Tabelle1324568910111213141516171619[[#This Row],[CSOsSP Completed]],0)</f>
        <v>0</v>
      </c>
      <c r="R210" s="379">
        <f>Tabelle1324568910111213141516171619[[#This Row],[COsSP Initially Planned]]+Tabelle1324568910111213141516171619[[#This Row],[COsSP Pulled after Start]]-Tabelle1324568910111213141516171619[[#This Row],[CSOsSP Completed]]-Tabelle1324568910111213141516171619[[#This Row],[CSOsSP Removed]]</f>
        <v>0</v>
      </c>
    </row>
    <row r="211" spans="1:18" ht="13.5" customHeight="1">
      <c r="A211" s="383"/>
      <c r="B211" s="47"/>
      <c r="C211" s="203"/>
      <c r="D211" s="203"/>
      <c r="E211" s="203"/>
      <c r="F211" s="204"/>
      <c r="G211" s="203"/>
      <c r="H211" s="205"/>
      <c r="I211" s="206"/>
      <c r="J211" s="206"/>
      <c r="K211" s="203"/>
      <c r="L211" s="204"/>
      <c r="M211" s="204"/>
      <c r="N211" s="378">
        <f>IF(OR(Tabelle1324568910111213141516171619[[#This Row],[Pulled after Start]]="yes",Tabelle1324568910111213141516171619[[#This Row],[Jira Story Points]]="-"),0,MIN(Tabelle1324568910111213141516171619[[#This Row],[Jira Story Points]],Tabelle1324568910111213141516171619[[#This Row],[Carry-over]]))</f>
        <v>0</v>
      </c>
      <c r="O211" s="379">
        <f>SUM(IF(ISBLANK(Tabelle1324568910111213141516171619[[#This Row],[Carry-over]]),Tabelle1324568910111213141516171619[[#This Row],[Jira Story Points]],Tabelle1324568910111213141516171619[[#This Row],[Carry-over]]),-Tabelle1324568910111213141516171619[[#This Row],[COsSP Initially Planned]])</f>
        <v>0</v>
      </c>
      <c r="P21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11" s="379">
        <f>IF(Tabelle1324568910111213141516171619[[#This Row],[Status]]=$J$5,Tabelle1324568910111213141516171619[[#This Row],[COsSP Initially Planned]]+Tabelle1324568910111213141516171619[[#This Row],[COsSP Pulled after Start]]-Tabelle1324568910111213141516171619[[#This Row],[CSOsSP Completed]],0)</f>
        <v>0</v>
      </c>
      <c r="R211" s="379">
        <f>Tabelle1324568910111213141516171619[[#This Row],[COsSP Initially Planned]]+Tabelle1324568910111213141516171619[[#This Row],[COsSP Pulled after Start]]-Tabelle1324568910111213141516171619[[#This Row],[CSOsSP Completed]]-Tabelle1324568910111213141516171619[[#This Row],[CSOsSP Removed]]</f>
        <v>0</v>
      </c>
    </row>
    <row r="212" spans="1:18" ht="13.5" customHeight="1">
      <c r="A212" s="383"/>
      <c r="B212" s="47"/>
      <c r="C212" s="203"/>
      <c r="D212" s="203"/>
      <c r="E212" s="203"/>
      <c r="F212" s="204"/>
      <c r="G212" s="203"/>
      <c r="H212" s="205"/>
      <c r="I212" s="206"/>
      <c r="J212" s="206"/>
      <c r="K212" s="203"/>
      <c r="L212" s="204"/>
      <c r="M212" s="204"/>
      <c r="N212" s="378">
        <f>IF(OR(Tabelle1324568910111213141516171619[[#This Row],[Pulled after Start]]="yes",Tabelle1324568910111213141516171619[[#This Row],[Jira Story Points]]="-"),0,MIN(Tabelle1324568910111213141516171619[[#This Row],[Jira Story Points]],Tabelle1324568910111213141516171619[[#This Row],[Carry-over]]))</f>
        <v>0</v>
      </c>
      <c r="O212" s="379">
        <f>SUM(IF(ISBLANK(Tabelle1324568910111213141516171619[[#This Row],[Carry-over]]),Tabelle1324568910111213141516171619[[#This Row],[Jira Story Points]],Tabelle1324568910111213141516171619[[#This Row],[Carry-over]]),-Tabelle1324568910111213141516171619[[#This Row],[COsSP Initially Planned]])</f>
        <v>0</v>
      </c>
      <c r="P21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12" s="379">
        <f>IF(Tabelle1324568910111213141516171619[[#This Row],[Status]]=$J$5,Tabelle1324568910111213141516171619[[#This Row],[COsSP Initially Planned]]+Tabelle1324568910111213141516171619[[#This Row],[COsSP Pulled after Start]]-Tabelle1324568910111213141516171619[[#This Row],[CSOsSP Completed]],0)</f>
        <v>0</v>
      </c>
      <c r="R212" s="379">
        <f>Tabelle1324568910111213141516171619[[#This Row],[COsSP Initially Planned]]+Tabelle1324568910111213141516171619[[#This Row],[COsSP Pulled after Start]]-Tabelle1324568910111213141516171619[[#This Row],[CSOsSP Completed]]-Tabelle1324568910111213141516171619[[#This Row],[CSOsSP Removed]]</f>
        <v>0</v>
      </c>
    </row>
    <row r="213" spans="1:18" ht="13.5" customHeight="1">
      <c r="A213" s="383"/>
      <c r="B213" s="47"/>
      <c r="C213" s="203"/>
      <c r="D213" s="203"/>
      <c r="E213" s="203"/>
      <c r="F213" s="204"/>
      <c r="G213" s="203"/>
      <c r="H213" s="205"/>
      <c r="I213" s="206"/>
      <c r="J213" s="206"/>
      <c r="K213" s="203"/>
      <c r="L213" s="204"/>
      <c r="M213" s="204"/>
      <c r="N213" s="378">
        <f>IF(OR(Tabelle1324568910111213141516171619[[#This Row],[Pulled after Start]]="yes",Tabelle1324568910111213141516171619[[#This Row],[Jira Story Points]]="-"),0,MIN(Tabelle1324568910111213141516171619[[#This Row],[Jira Story Points]],Tabelle1324568910111213141516171619[[#This Row],[Carry-over]]))</f>
        <v>0</v>
      </c>
      <c r="O213" s="379">
        <f>SUM(IF(ISBLANK(Tabelle1324568910111213141516171619[[#This Row],[Carry-over]]),Tabelle1324568910111213141516171619[[#This Row],[Jira Story Points]],Tabelle1324568910111213141516171619[[#This Row],[Carry-over]]),-Tabelle1324568910111213141516171619[[#This Row],[COsSP Initially Planned]])</f>
        <v>0</v>
      </c>
      <c r="P21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13" s="379">
        <f>IF(Tabelle1324568910111213141516171619[[#This Row],[Status]]=$J$5,Tabelle1324568910111213141516171619[[#This Row],[COsSP Initially Planned]]+Tabelle1324568910111213141516171619[[#This Row],[COsSP Pulled after Start]]-Tabelle1324568910111213141516171619[[#This Row],[CSOsSP Completed]],0)</f>
        <v>0</v>
      </c>
      <c r="R213" s="379">
        <f>Tabelle1324568910111213141516171619[[#This Row],[COsSP Initially Planned]]+Tabelle1324568910111213141516171619[[#This Row],[COsSP Pulled after Start]]-Tabelle1324568910111213141516171619[[#This Row],[CSOsSP Completed]]-Tabelle1324568910111213141516171619[[#This Row],[CSOsSP Removed]]</f>
        <v>0</v>
      </c>
    </row>
    <row r="214" spans="1:18" ht="13.5" customHeight="1">
      <c r="A214" s="383"/>
      <c r="B214" s="47"/>
      <c r="C214" s="203"/>
      <c r="D214" s="203"/>
      <c r="E214" s="203"/>
      <c r="F214" s="204"/>
      <c r="G214" s="203"/>
      <c r="H214" s="205"/>
      <c r="I214" s="206"/>
      <c r="J214" s="206"/>
      <c r="K214" s="203"/>
      <c r="L214" s="204"/>
      <c r="M214" s="204"/>
      <c r="N214" s="378">
        <f>IF(OR(Tabelle1324568910111213141516171619[[#This Row],[Pulled after Start]]="yes",Tabelle1324568910111213141516171619[[#This Row],[Jira Story Points]]="-"),0,MIN(Tabelle1324568910111213141516171619[[#This Row],[Jira Story Points]],Tabelle1324568910111213141516171619[[#This Row],[Carry-over]]))</f>
        <v>0</v>
      </c>
      <c r="O214" s="379">
        <f>SUM(IF(ISBLANK(Tabelle1324568910111213141516171619[[#This Row],[Carry-over]]),Tabelle1324568910111213141516171619[[#This Row],[Jira Story Points]],Tabelle1324568910111213141516171619[[#This Row],[Carry-over]]),-Tabelle1324568910111213141516171619[[#This Row],[COsSP Initially Planned]])</f>
        <v>0</v>
      </c>
      <c r="P21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14" s="379">
        <f>IF(Tabelle1324568910111213141516171619[[#This Row],[Status]]=$J$5,Tabelle1324568910111213141516171619[[#This Row],[COsSP Initially Planned]]+Tabelle1324568910111213141516171619[[#This Row],[COsSP Pulled after Start]]-Tabelle1324568910111213141516171619[[#This Row],[CSOsSP Completed]],0)</f>
        <v>0</v>
      </c>
      <c r="R214" s="379">
        <f>Tabelle1324568910111213141516171619[[#This Row],[COsSP Initially Planned]]+Tabelle1324568910111213141516171619[[#This Row],[COsSP Pulled after Start]]-Tabelle1324568910111213141516171619[[#This Row],[CSOsSP Completed]]-Tabelle1324568910111213141516171619[[#This Row],[CSOsSP Removed]]</f>
        <v>0</v>
      </c>
    </row>
    <row r="215" spans="1:18" ht="13.5" customHeight="1">
      <c r="A215" s="383"/>
      <c r="B215" s="47"/>
      <c r="C215" s="203"/>
      <c r="D215" s="203"/>
      <c r="E215" s="203"/>
      <c r="F215" s="204"/>
      <c r="G215" s="203"/>
      <c r="H215" s="205"/>
      <c r="I215" s="206"/>
      <c r="J215" s="206"/>
      <c r="K215" s="203"/>
      <c r="L215" s="204"/>
      <c r="M215" s="204"/>
      <c r="N215" s="378">
        <f>IF(OR(Tabelle1324568910111213141516171619[[#This Row],[Pulled after Start]]="yes",Tabelle1324568910111213141516171619[[#This Row],[Jira Story Points]]="-"),0,MIN(Tabelle1324568910111213141516171619[[#This Row],[Jira Story Points]],Tabelle1324568910111213141516171619[[#This Row],[Carry-over]]))</f>
        <v>0</v>
      </c>
      <c r="O215" s="379">
        <f>SUM(IF(ISBLANK(Tabelle1324568910111213141516171619[[#This Row],[Carry-over]]),Tabelle1324568910111213141516171619[[#This Row],[Jira Story Points]],Tabelle1324568910111213141516171619[[#This Row],[Carry-over]]),-Tabelle1324568910111213141516171619[[#This Row],[COsSP Initially Planned]])</f>
        <v>0</v>
      </c>
      <c r="P21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15" s="379">
        <f>IF(Tabelle1324568910111213141516171619[[#This Row],[Status]]=$J$5,Tabelle1324568910111213141516171619[[#This Row],[COsSP Initially Planned]]+Tabelle1324568910111213141516171619[[#This Row],[COsSP Pulled after Start]]-Tabelle1324568910111213141516171619[[#This Row],[CSOsSP Completed]],0)</f>
        <v>0</v>
      </c>
      <c r="R215" s="379">
        <f>Tabelle1324568910111213141516171619[[#This Row],[COsSP Initially Planned]]+Tabelle1324568910111213141516171619[[#This Row],[COsSP Pulled after Start]]-Tabelle1324568910111213141516171619[[#This Row],[CSOsSP Completed]]-Tabelle1324568910111213141516171619[[#This Row],[CSOsSP Removed]]</f>
        <v>0</v>
      </c>
    </row>
    <row r="216" spans="1:18" ht="13.5" customHeight="1">
      <c r="A216" s="383"/>
      <c r="B216" s="47"/>
      <c r="C216" s="203"/>
      <c r="D216" s="203"/>
      <c r="E216" s="203"/>
      <c r="F216" s="204"/>
      <c r="G216" s="203"/>
      <c r="H216" s="205"/>
      <c r="I216" s="206"/>
      <c r="J216" s="206"/>
      <c r="K216" s="203"/>
      <c r="L216" s="204"/>
      <c r="M216" s="204"/>
      <c r="N216" s="378">
        <f>IF(OR(Tabelle1324568910111213141516171619[[#This Row],[Pulled after Start]]="yes",Tabelle1324568910111213141516171619[[#This Row],[Jira Story Points]]="-"),0,MIN(Tabelle1324568910111213141516171619[[#This Row],[Jira Story Points]],Tabelle1324568910111213141516171619[[#This Row],[Carry-over]]))</f>
        <v>0</v>
      </c>
      <c r="O216" s="379">
        <f>SUM(IF(ISBLANK(Tabelle1324568910111213141516171619[[#This Row],[Carry-over]]),Tabelle1324568910111213141516171619[[#This Row],[Jira Story Points]],Tabelle1324568910111213141516171619[[#This Row],[Carry-over]]),-Tabelle1324568910111213141516171619[[#This Row],[COsSP Initially Planned]])</f>
        <v>0</v>
      </c>
      <c r="P21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16" s="379">
        <f>IF(Tabelle1324568910111213141516171619[[#This Row],[Status]]=$J$5,Tabelle1324568910111213141516171619[[#This Row],[COsSP Initially Planned]]+Tabelle1324568910111213141516171619[[#This Row],[COsSP Pulled after Start]]-Tabelle1324568910111213141516171619[[#This Row],[CSOsSP Completed]],0)</f>
        <v>0</v>
      </c>
      <c r="R216" s="379">
        <f>Tabelle1324568910111213141516171619[[#This Row],[COsSP Initially Planned]]+Tabelle1324568910111213141516171619[[#This Row],[COsSP Pulled after Start]]-Tabelle1324568910111213141516171619[[#This Row],[CSOsSP Completed]]-Tabelle1324568910111213141516171619[[#This Row],[CSOsSP Removed]]</f>
        <v>0</v>
      </c>
    </row>
    <row r="217" spans="1:18" ht="13.5" customHeight="1">
      <c r="A217" s="383"/>
      <c r="B217" s="47"/>
      <c r="C217" s="203"/>
      <c r="D217" s="203"/>
      <c r="E217" s="203"/>
      <c r="F217" s="204"/>
      <c r="G217" s="203"/>
      <c r="H217" s="205"/>
      <c r="I217" s="206"/>
      <c r="J217" s="206"/>
      <c r="K217" s="203"/>
      <c r="L217" s="204"/>
      <c r="M217" s="204"/>
      <c r="N217" s="378">
        <f>IF(OR(Tabelle1324568910111213141516171619[[#This Row],[Pulled after Start]]="yes",Tabelle1324568910111213141516171619[[#This Row],[Jira Story Points]]="-"),0,MIN(Tabelle1324568910111213141516171619[[#This Row],[Jira Story Points]],Tabelle1324568910111213141516171619[[#This Row],[Carry-over]]))</f>
        <v>0</v>
      </c>
      <c r="O217" s="379">
        <f>SUM(IF(ISBLANK(Tabelle1324568910111213141516171619[[#This Row],[Carry-over]]),Tabelle1324568910111213141516171619[[#This Row],[Jira Story Points]],Tabelle1324568910111213141516171619[[#This Row],[Carry-over]]),-Tabelle1324568910111213141516171619[[#This Row],[COsSP Initially Planned]])</f>
        <v>0</v>
      </c>
      <c r="P21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17" s="379">
        <f>IF(Tabelle1324568910111213141516171619[[#This Row],[Status]]=$J$5,Tabelle1324568910111213141516171619[[#This Row],[COsSP Initially Planned]]+Tabelle1324568910111213141516171619[[#This Row],[COsSP Pulled after Start]]-Tabelle1324568910111213141516171619[[#This Row],[CSOsSP Completed]],0)</f>
        <v>0</v>
      </c>
      <c r="R217" s="379">
        <f>Tabelle1324568910111213141516171619[[#This Row],[COsSP Initially Planned]]+Tabelle1324568910111213141516171619[[#This Row],[COsSP Pulled after Start]]-Tabelle1324568910111213141516171619[[#This Row],[CSOsSP Completed]]-Tabelle1324568910111213141516171619[[#This Row],[CSOsSP Removed]]</f>
        <v>0</v>
      </c>
    </row>
    <row r="218" spans="1:18" ht="13.5" customHeight="1">
      <c r="A218" s="383"/>
      <c r="B218" s="47"/>
      <c r="C218" s="203"/>
      <c r="D218" s="203"/>
      <c r="E218" s="203"/>
      <c r="F218" s="204"/>
      <c r="G218" s="203"/>
      <c r="H218" s="205"/>
      <c r="I218" s="206"/>
      <c r="J218" s="206"/>
      <c r="K218" s="203"/>
      <c r="L218" s="204"/>
      <c r="M218" s="204"/>
      <c r="N218" s="378">
        <f>IF(OR(Tabelle1324568910111213141516171619[[#This Row],[Pulled after Start]]="yes",Tabelle1324568910111213141516171619[[#This Row],[Jira Story Points]]="-"),0,MIN(Tabelle1324568910111213141516171619[[#This Row],[Jira Story Points]],Tabelle1324568910111213141516171619[[#This Row],[Carry-over]]))</f>
        <v>0</v>
      </c>
      <c r="O218" s="379">
        <f>SUM(IF(ISBLANK(Tabelle1324568910111213141516171619[[#This Row],[Carry-over]]),Tabelle1324568910111213141516171619[[#This Row],[Jira Story Points]],Tabelle1324568910111213141516171619[[#This Row],[Carry-over]]),-Tabelle1324568910111213141516171619[[#This Row],[COsSP Initially Planned]])</f>
        <v>0</v>
      </c>
      <c r="P21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18" s="379">
        <f>IF(Tabelle1324568910111213141516171619[[#This Row],[Status]]=$J$5,Tabelle1324568910111213141516171619[[#This Row],[COsSP Initially Planned]]+Tabelle1324568910111213141516171619[[#This Row],[COsSP Pulled after Start]]-Tabelle1324568910111213141516171619[[#This Row],[CSOsSP Completed]],0)</f>
        <v>0</v>
      </c>
      <c r="R218" s="379">
        <f>Tabelle1324568910111213141516171619[[#This Row],[COsSP Initially Planned]]+Tabelle1324568910111213141516171619[[#This Row],[COsSP Pulled after Start]]-Tabelle1324568910111213141516171619[[#This Row],[CSOsSP Completed]]-Tabelle1324568910111213141516171619[[#This Row],[CSOsSP Removed]]</f>
        <v>0</v>
      </c>
    </row>
    <row r="219" spans="1:18" ht="13.5" customHeight="1">
      <c r="A219" s="383"/>
      <c r="B219" s="47"/>
      <c r="C219" s="203"/>
      <c r="D219" s="203"/>
      <c r="E219" s="203"/>
      <c r="F219" s="204"/>
      <c r="G219" s="203"/>
      <c r="H219" s="205"/>
      <c r="I219" s="206"/>
      <c r="J219" s="206"/>
      <c r="K219" s="203"/>
      <c r="L219" s="204"/>
      <c r="M219" s="204"/>
      <c r="N219" s="378">
        <f>IF(OR(Tabelle1324568910111213141516171619[[#This Row],[Pulled after Start]]="yes",Tabelle1324568910111213141516171619[[#This Row],[Jira Story Points]]="-"),0,MIN(Tabelle1324568910111213141516171619[[#This Row],[Jira Story Points]],Tabelle1324568910111213141516171619[[#This Row],[Carry-over]]))</f>
        <v>0</v>
      </c>
      <c r="O219" s="379">
        <f>SUM(IF(ISBLANK(Tabelle1324568910111213141516171619[[#This Row],[Carry-over]]),Tabelle1324568910111213141516171619[[#This Row],[Jira Story Points]],Tabelle1324568910111213141516171619[[#This Row],[Carry-over]]),-Tabelle1324568910111213141516171619[[#This Row],[COsSP Initially Planned]])</f>
        <v>0</v>
      </c>
      <c r="P21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19" s="379">
        <f>IF(Tabelle1324568910111213141516171619[[#This Row],[Status]]=$J$5,Tabelle1324568910111213141516171619[[#This Row],[COsSP Initially Planned]]+Tabelle1324568910111213141516171619[[#This Row],[COsSP Pulled after Start]]-Tabelle1324568910111213141516171619[[#This Row],[CSOsSP Completed]],0)</f>
        <v>0</v>
      </c>
      <c r="R219" s="379">
        <f>Tabelle1324568910111213141516171619[[#This Row],[COsSP Initially Planned]]+Tabelle1324568910111213141516171619[[#This Row],[COsSP Pulled after Start]]-Tabelle1324568910111213141516171619[[#This Row],[CSOsSP Completed]]-Tabelle1324568910111213141516171619[[#This Row],[CSOsSP Removed]]</f>
        <v>0</v>
      </c>
    </row>
    <row r="220" spans="1:18" ht="13.5" customHeight="1">
      <c r="A220" s="383"/>
      <c r="B220" s="47"/>
      <c r="C220" s="203"/>
      <c r="D220" s="203"/>
      <c r="E220" s="203"/>
      <c r="F220" s="204"/>
      <c r="G220" s="203"/>
      <c r="H220" s="205"/>
      <c r="I220" s="206"/>
      <c r="J220" s="206"/>
      <c r="K220" s="203"/>
      <c r="L220" s="204"/>
      <c r="M220" s="204"/>
      <c r="N220" s="378">
        <f>IF(OR(Tabelle1324568910111213141516171619[[#This Row],[Pulled after Start]]="yes",Tabelle1324568910111213141516171619[[#This Row],[Jira Story Points]]="-"),0,MIN(Tabelle1324568910111213141516171619[[#This Row],[Jira Story Points]],Tabelle1324568910111213141516171619[[#This Row],[Carry-over]]))</f>
        <v>0</v>
      </c>
      <c r="O220" s="379">
        <f>SUM(IF(ISBLANK(Tabelle1324568910111213141516171619[[#This Row],[Carry-over]]),Tabelle1324568910111213141516171619[[#This Row],[Jira Story Points]],Tabelle1324568910111213141516171619[[#This Row],[Carry-over]]),-Tabelle1324568910111213141516171619[[#This Row],[COsSP Initially Planned]])</f>
        <v>0</v>
      </c>
      <c r="P22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20" s="379">
        <f>IF(Tabelle1324568910111213141516171619[[#This Row],[Status]]=$J$5,Tabelle1324568910111213141516171619[[#This Row],[COsSP Initially Planned]]+Tabelle1324568910111213141516171619[[#This Row],[COsSP Pulled after Start]]-Tabelle1324568910111213141516171619[[#This Row],[CSOsSP Completed]],0)</f>
        <v>0</v>
      </c>
      <c r="R220" s="379">
        <f>Tabelle1324568910111213141516171619[[#This Row],[COsSP Initially Planned]]+Tabelle1324568910111213141516171619[[#This Row],[COsSP Pulled after Start]]-Tabelle1324568910111213141516171619[[#This Row],[CSOsSP Completed]]-Tabelle1324568910111213141516171619[[#This Row],[CSOsSP Removed]]</f>
        <v>0</v>
      </c>
    </row>
    <row r="221" spans="1:18" ht="13.5" customHeight="1">
      <c r="A221" s="383"/>
      <c r="B221" s="47"/>
      <c r="C221" s="203"/>
      <c r="D221" s="203"/>
      <c r="E221" s="203"/>
      <c r="F221" s="204"/>
      <c r="G221" s="203"/>
      <c r="H221" s="205"/>
      <c r="I221" s="206"/>
      <c r="J221" s="206"/>
      <c r="K221" s="203"/>
      <c r="L221" s="204"/>
      <c r="M221" s="204"/>
      <c r="N221" s="378">
        <f>IF(OR(Tabelle1324568910111213141516171619[[#This Row],[Pulled after Start]]="yes",Tabelle1324568910111213141516171619[[#This Row],[Jira Story Points]]="-"),0,MIN(Tabelle1324568910111213141516171619[[#This Row],[Jira Story Points]],Tabelle1324568910111213141516171619[[#This Row],[Carry-over]]))</f>
        <v>0</v>
      </c>
      <c r="O221" s="379">
        <f>SUM(IF(ISBLANK(Tabelle1324568910111213141516171619[[#This Row],[Carry-over]]),Tabelle1324568910111213141516171619[[#This Row],[Jira Story Points]],Tabelle1324568910111213141516171619[[#This Row],[Carry-over]]),-Tabelle1324568910111213141516171619[[#This Row],[COsSP Initially Planned]])</f>
        <v>0</v>
      </c>
      <c r="P22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21" s="379">
        <f>IF(Tabelle1324568910111213141516171619[[#This Row],[Status]]=$J$5,Tabelle1324568910111213141516171619[[#This Row],[COsSP Initially Planned]]+Tabelle1324568910111213141516171619[[#This Row],[COsSP Pulled after Start]]-Tabelle1324568910111213141516171619[[#This Row],[CSOsSP Completed]],0)</f>
        <v>0</v>
      </c>
      <c r="R221" s="379">
        <f>Tabelle1324568910111213141516171619[[#This Row],[COsSP Initially Planned]]+Tabelle1324568910111213141516171619[[#This Row],[COsSP Pulled after Start]]-Tabelle1324568910111213141516171619[[#This Row],[CSOsSP Completed]]-Tabelle1324568910111213141516171619[[#This Row],[CSOsSP Removed]]</f>
        <v>0</v>
      </c>
    </row>
    <row r="222" spans="1:18" ht="13.5" customHeight="1">
      <c r="A222" s="383"/>
      <c r="B222" s="47"/>
      <c r="C222" s="203"/>
      <c r="D222" s="203"/>
      <c r="E222" s="203"/>
      <c r="F222" s="204"/>
      <c r="G222" s="203"/>
      <c r="H222" s="205"/>
      <c r="I222" s="206"/>
      <c r="J222" s="206"/>
      <c r="K222" s="203"/>
      <c r="L222" s="204"/>
      <c r="M222" s="204"/>
      <c r="N222" s="378">
        <f>IF(OR(Tabelle1324568910111213141516171619[[#This Row],[Pulled after Start]]="yes",Tabelle1324568910111213141516171619[[#This Row],[Jira Story Points]]="-"),0,MIN(Tabelle1324568910111213141516171619[[#This Row],[Jira Story Points]],Tabelle1324568910111213141516171619[[#This Row],[Carry-over]]))</f>
        <v>0</v>
      </c>
      <c r="O222" s="379">
        <f>SUM(IF(ISBLANK(Tabelle1324568910111213141516171619[[#This Row],[Carry-over]]),Tabelle1324568910111213141516171619[[#This Row],[Jira Story Points]],Tabelle1324568910111213141516171619[[#This Row],[Carry-over]]),-Tabelle1324568910111213141516171619[[#This Row],[COsSP Initially Planned]])</f>
        <v>0</v>
      </c>
      <c r="P22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22" s="379">
        <f>IF(Tabelle1324568910111213141516171619[[#This Row],[Status]]=$J$5,Tabelle1324568910111213141516171619[[#This Row],[COsSP Initially Planned]]+Tabelle1324568910111213141516171619[[#This Row],[COsSP Pulled after Start]]-Tabelle1324568910111213141516171619[[#This Row],[CSOsSP Completed]],0)</f>
        <v>0</v>
      </c>
      <c r="R222" s="379">
        <f>Tabelle1324568910111213141516171619[[#This Row],[COsSP Initially Planned]]+Tabelle1324568910111213141516171619[[#This Row],[COsSP Pulled after Start]]-Tabelle1324568910111213141516171619[[#This Row],[CSOsSP Completed]]-Tabelle1324568910111213141516171619[[#This Row],[CSOsSP Removed]]</f>
        <v>0</v>
      </c>
    </row>
    <row r="223" spans="1:18" ht="13.5" customHeight="1">
      <c r="A223" s="383"/>
      <c r="B223" s="47"/>
      <c r="C223" s="203"/>
      <c r="D223" s="203"/>
      <c r="E223" s="203"/>
      <c r="F223" s="204"/>
      <c r="G223" s="203"/>
      <c r="H223" s="205"/>
      <c r="I223" s="206"/>
      <c r="J223" s="206"/>
      <c r="K223" s="203"/>
      <c r="L223" s="204"/>
      <c r="M223" s="204"/>
      <c r="N223" s="378">
        <f>IF(OR(Tabelle1324568910111213141516171619[[#This Row],[Pulled after Start]]="yes",Tabelle1324568910111213141516171619[[#This Row],[Jira Story Points]]="-"),0,MIN(Tabelle1324568910111213141516171619[[#This Row],[Jira Story Points]],Tabelle1324568910111213141516171619[[#This Row],[Carry-over]]))</f>
        <v>0</v>
      </c>
      <c r="O223" s="379">
        <f>SUM(IF(ISBLANK(Tabelle1324568910111213141516171619[[#This Row],[Carry-over]]),Tabelle1324568910111213141516171619[[#This Row],[Jira Story Points]],Tabelle1324568910111213141516171619[[#This Row],[Carry-over]]),-Tabelle1324568910111213141516171619[[#This Row],[COsSP Initially Planned]])</f>
        <v>0</v>
      </c>
      <c r="P22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23" s="379">
        <f>IF(Tabelle1324568910111213141516171619[[#This Row],[Status]]=$J$5,Tabelle1324568910111213141516171619[[#This Row],[COsSP Initially Planned]]+Tabelle1324568910111213141516171619[[#This Row],[COsSP Pulled after Start]]-Tabelle1324568910111213141516171619[[#This Row],[CSOsSP Completed]],0)</f>
        <v>0</v>
      </c>
      <c r="R223" s="379">
        <f>Tabelle1324568910111213141516171619[[#This Row],[COsSP Initially Planned]]+Tabelle1324568910111213141516171619[[#This Row],[COsSP Pulled after Start]]-Tabelle1324568910111213141516171619[[#This Row],[CSOsSP Completed]]-Tabelle1324568910111213141516171619[[#This Row],[CSOsSP Removed]]</f>
        <v>0</v>
      </c>
    </row>
    <row r="224" spans="1:18" ht="13.5" customHeight="1">
      <c r="A224" s="383"/>
      <c r="B224" s="47"/>
      <c r="C224" s="203"/>
      <c r="D224" s="203"/>
      <c r="E224" s="203"/>
      <c r="F224" s="204"/>
      <c r="G224" s="203"/>
      <c r="H224" s="205"/>
      <c r="I224" s="206"/>
      <c r="J224" s="206"/>
      <c r="K224" s="203"/>
      <c r="L224" s="204"/>
      <c r="M224" s="204"/>
      <c r="N224" s="378">
        <f>IF(OR(Tabelle1324568910111213141516171619[[#This Row],[Pulled after Start]]="yes",Tabelle1324568910111213141516171619[[#This Row],[Jira Story Points]]="-"),0,MIN(Tabelle1324568910111213141516171619[[#This Row],[Jira Story Points]],Tabelle1324568910111213141516171619[[#This Row],[Carry-over]]))</f>
        <v>0</v>
      </c>
      <c r="O224" s="379">
        <f>SUM(IF(ISBLANK(Tabelle1324568910111213141516171619[[#This Row],[Carry-over]]),Tabelle1324568910111213141516171619[[#This Row],[Jira Story Points]],Tabelle1324568910111213141516171619[[#This Row],[Carry-over]]),-Tabelle1324568910111213141516171619[[#This Row],[COsSP Initially Planned]])</f>
        <v>0</v>
      </c>
      <c r="P22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24" s="379">
        <f>IF(Tabelle1324568910111213141516171619[[#This Row],[Status]]=$J$5,Tabelle1324568910111213141516171619[[#This Row],[COsSP Initially Planned]]+Tabelle1324568910111213141516171619[[#This Row],[COsSP Pulled after Start]]-Tabelle1324568910111213141516171619[[#This Row],[CSOsSP Completed]],0)</f>
        <v>0</v>
      </c>
      <c r="R224" s="379">
        <f>Tabelle1324568910111213141516171619[[#This Row],[COsSP Initially Planned]]+Tabelle1324568910111213141516171619[[#This Row],[COsSP Pulled after Start]]-Tabelle1324568910111213141516171619[[#This Row],[CSOsSP Completed]]-Tabelle1324568910111213141516171619[[#This Row],[CSOsSP Removed]]</f>
        <v>0</v>
      </c>
    </row>
    <row r="225" spans="1:18" ht="13.5" customHeight="1">
      <c r="A225" s="383"/>
      <c r="B225" s="47"/>
      <c r="C225" s="203"/>
      <c r="D225" s="203"/>
      <c r="E225" s="203"/>
      <c r="F225" s="204"/>
      <c r="G225" s="203"/>
      <c r="H225" s="205"/>
      <c r="I225" s="206"/>
      <c r="J225" s="206"/>
      <c r="K225" s="203"/>
      <c r="L225" s="204"/>
      <c r="M225" s="204"/>
      <c r="N225" s="378">
        <f>IF(OR(Tabelle1324568910111213141516171619[[#This Row],[Pulled after Start]]="yes",Tabelle1324568910111213141516171619[[#This Row],[Jira Story Points]]="-"),0,MIN(Tabelle1324568910111213141516171619[[#This Row],[Jira Story Points]],Tabelle1324568910111213141516171619[[#This Row],[Carry-over]]))</f>
        <v>0</v>
      </c>
      <c r="O225" s="379">
        <f>SUM(IF(ISBLANK(Tabelle1324568910111213141516171619[[#This Row],[Carry-over]]),Tabelle1324568910111213141516171619[[#This Row],[Jira Story Points]],Tabelle1324568910111213141516171619[[#This Row],[Carry-over]]),-Tabelle1324568910111213141516171619[[#This Row],[COsSP Initially Planned]])</f>
        <v>0</v>
      </c>
      <c r="P22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25" s="379">
        <f>IF(Tabelle1324568910111213141516171619[[#This Row],[Status]]=$J$5,Tabelle1324568910111213141516171619[[#This Row],[COsSP Initially Planned]]+Tabelle1324568910111213141516171619[[#This Row],[COsSP Pulled after Start]]-Tabelle1324568910111213141516171619[[#This Row],[CSOsSP Completed]],0)</f>
        <v>0</v>
      </c>
      <c r="R225" s="379">
        <f>Tabelle1324568910111213141516171619[[#This Row],[COsSP Initially Planned]]+Tabelle1324568910111213141516171619[[#This Row],[COsSP Pulled after Start]]-Tabelle1324568910111213141516171619[[#This Row],[CSOsSP Completed]]-Tabelle1324568910111213141516171619[[#This Row],[CSOsSP Removed]]</f>
        <v>0</v>
      </c>
    </row>
    <row r="226" spans="1:18" ht="13.5" customHeight="1">
      <c r="A226" s="383"/>
      <c r="B226" s="47"/>
      <c r="C226" s="203"/>
      <c r="D226" s="203"/>
      <c r="E226" s="203"/>
      <c r="F226" s="204"/>
      <c r="G226" s="203"/>
      <c r="H226" s="205"/>
      <c r="I226" s="206"/>
      <c r="J226" s="206"/>
      <c r="K226" s="203"/>
      <c r="L226" s="204"/>
      <c r="M226" s="204"/>
      <c r="N226" s="378">
        <f>IF(OR(Tabelle1324568910111213141516171619[[#This Row],[Pulled after Start]]="yes",Tabelle1324568910111213141516171619[[#This Row],[Jira Story Points]]="-"),0,MIN(Tabelle1324568910111213141516171619[[#This Row],[Jira Story Points]],Tabelle1324568910111213141516171619[[#This Row],[Carry-over]]))</f>
        <v>0</v>
      </c>
      <c r="O226" s="379">
        <f>SUM(IF(ISBLANK(Tabelle1324568910111213141516171619[[#This Row],[Carry-over]]),Tabelle1324568910111213141516171619[[#This Row],[Jira Story Points]],Tabelle1324568910111213141516171619[[#This Row],[Carry-over]]),-Tabelle1324568910111213141516171619[[#This Row],[COsSP Initially Planned]])</f>
        <v>0</v>
      </c>
      <c r="P22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26" s="379">
        <f>IF(Tabelle1324568910111213141516171619[[#This Row],[Status]]=$J$5,Tabelle1324568910111213141516171619[[#This Row],[COsSP Initially Planned]]+Tabelle1324568910111213141516171619[[#This Row],[COsSP Pulled after Start]]-Tabelle1324568910111213141516171619[[#This Row],[CSOsSP Completed]],0)</f>
        <v>0</v>
      </c>
      <c r="R226" s="379">
        <f>Tabelle1324568910111213141516171619[[#This Row],[COsSP Initially Planned]]+Tabelle1324568910111213141516171619[[#This Row],[COsSP Pulled after Start]]-Tabelle1324568910111213141516171619[[#This Row],[CSOsSP Completed]]-Tabelle1324568910111213141516171619[[#This Row],[CSOsSP Removed]]</f>
        <v>0</v>
      </c>
    </row>
    <row r="227" spans="1:18" ht="13.5" customHeight="1">
      <c r="A227" s="383"/>
      <c r="B227" s="47"/>
      <c r="C227" s="203"/>
      <c r="D227" s="203"/>
      <c r="E227" s="203"/>
      <c r="F227" s="204"/>
      <c r="G227" s="203"/>
      <c r="H227" s="205"/>
      <c r="I227" s="206"/>
      <c r="J227" s="206"/>
      <c r="K227" s="203"/>
      <c r="L227" s="204"/>
      <c r="M227" s="204"/>
      <c r="N227" s="378">
        <f>IF(OR(Tabelle1324568910111213141516171619[[#This Row],[Pulled after Start]]="yes",Tabelle1324568910111213141516171619[[#This Row],[Jira Story Points]]="-"),0,MIN(Tabelle1324568910111213141516171619[[#This Row],[Jira Story Points]],Tabelle1324568910111213141516171619[[#This Row],[Carry-over]]))</f>
        <v>0</v>
      </c>
      <c r="O227" s="379">
        <f>SUM(IF(ISBLANK(Tabelle1324568910111213141516171619[[#This Row],[Carry-over]]),Tabelle1324568910111213141516171619[[#This Row],[Jira Story Points]],Tabelle1324568910111213141516171619[[#This Row],[Carry-over]]),-Tabelle1324568910111213141516171619[[#This Row],[COsSP Initially Planned]])</f>
        <v>0</v>
      </c>
      <c r="P22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27" s="379">
        <f>IF(Tabelle1324568910111213141516171619[[#This Row],[Status]]=$J$5,Tabelle1324568910111213141516171619[[#This Row],[COsSP Initially Planned]]+Tabelle1324568910111213141516171619[[#This Row],[COsSP Pulled after Start]]-Tabelle1324568910111213141516171619[[#This Row],[CSOsSP Completed]],0)</f>
        <v>0</v>
      </c>
      <c r="R227" s="379">
        <f>Tabelle1324568910111213141516171619[[#This Row],[COsSP Initially Planned]]+Tabelle1324568910111213141516171619[[#This Row],[COsSP Pulled after Start]]-Tabelle1324568910111213141516171619[[#This Row],[CSOsSP Completed]]-Tabelle1324568910111213141516171619[[#This Row],[CSOsSP Removed]]</f>
        <v>0</v>
      </c>
    </row>
    <row r="228" spans="1:18" ht="13.5" customHeight="1">
      <c r="A228" s="383"/>
      <c r="B228" s="47"/>
      <c r="C228" s="203"/>
      <c r="D228" s="203"/>
      <c r="E228" s="203"/>
      <c r="F228" s="204"/>
      <c r="G228" s="203"/>
      <c r="H228" s="205"/>
      <c r="I228" s="206"/>
      <c r="J228" s="206"/>
      <c r="K228" s="203"/>
      <c r="L228" s="204"/>
      <c r="M228" s="204"/>
      <c r="N228" s="378">
        <f>IF(OR(Tabelle1324568910111213141516171619[[#This Row],[Pulled after Start]]="yes",Tabelle1324568910111213141516171619[[#This Row],[Jira Story Points]]="-"),0,MIN(Tabelle1324568910111213141516171619[[#This Row],[Jira Story Points]],Tabelle1324568910111213141516171619[[#This Row],[Carry-over]]))</f>
        <v>0</v>
      </c>
      <c r="O228" s="379">
        <f>SUM(IF(ISBLANK(Tabelle1324568910111213141516171619[[#This Row],[Carry-over]]),Tabelle1324568910111213141516171619[[#This Row],[Jira Story Points]],Tabelle1324568910111213141516171619[[#This Row],[Carry-over]]),-Tabelle1324568910111213141516171619[[#This Row],[COsSP Initially Planned]])</f>
        <v>0</v>
      </c>
      <c r="P22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28" s="379">
        <f>IF(Tabelle1324568910111213141516171619[[#This Row],[Status]]=$J$5,Tabelle1324568910111213141516171619[[#This Row],[COsSP Initially Planned]]+Tabelle1324568910111213141516171619[[#This Row],[COsSP Pulled after Start]]-Tabelle1324568910111213141516171619[[#This Row],[CSOsSP Completed]],0)</f>
        <v>0</v>
      </c>
      <c r="R228" s="379">
        <f>Tabelle1324568910111213141516171619[[#This Row],[COsSP Initially Planned]]+Tabelle1324568910111213141516171619[[#This Row],[COsSP Pulled after Start]]-Tabelle1324568910111213141516171619[[#This Row],[CSOsSP Completed]]-Tabelle1324568910111213141516171619[[#This Row],[CSOsSP Removed]]</f>
        <v>0</v>
      </c>
    </row>
    <row r="229" spans="1:18" ht="13.5" customHeight="1">
      <c r="A229" s="383"/>
      <c r="B229" s="47"/>
      <c r="C229" s="203"/>
      <c r="D229" s="203"/>
      <c r="E229" s="203"/>
      <c r="F229" s="204"/>
      <c r="G229" s="203"/>
      <c r="H229" s="205"/>
      <c r="I229" s="206"/>
      <c r="J229" s="206"/>
      <c r="K229" s="203"/>
      <c r="L229" s="204"/>
      <c r="M229" s="204"/>
      <c r="N229" s="378">
        <f>IF(OR(Tabelle1324568910111213141516171619[[#This Row],[Pulled after Start]]="yes",Tabelle1324568910111213141516171619[[#This Row],[Jira Story Points]]="-"),0,MIN(Tabelle1324568910111213141516171619[[#This Row],[Jira Story Points]],Tabelle1324568910111213141516171619[[#This Row],[Carry-over]]))</f>
        <v>0</v>
      </c>
      <c r="O229" s="379">
        <f>SUM(IF(ISBLANK(Tabelle1324568910111213141516171619[[#This Row],[Carry-over]]),Tabelle1324568910111213141516171619[[#This Row],[Jira Story Points]],Tabelle1324568910111213141516171619[[#This Row],[Carry-over]]),-Tabelle1324568910111213141516171619[[#This Row],[COsSP Initially Planned]])</f>
        <v>0</v>
      </c>
      <c r="P22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29" s="379">
        <f>IF(Tabelle1324568910111213141516171619[[#This Row],[Status]]=$J$5,Tabelle1324568910111213141516171619[[#This Row],[COsSP Initially Planned]]+Tabelle1324568910111213141516171619[[#This Row],[COsSP Pulled after Start]]-Tabelle1324568910111213141516171619[[#This Row],[CSOsSP Completed]],0)</f>
        <v>0</v>
      </c>
      <c r="R229" s="379">
        <f>Tabelle1324568910111213141516171619[[#This Row],[COsSP Initially Planned]]+Tabelle1324568910111213141516171619[[#This Row],[COsSP Pulled after Start]]-Tabelle1324568910111213141516171619[[#This Row],[CSOsSP Completed]]-Tabelle1324568910111213141516171619[[#This Row],[CSOsSP Removed]]</f>
        <v>0</v>
      </c>
    </row>
    <row r="230" spans="1:18" ht="13.5" customHeight="1">
      <c r="A230" s="383"/>
      <c r="B230" s="47"/>
      <c r="C230" s="203"/>
      <c r="D230" s="203"/>
      <c r="E230" s="203"/>
      <c r="F230" s="204"/>
      <c r="G230" s="203"/>
      <c r="H230" s="205"/>
      <c r="I230" s="206"/>
      <c r="J230" s="206"/>
      <c r="K230" s="203"/>
      <c r="L230" s="204"/>
      <c r="M230" s="204"/>
      <c r="N230" s="378">
        <f>IF(OR(Tabelle1324568910111213141516171619[[#This Row],[Pulled after Start]]="yes",Tabelle1324568910111213141516171619[[#This Row],[Jira Story Points]]="-"),0,MIN(Tabelle1324568910111213141516171619[[#This Row],[Jira Story Points]],Tabelle1324568910111213141516171619[[#This Row],[Carry-over]]))</f>
        <v>0</v>
      </c>
      <c r="O230" s="379">
        <f>SUM(IF(ISBLANK(Tabelle1324568910111213141516171619[[#This Row],[Carry-over]]),Tabelle1324568910111213141516171619[[#This Row],[Jira Story Points]],Tabelle1324568910111213141516171619[[#This Row],[Carry-over]]),-Tabelle1324568910111213141516171619[[#This Row],[COsSP Initially Planned]])</f>
        <v>0</v>
      </c>
      <c r="P23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30" s="379">
        <f>IF(Tabelle1324568910111213141516171619[[#This Row],[Status]]=$J$5,Tabelle1324568910111213141516171619[[#This Row],[COsSP Initially Planned]]+Tabelle1324568910111213141516171619[[#This Row],[COsSP Pulled after Start]]-Tabelle1324568910111213141516171619[[#This Row],[CSOsSP Completed]],0)</f>
        <v>0</v>
      </c>
      <c r="R230" s="379">
        <f>Tabelle1324568910111213141516171619[[#This Row],[COsSP Initially Planned]]+Tabelle1324568910111213141516171619[[#This Row],[COsSP Pulled after Start]]-Tabelle1324568910111213141516171619[[#This Row],[CSOsSP Completed]]-Tabelle1324568910111213141516171619[[#This Row],[CSOsSP Removed]]</f>
        <v>0</v>
      </c>
    </row>
    <row r="231" spans="1:18" ht="13.5" customHeight="1">
      <c r="A231" s="383"/>
      <c r="B231" s="47"/>
      <c r="C231" s="203"/>
      <c r="D231" s="203"/>
      <c r="E231" s="203"/>
      <c r="F231" s="204"/>
      <c r="G231" s="203"/>
      <c r="H231" s="205"/>
      <c r="I231" s="206"/>
      <c r="J231" s="206"/>
      <c r="K231" s="203"/>
      <c r="L231" s="204"/>
      <c r="M231" s="204"/>
      <c r="N231" s="378">
        <f>IF(OR(Tabelle1324568910111213141516171619[[#This Row],[Pulled after Start]]="yes",Tabelle1324568910111213141516171619[[#This Row],[Jira Story Points]]="-"),0,MIN(Tabelle1324568910111213141516171619[[#This Row],[Jira Story Points]],Tabelle1324568910111213141516171619[[#This Row],[Carry-over]]))</f>
        <v>0</v>
      </c>
      <c r="O231" s="379">
        <f>SUM(IF(ISBLANK(Tabelle1324568910111213141516171619[[#This Row],[Carry-over]]),Tabelle1324568910111213141516171619[[#This Row],[Jira Story Points]],Tabelle1324568910111213141516171619[[#This Row],[Carry-over]]),-Tabelle1324568910111213141516171619[[#This Row],[COsSP Initially Planned]])</f>
        <v>0</v>
      </c>
      <c r="P23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31" s="379">
        <f>IF(Tabelle1324568910111213141516171619[[#This Row],[Status]]=$J$5,Tabelle1324568910111213141516171619[[#This Row],[COsSP Initially Planned]]+Tabelle1324568910111213141516171619[[#This Row],[COsSP Pulled after Start]]-Tabelle1324568910111213141516171619[[#This Row],[CSOsSP Completed]],0)</f>
        <v>0</v>
      </c>
      <c r="R231" s="379">
        <f>Tabelle1324568910111213141516171619[[#This Row],[COsSP Initially Planned]]+Tabelle1324568910111213141516171619[[#This Row],[COsSP Pulled after Start]]-Tabelle1324568910111213141516171619[[#This Row],[CSOsSP Completed]]-Tabelle1324568910111213141516171619[[#This Row],[CSOsSP Removed]]</f>
        <v>0</v>
      </c>
    </row>
    <row r="232" spans="1:18" ht="13.5" customHeight="1">
      <c r="A232" s="383"/>
      <c r="B232" s="47"/>
      <c r="C232" s="203"/>
      <c r="D232" s="203"/>
      <c r="E232" s="203"/>
      <c r="F232" s="204"/>
      <c r="G232" s="203"/>
      <c r="H232" s="205"/>
      <c r="I232" s="206"/>
      <c r="J232" s="206"/>
      <c r="K232" s="203"/>
      <c r="L232" s="204"/>
      <c r="M232" s="204"/>
      <c r="N232" s="378">
        <f>IF(OR(Tabelle1324568910111213141516171619[[#This Row],[Pulled after Start]]="yes",Tabelle1324568910111213141516171619[[#This Row],[Jira Story Points]]="-"),0,MIN(Tabelle1324568910111213141516171619[[#This Row],[Jira Story Points]],Tabelle1324568910111213141516171619[[#This Row],[Carry-over]]))</f>
        <v>0</v>
      </c>
      <c r="O232" s="379">
        <f>SUM(IF(ISBLANK(Tabelle1324568910111213141516171619[[#This Row],[Carry-over]]),Tabelle1324568910111213141516171619[[#This Row],[Jira Story Points]],Tabelle1324568910111213141516171619[[#This Row],[Carry-over]]),-Tabelle1324568910111213141516171619[[#This Row],[COsSP Initially Planned]])</f>
        <v>0</v>
      </c>
      <c r="P23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32" s="379">
        <f>IF(Tabelle1324568910111213141516171619[[#This Row],[Status]]=$J$5,Tabelle1324568910111213141516171619[[#This Row],[COsSP Initially Planned]]+Tabelle1324568910111213141516171619[[#This Row],[COsSP Pulled after Start]]-Tabelle1324568910111213141516171619[[#This Row],[CSOsSP Completed]],0)</f>
        <v>0</v>
      </c>
      <c r="R232" s="379">
        <f>Tabelle1324568910111213141516171619[[#This Row],[COsSP Initially Planned]]+Tabelle1324568910111213141516171619[[#This Row],[COsSP Pulled after Start]]-Tabelle1324568910111213141516171619[[#This Row],[CSOsSP Completed]]-Tabelle1324568910111213141516171619[[#This Row],[CSOsSP Removed]]</f>
        <v>0</v>
      </c>
    </row>
    <row r="233" spans="1:18" ht="13.5" customHeight="1">
      <c r="A233" s="383"/>
      <c r="B233" s="47"/>
      <c r="C233" s="203"/>
      <c r="D233" s="203"/>
      <c r="E233" s="203"/>
      <c r="F233" s="204"/>
      <c r="G233" s="203"/>
      <c r="H233" s="205"/>
      <c r="I233" s="206"/>
      <c r="J233" s="206"/>
      <c r="K233" s="203"/>
      <c r="L233" s="204"/>
      <c r="M233" s="204"/>
      <c r="N233" s="378">
        <f>IF(OR(Tabelle1324568910111213141516171619[[#This Row],[Pulled after Start]]="yes",Tabelle1324568910111213141516171619[[#This Row],[Jira Story Points]]="-"),0,MIN(Tabelle1324568910111213141516171619[[#This Row],[Jira Story Points]],Tabelle1324568910111213141516171619[[#This Row],[Carry-over]]))</f>
        <v>0</v>
      </c>
      <c r="O233" s="379">
        <f>SUM(IF(ISBLANK(Tabelle1324568910111213141516171619[[#This Row],[Carry-over]]),Tabelle1324568910111213141516171619[[#This Row],[Jira Story Points]],Tabelle1324568910111213141516171619[[#This Row],[Carry-over]]),-Tabelle1324568910111213141516171619[[#This Row],[COsSP Initially Planned]])</f>
        <v>0</v>
      </c>
      <c r="P23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33" s="379">
        <f>IF(Tabelle1324568910111213141516171619[[#This Row],[Status]]=$J$5,Tabelle1324568910111213141516171619[[#This Row],[COsSP Initially Planned]]+Tabelle1324568910111213141516171619[[#This Row],[COsSP Pulled after Start]]-Tabelle1324568910111213141516171619[[#This Row],[CSOsSP Completed]],0)</f>
        <v>0</v>
      </c>
      <c r="R233" s="379">
        <f>Tabelle1324568910111213141516171619[[#This Row],[COsSP Initially Planned]]+Tabelle1324568910111213141516171619[[#This Row],[COsSP Pulled after Start]]-Tabelle1324568910111213141516171619[[#This Row],[CSOsSP Completed]]-Tabelle1324568910111213141516171619[[#This Row],[CSOsSP Removed]]</f>
        <v>0</v>
      </c>
    </row>
    <row r="234" spans="1:18" ht="13.5" customHeight="1">
      <c r="A234" s="383"/>
      <c r="B234" s="47"/>
      <c r="C234" s="203"/>
      <c r="D234" s="203"/>
      <c r="E234" s="203"/>
      <c r="F234" s="204"/>
      <c r="G234" s="203"/>
      <c r="H234" s="205"/>
      <c r="I234" s="206"/>
      <c r="J234" s="206"/>
      <c r="K234" s="203"/>
      <c r="L234" s="204"/>
      <c r="M234" s="204"/>
      <c r="N234" s="378">
        <f>IF(OR(Tabelle1324568910111213141516171619[[#This Row],[Pulled after Start]]="yes",Tabelle1324568910111213141516171619[[#This Row],[Jira Story Points]]="-"),0,MIN(Tabelle1324568910111213141516171619[[#This Row],[Jira Story Points]],Tabelle1324568910111213141516171619[[#This Row],[Carry-over]]))</f>
        <v>0</v>
      </c>
      <c r="O234" s="379">
        <f>SUM(IF(ISBLANK(Tabelle1324568910111213141516171619[[#This Row],[Carry-over]]),Tabelle1324568910111213141516171619[[#This Row],[Jira Story Points]],Tabelle1324568910111213141516171619[[#This Row],[Carry-over]]),-Tabelle1324568910111213141516171619[[#This Row],[COsSP Initially Planned]])</f>
        <v>0</v>
      </c>
      <c r="P23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34" s="379">
        <f>IF(Tabelle1324568910111213141516171619[[#This Row],[Status]]=$J$5,Tabelle1324568910111213141516171619[[#This Row],[COsSP Initially Planned]]+Tabelle1324568910111213141516171619[[#This Row],[COsSP Pulled after Start]]-Tabelle1324568910111213141516171619[[#This Row],[CSOsSP Completed]],0)</f>
        <v>0</v>
      </c>
      <c r="R234" s="379">
        <f>Tabelle1324568910111213141516171619[[#This Row],[COsSP Initially Planned]]+Tabelle1324568910111213141516171619[[#This Row],[COsSP Pulled after Start]]-Tabelle1324568910111213141516171619[[#This Row],[CSOsSP Completed]]-Tabelle1324568910111213141516171619[[#This Row],[CSOsSP Removed]]</f>
        <v>0</v>
      </c>
    </row>
    <row r="235" spans="1:18" ht="13.5" customHeight="1">
      <c r="A235" s="383"/>
      <c r="B235" s="47"/>
      <c r="C235" s="203"/>
      <c r="D235" s="203"/>
      <c r="E235" s="203"/>
      <c r="F235" s="204"/>
      <c r="G235" s="203"/>
      <c r="H235" s="205"/>
      <c r="I235" s="206"/>
      <c r="J235" s="206"/>
      <c r="K235" s="203"/>
      <c r="L235" s="204"/>
      <c r="M235" s="204"/>
      <c r="N235" s="378">
        <f>IF(OR(Tabelle1324568910111213141516171619[[#This Row],[Pulled after Start]]="yes",Tabelle1324568910111213141516171619[[#This Row],[Jira Story Points]]="-"),0,MIN(Tabelle1324568910111213141516171619[[#This Row],[Jira Story Points]],Tabelle1324568910111213141516171619[[#This Row],[Carry-over]]))</f>
        <v>0</v>
      </c>
      <c r="O235" s="379">
        <f>SUM(IF(ISBLANK(Tabelle1324568910111213141516171619[[#This Row],[Carry-over]]),Tabelle1324568910111213141516171619[[#This Row],[Jira Story Points]],Tabelle1324568910111213141516171619[[#This Row],[Carry-over]]),-Tabelle1324568910111213141516171619[[#This Row],[COsSP Initially Planned]])</f>
        <v>0</v>
      </c>
      <c r="P23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35" s="379">
        <f>IF(Tabelle1324568910111213141516171619[[#This Row],[Status]]=$J$5,Tabelle1324568910111213141516171619[[#This Row],[COsSP Initially Planned]]+Tabelle1324568910111213141516171619[[#This Row],[COsSP Pulled after Start]]-Tabelle1324568910111213141516171619[[#This Row],[CSOsSP Completed]],0)</f>
        <v>0</v>
      </c>
      <c r="R235" s="379">
        <f>Tabelle1324568910111213141516171619[[#This Row],[COsSP Initially Planned]]+Tabelle1324568910111213141516171619[[#This Row],[COsSP Pulled after Start]]-Tabelle1324568910111213141516171619[[#This Row],[CSOsSP Completed]]-Tabelle1324568910111213141516171619[[#This Row],[CSOsSP Removed]]</f>
        <v>0</v>
      </c>
    </row>
    <row r="236" spans="1:18" ht="13.5" customHeight="1">
      <c r="A236" s="383"/>
      <c r="B236" s="47"/>
      <c r="C236" s="203"/>
      <c r="D236" s="203"/>
      <c r="E236" s="203"/>
      <c r="F236" s="204"/>
      <c r="G236" s="203"/>
      <c r="H236" s="205"/>
      <c r="I236" s="206"/>
      <c r="J236" s="206"/>
      <c r="K236" s="203"/>
      <c r="L236" s="204"/>
      <c r="M236" s="204"/>
      <c r="N236" s="378">
        <f>IF(OR(Tabelle1324568910111213141516171619[[#This Row],[Pulled after Start]]="yes",Tabelle1324568910111213141516171619[[#This Row],[Jira Story Points]]="-"),0,MIN(Tabelle1324568910111213141516171619[[#This Row],[Jira Story Points]],Tabelle1324568910111213141516171619[[#This Row],[Carry-over]]))</f>
        <v>0</v>
      </c>
      <c r="O236" s="379">
        <f>SUM(IF(ISBLANK(Tabelle1324568910111213141516171619[[#This Row],[Carry-over]]),Tabelle1324568910111213141516171619[[#This Row],[Jira Story Points]],Tabelle1324568910111213141516171619[[#This Row],[Carry-over]]),-Tabelle1324568910111213141516171619[[#This Row],[COsSP Initially Planned]])</f>
        <v>0</v>
      </c>
      <c r="P23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36" s="379">
        <f>IF(Tabelle1324568910111213141516171619[[#This Row],[Status]]=$J$5,Tabelle1324568910111213141516171619[[#This Row],[COsSP Initially Planned]]+Tabelle1324568910111213141516171619[[#This Row],[COsSP Pulled after Start]]-Tabelle1324568910111213141516171619[[#This Row],[CSOsSP Completed]],0)</f>
        <v>0</v>
      </c>
      <c r="R236" s="379">
        <f>Tabelle1324568910111213141516171619[[#This Row],[COsSP Initially Planned]]+Tabelle1324568910111213141516171619[[#This Row],[COsSP Pulled after Start]]-Tabelle1324568910111213141516171619[[#This Row],[CSOsSP Completed]]-Tabelle1324568910111213141516171619[[#This Row],[CSOsSP Removed]]</f>
        <v>0</v>
      </c>
    </row>
    <row r="237" spans="1:18" ht="13.5" customHeight="1">
      <c r="A237" s="383"/>
      <c r="B237" s="47"/>
      <c r="C237" s="203"/>
      <c r="D237" s="203"/>
      <c r="E237" s="203"/>
      <c r="F237" s="204"/>
      <c r="G237" s="203"/>
      <c r="H237" s="205"/>
      <c r="I237" s="206"/>
      <c r="J237" s="206"/>
      <c r="K237" s="203"/>
      <c r="L237" s="204"/>
      <c r="M237" s="204"/>
      <c r="N237" s="378">
        <f>IF(OR(Tabelle1324568910111213141516171619[[#This Row],[Pulled after Start]]="yes",Tabelle1324568910111213141516171619[[#This Row],[Jira Story Points]]="-"),0,MIN(Tabelle1324568910111213141516171619[[#This Row],[Jira Story Points]],Tabelle1324568910111213141516171619[[#This Row],[Carry-over]]))</f>
        <v>0</v>
      </c>
      <c r="O237" s="379">
        <f>SUM(IF(ISBLANK(Tabelle1324568910111213141516171619[[#This Row],[Carry-over]]),Tabelle1324568910111213141516171619[[#This Row],[Jira Story Points]],Tabelle1324568910111213141516171619[[#This Row],[Carry-over]]),-Tabelle1324568910111213141516171619[[#This Row],[COsSP Initially Planned]])</f>
        <v>0</v>
      </c>
      <c r="P23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37" s="379">
        <f>IF(Tabelle1324568910111213141516171619[[#This Row],[Status]]=$J$5,Tabelle1324568910111213141516171619[[#This Row],[COsSP Initially Planned]]+Tabelle1324568910111213141516171619[[#This Row],[COsSP Pulled after Start]]-Tabelle1324568910111213141516171619[[#This Row],[CSOsSP Completed]],0)</f>
        <v>0</v>
      </c>
      <c r="R237" s="379">
        <f>Tabelle1324568910111213141516171619[[#This Row],[COsSP Initially Planned]]+Tabelle1324568910111213141516171619[[#This Row],[COsSP Pulled after Start]]-Tabelle1324568910111213141516171619[[#This Row],[CSOsSP Completed]]-Tabelle1324568910111213141516171619[[#This Row],[CSOsSP Removed]]</f>
        <v>0</v>
      </c>
    </row>
    <row r="238" spans="1:18" ht="13.5" customHeight="1">
      <c r="A238" s="383"/>
      <c r="B238" s="47"/>
      <c r="C238" s="203"/>
      <c r="D238" s="203"/>
      <c r="E238" s="203"/>
      <c r="F238" s="204"/>
      <c r="G238" s="203"/>
      <c r="H238" s="205"/>
      <c r="I238" s="206"/>
      <c r="J238" s="206"/>
      <c r="K238" s="203"/>
      <c r="L238" s="204"/>
      <c r="M238" s="204"/>
      <c r="N238" s="378">
        <f>IF(OR(Tabelle1324568910111213141516171619[[#This Row],[Pulled after Start]]="yes",Tabelle1324568910111213141516171619[[#This Row],[Jira Story Points]]="-"),0,MIN(Tabelle1324568910111213141516171619[[#This Row],[Jira Story Points]],Tabelle1324568910111213141516171619[[#This Row],[Carry-over]]))</f>
        <v>0</v>
      </c>
      <c r="O238" s="379">
        <f>SUM(IF(ISBLANK(Tabelle1324568910111213141516171619[[#This Row],[Carry-over]]),Tabelle1324568910111213141516171619[[#This Row],[Jira Story Points]],Tabelle1324568910111213141516171619[[#This Row],[Carry-over]]),-Tabelle1324568910111213141516171619[[#This Row],[COsSP Initially Planned]])</f>
        <v>0</v>
      </c>
      <c r="P23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38" s="379">
        <f>IF(Tabelle1324568910111213141516171619[[#This Row],[Status]]=$J$5,Tabelle1324568910111213141516171619[[#This Row],[COsSP Initially Planned]]+Tabelle1324568910111213141516171619[[#This Row],[COsSP Pulled after Start]]-Tabelle1324568910111213141516171619[[#This Row],[CSOsSP Completed]],0)</f>
        <v>0</v>
      </c>
      <c r="R238" s="379">
        <f>Tabelle1324568910111213141516171619[[#This Row],[COsSP Initially Planned]]+Tabelle1324568910111213141516171619[[#This Row],[COsSP Pulled after Start]]-Tabelle1324568910111213141516171619[[#This Row],[CSOsSP Completed]]-Tabelle1324568910111213141516171619[[#This Row],[CSOsSP Removed]]</f>
        <v>0</v>
      </c>
    </row>
    <row r="239" spans="1:18" ht="13.5" customHeight="1">
      <c r="A239" s="383"/>
      <c r="B239" s="47"/>
      <c r="C239" s="203"/>
      <c r="D239" s="203"/>
      <c r="E239" s="203"/>
      <c r="F239" s="204"/>
      <c r="G239" s="203"/>
      <c r="H239" s="205"/>
      <c r="I239" s="206"/>
      <c r="J239" s="206"/>
      <c r="K239" s="203"/>
      <c r="L239" s="204"/>
      <c r="M239" s="204"/>
      <c r="N239" s="378">
        <f>IF(OR(Tabelle1324568910111213141516171619[[#This Row],[Pulled after Start]]="yes",Tabelle1324568910111213141516171619[[#This Row],[Jira Story Points]]="-"),0,MIN(Tabelle1324568910111213141516171619[[#This Row],[Jira Story Points]],Tabelle1324568910111213141516171619[[#This Row],[Carry-over]]))</f>
        <v>0</v>
      </c>
      <c r="O239" s="379">
        <f>SUM(IF(ISBLANK(Tabelle1324568910111213141516171619[[#This Row],[Carry-over]]),Tabelle1324568910111213141516171619[[#This Row],[Jira Story Points]],Tabelle1324568910111213141516171619[[#This Row],[Carry-over]]),-Tabelle1324568910111213141516171619[[#This Row],[COsSP Initially Planned]])</f>
        <v>0</v>
      </c>
      <c r="P23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39" s="379">
        <f>IF(Tabelle1324568910111213141516171619[[#This Row],[Status]]=$J$5,Tabelle1324568910111213141516171619[[#This Row],[COsSP Initially Planned]]+Tabelle1324568910111213141516171619[[#This Row],[COsSP Pulled after Start]]-Tabelle1324568910111213141516171619[[#This Row],[CSOsSP Completed]],0)</f>
        <v>0</v>
      </c>
      <c r="R239" s="379">
        <f>Tabelle1324568910111213141516171619[[#This Row],[COsSP Initially Planned]]+Tabelle1324568910111213141516171619[[#This Row],[COsSP Pulled after Start]]-Tabelle1324568910111213141516171619[[#This Row],[CSOsSP Completed]]-Tabelle1324568910111213141516171619[[#This Row],[CSOsSP Removed]]</f>
        <v>0</v>
      </c>
    </row>
    <row r="240" spans="1:18" ht="13.5" customHeight="1">
      <c r="A240" s="383"/>
      <c r="B240" s="47"/>
      <c r="C240" s="203"/>
      <c r="D240" s="203"/>
      <c r="E240" s="203"/>
      <c r="F240" s="204"/>
      <c r="G240" s="203"/>
      <c r="H240" s="205"/>
      <c r="I240" s="206"/>
      <c r="J240" s="206"/>
      <c r="K240" s="203"/>
      <c r="L240" s="204"/>
      <c r="M240" s="204"/>
      <c r="N240" s="378">
        <f>IF(OR(Tabelle1324568910111213141516171619[[#This Row],[Pulled after Start]]="yes",Tabelle1324568910111213141516171619[[#This Row],[Jira Story Points]]="-"),0,MIN(Tabelle1324568910111213141516171619[[#This Row],[Jira Story Points]],Tabelle1324568910111213141516171619[[#This Row],[Carry-over]]))</f>
        <v>0</v>
      </c>
      <c r="O240" s="379">
        <f>SUM(IF(ISBLANK(Tabelle1324568910111213141516171619[[#This Row],[Carry-over]]),Tabelle1324568910111213141516171619[[#This Row],[Jira Story Points]],Tabelle1324568910111213141516171619[[#This Row],[Carry-over]]),-Tabelle1324568910111213141516171619[[#This Row],[COsSP Initially Planned]])</f>
        <v>0</v>
      </c>
      <c r="P24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40" s="379">
        <f>IF(Tabelle1324568910111213141516171619[[#This Row],[Status]]=$J$5,Tabelle1324568910111213141516171619[[#This Row],[COsSP Initially Planned]]+Tabelle1324568910111213141516171619[[#This Row],[COsSP Pulled after Start]]-Tabelle1324568910111213141516171619[[#This Row],[CSOsSP Completed]],0)</f>
        <v>0</v>
      </c>
      <c r="R240" s="379">
        <f>Tabelle1324568910111213141516171619[[#This Row],[COsSP Initially Planned]]+Tabelle1324568910111213141516171619[[#This Row],[COsSP Pulled after Start]]-Tabelle1324568910111213141516171619[[#This Row],[CSOsSP Completed]]-Tabelle1324568910111213141516171619[[#This Row],[CSOsSP Removed]]</f>
        <v>0</v>
      </c>
    </row>
    <row r="241" spans="1:18" ht="13.5" customHeight="1">
      <c r="A241" s="383"/>
      <c r="B241" s="47"/>
      <c r="C241" s="203"/>
      <c r="D241" s="203"/>
      <c r="E241" s="203"/>
      <c r="F241" s="204"/>
      <c r="G241" s="203"/>
      <c r="H241" s="205"/>
      <c r="I241" s="206"/>
      <c r="J241" s="206"/>
      <c r="K241" s="203"/>
      <c r="L241" s="204"/>
      <c r="M241" s="204"/>
      <c r="N241" s="378">
        <f>IF(OR(Tabelle1324568910111213141516171619[[#This Row],[Pulled after Start]]="yes",Tabelle1324568910111213141516171619[[#This Row],[Jira Story Points]]="-"),0,MIN(Tabelle1324568910111213141516171619[[#This Row],[Jira Story Points]],Tabelle1324568910111213141516171619[[#This Row],[Carry-over]]))</f>
        <v>0</v>
      </c>
      <c r="O241" s="379">
        <f>SUM(IF(ISBLANK(Tabelle1324568910111213141516171619[[#This Row],[Carry-over]]),Tabelle1324568910111213141516171619[[#This Row],[Jira Story Points]],Tabelle1324568910111213141516171619[[#This Row],[Carry-over]]),-Tabelle1324568910111213141516171619[[#This Row],[COsSP Initially Planned]])</f>
        <v>0</v>
      </c>
      <c r="P24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41" s="379">
        <f>IF(Tabelle1324568910111213141516171619[[#This Row],[Status]]=$J$5,Tabelle1324568910111213141516171619[[#This Row],[COsSP Initially Planned]]+Tabelle1324568910111213141516171619[[#This Row],[COsSP Pulled after Start]]-Tabelle1324568910111213141516171619[[#This Row],[CSOsSP Completed]],0)</f>
        <v>0</v>
      </c>
      <c r="R241" s="379">
        <f>Tabelle1324568910111213141516171619[[#This Row],[COsSP Initially Planned]]+Tabelle1324568910111213141516171619[[#This Row],[COsSP Pulled after Start]]-Tabelle1324568910111213141516171619[[#This Row],[CSOsSP Completed]]-Tabelle1324568910111213141516171619[[#This Row],[CSOsSP Removed]]</f>
        <v>0</v>
      </c>
    </row>
    <row r="242" spans="1:18" ht="13.5" customHeight="1">
      <c r="A242" s="383"/>
      <c r="B242" s="47"/>
      <c r="C242" s="203"/>
      <c r="D242" s="203"/>
      <c r="E242" s="203"/>
      <c r="F242" s="204"/>
      <c r="G242" s="203"/>
      <c r="H242" s="205"/>
      <c r="I242" s="206"/>
      <c r="J242" s="206"/>
      <c r="K242" s="203"/>
      <c r="L242" s="204"/>
      <c r="M242" s="204"/>
      <c r="N242" s="378">
        <f>IF(OR(Tabelle1324568910111213141516171619[[#This Row],[Pulled after Start]]="yes",Tabelle1324568910111213141516171619[[#This Row],[Jira Story Points]]="-"),0,MIN(Tabelle1324568910111213141516171619[[#This Row],[Jira Story Points]],Tabelle1324568910111213141516171619[[#This Row],[Carry-over]]))</f>
        <v>0</v>
      </c>
      <c r="O242" s="379">
        <f>SUM(IF(ISBLANK(Tabelle1324568910111213141516171619[[#This Row],[Carry-over]]),Tabelle1324568910111213141516171619[[#This Row],[Jira Story Points]],Tabelle1324568910111213141516171619[[#This Row],[Carry-over]]),-Tabelle1324568910111213141516171619[[#This Row],[COsSP Initially Planned]])</f>
        <v>0</v>
      </c>
      <c r="P24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42" s="379">
        <f>IF(Tabelle1324568910111213141516171619[[#This Row],[Status]]=$J$5,Tabelle1324568910111213141516171619[[#This Row],[COsSP Initially Planned]]+Tabelle1324568910111213141516171619[[#This Row],[COsSP Pulled after Start]]-Tabelle1324568910111213141516171619[[#This Row],[CSOsSP Completed]],0)</f>
        <v>0</v>
      </c>
      <c r="R242" s="379">
        <f>Tabelle1324568910111213141516171619[[#This Row],[COsSP Initially Planned]]+Tabelle1324568910111213141516171619[[#This Row],[COsSP Pulled after Start]]-Tabelle1324568910111213141516171619[[#This Row],[CSOsSP Completed]]-Tabelle1324568910111213141516171619[[#This Row],[CSOsSP Removed]]</f>
        <v>0</v>
      </c>
    </row>
    <row r="243" spans="1:18" ht="13.5" customHeight="1">
      <c r="A243" s="383"/>
      <c r="B243" s="47"/>
      <c r="C243" s="203"/>
      <c r="D243" s="203"/>
      <c r="E243" s="203"/>
      <c r="F243" s="204"/>
      <c r="G243" s="203"/>
      <c r="H243" s="205"/>
      <c r="I243" s="206"/>
      <c r="J243" s="206"/>
      <c r="K243" s="203"/>
      <c r="L243" s="204"/>
      <c r="M243" s="204"/>
      <c r="N243" s="378">
        <f>IF(OR(Tabelle1324568910111213141516171619[[#This Row],[Pulled after Start]]="yes",Tabelle1324568910111213141516171619[[#This Row],[Jira Story Points]]="-"),0,MIN(Tabelle1324568910111213141516171619[[#This Row],[Jira Story Points]],Tabelle1324568910111213141516171619[[#This Row],[Carry-over]]))</f>
        <v>0</v>
      </c>
      <c r="O243" s="379">
        <f>SUM(IF(ISBLANK(Tabelle1324568910111213141516171619[[#This Row],[Carry-over]]),Tabelle1324568910111213141516171619[[#This Row],[Jira Story Points]],Tabelle1324568910111213141516171619[[#This Row],[Carry-over]]),-Tabelle1324568910111213141516171619[[#This Row],[COsSP Initially Planned]])</f>
        <v>0</v>
      </c>
      <c r="P24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43" s="379">
        <f>IF(Tabelle1324568910111213141516171619[[#This Row],[Status]]=$J$5,Tabelle1324568910111213141516171619[[#This Row],[COsSP Initially Planned]]+Tabelle1324568910111213141516171619[[#This Row],[COsSP Pulled after Start]]-Tabelle1324568910111213141516171619[[#This Row],[CSOsSP Completed]],0)</f>
        <v>0</v>
      </c>
      <c r="R243" s="379">
        <f>Tabelle1324568910111213141516171619[[#This Row],[COsSP Initially Planned]]+Tabelle1324568910111213141516171619[[#This Row],[COsSP Pulled after Start]]-Tabelle1324568910111213141516171619[[#This Row],[CSOsSP Completed]]-Tabelle1324568910111213141516171619[[#This Row],[CSOsSP Removed]]</f>
        <v>0</v>
      </c>
    </row>
    <row r="244" spans="1:18" ht="13.5" customHeight="1">
      <c r="A244" s="383"/>
      <c r="B244" s="47"/>
      <c r="C244" s="203"/>
      <c r="D244" s="203"/>
      <c r="E244" s="203"/>
      <c r="F244" s="204"/>
      <c r="G244" s="203"/>
      <c r="H244" s="205"/>
      <c r="I244" s="206"/>
      <c r="J244" s="206"/>
      <c r="K244" s="203"/>
      <c r="L244" s="204"/>
      <c r="M244" s="204"/>
      <c r="N244" s="378">
        <f>IF(OR(Tabelle1324568910111213141516171619[[#This Row],[Pulled after Start]]="yes",Tabelle1324568910111213141516171619[[#This Row],[Jira Story Points]]="-"),0,MIN(Tabelle1324568910111213141516171619[[#This Row],[Jira Story Points]],Tabelle1324568910111213141516171619[[#This Row],[Carry-over]]))</f>
        <v>0</v>
      </c>
      <c r="O244" s="379">
        <f>SUM(IF(ISBLANK(Tabelle1324568910111213141516171619[[#This Row],[Carry-over]]),Tabelle1324568910111213141516171619[[#This Row],[Jira Story Points]],Tabelle1324568910111213141516171619[[#This Row],[Carry-over]]),-Tabelle1324568910111213141516171619[[#This Row],[COsSP Initially Planned]])</f>
        <v>0</v>
      </c>
      <c r="P24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44" s="379">
        <f>IF(Tabelle1324568910111213141516171619[[#This Row],[Status]]=$J$5,Tabelle1324568910111213141516171619[[#This Row],[COsSP Initially Planned]]+Tabelle1324568910111213141516171619[[#This Row],[COsSP Pulled after Start]]-Tabelle1324568910111213141516171619[[#This Row],[CSOsSP Completed]],0)</f>
        <v>0</v>
      </c>
      <c r="R244" s="379">
        <f>Tabelle1324568910111213141516171619[[#This Row],[COsSP Initially Planned]]+Tabelle1324568910111213141516171619[[#This Row],[COsSP Pulled after Start]]-Tabelle1324568910111213141516171619[[#This Row],[CSOsSP Completed]]-Tabelle1324568910111213141516171619[[#This Row],[CSOsSP Removed]]</f>
        <v>0</v>
      </c>
    </row>
    <row r="245" spans="1:18" ht="13.5" customHeight="1">
      <c r="A245" s="383"/>
      <c r="B245" s="47"/>
      <c r="C245" s="203"/>
      <c r="D245" s="203"/>
      <c r="E245" s="203"/>
      <c r="F245" s="204"/>
      <c r="G245" s="203"/>
      <c r="H245" s="205"/>
      <c r="I245" s="206"/>
      <c r="J245" s="206"/>
      <c r="K245" s="203"/>
      <c r="L245" s="204"/>
      <c r="M245" s="204"/>
      <c r="N245" s="378">
        <f>IF(OR(Tabelle1324568910111213141516171619[[#This Row],[Pulled after Start]]="yes",Tabelle1324568910111213141516171619[[#This Row],[Jira Story Points]]="-"),0,MIN(Tabelle1324568910111213141516171619[[#This Row],[Jira Story Points]],Tabelle1324568910111213141516171619[[#This Row],[Carry-over]]))</f>
        <v>0</v>
      </c>
      <c r="O245" s="379">
        <f>SUM(IF(ISBLANK(Tabelle1324568910111213141516171619[[#This Row],[Carry-over]]),Tabelle1324568910111213141516171619[[#This Row],[Jira Story Points]],Tabelle1324568910111213141516171619[[#This Row],[Carry-over]]),-Tabelle1324568910111213141516171619[[#This Row],[COsSP Initially Planned]])</f>
        <v>0</v>
      </c>
      <c r="P24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45" s="379">
        <f>IF(Tabelle1324568910111213141516171619[[#This Row],[Status]]=$J$5,Tabelle1324568910111213141516171619[[#This Row],[COsSP Initially Planned]]+Tabelle1324568910111213141516171619[[#This Row],[COsSP Pulled after Start]]-Tabelle1324568910111213141516171619[[#This Row],[CSOsSP Completed]],0)</f>
        <v>0</v>
      </c>
      <c r="R245" s="379">
        <f>Tabelle1324568910111213141516171619[[#This Row],[COsSP Initially Planned]]+Tabelle1324568910111213141516171619[[#This Row],[COsSP Pulled after Start]]-Tabelle1324568910111213141516171619[[#This Row],[CSOsSP Completed]]-Tabelle1324568910111213141516171619[[#This Row],[CSOsSP Removed]]</f>
        <v>0</v>
      </c>
    </row>
    <row r="246" spans="1:18" ht="13.5" customHeight="1">
      <c r="A246" s="383"/>
      <c r="B246" s="47"/>
      <c r="C246" s="203"/>
      <c r="D246" s="203"/>
      <c r="E246" s="203"/>
      <c r="F246" s="204"/>
      <c r="G246" s="203"/>
      <c r="H246" s="205"/>
      <c r="I246" s="206"/>
      <c r="J246" s="206"/>
      <c r="K246" s="203"/>
      <c r="L246" s="204"/>
      <c r="M246" s="204"/>
      <c r="N246" s="378">
        <f>IF(OR(Tabelle1324568910111213141516171619[[#This Row],[Pulled after Start]]="yes",Tabelle1324568910111213141516171619[[#This Row],[Jira Story Points]]="-"),0,MIN(Tabelle1324568910111213141516171619[[#This Row],[Jira Story Points]],Tabelle1324568910111213141516171619[[#This Row],[Carry-over]]))</f>
        <v>0</v>
      </c>
      <c r="O246" s="379">
        <f>SUM(IF(ISBLANK(Tabelle1324568910111213141516171619[[#This Row],[Carry-over]]),Tabelle1324568910111213141516171619[[#This Row],[Jira Story Points]],Tabelle1324568910111213141516171619[[#This Row],[Carry-over]]),-Tabelle1324568910111213141516171619[[#This Row],[COsSP Initially Planned]])</f>
        <v>0</v>
      </c>
      <c r="P24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46" s="379">
        <f>IF(Tabelle1324568910111213141516171619[[#This Row],[Status]]=$J$5,Tabelle1324568910111213141516171619[[#This Row],[COsSP Initially Planned]]+Tabelle1324568910111213141516171619[[#This Row],[COsSP Pulled after Start]]-Tabelle1324568910111213141516171619[[#This Row],[CSOsSP Completed]],0)</f>
        <v>0</v>
      </c>
      <c r="R246" s="379">
        <f>Tabelle1324568910111213141516171619[[#This Row],[COsSP Initially Planned]]+Tabelle1324568910111213141516171619[[#This Row],[COsSP Pulled after Start]]-Tabelle1324568910111213141516171619[[#This Row],[CSOsSP Completed]]-Tabelle1324568910111213141516171619[[#This Row],[CSOsSP Removed]]</f>
        <v>0</v>
      </c>
    </row>
    <row r="247" spans="1:18" ht="13.5" customHeight="1">
      <c r="A247" s="383"/>
      <c r="B247" s="47"/>
      <c r="C247" s="203"/>
      <c r="D247" s="203"/>
      <c r="E247" s="203"/>
      <c r="F247" s="204"/>
      <c r="G247" s="203"/>
      <c r="H247" s="205"/>
      <c r="I247" s="206"/>
      <c r="J247" s="206"/>
      <c r="K247" s="203"/>
      <c r="L247" s="204"/>
      <c r="M247" s="204"/>
      <c r="N247" s="378">
        <f>IF(OR(Tabelle1324568910111213141516171619[[#This Row],[Pulled after Start]]="yes",Tabelle1324568910111213141516171619[[#This Row],[Jira Story Points]]="-"),0,MIN(Tabelle1324568910111213141516171619[[#This Row],[Jira Story Points]],Tabelle1324568910111213141516171619[[#This Row],[Carry-over]]))</f>
        <v>0</v>
      </c>
      <c r="O247" s="379">
        <f>SUM(IF(ISBLANK(Tabelle1324568910111213141516171619[[#This Row],[Carry-over]]),Tabelle1324568910111213141516171619[[#This Row],[Jira Story Points]],Tabelle1324568910111213141516171619[[#This Row],[Carry-over]]),-Tabelle1324568910111213141516171619[[#This Row],[COsSP Initially Planned]])</f>
        <v>0</v>
      </c>
      <c r="P24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47" s="379">
        <f>IF(Tabelle1324568910111213141516171619[[#This Row],[Status]]=$J$5,Tabelle1324568910111213141516171619[[#This Row],[COsSP Initially Planned]]+Tabelle1324568910111213141516171619[[#This Row],[COsSP Pulled after Start]]-Tabelle1324568910111213141516171619[[#This Row],[CSOsSP Completed]],0)</f>
        <v>0</v>
      </c>
      <c r="R247" s="379">
        <f>Tabelle1324568910111213141516171619[[#This Row],[COsSP Initially Planned]]+Tabelle1324568910111213141516171619[[#This Row],[COsSP Pulled after Start]]-Tabelle1324568910111213141516171619[[#This Row],[CSOsSP Completed]]-Tabelle1324568910111213141516171619[[#This Row],[CSOsSP Removed]]</f>
        <v>0</v>
      </c>
    </row>
    <row r="248" spans="1:18" ht="13.5" customHeight="1">
      <c r="A248" s="383"/>
      <c r="B248" s="47"/>
      <c r="C248" s="203"/>
      <c r="D248" s="203"/>
      <c r="E248" s="203"/>
      <c r="F248" s="204"/>
      <c r="G248" s="203"/>
      <c r="H248" s="205"/>
      <c r="I248" s="206"/>
      <c r="J248" s="206"/>
      <c r="K248" s="203"/>
      <c r="L248" s="204"/>
      <c r="M248" s="204"/>
      <c r="N248" s="378">
        <f>IF(OR(Tabelle1324568910111213141516171619[[#This Row],[Pulled after Start]]="yes",Tabelle1324568910111213141516171619[[#This Row],[Jira Story Points]]="-"),0,MIN(Tabelle1324568910111213141516171619[[#This Row],[Jira Story Points]],Tabelle1324568910111213141516171619[[#This Row],[Carry-over]]))</f>
        <v>0</v>
      </c>
      <c r="O248" s="379">
        <f>SUM(IF(ISBLANK(Tabelle1324568910111213141516171619[[#This Row],[Carry-over]]),Tabelle1324568910111213141516171619[[#This Row],[Jira Story Points]],Tabelle1324568910111213141516171619[[#This Row],[Carry-over]]),-Tabelle1324568910111213141516171619[[#This Row],[COsSP Initially Planned]])</f>
        <v>0</v>
      </c>
      <c r="P24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48" s="379">
        <f>IF(Tabelle1324568910111213141516171619[[#This Row],[Status]]=$J$5,Tabelle1324568910111213141516171619[[#This Row],[COsSP Initially Planned]]+Tabelle1324568910111213141516171619[[#This Row],[COsSP Pulled after Start]]-Tabelle1324568910111213141516171619[[#This Row],[CSOsSP Completed]],0)</f>
        <v>0</v>
      </c>
      <c r="R248" s="379">
        <f>Tabelle1324568910111213141516171619[[#This Row],[COsSP Initially Planned]]+Tabelle1324568910111213141516171619[[#This Row],[COsSP Pulled after Start]]-Tabelle1324568910111213141516171619[[#This Row],[CSOsSP Completed]]-Tabelle1324568910111213141516171619[[#This Row],[CSOsSP Removed]]</f>
        <v>0</v>
      </c>
    </row>
    <row r="249" spans="1:18" ht="13.5" customHeight="1">
      <c r="A249" s="383"/>
      <c r="B249" s="47"/>
      <c r="C249" s="203"/>
      <c r="D249" s="203"/>
      <c r="E249" s="203"/>
      <c r="F249" s="204"/>
      <c r="G249" s="203"/>
      <c r="H249" s="205"/>
      <c r="I249" s="206"/>
      <c r="J249" s="206"/>
      <c r="K249" s="203"/>
      <c r="L249" s="204"/>
      <c r="M249" s="204"/>
      <c r="N249" s="378">
        <f>IF(OR(Tabelle1324568910111213141516171619[[#This Row],[Pulled after Start]]="yes",Tabelle1324568910111213141516171619[[#This Row],[Jira Story Points]]="-"),0,MIN(Tabelle1324568910111213141516171619[[#This Row],[Jira Story Points]],Tabelle1324568910111213141516171619[[#This Row],[Carry-over]]))</f>
        <v>0</v>
      </c>
      <c r="O249" s="379">
        <f>SUM(IF(ISBLANK(Tabelle1324568910111213141516171619[[#This Row],[Carry-over]]),Tabelle1324568910111213141516171619[[#This Row],[Jira Story Points]],Tabelle1324568910111213141516171619[[#This Row],[Carry-over]]),-Tabelle1324568910111213141516171619[[#This Row],[COsSP Initially Planned]])</f>
        <v>0</v>
      </c>
      <c r="P24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49" s="379">
        <f>IF(Tabelle1324568910111213141516171619[[#This Row],[Status]]=$J$5,Tabelle1324568910111213141516171619[[#This Row],[COsSP Initially Planned]]+Tabelle1324568910111213141516171619[[#This Row],[COsSP Pulled after Start]]-Tabelle1324568910111213141516171619[[#This Row],[CSOsSP Completed]],0)</f>
        <v>0</v>
      </c>
      <c r="R249" s="379">
        <f>Tabelle1324568910111213141516171619[[#This Row],[COsSP Initially Planned]]+Tabelle1324568910111213141516171619[[#This Row],[COsSP Pulled after Start]]-Tabelle1324568910111213141516171619[[#This Row],[CSOsSP Completed]]-Tabelle1324568910111213141516171619[[#This Row],[CSOsSP Removed]]</f>
        <v>0</v>
      </c>
    </row>
    <row r="250" spans="1:18" ht="13.5" customHeight="1">
      <c r="A250" s="383"/>
      <c r="B250" s="47"/>
      <c r="C250" s="203"/>
      <c r="D250" s="203"/>
      <c r="E250" s="203"/>
      <c r="F250" s="204"/>
      <c r="G250" s="203"/>
      <c r="H250" s="205"/>
      <c r="I250" s="206"/>
      <c r="J250" s="206"/>
      <c r="K250" s="203"/>
      <c r="L250" s="204"/>
      <c r="M250" s="204"/>
      <c r="N250" s="378">
        <f>IF(OR(Tabelle1324568910111213141516171619[[#This Row],[Pulled after Start]]="yes",Tabelle1324568910111213141516171619[[#This Row],[Jira Story Points]]="-"),0,MIN(Tabelle1324568910111213141516171619[[#This Row],[Jira Story Points]],Tabelle1324568910111213141516171619[[#This Row],[Carry-over]]))</f>
        <v>0</v>
      </c>
      <c r="O250" s="379">
        <f>SUM(IF(ISBLANK(Tabelle1324568910111213141516171619[[#This Row],[Carry-over]]),Tabelle1324568910111213141516171619[[#This Row],[Jira Story Points]],Tabelle1324568910111213141516171619[[#This Row],[Carry-over]]),-Tabelle1324568910111213141516171619[[#This Row],[COsSP Initially Planned]])</f>
        <v>0</v>
      </c>
      <c r="P25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50" s="379">
        <f>IF(Tabelle1324568910111213141516171619[[#This Row],[Status]]=$J$5,Tabelle1324568910111213141516171619[[#This Row],[COsSP Initially Planned]]+Tabelle1324568910111213141516171619[[#This Row],[COsSP Pulled after Start]]-Tabelle1324568910111213141516171619[[#This Row],[CSOsSP Completed]],0)</f>
        <v>0</v>
      </c>
      <c r="R250" s="379">
        <f>Tabelle1324568910111213141516171619[[#This Row],[COsSP Initially Planned]]+Tabelle1324568910111213141516171619[[#This Row],[COsSP Pulled after Start]]-Tabelle1324568910111213141516171619[[#This Row],[CSOsSP Completed]]-Tabelle1324568910111213141516171619[[#This Row],[CSOsSP Removed]]</f>
        <v>0</v>
      </c>
    </row>
    <row r="251" spans="1:18" ht="13.5" customHeight="1">
      <c r="A251" s="383"/>
      <c r="B251" s="47"/>
      <c r="C251" s="203"/>
      <c r="D251" s="203"/>
      <c r="E251" s="203"/>
      <c r="F251" s="204"/>
      <c r="G251" s="203"/>
      <c r="H251" s="205"/>
      <c r="I251" s="206"/>
      <c r="J251" s="206"/>
      <c r="K251" s="203"/>
      <c r="L251" s="204"/>
      <c r="M251" s="204"/>
      <c r="N251" s="378">
        <f>IF(OR(Tabelle1324568910111213141516171619[[#This Row],[Pulled after Start]]="yes",Tabelle1324568910111213141516171619[[#This Row],[Jira Story Points]]="-"),0,MIN(Tabelle1324568910111213141516171619[[#This Row],[Jira Story Points]],Tabelle1324568910111213141516171619[[#This Row],[Carry-over]]))</f>
        <v>0</v>
      </c>
      <c r="O251" s="379">
        <f>SUM(IF(ISBLANK(Tabelle1324568910111213141516171619[[#This Row],[Carry-over]]),Tabelle1324568910111213141516171619[[#This Row],[Jira Story Points]],Tabelle1324568910111213141516171619[[#This Row],[Carry-over]]),-Tabelle1324568910111213141516171619[[#This Row],[COsSP Initially Planned]])</f>
        <v>0</v>
      </c>
      <c r="P25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51" s="379">
        <f>IF(Tabelle1324568910111213141516171619[[#This Row],[Status]]=$J$5,Tabelle1324568910111213141516171619[[#This Row],[COsSP Initially Planned]]+Tabelle1324568910111213141516171619[[#This Row],[COsSP Pulled after Start]]-Tabelle1324568910111213141516171619[[#This Row],[CSOsSP Completed]],0)</f>
        <v>0</v>
      </c>
      <c r="R251" s="379">
        <f>Tabelle1324568910111213141516171619[[#This Row],[COsSP Initially Planned]]+Tabelle1324568910111213141516171619[[#This Row],[COsSP Pulled after Start]]-Tabelle1324568910111213141516171619[[#This Row],[CSOsSP Completed]]-Tabelle1324568910111213141516171619[[#This Row],[CSOsSP Removed]]</f>
        <v>0</v>
      </c>
    </row>
    <row r="252" spans="1:18" ht="13.5" customHeight="1">
      <c r="A252" s="383"/>
      <c r="B252" s="47"/>
      <c r="C252" s="203"/>
      <c r="D252" s="203"/>
      <c r="E252" s="203"/>
      <c r="F252" s="204"/>
      <c r="G252" s="203"/>
      <c r="H252" s="205"/>
      <c r="I252" s="206"/>
      <c r="J252" s="206"/>
      <c r="K252" s="203"/>
      <c r="L252" s="204"/>
      <c r="M252" s="204"/>
      <c r="N252" s="378">
        <f>IF(OR(Tabelle1324568910111213141516171619[[#This Row],[Pulled after Start]]="yes",Tabelle1324568910111213141516171619[[#This Row],[Jira Story Points]]="-"),0,MIN(Tabelle1324568910111213141516171619[[#This Row],[Jira Story Points]],Tabelle1324568910111213141516171619[[#This Row],[Carry-over]]))</f>
        <v>0</v>
      </c>
      <c r="O252" s="379">
        <f>SUM(IF(ISBLANK(Tabelle1324568910111213141516171619[[#This Row],[Carry-over]]),Tabelle1324568910111213141516171619[[#This Row],[Jira Story Points]],Tabelle1324568910111213141516171619[[#This Row],[Carry-over]]),-Tabelle1324568910111213141516171619[[#This Row],[COsSP Initially Planned]])</f>
        <v>0</v>
      </c>
      <c r="P25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52" s="379">
        <f>IF(Tabelle1324568910111213141516171619[[#This Row],[Status]]=$J$5,Tabelle1324568910111213141516171619[[#This Row],[COsSP Initially Planned]]+Tabelle1324568910111213141516171619[[#This Row],[COsSP Pulled after Start]]-Tabelle1324568910111213141516171619[[#This Row],[CSOsSP Completed]],0)</f>
        <v>0</v>
      </c>
      <c r="R252" s="379">
        <f>Tabelle1324568910111213141516171619[[#This Row],[COsSP Initially Planned]]+Tabelle1324568910111213141516171619[[#This Row],[COsSP Pulled after Start]]-Tabelle1324568910111213141516171619[[#This Row],[CSOsSP Completed]]-Tabelle1324568910111213141516171619[[#This Row],[CSOsSP Removed]]</f>
        <v>0</v>
      </c>
    </row>
    <row r="253" spans="1:18" ht="13.5" customHeight="1">
      <c r="A253" s="383"/>
      <c r="B253" s="47"/>
      <c r="C253" s="203"/>
      <c r="D253" s="203"/>
      <c r="E253" s="203"/>
      <c r="F253" s="204"/>
      <c r="G253" s="203"/>
      <c r="H253" s="205"/>
      <c r="I253" s="206"/>
      <c r="J253" s="206"/>
      <c r="K253" s="203"/>
      <c r="L253" s="204"/>
      <c r="M253" s="204"/>
      <c r="N253" s="378">
        <f>IF(OR(Tabelle1324568910111213141516171619[[#This Row],[Pulled after Start]]="yes",Tabelle1324568910111213141516171619[[#This Row],[Jira Story Points]]="-"),0,MIN(Tabelle1324568910111213141516171619[[#This Row],[Jira Story Points]],Tabelle1324568910111213141516171619[[#This Row],[Carry-over]]))</f>
        <v>0</v>
      </c>
      <c r="O253" s="379">
        <f>SUM(IF(ISBLANK(Tabelle1324568910111213141516171619[[#This Row],[Carry-over]]),Tabelle1324568910111213141516171619[[#This Row],[Jira Story Points]],Tabelle1324568910111213141516171619[[#This Row],[Carry-over]]),-Tabelle1324568910111213141516171619[[#This Row],[COsSP Initially Planned]])</f>
        <v>0</v>
      </c>
      <c r="P25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53" s="379">
        <f>IF(Tabelle1324568910111213141516171619[[#This Row],[Status]]=$J$5,Tabelle1324568910111213141516171619[[#This Row],[COsSP Initially Planned]]+Tabelle1324568910111213141516171619[[#This Row],[COsSP Pulled after Start]]-Tabelle1324568910111213141516171619[[#This Row],[CSOsSP Completed]],0)</f>
        <v>0</v>
      </c>
      <c r="R253" s="379">
        <f>Tabelle1324568910111213141516171619[[#This Row],[COsSP Initially Planned]]+Tabelle1324568910111213141516171619[[#This Row],[COsSP Pulled after Start]]-Tabelle1324568910111213141516171619[[#This Row],[CSOsSP Completed]]-Tabelle1324568910111213141516171619[[#This Row],[CSOsSP Removed]]</f>
        <v>0</v>
      </c>
    </row>
    <row r="254" spans="1:18" ht="13.5" customHeight="1">
      <c r="A254" s="383"/>
      <c r="B254" s="47"/>
      <c r="C254" s="203"/>
      <c r="D254" s="203"/>
      <c r="E254" s="203"/>
      <c r="F254" s="204"/>
      <c r="G254" s="203"/>
      <c r="H254" s="205"/>
      <c r="I254" s="206"/>
      <c r="J254" s="206"/>
      <c r="K254" s="203"/>
      <c r="L254" s="204"/>
      <c r="M254" s="204"/>
      <c r="N254" s="378">
        <f>IF(OR(Tabelle1324568910111213141516171619[[#This Row],[Pulled after Start]]="yes",Tabelle1324568910111213141516171619[[#This Row],[Jira Story Points]]="-"),0,MIN(Tabelle1324568910111213141516171619[[#This Row],[Jira Story Points]],Tabelle1324568910111213141516171619[[#This Row],[Carry-over]]))</f>
        <v>0</v>
      </c>
      <c r="O254" s="379">
        <f>SUM(IF(ISBLANK(Tabelle1324568910111213141516171619[[#This Row],[Carry-over]]),Tabelle1324568910111213141516171619[[#This Row],[Jira Story Points]],Tabelle1324568910111213141516171619[[#This Row],[Carry-over]]),-Tabelle1324568910111213141516171619[[#This Row],[COsSP Initially Planned]])</f>
        <v>0</v>
      </c>
      <c r="P25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54" s="379">
        <f>IF(Tabelle1324568910111213141516171619[[#This Row],[Status]]=$J$5,Tabelle1324568910111213141516171619[[#This Row],[COsSP Initially Planned]]+Tabelle1324568910111213141516171619[[#This Row],[COsSP Pulled after Start]]-Tabelle1324568910111213141516171619[[#This Row],[CSOsSP Completed]],0)</f>
        <v>0</v>
      </c>
      <c r="R254" s="379">
        <f>Tabelle1324568910111213141516171619[[#This Row],[COsSP Initially Planned]]+Tabelle1324568910111213141516171619[[#This Row],[COsSP Pulled after Start]]-Tabelle1324568910111213141516171619[[#This Row],[CSOsSP Completed]]-Tabelle1324568910111213141516171619[[#This Row],[CSOsSP Removed]]</f>
        <v>0</v>
      </c>
    </row>
    <row r="255" spans="1:18" ht="13.5" customHeight="1">
      <c r="A255" s="383"/>
      <c r="B255" s="47"/>
      <c r="C255" s="203"/>
      <c r="D255" s="203"/>
      <c r="E255" s="203"/>
      <c r="F255" s="204"/>
      <c r="G255" s="203"/>
      <c r="H255" s="205"/>
      <c r="I255" s="206"/>
      <c r="J255" s="206"/>
      <c r="K255" s="203"/>
      <c r="L255" s="204"/>
      <c r="M255" s="204"/>
      <c r="N255" s="378">
        <f>IF(OR(Tabelle1324568910111213141516171619[[#This Row],[Pulled after Start]]="yes",Tabelle1324568910111213141516171619[[#This Row],[Jira Story Points]]="-"),0,MIN(Tabelle1324568910111213141516171619[[#This Row],[Jira Story Points]],Tabelle1324568910111213141516171619[[#This Row],[Carry-over]]))</f>
        <v>0</v>
      </c>
      <c r="O255" s="379">
        <f>SUM(IF(ISBLANK(Tabelle1324568910111213141516171619[[#This Row],[Carry-over]]),Tabelle1324568910111213141516171619[[#This Row],[Jira Story Points]],Tabelle1324568910111213141516171619[[#This Row],[Carry-over]]),-Tabelle1324568910111213141516171619[[#This Row],[COsSP Initially Planned]])</f>
        <v>0</v>
      </c>
      <c r="P25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55" s="379">
        <f>IF(Tabelle1324568910111213141516171619[[#This Row],[Status]]=$J$5,Tabelle1324568910111213141516171619[[#This Row],[COsSP Initially Planned]]+Tabelle1324568910111213141516171619[[#This Row],[COsSP Pulled after Start]]-Tabelle1324568910111213141516171619[[#This Row],[CSOsSP Completed]],0)</f>
        <v>0</v>
      </c>
      <c r="R255" s="379">
        <f>Tabelle1324568910111213141516171619[[#This Row],[COsSP Initially Planned]]+Tabelle1324568910111213141516171619[[#This Row],[COsSP Pulled after Start]]-Tabelle1324568910111213141516171619[[#This Row],[CSOsSP Completed]]-Tabelle1324568910111213141516171619[[#This Row],[CSOsSP Removed]]</f>
        <v>0</v>
      </c>
    </row>
    <row r="256" spans="1:18" ht="13.5" customHeight="1">
      <c r="A256" s="383"/>
      <c r="B256" s="47"/>
      <c r="C256" s="203"/>
      <c r="D256" s="203"/>
      <c r="E256" s="203"/>
      <c r="F256" s="204"/>
      <c r="G256" s="203"/>
      <c r="H256" s="205"/>
      <c r="I256" s="206"/>
      <c r="J256" s="206"/>
      <c r="K256" s="203"/>
      <c r="L256" s="204"/>
      <c r="M256" s="204"/>
      <c r="N256" s="378">
        <f>IF(OR(Tabelle1324568910111213141516171619[[#This Row],[Pulled after Start]]="yes",Tabelle1324568910111213141516171619[[#This Row],[Jira Story Points]]="-"),0,MIN(Tabelle1324568910111213141516171619[[#This Row],[Jira Story Points]],Tabelle1324568910111213141516171619[[#This Row],[Carry-over]]))</f>
        <v>0</v>
      </c>
      <c r="O256" s="379">
        <f>SUM(IF(ISBLANK(Tabelle1324568910111213141516171619[[#This Row],[Carry-over]]),Tabelle1324568910111213141516171619[[#This Row],[Jira Story Points]],Tabelle1324568910111213141516171619[[#This Row],[Carry-over]]),-Tabelle1324568910111213141516171619[[#This Row],[COsSP Initially Planned]])</f>
        <v>0</v>
      </c>
      <c r="P25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56" s="379">
        <f>IF(Tabelle1324568910111213141516171619[[#This Row],[Status]]=$J$5,Tabelle1324568910111213141516171619[[#This Row],[COsSP Initially Planned]]+Tabelle1324568910111213141516171619[[#This Row],[COsSP Pulled after Start]]-Tabelle1324568910111213141516171619[[#This Row],[CSOsSP Completed]],0)</f>
        <v>0</v>
      </c>
      <c r="R256" s="379">
        <f>Tabelle1324568910111213141516171619[[#This Row],[COsSP Initially Planned]]+Tabelle1324568910111213141516171619[[#This Row],[COsSP Pulled after Start]]-Tabelle1324568910111213141516171619[[#This Row],[CSOsSP Completed]]-Tabelle1324568910111213141516171619[[#This Row],[CSOsSP Removed]]</f>
        <v>0</v>
      </c>
    </row>
    <row r="257" spans="1:18" ht="13.5" customHeight="1">
      <c r="A257" s="383"/>
      <c r="B257" s="47"/>
      <c r="C257" s="203"/>
      <c r="D257" s="203"/>
      <c r="E257" s="203"/>
      <c r="F257" s="204"/>
      <c r="G257" s="203"/>
      <c r="H257" s="205"/>
      <c r="I257" s="206"/>
      <c r="J257" s="206"/>
      <c r="K257" s="203"/>
      <c r="L257" s="204"/>
      <c r="M257" s="204"/>
      <c r="N257" s="378">
        <f>IF(OR(Tabelle1324568910111213141516171619[[#This Row],[Pulled after Start]]="yes",Tabelle1324568910111213141516171619[[#This Row],[Jira Story Points]]="-"),0,MIN(Tabelle1324568910111213141516171619[[#This Row],[Jira Story Points]],Tabelle1324568910111213141516171619[[#This Row],[Carry-over]]))</f>
        <v>0</v>
      </c>
      <c r="O257" s="379">
        <f>SUM(IF(ISBLANK(Tabelle1324568910111213141516171619[[#This Row],[Carry-over]]),Tabelle1324568910111213141516171619[[#This Row],[Jira Story Points]],Tabelle1324568910111213141516171619[[#This Row],[Carry-over]]),-Tabelle1324568910111213141516171619[[#This Row],[COsSP Initially Planned]])</f>
        <v>0</v>
      </c>
      <c r="P25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57" s="379">
        <f>IF(Tabelle1324568910111213141516171619[[#This Row],[Status]]=$J$5,Tabelle1324568910111213141516171619[[#This Row],[COsSP Initially Planned]]+Tabelle1324568910111213141516171619[[#This Row],[COsSP Pulled after Start]]-Tabelle1324568910111213141516171619[[#This Row],[CSOsSP Completed]],0)</f>
        <v>0</v>
      </c>
      <c r="R257" s="379">
        <f>Tabelle1324568910111213141516171619[[#This Row],[COsSP Initially Planned]]+Tabelle1324568910111213141516171619[[#This Row],[COsSP Pulled after Start]]-Tabelle1324568910111213141516171619[[#This Row],[CSOsSP Completed]]-Tabelle1324568910111213141516171619[[#This Row],[CSOsSP Removed]]</f>
        <v>0</v>
      </c>
    </row>
    <row r="258" spans="1:18" ht="13.5" customHeight="1">
      <c r="A258" s="383"/>
      <c r="B258" s="47"/>
      <c r="C258" s="203"/>
      <c r="D258" s="203"/>
      <c r="E258" s="203"/>
      <c r="F258" s="204"/>
      <c r="G258" s="203"/>
      <c r="H258" s="205"/>
      <c r="I258" s="206"/>
      <c r="J258" s="206"/>
      <c r="K258" s="203"/>
      <c r="L258" s="204"/>
      <c r="M258" s="204"/>
      <c r="N258" s="378">
        <f>IF(OR(Tabelle1324568910111213141516171619[[#This Row],[Pulled after Start]]="yes",Tabelle1324568910111213141516171619[[#This Row],[Jira Story Points]]="-"),0,MIN(Tabelle1324568910111213141516171619[[#This Row],[Jira Story Points]],Tabelle1324568910111213141516171619[[#This Row],[Carry-over]]))</f>
        <v>0</v>
      </c>
      <c r="O258" s="379">
        <f>SUM(IF(ISBLANK(Tabelle1324568910111213141516171619[[#This Row],[Carry-over]]),Tabelle1324568910111213141516171619[[#This Row],[Jira Story Points]],Tabelle1324568910111213141516171619[[#This Row],[Carry-over]]),-Tabelle1324568910111213141516171619[[#This Row],[COsSP Initially Planned]])</f>
        <v>0</v>
      </c>
      <c r="P25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58" s="379">
        <f>IF(Tabelle1324568910111213141516171619[[#This Row],[Status]]=$J$5,Tabelle1324568910111213141516171619[[#This Row],[COsSP Initially Planned]]+Tabelle1324568910111213141516171619[[#This Row],[COsSP Pulled after Start]]-Tabelle1324568910111213141516171619[[#This Row],[CSOsSP Completed]],0)</f>
        <v>0</v>
      </c>
      <c r="R258" s="379">
        <f>Tabelle1324568910111213141516171619[[#This Row],[COsSP Initially Planned]]+Tabelle1324568910111213141516171619[[#This Row],[COsSP Pulled after Start]]-Tabelle1324568910111213141516171619[[#This Row],[CSOsSP Completed]]-Tabelle1324568910111213141516171619[[#This Row],[CSOsSP Removed]]</f>
        <v>0</v>
      </c>
    </row>
    <row r="259" spans="1:18" ht="13.5" customHeight="1">
      <c r="A259" s="383"/>
      <c r="B259" s="47"/>
      <c r="C259" s="203"/>
      <c r="D259" s="203"/>
      <c r="E259" s="203"/>
      <c r="F259" s="204"/>
      <c r="G259" s="203"/>
      <c r="H259" s="205"/>
      <c r="I259" s="206"/>
      <c r="J259" s="206"/>
      <c r="K259" s="203"/>
      <c r="L259" s="204"/>
      <c r="M259" s="204"/>
      <c r="N259" s="378">
        <f>IF(OR(Tabelle1324568910111213141516171619[[#This Row],[Pulled after Start]]="yes",Tabelle1324568910111213141516171619[[#This Row],[Jira Story Points]]="-"),0,MIN(Tabelle1324568910111213141516171619[[#This Row],[Jira Story Points]],Tabelle1324568910111213141516171619[[#This Row],[Carry-over]]))</f>
        <v>0</v>
      </c>
      <c r="O259" s="379">
        <f>SUM(IF(ISBLANK(Tabelle1324568910111213141516171619[[#This Row],[Carry-over]]),Tabelle1324568910111213141516171619[[#This Row],[Jira Story Points]],Tabelle1324568910111213141516171619[[#This Row],[Carry-over]]),-Tabelle1324568910111213141516171619[[#This Row],[COsSP Initially Planned]])</f>
        <v>0</v>
      </c>
      <c r="P25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59" s="379">
        <f>IF(Tabelle1324568910111213141516171619[[#This Row],[Status]]=$J$5,Tabelle1324568910111213141516171619[[#This Row],[COsSP Initially Planned]]+Tabelle1324568910111213141516171619[[#This Row],[COsSP Pulled after Start]]-Tabelle1324568910111213141516171619[[#This Row],[CSOsSP Completed]],0)</f>
        <v>0</v>
      </c>
      <c r="R259" s="379">
        <f>Tabelle1324568910111213141516171619[[#This Row],[COsSP Initially Planned]]+Tabelle1324568910111213141516171619[[#This Row],[COsSP Pulled after Start]]-Tabelle1324568910111213141516171619[[#This Row],[CSOsSP Completed]]-Tabelle1324568910111213141516171619[[#This Row],[CSOsSP Removed]]</f>
        <v>0</v>
      </c>
    </row>
    <row r="260" spans="1:18" ht="13.5" customHeight="1">
      <c r="A260" s="383"/>
      <c r="B260" s="47"/>
      <c r="C260" s="203"/>
      <c r="D260" s="203"/>
      <c r="E260" s="203"/>
      <c r="F260" s="204"/>
      <c r="G260" s="203"/>
      <c r="H260" s="205"/>
      <c r="I260" s="206"/>
      <c r="J260" s="206"/>
      <c r="K260" s="203"/>
      <c r="L260" s="204"/>
      <c r="M260" s="204"/>
      <c r="N260" s="378">
        <f>IF(OR(Tabelle1324568910111213141516171619[[#This Row],[Pulled after Start]]="yes",Tabelle1324568910111213141516171619[[#This Row],[Jira Story Points]]="-"),0,MIN(Tabelle1324568910111213141516171619[[#This Row],[Jira Story Points]],Tabelle1324568910111213141516171619[[#This Row],[Carry-over]]))</f>
        <v>0</v>
      </c>
      <c r="O260" s="379">
        <f>SUM(IF(ISBLANK(Tabelle1324568910111213141516171619[[#This Row],[Carry-over]]),Tabelle1324568910111213141516171619[[#This Row],[Jira Story Points]],Tabelle1324568910111213141516171619[[#This Row],[Carry-over]]),-Tabelle1324568910111213141516171619[[#This Row],[COsSP Initially Planned]])</f>
        <v>0</v>
      </c>
      <c r="P26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60" s="379">
        <f>IF(Tabelle1324568910111213141516171619[[#This Row],[Status]]=$J$5,Tabelle1324568910111213141516171619[[#This Row],[COsSP Initially Planned]]+Tabelle1324568910111213141516171619[[#This Row],[COsSP Pulled after Start]]-Tabelle1324568910111213141516171619[[#This Row],[CSOsSP Completed]],0)</f>
        <v>0</v>
      </c>
      <c r="R260" s="379">
        <f>Tabelle1324568910111213141516171619[[#This Row],[COsSP Initially Planned]]+Tabelle1324568910111213141516171619[[#This Row],[COsSP Pulled after Start]]-Tabelle1324568910111213141516171619[[#This Row],[CSOsSP Completed]]-Tabelle1324568910111213141516171619[[#This Row],[CSOsSP Removed]]</f>
        <v>0</v>
      </c>
    </row>
    <row r="261" spans="1:18" ht="13.5" customHeight="1">
      <c r="A261" s="383"/>
      <c r="B261" s="47"/>
      <c r="C261" s="203"/>
      <c r="D261" s="203"/>
      <c r="E261" s="203"/>
      <c r="F261" s="204"/>
      <c r="G261" s="203"/>
      <c r="H261" s="205"/>
      <c r="I261" s="206"/>
      <c r="J261" s="206"/>
      <c r="K261" s="203"/>
      <c r="L261" s="204"/>
      <c r="M261" s="204"/>
      <c r="N261" s="378">
        <f>IF(OR(Tabelle1324568910111213141516171619[[#This Row],[Pulled after Start]]="yes",Tabelle1324568910111213141516171619[[#This Row],[Jira Story Points]]="-"),0,MIN(Tabelle1324568910111213141516171619[[#This Row],[Jira Story Points]],Tabelle1324568910111213141516171619[[#This Row],[Carry-over]]))</f>
        <v>0</v>
      </c>
      <c r="O261" s="379">
        <f>SUM(IF(ISBLANK(Tabelle1324568910111213141516171619[[#This Row],[Carry-over]]),Tabelle1324568910111213141516171619[[#This Row],[Jira Story Points]],Tabelle1324568910111213141516171619[[#This Row],[Carry-over]]),-Tabelle1324568910111213141516171619[[#This Row],[COsSP Initially Planned]])</f>
        <v>0</v>
      </c>
      <c r="P26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61" s="379">
        <f>IF(Tabelle1324568910111213141516171619[[#This Row],[Status]]=$J$5,Tabelle1324568910111213141516171619[[#This Row],[COsSP Initially Planned]]+Tabelle1324568910111213141516171619[[#This Row],[COsSP Pulled after Start]]-Tabelle1324568910111213141516171619[[#This Row],[CSOsSP Completed]],0)</f>
        <v>0</v>
      </c>
      <c r="R261" s="379">
        <f>Tabelle1324568910111213141516171619[[#This Row],[COsSP Initially Planned]]+Tabelle1324568910111213141516171619[[#This Row],[COsSP Pulled after Start]]-Tabelle1324568910111213141516171619[[#This Row],[CSOsSP Completed]]-Tabelle1324568910111213141516171619[[#This Row],[CSOsSP Removed]]</f>
        <v>0</v>
      </c>
    </row>
    <row r="262" spans="1:18" ht="13.5" customHeight="1">
      <c r="A262" s="383"/>
      <c r="B262" s="47"/>
      <c r="C262" s="203"/>
      <c r="D262" s="203"/>
      <c r="E262" s="203"/>
      <c r="F262" s="204"/>
      <c r="G262" s="203"/>
      <c r="H262" s="205"/>
      <c r="I262" s="206"/>
      <c r="J262" s="206"/>
      <c r="K262" s="203"/>
      <c r="L262" s="204"/>
      <c r="M262" s="204"/>
      <c r="N262" s="378">
        <f>IF(OR(Tabelle1324568910111213141516171619[[#This Row],[Pulled after Start]]="yes",Tabelle1324568910111213141516171619[[#This Row],[Jira Story Points]]="-"),0,MIN(Tabelle1324568910111213141516171619[[#This Row],[Jira Story Points]],Tabelle1324568910111213141516171619[[#This Row],[Carry-over]]))</f>
        <v>0</v>
      </c>
      <c r="O262" s="379">
        <f>SUM(IF(ISBLANK(Tabelle1324568910111213141516171619[[#This Row],[Carry-over]]),Tabelle1324568910111213141516171619[[#This Row],[Jira Story Points]],Tabelle1324568910111213141516171619[[#This Row],[Carry-over]]),-Tabelle1324568910111213141516171619[[#This Row],[COsSP Initially Planned]])</f>
        <v>0</v>
      </c>
      <c r="P26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62" s="379">
        <f>IF(Tabelle1324568910111213141516171619[[#This Row],[Status]]=$J$5,Tabelle1324568910111213141516171619[[#This Row],[COsSP Initially Planned]]+Tabelle1324568910111213141516171619[[#This Row],[COsSP Pulled after Start]]-Tabelle1324568910111213141516171619[[#This Row],[CSOsSP Completed]],0)</f>
        <v>0</v>
      </c>
      <c r="R262" s="379">
        <f>Tabelle1324568910111213141516171619[[#This Row],[COsSP Initially Planned]]+Tabelle1324568910111213141516171619[[#This Row],[COsSP Pulled after Start]]-Tabelle1324568910111213141516171619[[#This Row],[CSOsSP Completed]]-Tabelle1324568910111213141516171619[[#This Row],[CSOsSP Removed]]</f>
        <v>0</v>
      </c>
    </row>
    <row r="263" spans="1:18" ht="13.5" customHeight="1">
      <c r="A263" s="383"/>
      <c r="B263" s="47"/>
      <c r="C263" s="203"/>
      <c r="D263" s="203"/>
      <c r="E263" s="203"/>
      <c r="F263" s="204"/>
      <c r="G263" s="203"/>
      <c r="H263" s="205"/>
      <c r="I263" s="206"/>
      <c r="J263" s="206"/>
      <c r="K263" s="203"/>
      <c r="L263" s="204"/>
      <c r="M263" s="204"/>
      <c r="N263" s="378">
        <f>IF(OR(Tabelle1324568910111213141516171619[[#This Row],[Pulled after Start]]="yes",Tabelle1324568910111213141516171619[[#This Row],[Jira Story Points]]="-"),0,MIN(Tabelle1324568910111213141516171619[[#This Row],[Jira Story Points]],Tabelle1324568910111213141516171619[[#This Row],[Carry-over]]))</f>
        <v>0</v>
      </c>
      <c r="O263" s="379">
        <f>SUM(IF(ISBLANK(Tabelle1324568910111213141516171619[[#This Row],[Carry-over]]),Tabelle1324568910111213141516171619[[#This Row],[Jira Story Points]],Tabelle1324568910111213141516171619[[#This Row],[Carry-over]]),-Tabelle1324568910111213141516171619[[#This Row],[COsSP Initially Planned]])</f>
        <v>0</v>
      </c>
      <c r="P26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63" s="379">
        <f>IF(Tabelle1324568910111213141516171619[[#This Row],[Status]]=$J$5,Tabelle1324568910111213141516171619[[#This Row],[COsSP Initially Planned]]+Tabelle1324568910111213141516171619[[#This Row],[COsSP Pulled after Start]]-Tabelle1324568910111213141516171619[[#This Row],[CSOsSP Completed]],0)</f>
        <v>0</v>
      </c>
      <c r="R263" s="379">
        <f>Tabelle1324568910111213141516171619[[#This Row],[COsSP Initially Planned]]+Tabelle1324568910111213141516171619[[#This Row],[COsSP Pulled after Start]]-Tabelle1324568910111213141516171619[[#This Row],[CSOsSP Completed]]-Tabelle1324568910111213141516171619[[#This Row],[CSOsSP Removed]]</f>
        <v>0</v>
      </c>
    </row>
    <row r="264" spans="1:18" ht="13.5" customHeight="1">
      <c r="A264" s="383"/>
      <c r="B264" s="47"/>
      <c r="C264" s="203"/>
      <c r="D264" s="203"/>
      <c r="E264" s="203"/>
      <c r="F264" s="204"/>
      <c r="G264" s="203"/>
      <c r="H264" s="205"/>
      <c r="I264" s="206"/>
      <c r="J264" s="206"/>
      <c r="K264" s="203"/>
      <c r="L264" s="204"/>
      <c r="M264" s="204"/>
      <c r="N264" s="378">
        <f>IF(OR(Tabelle1324568910111213141516171619[[#This Row],[Pulled after Start]]="yes",Tabelle1324568910111213141516171619[[#This Row],[Jira Story Points]]="-"),0,MIN(Tabelle1324568910111213141516171619[[#This Row],[Jira Story Points]],Tabelle1324568910111213141516171619[[#This Row],[Carry-over]]))</f>
        <v>0</v>
      </c>
      <c r="O264" s="379">
        <f>SUM(IF(ISBLANK(Tabelle1324568910111213141516171619[[#This Row],[Carry-over]]),Tabelle1324568910111213141516171619[[#This Row],[Jira Story Points]],Tabelle1324568910111213141516171619[[#This Row],[Carry-over]]),-Tabelle1324568910111213141516171619[[#This Row],[COsSP Initially Planned]])</f>
        <v>0</v>
      </c>
      <c r="P26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64" s="379">
        <f>IF(Tabelle1324568910111213141516171619[[#This Row],[Status]]=$J$5,Tabelle1324568910111213141516171619[[#This Row],[COsSP Initially Planned]]+Tabelle1324568910111213141516171619[[#This Row],[COsSP Pulled after Start]]-Tabelle1324568910111213141516171619[[#This Row],[CSOsSP Completed]],0)</f>
        <v>0</v>
      </c>
      <c r="R264" s="379">
        <f>Tabelle1324568910111213141516171619[[#This Row],[COsSP Initially Planned]]+Tabelle1324568910111213141516171619[[#This Row],[COsSP Pulled after Start]]-Tabelle1324568910111213141516171619[[#This Row],[CSOsSP Completed]]-Tabelle1324568910111213141516171619[[#This Row],[CSOsSP Removed]]</f>
        <v>0</v>
      </c>
    </row>
    <row r="265" spans="1:18" ht="13.5" customHeight="1">
      <c r="A265" s="383"/>
      <c r="B265" s="47"/>
      <c r="C265" s="203"/>
      <c r="D265" s="203"/>
      <c r="E265" s="203"/>
      <c r="F265" s="204"/>
      <c r="G265" s="203"/>
      <c r="H265" s="205"/>
      <c r="I265" s="206"/>
      <c r="J265" s="206"/>
      <c r="K265" s="203"/>
      <c r="L265" s="204"/>
      <c r="M265" s="204"/>
      <c r="N265" s="378">
        <f>IF(OR(Tabelle1324568910111213141516171619[[#This Row],[Pulled after Start]]="yes",Tabelle1324568910111213141516171619[[#This Row],[Jira Story Points]]="-"),0,MIN(Tabelle1324568910111213141516171619[[#This Row],[Jira Story Points]],Tabelle1324568910111213141516171619[[#This Row],[Carry-over]]))</f>
        <v>0</v>
      </c>
      <c r="O265" s="379">
        <f>SUM(IF(ISBLANK(Tabelle1324568910111213141516171619[[#This Row],[Carry-over]]),Tabelle1324568910111213141516171619[[#This Row],[Jira Story Points]],Tabelle1324568910111213141516171619[[#This Row],[Carry-over]]),-Tabelle1324568910111213141516171619[[#This Row],[COsSP Initially Planned]])</f>
        <v>0</v>
      </c>
      <c r="P26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65" s="379">
        <f>IF(Tabelle1324568910111213141516171619[[#This Row],[Status]]=$J$5,Tabelle1324568910111213141516171619[[#This Row],[COsSP Initially Planned]]+Tabelle1324568910111213141516171619[[#This Row],[COsSP Pulled after Start]]-Tabelle1324568910111213141516171619[[#This Row],[CSOsSP Completed]],0)</f>
        <v>0</v>
      </c>
      <c r="R265" s="379">
        <f>Tabelle1324568910111213141516171619[[#This Row],[COsSP Initially Planned]]+Tabelle1324568910111213141516171619[[#This Row],[COsSP Pulled after Start]]-Tabelle1324568910111213141516171619[[#This Row],[CSOsSP Completed]]-Tabelle1324568910111213141516171619[[#This Row],[CSOsSP Removed]]</f>
        <v>0</v>
      </c>
    </row>
    <row r="266" spans="1:18" ht="13.5" customHeight="1">
      <c r="A266" s="383"/>
      <c r="B266" s="47"/>
      <c r="C266" s="203"/>
      <c r="D266" s="203"/>
      <c r="E266" s="203"/>
      <c r="F266" s="204"/>
      <c r="G266" s="203"/>
      <c r="H266" s="205"/>
      <c r="I266" s="206"/>
      <c r="J266" s="206"/>
      <c r="K266" s="203"/>
      <c r="L266" s="204"/>
      <c r="M266" s="204"/>
      <c r="N266" s="378">
        <f>IF(OR(Tabelle1324568910111213141516171619[[#This Row],[Pulled after Start]]="yes",Tabelle1324568910111213141516171619[[#This Row],[Jira Story Points]]="-"),0,MIN(Tabelle1324568910111213141516171619[[#This Row],[Jira Story Points]],Tabelle1324568910111213141516171619[[#This Row],[Carry-over]]))</f>
        <v>0</v>
      </c>
      <c r="O266" s="379">
        <f>SUM(IF(ISBLANK(Tabelle1324568910111213141516171619[[#This Row],[Carry-over]]),Tabelle1324568910111213141516171619[[#This Row],[Jira Story Points]],Tabelle1324568910111213141516171619[[#This Row],[Carry-over]]),-Tabelle1324568910111213141516171619[[#This Row],[COsSP Initially Planned]])</f>
        <v>0</v>
      </c>
      <c r="P26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66" s="379">
        <f>IF(Tabelle1324568910111213141516171619[[#This Row],[Status]]=$J$5,Tabelle1324568910111213141516171619[[#This Row],[COsSP Initially Planned]]+Tabelle1324568910111213141516171619[[#This Row],[COsSP Pulled after Start]]-Tabelle1324568910111213141516171619[[#This Row],[CSOsSP Completed]],0)</f>
        <v>0</v>
      </c>
      <c r="R266" s="379">
        <f>Tabelle1324568910111213141516171619[[#This Row],[COsSP Initially Planned]]+Tabelle1324568910111213141516171619[[#This Row],[COsSP Pulled after Start]]-Tabelle1324568910111213141516171619[[#This Row],[CSOsSP Completed]]-Tabelle1324568910111213141516171619[[#This Row],[CSOsSP Removed]]</f>
        <v>0</v>
      </c>
    </row>
    <row r="267" spans="1:18" ht="13.5" customHeight="1">
      <c r="A267" s="383"/>
      <c r="B267" s="47"/>
      <c r="C267" s="203"/>
      <c r="D267" s="203"/>
      <c r="E267" s="203"/>
      <c r="F267" s="204"/>
      <c r="G267" s="203"/>
      <c r="H267" s="205"/>
      <c r="I267" s="206"/>
      <c r="J267" s="206"/>
      <c r="K267" s="203"/>
      <c r="L267" s="204"/>
      <c r="M267" s="204"/>
      <c r="N267" s="378">
        <f>IF(OR(Tabelle1324568910111213141516171619[[#This Row],[Pulled after Start]]="yes",Tabelle1324568910111213141516171619[[#This Row],[Jira Story Points]]="-"),0,MIN(Tabelle1324568910111213141516171619[[#This Row],[Jira Story Points]],Tabelle1324568910111213141516171619[[#This Row],[Carry-over]]))</f>
        <v>0</v>
      </c>
      <c r="O267" s="379">
        <f>SUM(IF(ISBLANK(Tabelle1324568910111213141516171619[[#This Row],[Carry-over]]),Tabelle1324568910111213141516171619[[#This Row],[Jira Story Points]],Tabelle1324568910111213141516171619[[#This Row],[Carry-over]]),-Tabelle1324568910111213141516171619[[#This Row],[COsSP Initially Planned]])</f>
        <v>0</v>
      </c>
      <c r="P26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67" s="379">
        <f>IF(Tabelle1324568910111213141516171619[[#This Row],[Status]]=$J$5,Tabelle1324568910111213141516171619[[#This Row],[COsSP Initially Planned]]+Tabelle1324568910111213141516171619[[#This Row],[COsSP Pulled after Start]]-Tabelle1324568910111213141516171619[[#This Row],[CSOsSP Completed]],0)</f>
        <v>0</v>
      </c>
      <c r="R267" s="379">
        <f>Tabelle1324568910111213141516171619[[#This Row],[COsSP Initially Planned]]+Tabelle1324568910111213141516171619[[#This Row],[COsSP Pulled after Start]]-Tabelle1324568910111213141516171619[[#This Row],[CSOsSP Completed]]-Tabelle1324568910111213141516171619[[#This Row],[CSOsSP Removed]]</f>
        <v>0</v>
      </c>
    </row>
    <row r="268" spans="1:18" ht="13.5" customHeight="1">
      <c r="A268" s="383"/>
      <c r="B268" s="47"/>
      <c r="C268" s="203"/>
      <c r="D268" s="203"/>
      <c r="E268" s="203"/>
      <c r="F268" s="204"/>
      <c r="G268" s="203"/>
      <c r="H268" s="205"/>
      <c r="I268" s="206"/>
      <c r="J268" s="206"/>
      <c r="K268" s="203"/>
      <c r="L268" s="204"/>
      <c r="M268" s="204"/>
      <c r="N268" s="378">
        <f>IF(OR(Tabelle1324568910111213141516171619[[#This Row],[Pulled after Start]]="yes",Tabelle1324568910111213141516171619[[#This Row],[Jira Story Points]]="-"),0,MIN(Tabelle1324568910111213141516171619[[#This Row],[Jira Story Points]],Tabelle1324568910111213141516171619[[#This Row],[Carry-over]]))</f>
        <v>0</v>
      </c>
      <c r="O268" s="379">
        <f>SUM(IF(ISBLANK(Tabelle1324568910111213141516171619[[#This Row],[Carry-over]]),Tabelle1324568910111213141516171619[[#This Row],[Jira Story Points]],Tabelle1324568910111213141516171619[[#This Row],[Carry-over]]),-Tabelle1324568910111213141516171619[[#This Row],[COsSP Initially Planned]])</f>
        <v>0</v>
      </c>
      <c r="P26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68" s="379">
        <f>IF(Tabelle1324568910111213141516171619[[#This Row],[Status]]=$J$5,Tabelle1324568910111213141516171619[[#This Row],[COsSP Initially Planned]]+Tabelle1324568910111213141516171619[[#This Row],[COsSP Pulled after Start]]-Tabelle1324568910111213141516171619[[#This Row],[CSOsSP Completed]],0)</f>
        <v>0</v>
      </c>
      <c r="R268" s="379">
        <f>Tabelle1324568910111213141516171619[[#This Row],[COsSP Initially Planned]]+Tabelle1324568910111213141516171619[[#This Row],[COsSP Pulled after Start]]-Tabelle1324568910111213141516171619[[#This Row],[CSOsSP Completed]]-Tabelle1324568910111213141516171619[[#This Row],[CSOsSP Removed]]</f>
        <v>0</v>
      </c>
    </row>
    <row r="269" spans="1:18" ht="13.5" customHeight="1">
      <c r="A269" s="383"/>
      <c r="B269" s="47"/>
      <c r="C269" s="203"/>
      <c r="D269" s="203"/>
      <c r="E269" s="203"/>
      <c r="F269" s="204"/>
      <c r="G269" s="203"/>
      <c r="H269" s="205"/>
      <c r="I269" s="206"/>
      <c r="J269" s="206"/>
      <c r="K269" s="203"/>
      <c r="L269" s="204"/>
      <c r="M269" s="204"/>
      <c r="N269" s="378">
        <f>IF(OR(Tabelle1324568910111213141516171619[[#This Row],[Pulled after Start]]="yes",Tabelle1324568910111213141516171619[[#This Row],[Jira Story Points]]="-"),0,MIN(Tabelle1324568910111213141516171619[[#This Row],[Jira Story Points]],Tabelle1324568910111213141516171619[[#This Row],[Carry-over]]))</f>
        <v>0</v>
      </c>
      <c r="O269" s="379">
        <f>SUM(IF(ISBLANK(Tabelle1324568910111213141516171619[[#This Row],[Carry-over]]),Tabelle1324568910111213141516171619[[#This Row],[Jira Story Points]],Tabelle1324568910111213141516171619[[#This Row],[Carry-over]]),-Tabelle1324568910111213141516171619[[#This Row],[COsSP Initially Planned]])</f>
        <v>0</v>
      </c>
      <c r="P26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69" s="379">
        <f>IF(Tabelle1324568910111213141516171619[[#This Row],[Status]]=$J$5,Tabelle1324568910111213141516171619[[#This Row],[COsSP Initially Planned]]+Tabelle1324568910111213141516171619[[#This Row],[COsSP Pulled after Start]]-Tabelle1324568910111213141516171619[[#This Row],[CSOsSP Completed]],0)</f>
        <v>0</v>
      </c>
      <c r="R269" s="379">
        <f>Tabelle1324568910111213141516171619[[#This Row],[COsSP Initially Planned]]+Tabelle1324568910111213141516171619[[#This Row],[COsSP Pulled after Start]]-Tabelle1324568910111213141516171619[[#This Row],[CSOsSP Completed]]-Tabelle1324568910111213141516171619[[#This Row],[CSOsSP Removed]]</f>
        <v>0</v>
      </c>
    </row>
    <row r="270" spans="1:18" ht="13.5" customHeight="1">
      <c r="A270" s="383"/>
      <c r="B270" s="47"/>
      <c r="C270" s="203"/>
      <c r="D270" s="203"/>
      <c r="E270" s="203"/>
      <c r="F270" s="204"/>
      <c r="G270" s="203"/>
      <c r="H270" s="205"/>
      <c r="I270" s="206"/>
      <c r="J270" s="206"/>
      <c r="K270" s="203"/>
      <c r="L270" s="204"/>
      <c r="M270" s="204"/>
      <c r="N270" s="378">
        <f>IF(OR(Tabelle1324568910111213141516171619[[#This Row],[Pulled after Start]]="yes",Tabelle1324568910111213141516171619[[#This Row],[Jira Story Points]]="-"),0,MIN(Tabelle1324568910111213141516171619[[#This Row],[Jira Story Points]],Tabelle1324568910111213141516171619[[#This Row],[Carry-over]]))</f>
        <v>0</v>
      </c>
      <c r="O270" s="379">
        <f>SUM(IF(ISBLANK(Tabelle1324568910111213141516171619[[#This Row],[Carry-over]]),Tabelle1324568910111213141516171619[[#This Row],[Jira Story Points]],Tabelle1324568910111213141516171619[[#This Row],[Carry-over]]),-Tabelle1324568910111213141516171619[[#This Row],[COsSP Initially Planned]])</f>
        <v>0</v>
      </c>
      <c r="P27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70" s="379">
        <f>IF(Tabelle1324568910111213141516171619[[#This Row],[Status]]=$J$5,Tabelle1324568910111213141516171619[[#This Row],[COsSP Initially Planned]]+Tabelle1324568910111213141516171619[[#This Row],[COsSP Pulled after Start]]-Tabelle1324568910111213141516171619[[#This Row],[CSOsSP Completed]],0)</f>
        <v>0</v>
      </c>
      <c r="R270" s="379">
        <f>Tabelle1324568910111213141516171619[[#This Row],[COsSP Initially Planned]]+Tabelle1324568910111213141516171619[[#This Row],[COsSP Pulled after Start]]-Tabelle1324568910111213141516171619[[#This Row],[CSOsSP Completed]]-Tabelle1324568910111213141516171619[[#This Row],[CSOsSP Removed]]</f>
        <v>0</v>
      </c>
    </row>
    <row r="271" spans="1:18" ht="13.5" customHeight="1">
      <c r="A271" s="383"/>
      <c r="B271" s="47"/>
      <c r="C271" s="203"/>
      <c r="D271" s="203"/>
      <c r="E271" s="203"/>
      <c r="F271" s="204"/>
      <c r="G271" s="203"/>
      <c r="H271" s="205"/>
      <c r="I271" s="206"/>
      <c r="J271" s="206"/>
      <c r="K271" s="203"/>
      <c r="L271" s="204"/>
      <c r="M271" s="204"/>
      <c r="N271" s="378">
        <f>IF(OR(Tabelle1324568910111213141516171619[[#This Row],[Pulled after Start]]="yes",Tabelle1324568910111213141516171619[[#This Row],[Jira Story Points]]="-"),0,MIN(Tabelle1324568910111213141516171619[[#This Row],[Jira Story Points]],Tabelle1324568910111213141516171619[[#This Row],[Carry-over]]))</f>
        <v>0</v>
      </c>
      <c r="O271" s="379">
        <f>SUM(IF(ISBLANK(Tabelle1324568910111213141516171619[[#This Row],[Carry-over]]),Tabelle1324568910111213141516171619[[#This Row],[Jira Story Points]],Tabelle1324568910111213141516171619[[#This Row],[Carry-over]]),-Tabelle1324568910111213141516171619[[#This Row],[COsSP Initially Planned]])</f>
        <v>0</v>
      </c>
      <c r="P27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71" s="379">
        <f>IF(Tabelle1324568910111213141516171619[[#This Row],[Status]]=$J$5,Tabelle1324568910111213141516171619[[#This Row],[COsSP Initially Planned]]+Tabelle1324568910111213141516171619[[#This Row],[COsSP Pulled after Start]]-Tabelle1324568910111213141516171619[[#This Row],[CSOsSP Completed]],0)</f>
        <v>0</v>
      </c>
      <c r="R271" s="379">
        <f>Tabelle1324568910111213141516171619[[#This Row],[COsSP Initially Planned]]+Tabelle1324568910111213141516171619[[#This Row],[COsSP Pulled after Start]]-Tabelle1324568910111213141516171619[[#This Row],[CSOsSP Completed]]-Tabelle1324568910111213141516171619[[#This Row],[CSOsSP Removed]]</f>
        <v>0</v>
      </c>
    </row>
    <row r="272" spans="1:18" ht="13.5" customHeight="1">
      <c r="A272" s="383"/>
      <c r="B272" s="47"/>
      <c r="C272" s="203"/>
      <c r="D272" s="203"/>
      <c r="E272" s="203"/>
      <c r="F272" s="204"/>
      <c r="G272" s="203"/>
      <c r="H272" s="205"/>
      <c r="I272" s="206"/>
      <c r="J272" s="206"/>
      <c r="K272" s="203"/>
      <c r="L272" s="204"/>
      <c r="M272" s="204"/>
      <c r="N272" s="378">
        <f>IF(OR(Tabelle1324568910111213141516171619[[#This Row],[Pulled after Start]]="yes",Tabelle1324568910111213141516171619[[#This Row],[Jira Story Points]]="-"),0,MIN(Tabelle1324568910111213141516171619[[#This Row],[Jira Story Points]],Tabelle1324568910111213141516171619[[#This Row],[Carry-over]]))</f>
        <v>0</v>
      </c>
      <c r="O272" s="379">
        <f>SUM(IF(ISBLANK(Tabelle1324568910111213141516171619[[#This Row],[Carry-over]]),Tabelle1324568910111213141516171619[[#This Row],[Jira Story Points]],Tabelle1324568910111213141516171619[[#This Row],[Carry-over]]),-Tabelle1324568910111213141516171619[[#This Row],[COsSP Initially Planned]])</f>
        <v>0</v>
      </c>
      <c r="P27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72" s="379">
        <f>IF(Tabelle1324568910111213141516171619[[#This Row],[Status]]=$J$5,Tabelle1324568910111213141516171619[[#This Row],[COsSP Initially Planned]]+Tabelle1324568910111213141516171619[[#This Row],[COsSP Pulled after Start]]-Tabelle1324568910111213141516171619[[#This Row],[CSOsSP Completed]],0)</f>
        <v>0</v>
      </c>
      <c r="R272" s="379">
        <f>Tabelle1324568910111213141516171619[[#This Row],[COsSP Initially Planned]]+Tabelle1324568910111213141516171619[[#This Row],[COsSP Pulled after Start]]-Tabelle1324568910111213141516171619[[#This Row],[CSOsSP Completed]]-Tabelle1324568910111213141516171619[[#This Row],[CSOsSP Removed]]</f>
        <v>0</v>
      </c>
    </row>
    <row r="273" spans="1:18" ht="13.5" customHeight="1">
      <c r="A273" s="383"/>
      <c r="B273" s="47"/>
      <c r="C273" s="203"/>
      <c r="D273" s="203"/>
      <c r="E273" s="203"/>
      <c r="F273" s="204"/>
      <c r="G273" s="203"/>
      <c r="H273" s="205"/>
      <c r="I273" s="206"/>
      <c r="J273" s="206"/>
      <c r="K273" s="203"/>
      <c r="L273" s="204"/>
      <c r="M273" s="204"/>
      <c r="N273" s="378">
        <f>IF(OR(Tabelle1324568910111213141516171619[[#This Row],[Pulled after Start]]="yes",Tabelle1324568910111213141516171619[[#This Row],[Jira Story Points]]="-"),0,MIN(Tabelle1324568910111213141516171619[[#This Row],[Jira Story Points]],Tabelle1324568910111213141516171619[[#This Row],[Carry-over]]))</f>
        <v>0</v>
      </c>
      <c r="O273" s="379">
        <f>SUM(IF(ISBLANK(Tabelle1324568910111213141516171619[[#This Row],[Carry-over]]),Tabelle1324568910111213141516171619[[#This Row],[Jira Story Points]],Tabelle1324568910111213141516171619[[#This Row],[Carry-over]]),-Tabelle1324568910111213141516171619[[#This Row],[COsSP Initially Planned]])</f>
        <v>0</v>
      </c>
      <c r="P27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73" s="379">
        <f>IF(Tabelle1324568910111213141516171619[[#This Row],[Status]]=$J$5,Tabelle1324568910111213141516171619[[#This Row],[COsSP Initially Planned]]+Tabelle1324568910111213141516171619[[#This Row],[COsSP Pulled after Start]]-Tabelle1324568910111213141516171619[[#This Row],[CSOsSP Completed]],0)</f>
        <v>0</v>
      </c>
      <c r="R273" s="379">
        <f>Tabelle1324568910111213141516171619[[#This Row],[COsSP Initially Planned]]+Tabelle1324568910111213141516171619[[#This Row],[COsSP Pulled after Start]]-Tabelle1324568910111213141516171619[[#This Row],[CSOsSP Completed]]-Tabelle1324568910111213141516171619[[#This Row],[CSOsSP Removed]]</f>
        <v>0</v>
      </c>
    </row>
    <row r="274" spans="1:18" ht="13.5" customHeight="1">
      <c r="A274" s="383"/>
      <c r="B274" s="47"/>
      <c r="C274" s="203"/>
      <c r="D274" s="203"/>
      <c r="E274" s="203"/>
      <c r="F274" s="204"/>
      <c r="G274" s="203"/>
      <c r="H274" s="205"/>
      <c r="I274" s="206"/>
      <c r="J274" s="206"/>
      <c r="K274" s="203"/>
      <c r="L274" s="204"/>
      <c r="M274" s="204"/>
      <c r="N274" s="378">
        <f>IF(OR(Tabelle1324568910111213141516171619[[#This Row],[Pulled after Start]]="yes",Tabelle1324568910111213141516171619[[#This Row],[Jira Story Points]]="-"),0,MIN(Tabelle1324568910111213141516171619[[#This Row],[Jira Story Points]],Tabelle1324568910111213141516171619[[#This Row],[Carry-over]]))</f>
        <v>0</v>
      </c>
      <c r="O274" s="379">
        <f>SUM(IF(ISBLANK(Tabelle1324568910111213141516171619[[#This Row],[Carry-over]]),Tabelle1324568910111213141516171619[[#This Row],[Jira Story Points]],Tabelle1324568910111213141516171619[[#This Row],[Carry-over]]),-Tabelle1324568910111213141516171619[[#This Row],[COsSP Initially Planned]])</f>
        <v>0</v>
      </c>
      <c r="P27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74" s="379">
        <f>IF(Tabelle1324568910111213141516171619[[#This Row],[Status]]=$J$5,Tabelle1324568910111213141516171619[[#This Row],[COsSP Initially Planned]]+Tabelle1324568910111213141516171619[[#This Row],[COsSP Pulled after Start]]-Tabelle1324568910111213141516171619[[#This Row],[CSOsSP Completed]],0)</f>
        <v>0</v>
      </c>
      <c r="R274" s="379">
        <f>Tabelle1324568910111213141516171619[[#This Row],[COsSP Initially Planned]]+Tabelle1324568910111213141516171619[[#This Row],[COsSP Pulled after Start]]-Tabelle1324568910111213141516171619[[#This Row],[CSOsSP Completed]]-Tabelle1324568910111213141516171619[[#This Row],[CSOsSP Removed]]</f>
        <v>0</v>
      </c>
    </row>
    <row r="275" spans="1:18" ht="13.5" customHeight="1">
      <c r="A275" s="383"/>
      <c r="B275" s="47"/>
      <c r="C275" s="203"/>
      <c r="D275" s="203"/>
      <c r="E275" s="203"/>
      <c r="F275" s="204"/>
      <c r="G275" s="203"/>
      <c r="H275" s="205"/>
      <c r="I275" s="206"/>
      <c r="J275" s="206"/>
      <c r="K275" s="203"/>
      <c r="L275" s="204"/>
      <c r="M275" s="204"/>
      <c r="N275" s="378">
        <f>IF(OR(Tabelle1324568910111213141516171619[[#This Row],[Pulled after Start]]="yes",Tabelle1324568910111213141516171619[[#This Row],[Jira Story Points]]="-"),0,MIN(Tabelle1324568910111213141516171619[[#This Row],[Jira Story Points]],Tabelle1324568910111213141516171619[[#This Row],[Carry-over]]))</f>
        <v>0</v>
      </c>
      <c r="O275" s="379">
        <f>SUM(IF(ISBLANK(Tabelle1324568910111213141516171619[[#This Row],[Carry-over]]),Tabelle1324568910111213141516171619[[#This Row],[Jira Story Points]],Tabelle1324568910111213141516171619[[#This Row],[Carry-over]]),-Tabelle1324568910111213141516171619[[#This Row],[COsSP Initially Planned]])</f>
        <v>0</v>
      </c>
      <c r="P27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75" s="379">
        <f>IF(Tabelle1324568910111213141516171619[[#This Row],[Status]]=$J$5,Tabelle1324568910111213141516171619[[#This Row],[COsSP Initially Planned]]+Tabelle1324568910111213141516171619[[#This Row],[COsSP Pulled after Start]]-Tabelle1324568910111213141516171619[[#This Row],[CSOsSP Completed]],0)</f>
        <v>0</v>
      </c>
      <c r="R275" s="379">
        <f>Tabelle1324568910111213141516171619[[#This Row],[COsSP Initially Planned]]+Tabelle1324568910111213141516171619[[#This Row],[COsSP Pulled after Start]]-Tabelle1324568910111213141516171619[[#This Row],[CSOsSP Completed]]-Tabelle1324568910111213141516171619[[#This Row],[CSOsSP Removed]]</f>
        <v>0</v>
      </c>
    </row>
    <row r="276" spans="1:18" ht="13.5" customHeight="1">
      <c r="A276" s="383"/>
      <c r="B276" s="47"/>
      <c r="C276" s="203"/>
      <c r="D276" s="203"/>
      <c r="E276" s="203"/>
      <c r="F276" s="204"/>
      <c r="G276" s="203"/>
      <c r="H276" s="205"/>
      <c r="I276" s="206"/>
      <c r="J276" s="206"/>
      <c r="K276" s="203"/>
      <c r="L276" s="204"/>
      <c r="M276" s="204"/>
      <c r="N276" s="378">
        <f>IF(OR(Tabelle1324568910111213141516171619[[#This Row],[Pulled after Start]]="yes",Tabelle1324568910111213141516171619[[#This Row],[Jira Story Points]]="-"),0,MIN(Tabelle1324568910111213141516171619[[#This Row],[Jira Story Points]],Tabelle1324568910111213141516171619[[#This Row],[Carry-over]]))</f>
        <v>0</v>
      </c>
      <c r="O276" s="379">
        <f>SUM(IF(ISBLANK(Tabelle1324568910111213141516171619[[#This Row],[Carry-over]]),Tabelle1324568910111213141516171619[[#This Row],[Jira Story Points]],Tabelle1324568910111213141516171619[[#This Row],[Carry-over]]),-Tabelle1324568910111213141516171619[[#This Row],[COsSP Initially Planned]])</f>
        <v>0</v>
      </c>
      <c r="P27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76" s="379">
        <f>IF(Tabelle1324568910111213141516171619[[#This Row],[Status]]=$J$5,Tabelle1324568910111213141516171619[[#This Row],[COsSP Initially Planned]]+Tabelle1324568910111213141516171619[[#This Row],[COsSP Pulled after Start]]-Tabelle1324568910111213141516171619[[#This Row],[CSOsSP Completed]],0)</f>
        <v>0</v>
      </c>
      <c r="R276" s="379">
        <f>Tabelle1324568910111213141516171619[[#This Row],[COsSP Initially Planned]]+Tabelle1324568910111213141516171619[[#This Row],[COsSP Pulled after Start]]-Tabelle1324568910111213141516171619[[#This Row],[CSOsSP Completed]]-Tabelle1324568910111213141516171619[[#This Row],[CSOsSP Removed]]</f>
        <v>0</v>
      </c>
    </row>
    <row r="277" spans="1:18" ht="13.5" customHeight="1">
      <c r="A277" s="383"/>
      <c r="B277" s="47"/>
      <c r="C277" s="203"/>
      <c r="D277" s="203"/>
      <c r="E277" s="203"/>
      <c r="F277" s="204"/>
      <c r="G277" s="203"/>
      <c r="H277" s="205"/>
      <c r="I277" s="206"/>
      <c r="J277" s="206"/>
      <c r="K277" s="203"/>
      <c r="L277" s="204"/>
      <c r="M277" s="204"/>
      <c r="N277" s="378">
        <f>IF(OR(Tabelle1324568910111213141516171619[[#This Row],[Pulled after Start]]="yes",Tabelle1324568910111213141516171619[[#This Row],[Jira Story Points]]="-"),0,MIN(Tabelle1324568910111213141516171619[[#This Row],[Jira Story Points]],Tabelle1324568910111213141516171619[[#This Row],[Carry-over]]))</f>
        <v>0</v>
      </c>
      <c r="O277" s="379">
        <f>SUM(IF(ISBLANK(Tabelle1324568910111213141516171619[[#This Row],[Carry-over]]),Tabelle1324568910111213141516171619[[#This Row],[Jira Story Points]],Tabelle1324568910111213141516171619[[#This Row],[Carry-over]]),-Tabelle1324568910111213141516171619[[#This Row],[COsSP Initially Planned]])</f>
        <v>0</v>
      </c>
      <c r="P27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77" s="379">
        <f>IF(Tabelle1324568910111213141516171619[[#This Row],[Status]]=$J$5,Tabelle1324568910111213141516171619[[#This Row],[COsSP Initially Planned]]+Tabelle1324568910111213141516171619[[#This Row],[COsSP Pulled after Start]]-Tabelle1324568910111213141516171619[[#This Row],[CSOsSP Completed]],0)</f>
        <v>0</v>
      </c>
      <c r="R277" s="379">
        <f>Tabelle1324568910111213141516171619[[#This Row],[COsSP Initially Planned]]+Tabelle1324568910111213141516171619[[#This Row],[COsSP Pulled after Start]]-Tabelle1324568910111213141516171619[[#This Row],[CSOsSP Completed]]-Tabelle1324568910111213141516171619[[#This Row],[CSOsSP Removed]]</f>
        <v>0</v>
      </c>
    </row>
    <row r="278" spans="1:18" ht="13.5" customHeight="1">
      <c r="A278" s="383"/>
      <c r="B278" s="47"/>
      <c r="C278" s="203"/>
      <c r="D278" s="203"/>
      <c r="E278" s="203"/>
      <c r="F278" s="204"/>
      <c r="G278" s="203"/>
      <c r="H278" s="205"/>
      <c r="I278" s="206"/>
      <c r="J278" s="206"/>
      <c r="K278" s="203"/>
      <c r="L278" s="204"/>
      <c r="M278" s="204"/>
      <c r="N278" s="378">
        <f>IF(OR(Tabelle1324568910111213141516171619[[#This Row],[Pulled after Start]]="yes",Tabelle1324568910111213141516171619[[#This Row],[Jira Story Points]]="-"),0,MIN(Tabelle1324568910111213141516171619[[#This Row],[Jira Story Points]],Tabelle1324568910111213141516171619[[#This Row],[Carry-over]]))</f>
        <v>0</v>
      </c>
      <c r="O278" s="379">
        <f>SUM(IF(ISBLANK(Tabelle1324568910111213141516171619[[#This Row],[Carry-over]]),Tabelle1324568910111213141516171619[[#This Row],[Jira Story Points]],Tabelle1324568910111213141516171619[[#This Row],[Carry-over]]),-Tabelle1324568910111213141516171619[[#This Row],[COsSP Initially Planned]])</f>
        <v>0</v>
      </c>
      <c r="P27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78" s="379">
        <f>IF(Tabelle1324568910111213141516171619[[#This Row],[Status]]=$J$5,Tabelle1324568910111213141516171619[[#This Row],[COsSP Initially Planned]]+Tabelle1324568910111213141516171619[[#This Row],[COsSP Pulled after Start]]-Tabelle1324568910111213141516171619[[#This Row],[CSOsSP Completed]],0)</f>
        <v>0</v>
      </c>
      <c r="R278" s="379">
        <f>Tabelle1324568910111213141516171619[[#This Row],[COsSP Initially Planned]]+Tabelle1324568910111213141516171619[[#This Row],[COsSP Pulled after Start]]-Tabelle1324568910111213141516171619[[#This Row],[CSOsSP Completed]]-Tabelle1324568910111213141516171619[[#This Row],[CSOsSP Removed]]</f>
        <v>0</v>
      </c>
    </row>
    <row r="279" spans="1:18" ht="13.5" customHeight="1">
      <c r="A279" s="383"/>
      <c r="B279" s="47"/>
      <c r="C279" s="203"/>
      <c r="D279" s="203"/>
      <c r="E279" s="203"/>
      <c r="F279" s="204"/>
      <c r="G279" s="203"/>
      <c r="H279" s="205"/>
      <c r="I279" s="206"/>
      <c r="J279" s="206"/>
      <c r="K279" s="203"/>
      <c r="L279" s="204"/>
      <c r="M279" s="204"/>
      <c r="N279" s="378">
        <f>IF(OR(Tabelle1324568910111213141516171619[[#This Row],[Pulled after Start]]="yes",Tabelle1324568910111213141516171619[[#This Row],[Jira Story Points]]="-"),0,MIN(Tabelle1324568910111213141516171619[[#This Row],[Jira Story Points]],Tabelle1324568910111213141516171619[[#This Row],[Carry-over]]))</f>
        <v>0</v>
      </c>
      <c r="O279" s="379">
        <f>SUM(IF(ISBLANK(Tabelle1324568910111213141516171619[[#This Row],[Carry-over]]),Tabelle1324568910111213141516171619[[#This Row],[Jira Story Points]],Tabelle1324568910111213141516171619[[#This Row],[Carry-over]]),-Tabelle1324568910111213141516171619[[#This Row],[COsSP Initially Planned]])</f>
        <v>0</v>
      </c>
      <c r="P27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79" s="379">
        <f>IF(Tabelle1324568910111213141516171619[[#This Row],[Status]]=$J$5,Tabelle1324568910111213141516171619[[#This Row],[COsSP Initially Planned]]+Tabelle1324568910111213141516171619[[#This Row],[COsSP Pulled after Start]]-Tabelle1324568910111213141516171619[[#This Row],[CSOsSP Completed]],0)</f>
        <v>0</v>
      </c>
      <c r="R279" s="379">
        <f>Tabelle1324568910111213141516171619[[#This Row],[COsSP Initially Planned]]+Tabelle1324568910111213141516171619[[#This Row],[COsSP Pulled after Start]]-Tabelle1324568910111213141516171619[[#This Row],[CSOsSP Completed]]-Tabelle1324568910111213141516171619[[#This Row],[CSOsSP Removed]]</f>
        <v>0</v>
      </c>
    </row>
    <row r="280" spans="1:18" ht="13.5" customHeight="1">
      <c r="A280" s="383"/>
      <c r="B280" s="47"/>
      <c r="C280" s="203"/>
      <c r="D280" s="203"/>
      <c r="E280" s="203"/>
      <c r="F280" s="204"/>
      <c r="G280" s="203"/>
      <c r="H280" s="205"/>
      <c r="I280" s="206"/>
      <c r="J280" s="206"/>
      <c r="K280" s="203"/>
      <c r="L280" s="204"/>
      <c r="M280" s="204"/>
      <c r="N280" s="378">
        <f>IF(OR(Tabelle1324568910111213141516171619[[#This Row],[Pulled after Start]]="yes",Tabelle1324568910111213141516171619[[#This Row],[Jira Story Points]]="-"),0,MIN(Tabelle1324568910111213141516171619[[#This Row],[Jira Story Points]],Tabelle1324568910111213141516171619[[#This Row],[Carry-over]]))</f>
        <v>0</v>
      </c>
      <c r="O280" s="379">
        <f>SUM(IF(ISBLANK(Tabelle1324568910111213141516171619[[#This Row],[Carry-over]]),Tabelle1324568910111213141516171619[[#This Row],[Jira Story Points]],Tabelle1324568910111213141516171619[[#This Row],[Carry-over]]),-Tabelle1324568910111213141516171619[[#This Row],[COsSP Initially Planned]])</f>
        <v>0</v>
      </c>
      <c r="P28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80" s="379">
        <f>IF(Tabelle1324568910111213141516171619[[#This Row],[Status]]=$J$5,Tabelle1324568910111213141516171619[[#This Row],[COsSP Initially Planned]]+Tabelle1324568910111213141516171619[[#This Row],[COsSP Pulled after Start]]-Tabelle1324568910111213141516171619[[#This Row],[CSOsSP Completed]],0)</f>
        <v>0</v>
      </c>
      <c r="R280" s="379">
        <f>Tabelle1324568910111213141516171619[[#This Row],[COsSP Initially Planned]]+Tabelle1324568910111213141516171619[[#This Row],[COsSP Pulled after Start]]-Tabelle1324568910111213141516171619[[#This Row],[CSOsSP Completed]]-Tabelle1324568910111213141516171619[[#This Row],[CSOsSP Removed]]</f>
        <v>0</v>
      </c>
    </row>
    <row r="281" spans="1:18" ht="13.5" customHeight="1">
      <c r="A281" s="383"/>
      <c r="B281" s="47"/>
      <c r="C281" s="203"/>
      <c r="D281" s="203"/>
      <c r="E281" s="203"/>
      <c r="F281" s="204"/>
      <c r="G281" s="203"/>
      <c r="H281" s="205"/>
      <c r="I281" s="206"/>
      <c r="J281" s="206"/>
      <c r="K281" s="203"/>
      <c r="L281" s="204"/>
      <c r="M281" s="204"/>
      <c r="N281" s="378">
        <f>IF(OR(Tabelle1324568910111213141516171619[[#This Row],[Pulled after Start]]="yes",Tabelle1324568910111213141516171619[[#This Row],[Jira Story Points]]="-"),0,MIN(Tabelle1324568910111213141516171619[[#This Row],[Jira Story Points]],Tabelle1324568910111213141516171619[[#This Row],[Carry-over]]))</f>
        <v>0</v>
      </c>
      <c r="O281" s="379">
        <f>SUM(IF(ISBLANK(Tabelle1324568910111213141516171619[[#This Row],[Carry-over]]),Tabelle1324568910111213141516171619[[#This Row],[Jira Story Points]],Tabelle1324568910111213141516171619[[#This Row],[Carry-over]]),-Tabelle1324568910111213141516171619[[#This Row],[COsSP Initially Planned]])</f>
        <v>0</v>
      </c>
      <c r="P28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81" s="379">
        <f>IF(Tabelle1324568910111213141516171619[[#This Row],[Status]]=$J$5,Tabelle1324568910111213141516171619[[#This Row],[COsSP Initially Planned]]+Tabelle1324568910111213141516171619[[#This Row],[COsSP Pulled after Start]]-Tabelle1324568910111213141516171619[[#This Row],[CSOsSP Completed]],0)</f>
        <v>0</v>
      </c>
      <c r="R281" s="379">
        <f>Tabelle1324568910111213141516171619[[#This Row],[COsSP Initially Planned]]+Tabelle1324568910111213141516171619[[#This Row],[COsSP Pulled after Start]]-Tabelle1324568910111213141516171619[[#This Row],[CSOsSP Completed]]-Tabelle1324568910111213141516171619[[#This Row],[CSOsSP Removed]]</f>
        <v>0</v>
      </c>
    </row>
    <row r="282" spans="1:18" ht="13.5" customHeight="1">
      <c r="A282" s="383"/>
      <c r="B282" s="47"/>
      <c r="C282" s="203"/>
      <c r="D282" s="203"/>
      <c r="E282" s="203"/>
      <c r="F282" s="204"/>
      <c r="G282" s="203"/>
      <c r="H282" s="205"/>
      <c r="I282" s="206"/>
      <c r="J282" s="206"/>
      <c r="K282" s="203"/>
      <c r="L282" s="204"/>
      <c r="M282" s="204"/>
      <c r="N282" s="378">
        <f>IF(OR(Tabelle1324568910111213141516171619[[#This Row],[Pulled after Start]]="yes",Tabelle1324568910111213141516171619[[#This Row],[Jira Story Points]]="-"),0,MIN(Tabelle1324568910111213141516171619[[#This Row],[Jira Story Points]],Tabelle1324568910111213141516171619[[#This Row],[Carry-over]]))</f>
        <v>0</v>
      </c>
      <c r="O282" s="379">
        <f>SUM(IF(ISBLANK(Tabelle1324568910111213141516171619[[#This Row],[Carry-over]]),Tabelle1324568910111213141516171619[[#This Row],[Jira Story Points]],Tabelle1324568910111213141516171619[[#This Row],[Carry-over]]),-Tabelle1324568910111213141516171619[[#This Row],[COsSP Initially Planned]])</f>
        <v>0</v>
      </c>
      <c r="P28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82" s="379">
        <f>IF(Tabelle1324568910111213141516171619[[#This Row],[Status]]=$J$5,Tabelle1324568910111213141516171619[[#This Row],[COsSP Initially Planned]]+Tabelle1324568910111213141516171619[[#This Row],[COsSP Pulled after Start]]-Tabelle1324568910111213141516171619[[#This Row],[CSOsSP Completed]],0)</f>
        <v>0</v>
      </c>
      <c r="R282" s="379">
        <f>Tabelle1324568910111213141516171619[[#This Row],[COsSP Initially Planned]]+Tabelle1324568910111213141516171619[[#This Row],[COsSP Pulled after Start]]-Tabelle1324568910111213141516171619[[#This Row],[CSOsSP Completed]]-Tabelle1324568910111213141516171619[[#This Row],[CSOsSP Removed]]</f>
        <v>0</v>
      </c>
    </row>
    <row r="283" spans="1:18" ht="13.5" customHeight="1">
      <c r="A283" s="383"/>
      <c r="B283" s="47"/>
      <c r="C283" s="203"/>
      <c r="D283" s="203"/>
      <c r="E283" s="203"/>
      <c r="F283" s="204"/>
      <c r="G283" s="203"/>
      <c r="H283" s="205"/>
      <c r="I283" s="206"/>
      <c r="J283" s="206"/>
      <c r="K283" s="203"/>
      <c r="L283" s="204"/>
      <c r="M283" s="204"/>
      <c r="N283" s="378">
        <f>IF(OR(Tabelle1324568910111213141516171619[[#This Row],[Pulled after Start]]="yes",Tabelle1324568910111213141516171619[[#This Row],[Jira Story Points]]="-"),0,MIN(Tabelle1324568910111213141516171619[[#This Row],[Jira Story Points]],Tabelle1324568910111213141516171619[[#This Row],[Carry-over]]))</f>
        <v>0</v>
      </c>
      <c r="O283" s="379">
        <f>SUM(IF(ISBLANK(Tabelle1324568910111213141516171619[[#This Row],[Carry-over]]),Tabelle1324568910111213141516171619[[#This Row],[Jira Story Points]],Tabelle1324568910111213141516171619[[#This Row],[Carry-over]]),-Tabelle1324568910111213141516171619[[#This Row],[COsSP Initially Planned]])</f>
        <v>0</v>
      </c>
      <c r="P28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83" s="379">
        <f>IF(Tabelle1324568910111213141516171619[[#This Row],[Status]]=$J$5,Tabelle1324568910111213141516171619[[#This Row],[COsSP Initially Planned]]+Tabelle1324568910111213141516171619[[#This Row],[COsSP Pulled after Start]]-Tabelle1324568910111213141516171619[[#This Row],[CSOsSP Completed]],0)</f>
        <v>0</v>
      </c>
      <c r="R283" s="379">
        <f>Tabelle1324568910111213141516171619[[#This Row],[COsSP Initially Planned]]+Tabelle1324568910111213141516171619[[#This Row],[COsSP Pulled after Start]]-Tabelle1324568910111213141516171619[[#This Row],[CSOsSP Completed]]-Tabelle1324568910111213141516171619[[#This Row],[CSOsSP Removed]]</f>
        <v>0</v>
      </c>
    </row>
    <row r="284" spans="1:18" ht="13.5" customHeight="1">
      <c r="A284" s="383"/>
      <c r="B284" s="47"/>
      <c r="C284" s="203"/>
      <c r="D284" s="203"/>
      <c r="E284" s="203"/>
      <c r="F284" s="204"/>
      <c r="G284" s="203"/>
      <c r="H284" s="205"/>
      <c r="I284" s="206"/>
      <c r="J284" s="206"/>
      <c r="K284" s="203"/>
      <c r="L284" s="204"/>
      <c r="M284" s="204"/>
      <c r="N284" s="378">
        <f>IF(OR(Tabelle1324568910111213141516171619[[#This Row],[Pulled after Start]]="yes",Tabelle1324568910111213141516171619[[#This Row],[Jira Story Points]]="-"),0,MIN(Tabelle1324568910111213141516171619[[#This Row],[Jira Story Points]],Tabelle1324568910111213141516171619[[#This Row],[Carry-over]]))</f>
        <v>0</v>
      </c>
      <c r="O284" s="379">
        <f>SUM(IF(ISBLANK(Tabelle1324568910111213141516171619[[#This Row],[Carry-over]]),Tabelle1324568910111213141516171619[[#This Row],[Jira Story Points]],Tabelle1324568910111213141516171619[[#This Row],[Carry-over]]),-Tabelle1324568910111213141516171619[[#This Row],[COsSP Initially Planned]])</f>
        <v>0</v>
      </c>
      <c r="P28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84" s="379">
        <f>IF(Tabelle1324568910111213141516171619[[#This Row],[Status]]=$J$5,Tabelle1324568910111213141516171619[[#This Row],[COsSP Initially Planned]]+Tabelle1324568910111213141516171619[[#This Row],[COsSP Pulled after Start]]-Tabelle1324568910111213141516171619[[#This Row],[CSOsSP Completed]],0)</f>
        <v>0</v>
      </c>
      <c r="R284" s="379">
        <f>Tabelle1324568910111213141516171619[[#This Row],[COsSP Initially Planned]]+Tabelle1324568910111213141516171619[[#This Row],[COsSP Pulled after Start]]-Tabelle1324568910111213141516171619[[#This Row],[CSOsSP Completed]]-Tabelle1324568910111213141516171619[[#This Row],[CSOsSP Removed]]</f>
        <v>0</v>
      </c>
    </row>
    <row r="285" spans="1:18" ht="13.5" customHeight="1">
      <c r="A285" s="383"/>
      <c r="B285" s="47"/>
      <c r="C285" s="203"/>
      <c r="D285" s="203"/>
      <c r="E285" s="203"/>
      <c r="F285" s="204"/>
      <c r="G285" s="203"/>
      <c r="H285" s="205"/>
      <c r="I285" s="206"/>
      <c r="J285" s="206"/>
      <c r="K285" s="203"/>
      <c r="L285" s="204"/>
      <c r="M285" s="204"/>
      <c r="N285" s="378">
        <f>IF(OR(Tabelle1324568910111213141516171619[[#This Row],[Pulled after Start]]="yes",Tabelle1324568910111213141516171619[[#This Row],[Jira Story Points]]="-"),0,MIN(Tabelle1324568910111213141516171619[[#This Row],[Jira Story Points]],Tabelle1324568910111213141516171619[[#This Row],[Carry-over]]))</f>
        <v>0</v>
      </c>
      <c r="O285" s="379">
        <f>SUM(IF(ISBLANK(Tabelle1324568910111213141516171619[[#This Row],[Carry-over]]),Tabelle1324568910111213141516171619[[#This Row],[Jira Story Points]],Tabelle1324568910111213141516171619[[#This Row],[Carry-over]]),-Tabelle1324568910111213141516171619[[#This Row],[COsSP Initially Planned]])</f>
        <v>0</v>
      </c>
      <c r="P28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85" s="379">
        <f>IF(Tabelle1324568910111213141516171619[[#This Row],[Status]]=$J$5,Tabelle1324568910111213141516171619[[#This Row],[COsSP Initially Planned]]+Tabelle1324568910111213141516171619[[#This Row],[COsSP Pulled after Start]]-Tabelle1324568910111213141516171619[[#This Row],[CSOsSP Completed]],0)</f>
        <v>0</v>
      </c>
      <c r="R285" s="379">
        <f>Tabelle1324568910111213141516171619[[#This Row],[COsSP Initially Planned]]+Tabelle1324568910111213141516171619[[#This Row],[COsSP Pulled after Start]]-Tabelle1324568910111213141516171619[[#This Row],[CSOsSP Completed]]-Tabelle1324568910111213141516171619[[#This Row],[CSOsSP Removed]]</f>
        <v>0</v>
      </c>
    </row>
    <row r="286" spans="1:18" ht="13.5" customHeight="1">
      <c r="A286" s="383"/>
      <c r="B286" s="47"/>
      <c r="C286" s="203"/>
      <c r="D286" s="203"/>
      <c r="E286" s="203"/>
      <c r="F286" s="204"/>
      <c r="G286" s="203"/>
      <c r="H286" s="205"/>
      <c r="I286" s="206"/>
      <c r="J286" s="206"/>
      <c r="K286" s="203"/>
      <c r="L286" s="204"/>
      <c r="M286" s="204"/>
      <c r="N286" s="378">
        <f>IF(OR(Tabelle1324568910111213141516171619[[#This Row],[Pulled after Start]]="yes",Tabelle1324568910111213141516171619[[#This Row],[Jira Story Points]]="-"),0,MIN(Tabelle1324568910111213141516171619[[#This Row],[Jira Story Points]],Tabelle1324568910111213141516171619[[#This Row],[Carry-over]]))</f>
        <v>0</v>
      </c>
      <c r="O286" s="379">
        <f>SUM(IF(ISBLANK(Tabelle1324568910111213141516171619[[#This Row],[Carry-over]]),Tabelle1324568910111213141516171619[[#This Row],[Jira Story Points]],Tabelle1324568910111213141516171619[[#This Row],[Carry-over]]),-Tabelle1324568910111213141516171619[[#This Row],[COsSP Initially Planned]])</f>
        <v>0</v>
      </c>
      <c r="P28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86" s="379">
        <f>IF(Tabelle1324568910111213141516171619[[#This Row],[Status]]=$J$5,Tabelle1324568910111213141516171619[[#This Row],[COsSP Initially Planned]]+Tabelle1324568910111213141516171619[[#This Row],[COsSP Pulled after Start]]-Tabelle1324568910111213141516171619[[#This Row],[CSOsSP Completed]],0)</f>
        <v>0</v>
      </c>
      <c r="R286" s="379">
        <f>Tabelle1324568910111213141516171619[[#This Row],[COsSP Initially Planned]]+Tabelle1324568910111213141516171619[[#This Row],[COsSP Pulled after Start]]-Tabelle1324568910111213141516171619[[#This Row],[CSOsSP Completed]]-Tabelle1324568910111213141516171619[[#This Row],[CSOsSP Removed]]</f>
        <v>0</v>
      </c>
    </row>
    <row r="287" spans="1:18" ht="13.5" customHeight="1">
      <c r="A287" s="383"/>
      <c r="B287" s="47"/>
      <c r="C287" s="203"/>
      <c r="D287" s="203"/>
      <c r="E287" s="203"/>
      <c r="F287" s="204"/>
      <c r="G287" s="203"/>
      <c r="H287" s="205"/>
      <c r="I287" s="206"/>
      <c r="J287" s="206"/>
      <c r="K287" s="203"/>
      <c r="L287" s="204"/>
      <c r="M287" s="204"/>
      <c r="N287" s="378">
        <f>IF(OR(Tabelle1324568910111213141516171619[[#This Row],[Pulled after Start]]="yes",Tabelle1324568910111213141516171619[[#This Row],[Jira Story Points]]="-"),0,MIN(Tabelle1324568910111213141516171619[[#This Row],[Jira Story Points]],Tabelle1324568910111213141516171619[[#This Row],[Carry-over]]))</f>
        <v>0</v>
      </c>
      <c r="O287" s="379">
        <f>SUM(IF(ISBLANK(Tabelle1324568910111213141516171619[[#This Row],[Carry-over]]),Tabelle1324568910111213141516171619[[#This Row],[Jira Story Points]],Tabelle1324568910111213141516171619[[#This Row],[Carry-over]]),-Tabelle1324568910111213141516171619[[#This Row],[COsSP Initially Planned]])</f>
        <v>0</v>
      </c>
      <c r="P28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87" s="379">
        <f>IF(Tabelle1324568910111213141516171619[[#This Row],[Status]]=$J$5,Tabelle1324568910111213141516171619[[#This Row],[COsSP Initially Planned]]+Tabelle1324568910111213141516171619[[#This Row],[COsSP Pulled after Start]]-Tabelle1324568910111213141516171619[[#This Row],[CSOsSP Completed]],0)</f>
        <v>0</v>
      </c>
      <c r="R287" s="379">
        <f>Tabelle1324568910111213141516171619[[#This Row],[COsSP Initially Planned]]+Tabelle1324568910111213141516171619[[#This Row],[COsSP Pulled after Start]]-Tabelle1324568910111213141516171619[[#This Row],[CSOsSP Completed]]-Tabelle1324568910111213141516171619[[#This Row],[CSOsSP Removed]]</f>
        <v>0</v>
      </c>
    </row>
    <row r="288" spans="1:18" ht="13.5" customHeight="1">
      <c r="A288" s="383"/>
      <c r="B288" s="47"/>
      <c r="C288" s="203"/>
      <c r="D288" s="203"/>
      <c r="E288" s="203"/>
      <c r="F288" s="204"/>
      <c r="G288" s="203"/>
      <c r="H288" s="205"/>
      <c r="I288" s="206"/>
      <c r="J288" s="206"/>
      <c r="K288" s="203"/>
      <c r="L288" s="204"/>
      <c r="M288" s="204"/>
      <c r="N288" s="378">
        <f>IF(OR(Tabelle1324568910111213141516171619[[#This Row],[Pulled after Start]]="yes",Tabelle1324568910111213141516171619[[#This Row],[Jira Story Points]]="-"),0,MIN(Tabelle1324568910111213141516171619[[#This Row],[Jira Story Points]],Tabelle1324568910111213141516171619[[#This Row],[Carry-over]]))</f>
        <v>0</v>
      </c>
      <c r="O288" s="379">
        <f>SUM(IF(ISBLANK(Tabelle1324568910111213141516171619[[#This Row],[Carry-over]]),Tabelle1324568910111213141516171619[[#This Row],[Jira Story Points]],Tabelle1324568910111213141516171619[[#This Row],[Carry-over]]),-Tabelle1324568910111213141516171619[[#This Row],[COsSP Initially Planned]])</f>
        <v>0</v>
      </c>
      <c r="P28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88" s="379">
        <f>IF(Tabelle1324568910111213141516171619[[#This Row],[Status]]=$J$5,Tabelle1324568910111213141516171619[[#This Row],[COsSP Initially Planned]]+Tabelle1324568910111213141516171619[[#This Row],[COsSP Pulled after Start]]-Tabelle1324568910111213141516171619[[#This Row],[CSOsSP Completed]],0)</f>
        <v>0</v>
      </c>
      <c r="R288" s="379">
        <f>Tabelle1324568910111213141516171619[[#This Row],[COsSP Initially Planned]]+Tabelle1324568910111213141516171619[[#This Row],[COsSP Pulled after Start]]-Tabelle1324568910111213141516171619[[#This Row],[CSOsSP Completed]]-Tabelle1324568910111213141516171619[[#This Row],[CSOsSP Removed]]</f>
        <v>0</v>
      </c>
    </row>
    <row r="289" spans="1:18" ht="13.5" customHeight="1">
      <c r="A289" s="383"/>
      <c r="B289" s="47"/>
      <c r="C289" s="203"/>
      <c r="D289" s="203"/>
      <c r="E289" s="203"/>
      <c r="F289" s="204"/>
      <c r="G289" s="203"/>
      <c r="H289" s="205"/>
      <c r="I289" s="206"/>
      <c r="J289" s="206"/>
      <c r="K289" s="203"/>
      <c r="L289" s="204"/>
      <c r="M289" s="204"/>
      <c r="N289" s="378">
        <f>IF(OR(Tabelle1324568910111213141516171619[[#This Row],[Pulled after Start]]="yes",Tabelle1324568910111213141516171619[[#This Row],[Jira Story Points]]="-"),0,MIN(Tabelle1324568910111213141516171619[[#This Row],[Jira Story Points]],Tabelle1324568910111213141516171619[[#This Row],[Carry-over]]))</f>
        <v>0</v>
      </c>
      <c r="O289" s="379">
        <f>SUM(IF(ISBLANK(Tabelle1324568910111213141516171619[[#This Row],[Carry-over]]),Tabelle1324568910111213141516171619[[#This Row],[Jira Story Points]],Tabelle1324568910111213141516171619[[#This Row],[Carry-over]]),-Tabelle1324568910111213141516171619[[#This Row],[COsSP Initially Planned]])</f>
        <v>0</v>
      </c>
      <c r="P28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89" s="379">
        <f>IF(Tabelle1324568910111213141516171619[[#This Row],[Status]]=$J$5,Tabelle1324568910111213141516171619[[#This Row],[COsSP Initially Planned]]+Tabelle1324568910111213141516171619[[#This Row],[COsSP Pulled after Start]]-Tabelle1324568910111213141516171619[[#This Row],[CSOsSP Completed]],0)</f>
        <v>0</v>
      </c>
      <c r="R289" s="379">
        <f>Tabelle1324568910111213141516171619[[#This Row],[COsSP Initially Planned]]+Tabelle1324568910111213141516171619[[#This Row],[COsSP Pulled after Start]]-Tabelle1324568910111213141516171619[[#This Row],[CSOsSP Completed]]-Tabelle1324568910111213141516171619[[#This Row],[CSOsSP Removed]]</f>
        <v>0</v>
      </c>
    </row>
    <row r="290" spans="1:18" ht="13.5" customHeight="1">
      <c r="A290" s="383"/>
      <c r="B290" s="47"/>
      <c r="C290" s="203"/>
      <c r="D290" s="203"/>
      <c r="E290" s="203"/>
      <c r="F290" s="204"/>
      <c r="G290" s="203"/>
      <c r="H290" s="205"/>
      <c r="I290" s="206"/>
      <c r="J290" s="206"/>
      <c r="K290" s="203"/>
      <c r="L290" s="204"/>
      <c r="M290" s="204"/>
      <c r="N290" s="378">
        <f>IF(OR(Tabelle1324568910111213141516171619[[#This Row],[Pulled after Start]]="yes",Tabelle1324568910111213141516171619[[#This Row],[Jira Story Points]]="-"),0,MIN(Tabelle1324568910111213141516171619[[#This Row],[Jira Story Points]],Tabelle1324568910111213141516171619[[#This Row],[Carry-over]]))</f>
        <v>0</v>
      </c>
      <c r="O290" s="379">
        <f>SUM(IF(ISBLANK(Tabelle1324568910111213141516171619[[#This Row],[Carry-over]]),Tabelle1324568910111213141516171619[[#This Row],[Jira Story Points]],Tabelle1324568910111213141516171619[[#This Row],[Carry-over]]),-Tabelle1324568910111213141516171619[[#This Row],[COsSP Initially Planned]])</f>
        <v>0</v>
      </c>
      <c r="P29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90" s="379">
        <f>IF(Tabelle1324568910111213141516171619[[#This Row],[Status]]=$J$5,Tabelle1324568910111213141516171619[[#This Row],[COsSP Initially Planned]]+Tabelle1324568910111213141516171619[[#This Row],[COsSP Pulled after Start]]-Tabelle1324568910111213141516171619[[#This Row],[CSOsSP Completed]],0)</f>
        <v>0</v>
      </c>
      <c r="R290" s="379">
        <f>Tabelle1324568910111213141516171619[[#This Row],[COsSP Initially Planned]]+Tabelle1324568910111213141516171619[[#This Row],[COsSP Pulled after Start]]-Tabelle1324568910111213141516171619[[#This Row],[CSOsSP Completed]]-Tabelle1324568910111213141516171619[[#This Row],[CSOsSP Removed]]</f>
        <v>0</v>
      </c>
    </row>
    <row r="291" spans="1:18" ht="13.5" customHeight="1">
      <c r="A291" s="383"/>
      <c r="B291" s="47"/>
      <c r="C291" s="203"/>
      <c r="D291" s="203"/>
      <c r="E291" s="203"/>
      <c r="F291" s="204"/>
      <c r="G291" s="203"/>
      <c r="H291" s="205"/>
      <c r="I291" s="206"/>
      <c r="J291" s="206"/>
      <c r="K291" s="203"/>
      <c r="L291" s="204"/>
      <c r="M291" s="204"/>
      <c r="N291" s="378">
        <f>IF(OR(Tabelle1324568910111213141516171619[[#This Row],[Pulled after Start]]="yes",Tabelle1324568910111213141516171619[[#This Row],[Jira Story Points]]="-"),0,MIN(Tabelle1324568910111213141516171619[[#This Row],[Jira Story Points]],Tabelle1324568910111213141516171619[[#This Row],[Carry-over]]))</f>
        <v>0</v>
      </c>
      <c r="O291" s="379">
        <f>SUM(IF(ISBLANK(Tabelle1324568910111213141516171619[[#This Row],[Carry-over]]),Tabelle1324568910111213141516171619[[#This Row],[Jira Story Points]],Tabelle1324568910111213141516171619[[#This Row],[Carry-over]]),-Tabelle1324568910111213141516171619[[#This Row],[COsSP Initially Planned]])</f>
        <v>0</v>
      </c>
      <c r="P29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91" s="379">
        <f>IF(Tabelle1324568910111213141516171619[[#This Row],[Status]]=$J$5,Tabelle1324568910111213141516171619[[#This Row],[COsSP Initially Planned]]+Tabelle1324568910111213141516171619[[#This Row],[COsSP Pulled after Start]]-Tabelle1324568910111213141516171619[[#This Row],[CSOsSP Completed]],0)</f>
        <v>0</v>
      </c>
      <c r="R291" s="379">
        <f>Tabelle1324568910111213141516171619[[#This Row],[COsSP Initially Planned]]+Tabelle1324568910111213141516171619[[#This Row],[COsSP Pulled after Start]]-Tabelle1324568910111213141516171619[[#This Row],[CSOsSP Completed]]-Tabelle1324568910111213141516171619[[#This Row],[CSOsSP Removed]]</f>
        <v>0</v>
      </c>
    </row>
    <row r="292" spans="1:18" ht="13.5" customHeight="1">
      <c r="A292" s="383"/>
      <c r="B292" s="47"/>
      <c r="C292" s="203"/>
      <c r="D292" s="203"/>
      <c r="E292" s="203"/>
      <c r="F292" s="204"/>
      <c r="G292" s="203"/>
      <c r="H292" s="205"/>
      <c r="I292" s="206"/>
      <c r="J292" s="206"/>
      <c r="K292" s="203"/>
      <c r="L292" s="204"/>
      <c r="M292" s="204"/>
      <c r="N292" s="378">
        <f>IF(OR(Tabelle1324568910111213141516171619[[#This Row],[Pulled after Start]]="yes",Tabelle1324568910111213141516171619[[#This Row],[Jira Story Points]]="-"),0,MIN(Tabelle1324568910111213141516171619[[#This Row],[Jira Story Points]],Tabelle1324568910111213141516171619[[#This Row],[Carry-over]]))</f>
        <v>0</v>
      </c>
      <c r="O292" s="379">
        <f>SUM(IF(ISBLANK(Tabelle1324568910111213141516171619[[#This Row],[Carry-over]]),Tabelle1324568910111213141516171619[[#This Row],[Jira Story Points]],Tabelle1324568910111213141516171619[[#This Row],[Carry-over]]),-Tabelle1324568910111213141516171619[[#This Row],[COsSP Initially Planned]])</f>
        <v>0</v>
      </c>
      <c r="P29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92" s="379">
        <f>IF(Tabelle1324568910111213141516171619[[#This Row],[Status]]=$J$5,Tabelle1324568910111213141516171619[[#This Row],[COsSP Initially Planned]]+Tabelle1324568910111213141516171619[[#This Row],[COsSP Pulled after Start]]-Tabelle1324568910111213141516171619[[#This Row],[CSOsSP Completed]],0)</f>
        <v>0</v>
      </c>
      <c r="R292" s="379">
        <f>Tabelle1324568910111213141516171619[[#This Row],[COsSP Initially Planned]]+Tabelle1324568910111213141516171619[[#This Row],[COsSP Pulled after Start]]-Tabelle1324568910111213141516171619[[#This Row],[CSOsSP Completed]]-Tabelle1324568910111213141516171619[[#This Row],[CSOsSP Removed]]</f>
        <v>0</v>
      </c>
    </row>
    <row r="293" spans="1:18" ht="13.5" customHeight="1">
      <c r="A293" s="383"/>
      <c r="B293" s="47"/>
      <c r="C293" s="203"/>
      <c r="D293" s="203"/>
      <c r="E293" s="203"/>
      <c r="F293" s="204"/>
      <c r="G293" s="203"/>
      <c r="H293" s="205"/>
      <c r="I293" s="206"/>
      <c r="J293" s="206"/>
      <c r="K293" s="203"/>
      <c r="L293" s="204"/>
      <c r="M293" s="204"/>
      <c r="N293" s="378">
        <f>IF(OR(Tabelle1324568910111213141516171619[[#This Row],[Pulled after Start]]="yes",Tabelle1324568910111213141516171619[[#This Row],[Jira Story Points]]="-"),0,MIN(Tabelle1324568910111213141516171619[[#This Row],[Jira Story Points]],Tabelle1324568910111213141516171619[[#This Row],[Carry-over]]))</f>
        <v>0</v>
      </c>
      <c r="O293" s="379">
        <f>SUM(IF(ISBLANK(Tabelle1324568910111213141516171619[[#This Row],[Carry-over]]),Tabelle1324568910111213141516171619[[#This Row],[Jira Story Points]],Tabelle1324568910111213141516171619[[#This Row],[Carry-over]]),-Tabelle1324568910111213141516171619[[#This Row],[COsSP Initially Planned]])</f>
        <v>0</v>
      </c>
      <c r="P29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93" s="379">
        <f>IF(Tabelle1324568910111213141516171619[[#This Row],[Status]]=$J$5,Tabelle1324568910111213141516171619[[#This Row],[COsSP Initially Planned]]+Tabelle1324568910111213141516171619[[#This Row],[COsSP Pulled after Start]]-Tabelle1324568910111213141516171619[[#This Row],[CSOsSP Completed]],0)</f>
        <v>0</v>
      </c>
      <c r="R293" s="379">
        <f>Tabelle1324568910111213141516171619[[#This Row],[COsSP Initially Planned]]+Tabelle1324568910111213141516171619[[#This Row],[COsSP Pulled after Start]]-Tabelle1324568910111213141516171619[[#This Row],[CSOsSP Completed]]-Tabelle1324568910111213141516171619[[#This Row],[CSOsSP Removed]]</f>
        <v>0</v>
      </c>
    </row>
    <row r="294" spans="1:18" ht="13.5" customHeight="1">
      <c r="A294" s="383"/>
      <c r="B294" s="47"/>
      <c r="C294" s="203"/>
      <c r="D294" s="203"/>
      <c r="E294" s="203"/>
      <c r="F294" s="204"/>
      <c r="G294" s="203"/>
      <c r="H294" s="205"/>
      <c r="I294" s="206"/>
      <c r="J294" s="206"/>
      <c r="K294" s="203"/>
      <c r="L294" s="204"/>
      <c r="M294" s="204"/>
      <c r="N294" s="378">
        <f>IF(OR(Tabelle1324568910111213141516171619[[#This Row],[Pulled after Start]]="yes",Tabelle1324568910111213141516171619[[#This Row],[Jira Story Points]]="-"),0,MIN(Tabelle1324568910111213141516171619[[#This Row],[Jira Story Points]],Tabelle1324568910111213141516171619[[#This Row],[Carry-over]]))</f>
        <v>0</v>
      </c>
      <c r="O294" s="379">
        <f>SUM(IF(ISBLANK(Tabelle1324568910111213141516171619[[#This Row],[Carry-over]]),Tabelle1324568910111213141516171619[[#This Row],[Jira Story Points]],Tabelle1324568910111213141516171619[[#This Row],[Carry-over]]),-Tabelle1324568910111213141516171619[[#This Row],[COsSP Initially Planned]])</f>
        <v>0</v>
      </c>
      <c r="P29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94" s="379">
        <f>IF(Tabelle1324568910111213141516171619[[#This Row],[Status]]=$J$5,Tabelle1324568910111213141516171619[[#This Row],[COsSP Initially Planned]]+Tabelle1324568910111213141516171619[[#This Row],[COsSP Pulled after Start]]-Tabelle1324568910111213141516171619[[#This Row],[CSOsSP Completed]],0)</f>
        <v>0</v>
      </c>
      <c r="R294" s="379">
        <f>Tabelle1324568910111213141516171619[[#This Row],[COsSP Initially Planned]]+Tabelle1324568910111213141516171619[[#This Row],[COsSP Pulled after Start]]-Tabelle1324568910111213141516171619[[#This Row],[CSOsSP Completed]]-Tabelle1324568910111213141516171619[[#This Row],[CSOsSP Removed]]</f>
        <v>0</v>
      </c>
    </row>
    <row r="295" spans="1:18" ht="13.5" customHeight="1">
      <c r="A295" s="383"/>
      <c r="B295" s="47"/>
      <c r="C295" s="203"/>
      <c r="D295" s="203"/>
      <c r="E295" s="203"/>
      <c r="F295" s="204"/>
      <c r="G295" s="203"/>
      <c r="H295" s="205"/>
      <c r="I295" s="206"/>
      <c r="J295" s="206"/>
      <c r="K295" s="203"/>
      <c r="L295" s="204"/>
      <c r="M295" s="204"/>
      <c r="N295" s="378">
        <f>IF(OR(Tabelle1324568910111213141516171619[[#This Row],[Pulled after Start]]="yes",Tabelle1324568910111213141516171619[[#This Row],[Jira Story Points]]="-"),0,MIN(Tabelle1324568910111213141516171619[[#This Row],[Jira Story Points]],Tabelle1324568910111213141516171619[[#This Row],[Carry-over]]))</f>
        <v>0</v>
      </c>
      <c r="O295" s="379">
        <f>SUM(IF(ISBLANK(Tabelle1324568910111213141516171619[[#This Row],[Carry-over]]),Tabelle1324568910111213141516171619[[#This Row],[Jira Story Points]],Tabelle1324568910111213141516171619[[#This Row],[Carry-over]]),-Tabelle1324568910111213141516171619[[#This Row],[COsSP Initially Planned]])</f>
        <v>0</v>
      </c>
      <c r="P29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95" s="379">
        <f>IF(Tabelle1324568910111213141516171619[[#This Row],[Status]]=$J$5,Tabelle1324568910111213141516171619[[#This Row],[COsSP Initially Planned]]+Tabelle1324568910111213141516171619[[#This Row],[COsSP Pulled after Start]]-Tabelle1324568910111213141516171619[[#This Row],[CSOsSP Completed]],0)</f>
        <v>0</v>
      </c>
      <c r="R295" s="379">
        <f>Tabelle1324568910111213141516171619[[#This Row],[COsSP Initially Planned]]+Tabelle1324568910111213141516171619[[#This Row],[COsSP Pulled after Start]]-Tabelle1324568910111213141516171619[[#This Row],[CSOsSP Completed]]-Tabelle1324568910111213141516171619[[#This Row],[CSOsSP Removed]]</f>
        <v>0</v>
      </c>
    </row>
    <row r="296" spans="1:18" ht="13.5" customHeight="1">
      <c r="A296" s="383"/>
      <c r="B296" s="47"/>
      <c r="C296" s="203"/>
      <c r="D296" s="203"/>
      <c r="E296" s="203"/>
      <c r="F296" s="204"/>
      <c r="G296" s="203"/>
      <c r="H296" s="205"/>
      <c r="I296" s="206"/>
      <c r="J296" s="206"/>
      <c r="K296" s="203"/>
      <c r="L296" s="204"/>
      <c r="M296" s="204"/>
      <c r="N296" s="378">
        <f>IF(OR(Tabelle1324568910111213141516171619[[#This Row],[Pulled after Start]]="yes",Tabelle1324568910111213141516171619[[#This Row],[Jira Story Points]]="-"),0,MIN(Tabelle1324568910111213141516171619[[#This Row],[Jira Story Points]],Tabelle1324568910111213141516171619[[#This Row],[Carry-over]]))</f>
        <v>0</v>
      </c>
      <c r="O296" s="379">
        <f>SUM(IF(ISBLANK(Tabelle1324568910111213141516171619[[#This Row],[Carry-over]]),Tabelle1324568910111213141516171619[[#This Row],[Jira Story Points]],Tabelle1324568910111213141516171619[[#This Row],[Carry-over]]),-Tabelle1324568910111213141516171619[[#This Row],[COsSP Initially Planned]])</f>
        <v>0</v>
      </c>
      <c r="P29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96" s="379">
        <f>IF(Tabelle1324568910111213141516171619[[#This Row],[Status]]=$J$5,Tabelle1324568910111213141516171619[[#This Row],[COsSP Initially Planned]]+Tabelle1324568910111213141516171619[[#This Row],[COsSP Pulled after Start]]-Tabelle1324568910111213141516171619[[#This Row],[CSOsSP Completed]],0)</f>
        <v>0</v>
      </c>
      <c r="R296" s="379">
        <f>Tabelle1324568910111213141516171619[[#This Row],[COsSP Initially Planned]]+Tabelle1324568910111213141516171619[[#This Row],[COsSP Pulled after Start]]-Tabelle1324568910111213141516171619[[#This Row],[CSOsSP Completed]]-Tabelle1324568910111213141516171619[[#This Row],[CSOsSP Removed]]</f>
        <v>0</v>
      </c>
    </row>
    <row r="297" spans="1:18" ht="13.5" customHeight="1">
      <c r="A297" s="383"/>
      <c r="B297" s="47"/>
      <c r="C297" s="203"/>
      <c r="D297" s="203"/>
      <c r="E297" s="203"/>
      <c r="F297" s="204"/>
      <c r="G297" s="203"/>
      <c r="H297" s="205"/>
      <c r="I297" s="206"/>
      <c r="J297" s="206"/>
      <c r="K297" s="203"/>
      <c r="L297" s="204"/>
      <c r="M297" s="204"/>
      <c r="N297" s="378">
        <f>IF(OR(Tabelle1324568910111213141516171619[[#This Row],[Pulled after Start]]="yes",Tabelle1324568910111213141516171619[[#This Row],[Jira Story Points]]="-"),0,MIN(Tabelle1324568910111213141516171619[[#This Row],[Jira Story Points]],Tabelle1324568910111213141516171619[[#This Row],[Carry-over]]))</f>
        <v>0</v>
      </c>
      <c r="O297" s="379">
        <f>SUM(IF(ISBLANK(Tabelle1324568910111213141516171619[[#This Row],[Carry-over]]),Tabelle1324568910111213141516171619[[#This Row],[Jira Story Points]],Tabelle1324568910111213141516171619[[#This Row],[Carry-over]]),-Tabelle1324568910111213141516171619[[#This Row],[COsSP Initially Planned]])</f>
        <v>0</v>
      </c>
      <c r="P29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97" s="379">
        <f>IF(Tabelle1324568910111213141516171619[[#This Row],[Status]]=$J$5,Tabelle1324568910111213141516171619[[#This Row],[COsSP Initially Planned]]+Tabelle1324568910111213141516171619[[#This Row],[COsSP Pulled after Start]]-Tabelle1324568910111213141516171619[[#This Row],[CSOsSP Completed]],0)</f>
        <v>0</v>
      </c>
      <c r="R297" s="379">
        <f>Tabelle1324568910111213141516171619[[#This Row],[COsSP Initially Planned]]+Tabelle1324568910111213141516171619[[#This Row],[COsSP Pulled after Start]]-Tabelle1324568910111213141516171619[[#This Row],[CSOsSP Completed]]-Tabelle1324568910111213141516171619[[#This Row],[CSOsSP Removed]]</f>
        <v>0</v>
      </c>
    </row>
    <row r="298" spans="1:18" ht="13.5" customHeight="1">
      <c r="A298" s="383"/>
      <c r="B298" s="47"/>
      <c r="C298" s="203"/>
      <c r="D298" s="203"/>
      <c r="E298" s="203"/>
      <c r="F298" s="204"/>
      <c r="G298" s="203"/>
      <c r="H298" s="205"/>
      <c r="I298" s="206"/>
      <c r="J298" s="206"/>
      <c r="K298" s="203"/>
      <c r="L298" s="204"/>
      <c r="M298" s="204"/>
      <c r="N298" s="378">
        <f>IF(OR(Tabelle1324568910111213141516171619[[#This Row],[Pulled after Start]]="yes",Tabelle1324568910111213141516171619[[#This Row],[Jira Story Points]]="-"),0,MIN(Tabelle1324568910111213141516171619[[#This Row],[Jira Story Points]],Tabelle1324568910111213141516171619[[#This Row],[Carry-over]]))</f>
        <v>0</v>
      </c>
      <c r="O298" s="379">
        <f>SUM(IF(ISBLANK(Tabelle1324568910111213141516171619[[#This Row],[Carry-over]]),Tabelle1324568910111213141516171619[[#This Row],[Jira Story Points]],Tabelle1324568910111213141516171619[[#This Row],[Carry-over]]),-Tabelle1324568910111213141516171619[[#This Row],[COsSP Initially Planned]])</f>
        <v>0</v>
      </c>
      <c r="P29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98" s="379">
        <f>IF(Tabelle1324568910111213141516171619[[#This Row],[Status]]=$J$5,Tabelle1324568910111213141516171619[[#This Row],[COsSP Initially Planned]]+Tabelle1324568910111213141516171619[[#This Row],[COsSP Pulled after Start]]-Tabelle1324568910111213141516171619[[#This Row],[CSOsSP Completed]],0)</f>
        <v>0</v>
      </c>
      <c r="R298" s="379">
        <f>Tabelle1324568910111213141516171619[[#This Row],[COsSP Initially Planned]]+Tabelle1324568910111213141516171619[[#This Row],[COsSP Pulled after Start]]-Tabelle1324568910111213141516171619[[#This Row],[CSOsSP Completed]]-Tabelle1324568910111213141516171619[[#This Row],[CSOsSP Removed]]</f>
        <v>0</v>
      </c>
    </row>
    <row r="299" spans="1:18" ht="13.5" customHeight="1">
      <c r="A299" s="383"/>
      <c r="B299" s="47"/>
      <c r="C299" s="203"/>
      <c r="D299" s="203"/>
      <c r="E299" s="203"/>
      <c r="F299" s="204"/>
      <c r="G299" s="203"/>
      <c r="H299" s="205"/>
      <c r="I299" s="206"/>
      <c r="J299" s="206"/>
      <c r="K299" s="203"/>
      <c r="L299" s="204"/>
      <c r="M299" s="204"/>
      <c r="N299" s="378">
        <f>IF(OR(Tabelle1324568910111213141516171619[[#This Row],[Pulled after Start]]="yes",Tabelle1324568910111213141516171619[[#This Row],[Jira Story Points]]="-"),0,MIN(Tabelle1324568910111213141516171619[[#This Row],[Jira Story Points]],Tabelle1324568910111213141516171619[[#This Row],[Carry-over]]))</f>
        <v>0</v>
      </c>
      <c r="O299" s="379">
        <f>SUM(IF(ISBLANK(Tabelle1324568910111213141516171619[[#This Row],[Carry-over]]),Tabelle1324568910111213141516171619[[#This Row],[Jira Story Points]],Tabelle1324568910111213141516171619[[#This Row],[Carry-over]]),-Tabelle1324568910111213141516171619[[#This Row],[COsSP Initially Planned]])</f>
        <v>0</v>
      </c>
      <c r="P29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299" s="379">
        <f>IF(Tabelle1324568910111213141516171619[[#This Row],[Status]]=$J$5,Tabelle1324568910111213141516171619[[#This Row],[COsSP Initially Planned]]+Tabelle1324568910111213141516171619[[#This Row],[COsSP Pulled after Start]]-Tabelle1324568910111213141516171619[[#This Row],[CSOsSP Completed]],0)</f>
        <v>0</v>
      </c>
      <c r="R299" s="379">
        <f>Tabelle1324568910111213141516171619[[#This Row],[COsSP Initially Planned]]+Tabelle1324568910111213141516171619[[#This Row],[COsSP Pulled after Start]]-Tabelle1324568910111213141516171619[[#This Row],[CSOsSP Completed]]-Tabelle1324568910111213141516171619[[#This Row],[CSOsSP Removed]]</f>
        <v>0</v>
      </c>
    </row>
    <row r="300" spans="1:18" ht="13.5" customHeight="1">
      <c r="A300" s="383"/>
      <c r="B300" s="47"/>
      <c r="C300" s="203"/>
      <c r="D300" s="203"/>
      <c r="E300" s="203"/>
      <c r="F300" s="204"/>
      <c r="G300" s="203"/>
      <c r="H300" s="205"/>
      <c r="I300" s="206"/>
      <c r="J300" s="206"/>
      <c r="K300" s="203"/>
      <c r="L300" s="204"/>
      <c r="M300" s="204"/>
      <c r="N300" s="378">
        <f>IF(OR(Tabelle1324568910111213141516171619[[#This Row],[Pulled after Start]]="yes",Tabelle1324568910111213141516171619[[#This Row],[Jira Story Points]]="-"),0,MIN(Tabelle1324568910111213141516171619[[#This Row],[Jira Story Points]],Tabelle1324568910111213141516171619[[#This Row],[Carry-over]]))</f>
        <v>0</v>
      </c>
      <c r="O300" s="379">
        <f>SUM(IF(ISBLANK(Tabelle1324568910111213141516171619[[#This Row],[Carry-over]]),Tabelle1324568910111213141516171619[[#This Row],[Jira Story Points]],Tabelle1324568910111213141516171619[[#This Row],[Carry-over]]),-Tabelle1324568910111213141516171619[[#This Row],[COsSP Initially Planned]])</f>
        <v>0</v>
      </c>
      <c r="P30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00" s="379">
        <f>IF(Tabelle1324568910111213141516171619[[#This Row],[Status]]=$J$5,Tabelle1324568910111213141516171619[[#This Row],[COsSP Initially Planned]]+Tabelle1324568910111213141516171619[[#This Row],[COsSP Pulled after Start]]-Tabelle1324568910111213141516171619[[#This Row],[CSOsSP Completed]],0)</f>
        <v>0</v>
      </c>
      <c r="R300" s="379">
        <f>Tabelle1324568910111213141516171619[[#This Row],[COsSP Initially Planned]]+Tabelle1324568910111213141516171619[[#This Row],[COsSP Pulled after Start]]-Tabelle1324568910111213141516171619[[#This Row],[CSOsSP Completed]]-Tabelle1324568910111213141516171619[[#This Row],[CSOsSP Removed]]</f>
        <v>0</v>
      </c>
    </row>
    <row r="301" spans="1:18" ht="13.5" customHeight="1">
      <c r="A301" s="383"/>
      <c r="B301" s="47"/>
      <c r="C301" s="203"/>
      <c r="D301" s="203"/>
      <c r="E301" s="203"/>
      <c r="F301" s="204"/>
      <c r="G301" s="203"/>
      <c r="H301" s="205"/>
      <c r="I301" s="206"/>
      <c r="J301" s="206"/>
      <c r="K301" s="203"/>
      <c r="L301" s="204"/>
      <c r="M301" s="204"/>
      <c r="N301" s="378">
        <f>IF(OR(Tabelle1324568910111213141516171619[[#This Row],[Pulled after Start]]="yes",Tabelle1324568910111213141516171619[[#This Row],[Jira Story Points]]="-"),0,MIN(Tabelle1324568910111213141516171619[[#This Row],[Jira Story Points]],Tabelle1324568910111213141516171619[[#This Row],[Carry-over]]))</f>
        <v>0</v>
      </c>
      <c r="O301" s="379">
        <f>SUM(IF(ISBLANK(Tabelle1324568910111213141516171619[[#This Row],[Carry-over]]),Tabelle1324568910111213141516171619[[#This Row],[Jira Story Points]],Tabelle1324568910111213141516171619[[#This Row],[Carry-over]]),-Tabelle1324568910111213141516171619[[#This Row],[COsSP Initially Planned]])</f>
        <v>0</v>
      </c>
      <c r="P30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01" s="379">
        <f>IF(Tabelle1324568910111213141516171619[[#This Row],[Status]]=$J$5,Tabelle1324568910111213141516171619[[#This Row],[COsSP Initially Planned]]+Tabelle1324568910111213141516171619[[#This Row],[COsSP Pulled after Start]]-Tabelle1324568910111213141516171619[[#This Row],[CSOsSP Completed]],0)</f>
        <v>0</v>
      </c>
      <c r="R301" s="379">
        <f>Tabelle1324568910111213141516171619[[#This Row],[COsSP Initially Planned]]+Tabelle1324568910111213141516171619[[#This Row],[COsSP Pulled after Start]]-Tabelle1324568910111213141516171619[[#This Row],[CSOsSP Completed]]-Tabelle1324568910111213141516171619[[#This Row],[CSOsSP Removed]]</f>
        <v>0</v>
      </c>
    </row>
    <row r="302" spans="1:18" ht="13.5" customHeight="1">
      <c r="A302" s="383"/>
      <c r="B302" s="47"/>
      <c r="C302" s="203"/>
      <c r="D302" s="203"/>
      <c r="E302" s="203"/>
      <c r="F302" s="204"/>
      <c r="G302" s="203"/>
      <c r="H302" s="205"/>
      <c r="I302" s="206"/>
      <c r="J302" s="206"/>
      <c r="K302" s="203"/>
      <c r="L302" s="204"/>
      <c r="M302" s="204"/>
      <c r="N302" s="378">
        <f>IF(OR(Tabelle1324568910111213141516171619[[#This Row],[Pulled after Start]]="yes",Tabelle1324568910111213141516171619[[#This Row],[Jira Story Points]]="-"),0,MIN(Tabelle1324568910111213141516171619[[#This Row],[Jira Story Points]],Tabelle1324568910111213141516171619[[#This Row],[Carry-over]]))</f>
        <v>0</v>
      </c>
      <c r="O302" s="379">
        <f>SUM(IF(ISBLANK(Tabelle1324568910111213141516171619[[#This Row],[Carry-over]]),Tabelle1324568910111213141516171619[[#This Row],[Jira Story Points]],Tabelle1324568910111213141516171619[[#This Row],[Carry-over]]),-Tabelle1324568910111213141516171619[[#This Row],[COsSP Initially Planned]])</f>
        <v>0</v>
      </c>
      <c r="P30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02" s="379">
        <f>IF(Tabelle1324568910111213141516171619[[#This Row],[Status]]=$J$5,Tabelle1324568910111213141516171619[[#This Row],[COsSP Initially Planned]]+Tabelle1324568910111213141516171619[[#This Row],[COsSP Pulled after Start]]-Tabelle1324568910111213141516171619[[#This Row],[CSOsSP Completed]],0)</f>
        <v>0</v>
      </c>
      <c r="R302" s="379">
        <f>Tabelle1324568910111213141516171619[[#This Row],[COsSP Initially Planned]]+Tabelle1324568910111213141516171619[[#This Row],[COsSP Pulled after Start]]-Tabelle1324568910111213141516171619[[#This Row],[CSOsSP Completed]]-Tabelle1324568910111213141516171619[[#This Row],[CSOsSP Removed]]</f>
        <v>0</v>
      </c>
    </row>
    <row r="303" spans="1:18" ht="13.5" customHeight="1">
      <c r="A303" s="383"/>
      <c r="B303" s="47"/>
      <c r="C303" s="203"/>
      <c r="D303" s="203"/>
      <c r="E303" s="203"/>
      <c r="F303" s="204"/>
      <c r="G303" s="203"/>
      <c r="H303" s="205"/>
      <c r="I303" s="206"/>
      <c r="J303" s="206"/>
      <c r="K303" s="203"/>
      <c r="L303" s="204"/>
      <c r="M303" s="204"/>
      <c r="N303" s="378">
        <f>IF(OR(Tabelle1324568910111213141516171619[[#This Row],[Pulled after Start]]="yes",Tabelle1324568910111213141516171619[[#This Row],[Jira Story Points]]="-"),0,MIN(Tabelle1324568910111213141516171619[[#This Row],[Jira Story Points]],Tabelle1324568910111213141516171619[[#This Row],[Carry-over]]))</f>
        <v>0</v>
      </c>
      <c r="O303" s="379">
        <f>SUM(IF(ISBLANK(Tabelle1324568910111213141516171619[[#This Row],[Carry-over]]),Tabelle1324568910111213141516171619[[#This Row],[Jira Story Points]],Tabelle1324568910111213141516171619[[#This Row],[Carry-over]]),-Tabelle1324568910111213141516171619[[#This Row],[COsSP Initially Planned]])</f>
        <v>0</v>
      </c>
      <c r="P30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03" s="379">
        <f>IF(Tabelle1324568910111213141516171619[[#This Row],[Status]]=$J$5,Tabelle1324568910111213141516171619[[#This Row],[COsSP Initially Planned]]+Tabelle1324568910111213141516171619[[#This Row],[COsSP Pulled after Start]]-Tabelle1324568910111213141516171619[[#This Row],[CSOsSP Completed]],0)</f>
        <v>0</v>
      </c>
      <c r="R303" s="379">
        <f>Tabelle1324568910111213141516171619[[#This Row],[COsSP Initially Planned]]+Tabelle1324568910111213141516171619[[#This Row],[COsSP Pulled after Start]]-Tabelle1324568910111213141516171619[[#This Row],[CSOsSP Completed]]-Tabelle1324568910111213141516171619[[#This Row],[CSOsSP Removed]]</f>
        <v>0</v>
      </c>
    </row>
    <row r="304" spans="1:18" ht="13.5" customHeight="1">
      <c r="A304" s="383"/>
      <c r="B304" s="47"/>
      <c r="C304" s="203"/>
      <c r="D304" s="203"/>
      <c r="E304" s="203"/>
      <c r="F304" s="204"/>
      <c r="G304" s="203"/>
      <c r="H304" s="205"/>
      <c r="I304" s="206"/>
      <c r="J304" s="206"/>
      <c r="K304" s="203"/>
      <c r="L304" s="204"/>
      <c r="M304" s="204"/>
      <c r="N304" s="378">
        <f>IF(OR(Tabelle1324568910111213141516171619[[#This Row],[Pulled after Start]]="yes",Tabelle1324568910111213141516171619[[#This Row],[Jira Story Points]]="-"),0,MIN(Tabelle1324568910111213141516171619[[#This Row],[Jira Story Points]],Tabelle1324568910111213141516171619[[#This Row],[Carry-over]]))</f>
        <v>0</v>
      </c>
      <c r="O304" s="379">
        <f>SUM(IF(ISBLANK(Tabelle1324568910111213141516171619[[#This Row],[Carry-over]]),Tabelle1324568910111213141516171619[[#This Row],[Jira Story Points]],Tabelle1324568910111213141516171619[[#This Row],[Carry-over]]),-Tabelle1324568910111213141516171619[[#This Row],[COsSP Initially Planned]])</f>
        <v>0</v>
      </c>
      <c r="P30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04" s="379">
        <f>IF(Tabelle1324568910111213141516171619[[#This Row],[Status]]=$J$5,Tabelle1324568910111213141516171619[[#This Row],[COsSP Initially Planned]]+Tabelle1324568910111213141516171619[[#This Row],[COsSP Pulled after Start]]-Tabelle1324568910111213141516171619[[#This Row],[CSOsSP Completed]],0)</f>
        <v>0</v>
      </c>
      <c r="R304" s="379">
        <f>Tabelle1324568910111213141516171619[[#This Row],[COsSP Initially Planned]]+Tabelle1324568910111213141516171619[[#This Row],[COsSP Pulled after Start]]-Tabelle1324568910111213141516171619[[#This Row],[CSOsSP Completed]]-Tabelle1324568910111213141516171619[[#This Row],[CSOsSP Removed]]</f>
        <v>0</v>
      </c>
    </row>
    <row r="305" spans="1:18" ht="13.5" customHeight="1">
      <c r="A305" s="383"/>
      <c r="B305" s="47"/>
      <c r="C305" s="203"/>
      <c r="D305" s="203"/>
      <c r="E305" s="203"/>
      <c r="F305" s="204"/>
      <c r="G305" s="203"/>
      <c r="H305" s="205"/>
      <c r="I305" s="206"/>
      <c r="J305" s="206"/>
      <c r="K305" s="203"/>
      <c r="L305" s="204"/>
      <c r="M305" s="204"/>
      <c r="N305" s="378">
        <f>IF(OR(Tabelle1324568910111213141516171619[[#This Row],[Pulled after Start]]="yes",Tabelle1324568910111213141516171619[[#This Row],[Jira Story Points]]="-"),0,MIN(Tabelle1324568910111213141516171619[[#This Row],[Jira Story Points]],Tabelle1324568910111213141516171619[[#This Row],[Carry-over]]))</f>
        <v>0</v>
      </c>
      <c r="O305" s="379">
        <f>SUM(IF(ISBLANK(Tabelle1324568910111213141516171619[[#This Row],[Carry-over]]),Tabelle1324568910111213141516171619[[#This Row],[Jira Story Points]],Tabelle1324568910111213141516171619[[#This Row],[Carry-over]]),-Tabelle1324568910111213141516171619[[#This Row],[COsSP Initially Planned]])</f>
        <v>0</v>
      </c>
      <c r="P30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05" s="379">
        <f>IF(Tabelle1324568910111213141516171619[[#This Row],[Status]]=$J$5,Tabelle1324568910111213141516171619[[#This Row],[COsSP Initially Planned]]+Tabelle1324568910111213141516171619[[#This Row],[COsSP Pulled after Start]]-Tabelle1324568910111213141516171619[[#This Row],[CSOsSP Completed]],0)</f>
        <v>0</v>
      </c>
      <c r="R305" s="379">
        <f>Tabelle1324568910111213141516171619[[#This Row],[COsSP Initially Planned]]+Tabelle1324568910111213141516171619[[#This Row],[COsSP Pulled after Start]]-Tabelle1324568910111213141516171619[[#This Row],[CSOsSP Completed]]-Tabelle1324568910111213141516171619[[#This Row],[CSOsSP Removed]]</f>
        <v>0</v>
      </c>
    </row>
    <row r="306" spans="1:18" ht="13.5" customHeight="1">
      <c r="A306" s="383"/>
      <c r="B306" s="47"/>
      <c r="C306" s="203"/>
      <c r="D306" s="203"/>
      <c r="E306" s="203"/>
      <c r="F306" s="204"/>
      <c r="G306" s="203"/>
      <c r="H306" s="205"/>
      <c r="I306" s="206"/>
      <c r="J306" s="206"/>
      <c r="K306" s="203"/>
      <c r="L306" s="204"/>
      <c r="M306" s="204"/>
      <c r="N306" s="378">
        <f>IF(OR(Tabelle1324568910111213141516171619[[#This Row],[Pulled after Start]]="yes",Tabelle1324568910111213141516171619[[#This Row],[Jira Story Points]]="-"),0,MIN(Tabelle1324568910111213141516171619[[#This Row],[Jira Story Points]],Tabelle1324568910111213141516171619[[#This Row],[Carry-over]]))</f>
        <v>0</v>
      </c>
      <c r="O306" s="379">
        <f>SUM(IF(ISBLANK(Tabelle1324568910111213141516171619[[#This Row],[Carry-over]]),Tabelle1324568910111213141516171619[[#This Row],[Jira Story Points]],Tabelle1324568910111213141516171619[[#This Row],[Carry-over]]),-Tabelle1324568910111213141516171619[[#This Row],[COsSP Initially Planned]])</f>
        <v>0</v>
      </c>
      <c r="P30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06" s="379">
        <f>IF(Tabelle1324568910111213141516171619[[#This Row],[Status]]=$J$5,Tabelle1324568910111213141516171619[[#This Row],[COsSP Initially Planned]]+Tabelle1324568910111213141516171619[[#This Row],[COsSP Pulled after Start]]-Tabelle1324568910111213141516171619[[#This Row],[CSOsSP Completed]],0)</f>
        <v>0</v>
      </c>
      <c r="R306" s="379">
        <f>Tabelle1324568910111213141516171619[[#This Row],[COsSP Initially Planned]]+Tabelle1324568910111213141516171619[[#This Row],[COsSP Pulled after Start]]-Tabelle1324568910111213141516171619[[#This Row],[CSOsSP Completed]]-Tabelle1324568910111213141516171619[[#This Row],[CSOsSP Removed]]</f>
        <v>0</v>
      </c>
    </row>
    <row r="307" spans="1:18" ht="13.5" customHeight="1">
      <c r="A307" s="383"/>
      <c r="B307" s="47"/>
      <c r="C307" s="203"/>
      <c r="D307" s="203"/>
      <c r="E307" s="203"/>
      <c r="F307" s="204"/>
      <c r="G307" s="203"/>
      <c r="H307" s="205"/>
      <c r="I307" s="206"/>
      <c r="J307" s="206"/>
      <c r="K307" s="203"/>
      <c r="L307" s="204"/>
      <c r="M307" s="204"/>
      <c r="N307" s="378">
        <f>IF(OR(Tabelle1324568910111213141516171619[[#This Row],[Pulled after Start]]="yes",Tabelle1324568910111213141516171619[[#This Row],[Jira Story Points]]="-"),0,MIN(Tabelle1324568910111213141516171619[[#This Row],[Jira Story Points]],Tabelle1324568910111213141516171619[[#This Row],[Carry-over]]))</f>
        <v>0</v>
      </c>
      <c r="O307" s="379">
        <f>SUM(IF(ISBLANK(Tabelle1324568910111213141516171619[[#This Row],[Carry-over]]),Tabelle1324568910111213141516171619[[#This Row],[Jira Story Points]],Tabelle1324568910111213141516171619[[#This Row],[Carry-over]]),-Tabelle1324568910111213141516171619[[#This Row],[COsSP Initially Planned]])</f>
        <v>0</v>
      </c>
      <c r="P30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07" s="379">
        <f>IF(Tabelle1324568910111213141516171619[[#This Row],[Status]]=$J$5,Tabelle1324568910111213141516171619[[#This Row],[COsSP Initially Planned]]+Tabelle1324568910111213141516171619[[#This Row],[COsSP Pulled after Start]]-Tabelle1324568910111213141516171619[[#This Row],[CSOsSP Completed]],0)</f>
        <v>0</v>
      </c>
      <c r="R307" s="379">
        <f>Tabelle1324568910111213141516171619[[#This Row],[COsSP Initially Planned]]+Tabelle1324568910111213141516171619[[#This Row],[COsSP Pulled after Start]]-Tabelle1324568910111213141516171619[[#This Row],[CSOsSP Completed]]-Tabelle1324568910111213141516171619[[#This Row],[CSOsSP Removed]]</f>
        <v>0</v>
      </c>
    </row>
    <row r="308" spans="1:18" ht="13.5" customHeight="1">
      <c r="A308" s="383"/>
      <c r="B308" s="47"/>
      <c r="C308" s="203"/>
      <c r="D308" s="203"/>
      <c r="E308" s="203"/>
      <c r="F308" s="204"/>
      <c r="G308" s="203"/>
      <c r="H308" s="205"/>
      <c r="I308" s="206"/>
      <c r="J308" s="206"/>
      <c r="K308" s="203"/>
      <c r="L308" s="204"/>
      <c r="M308" s="204"/>
      <c r="N308" s="378">
        <f>IF(OR(Tabelle1324568910111213141516171619[[#This Row],[Pulled after Start]]="yes",Tabelle1324568910111213141516171619[[#This Row],[Jira Story Points]]="-"),0,MIN(Tabelle1324568910111213141516171619[[#This Row],[Jira Story Points]],Tabelle1324568910111213141516171619[[#This Row],[Carry-over]]))</f>
        <v>0</v>
      </c>
      <c r="O308" s="379">
        <f>SUM(IF(ISBLANK(Tabelle1324568910111213141516171619[[#This Row],[Carry-over]]),Tabelle1324568910111213141516171619[[#This Row],[Jira Story Points]],Tabelle1324568910111213141516171619[[#This Row],[Carry-over]]),-Tabelle1324568910111213141516171619[[#This Row],[COsSP Initially Planned]])</f>
        <v>0</v>
      </c>
      <c r="P30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08" s="379">
        <f>IF(Tabelle1324568910111213141516171619[[#This Row],[Status]]=$J$5,Tabelle1324568910111213141516171619[[#This Row],[COsSP Initially Planned]]+Tabelle1324568910111213141516171619[[#This Row],[COsSP Pulled after Start]]-Tabelle1324568910111213141516171619[[#This Row],[CSOsSP Completed]],0)</f>
        <v>0</v>
      </c>
      <c r="R308" s="379">
        <f>Tabelle1324568910111213141516171619[[#This Row],[COsSP Initially Planned]]+Tabelle1324568910111213141516171619[[#This Row],[COsSP Pulled after Start]]-Tabelle1324568910111213141516171619[[#This Row],[CSOsSP Completed]]-Tabelle1324568910111213141516171619[[#This Row],[CSOsSP Removed]]</f>
        <v>0</v>
      </c>
    </row>
    <row r="309" spans="1:18" ht="13.5" customHeight="1">
      <c r="A309" s="383"/>
      <c r="B309" s="47"/>
      <c r="C309" s="203"/>
      <c r="D309" s="203"/>
      <c r="E309" s="203"/>
      <c r="F309" s="204"/>
      <c r="G309" s="203"/>
      <c r="H309" s="205"/>
      <c r="I309" s="206"/>
      <c r="J309" s="206"/>
      <c r="K309" s="203"/>
      <c r="L309" s="204"/>
      <c r="M309" s="204"/>
      <c r="N309" s="378">
        <f>IF(OR(Tabelle1324568910111213141516171619[[#This Row],[Pulled after Start]]="yes",Tabelle1324568910111213141516171619[[#This Row],[Jira Story Points]]="-"),0,MIN(Tabelle1324568910111213141516171619[[#This Row],[Jira Story Points]],Tabelle1324568910111213141516171619[[#This Row],[Carry-over]]))</f>
        <v>0</v>
      </c>
      <c r="O309" s="379">
        <f>SUM(IF(ISBLANK(Tabelle1324568910111213141516171619[[#This Row],[Carry-over]]),Tabelle1324568910111213141516171619[[#This Row],[Jira Story Points]],Tabelle1324568910111213141516171619[[#This Row],[Carry-over]]),-Tabelle1324568910111213141516171619[[#This Row],[COsSP Initially Planned]])</f>
        <v>0</v>
      </c>
      <c r="P30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09" s="379">
        <f>IF(Tabelle1324568910111213141516171619[[#This Row],[Status]]=$J$5,Tabelle1324568910111213141516171619[[#This Row],[COsSP Initially Planned]]+Tabelle1324568910111213141516171619[[#This Row],[COsSP Pulled after Start]]-Tabelle1324568910111213141516171619[[#This Row],[CSOsSP Completed]],0)</f>
        <v>0</v>
      </c>
      <c r="R309" s="379">
        <f>Tabelle1324568910111213141516171619[[#This Row],[COsSP Initially Planned]]+Tabelle1324568910111213141516171619[[#This Row],[COsSP Pulled after Start]]-Tabelle1324568910111213141516171619[[#This Row],[CSOsSP Completed]]-Tabelle1324568910111213141516171619[[#This Row],[CSOsSP Removed]]</f>
        <v>0</v>
      </c>
    </row>
    <row r="310" spans="1:18" ht="13.5" customHeight="1">
      <c r="A310" s="383"/>
      <c r="B310" s="47"/>
      <c r="C310" s="203"/>
      <c r="D310" s="203"/>
      <c r="E310" s="203"/>
      <c r="F310" s="204"/>
      <c r="G310" s="203"/>
      <c r="H310" s="205"/>
      <c r="I310" s="206"/>
      <c r="J310" s="206"/>
      <c r="K310" s="203"/>
      <c r="L310" s="204"/>
      <c r="M310" s="204"/>
      <c r="N310" s="378">
        <f>IF(OR(Tabelle1324568910111213141516171619[[#This Row],[Pulled after Start]]="yes",Tabelle1324568910111213141516171619[[#This Row],[Jira Story Points]]="-"),0,MIN(Tabelle1324568910111213141516171619[[#This Row],[Jira Story Points]],Tabelle1324568910111213141516171619[[#This Row],[Carry-over]]))</f>
        <v>0</v>
      </c>
      <c r="O310" s="379">
        <f>SUM(IF(ISBLANK(Tabelle1324568910111213141516171619[[#This Row],[Carry-over]]),Tabelle1324568910111213141516171619[[#This Row],[Jira Story Points]],Tabelle1324568910111213141516171619[[#This Row],[Carry-over]]),-Tabelle1324568910111213141516171619[[#This Row],[COsSP Initially Planned]])</f>
        <v>0</v>
      </c>
      <c r="P31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10" s="379">
        <f>IF(Tabelle1324568910111213141516171619[[#This Row],[Status]]=$J$5,Tabelle1324568910111213141516171619[[#This Row],[COsSP Initially Planned]]+Tabelle1324568910111213141516171619[[#This Row],[COsSP Pulled after Start]]-Tabelle1324568910111213141516171619[[#This Row],[CSOsSP Completed]],0)</f>
        <v>0</v>
      </c>
      <c r="R310" s="379">
        <f>Tabelle1324568910111213141516171619[[#This Row],[COsSP Initially Planned]]+Tabelle1324568910111213141516171619[[#This Row],[COsSP Pulled after Start]]-Tabelle1324568910111213141516171619[[#This Row],[CSOsSP Completed]]-Tabelle1324568910111213141516171619[[#This Row],[CSOsSP Removed]]</f>
        <v>0</v>
      </c>
    </row>
    <row r="311" spans="1:18" ht="13.5" customHeight="1">
      <c r="A311" s="383"/>
      <c r="B311" s="47"/>
      <c r="C311" s="203"/>
      <c r="D311" s="203"/>
      <c r="E311" s="203"/>
      <c r="F311" s="204"/>
      <c r="G311" s="203"/>
      <c r="H311" s="205"/>
      <c r="I311" s="206"/>
      <c r="J311" s="206"/>
      <c r="K311" s="203"/>
      <c r="L311" s="204"/>
      <c r="M311" s="204"/>
      <c r="N311" s="378">
        <f>IF(OR(Tabelle1324568910111213141516171619[[#This Row],[Pulled after Start]]="yes",Tabelle1324568910111213141516171619[[#This Row],[Jira Story Points]]="-"),0,MIN(Tabelle1324568910111213141516171619[[#This Row],[Jira Story Points]],Tabelle1324568910111213141516171619[[#This Row],[Carry-over]]))</f>
        <v>0</v>
      </c>
      <c r="O311" s="379">
        <f>SUM(IF(ISBLANK(Tabelle1324568910111213141516171619[[#This Row],[Carry-over]]),Tabelle1324568910111213141516171619[[#This Row],[Jira Story Points]],Tabelle1324568910111213141516171619[[#This Row],[Carry-over]]),-Tabelle1324568910111213141516171619[[#This Row],[COsSP Initially Planned]])</f>
        <v>0</v>
      </c>
      <c r="P31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11" s="379">
        <f>IF(Tabelle1324568910111213141516171619[[#This Row],[Status]]=$J$5,Tabelle1324568910111213141516171619[[#This Row],[COsSP Initially Planned]]+Tabelle1324568910111213141516171619[[#This Row],[COsSP Pulled after Start]]-Tabelle1324568910111213141516171619[[#This Row],[CSOsSP Completed]],0)</f>
        <v>0</v>
      </c>
      <c r="R311" s="379">
        <f>Tabelle1324568910111213141516171619[[#This Row],[COsSP Initially Planned]]+Tabelle1324568910111213141516171619[[#This Row],[COsSP Pulled after Start]]-Tabelle1324568910111213141516171619[[#This Row],[CSOsSP Completed]]-Tabelle1324568910111213141516171619[[#This Row],[CSOsSP Removed]]</f>
        <v>0</v>
      </c>
    </row>
    <row r="312" spans="1:18" ht="13.5" customHeight="1">
      <c r="A312" s="383"/>
      <c r="B312" s="47"/>
      <c r="C312" s="203"/>
      <c r="D312" s="203"/>
      <c r="E312" s="203"/>
      <c r="F312" s="204"/>
      <c r="G312" s="203"/>
      <c r="H312" s="205"/>
      <c r="I312" s="206"/>
      <c r="J312" s="206"/>
      <c r="K312" s="203"/>
      <c r="L312" s="204"/>
      <c r="M312" s="204"/>
      <c r="N312" s="378">
        <f>IF(OR(Tabelle1324568910111213141516171619[[#This Row],[Pulled after Start]]="yes",Tabelle1324568910111213141516171619[[#This Row],[Jira Story Points]]="-"),0,MIN(Tabelle1324568910111213141516171619[[#This Row],[Jira Story Points]],Tabelle1324568910111213141516171619[[#This Row],[Carry-over]]))</f>
        <v>0</v>
      </c>
      <c r="O312" s="379">
        <f>SUM(IF(ISBLANK(Tabelle1324568910111213141516171619[[#This Row],[Carry-over]]),Tabelle1324568910111213141516171619[[#This Row],[Jira Story Points]],Tabelle1324568910111213141516171619[[#This Row],[Carry-over]]),-Tabelle1324568910111213141516171619[[#This Row],[COsSP Initially Planned]])</f>
        <v>0</v>
      </c>
      <c r="P31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12" s="379">
        <f>IF(Tabelle1324568910111213141516171619[[#This Row],[Status]]=$J$5,Tabelle1324568910111213141516171619[[#This Row],[COsSP Initially Planned]]+Tabelle1324568910111213141516171619[[#This Row],[COsSP Pulled after Start]]-Tabelle1324568910111213141516171619[[#This Row],[CSOsSP Completed]],0)</f>
        <v>0</v>
      </c>
      <c r="R312" s="379">
        <f>Tabelle1324568910111213141516171619[[#This Row],[COsSP Initially Planned]]+Tabelle1324568910111213141516171619[[#This Row],[COsSP Pulled after Start]]-Tabelle1324568910111213141516171619[[#This Row],[CSOsSP Completed]]-Tabelle1324568910111213141516171619[[#This Row],[CSOsSP Removed]]</f>
        <v>0</v>
      </c>
    </row>
    <row r="313" spans="1:18" ht="13.5" customHeight="1">
      <c r="A313" s="383"/>
      <c r="B313" s="47"/>
      <c r="C313" s="203"/>
      <c r="D313" s="203"/>
      <c r="E313" s="203"/>
      <c r="F313" s="204"/>
      <c r="G313" s="203"/>
      <c r="H313" s="205"/>
      <c r="I313" s="206"/>
      <c r="J313" s="206"/>
      <c r="K313" s="203"/>
      <c r="L313" s="204"/>
      <c r="M313" s="204"/>
      <c r="N313" s="378">
        <f>IF(OR(Tabelle1324568910111213141516171619[[#This Row],[Pulled after Start]]="yes",Tabelle1324568910111213141516171619[[#This Row],[Jira Story Points]]="-"),0,MIN(Tabelle1324568910111213141516171619[[#This Row],[Jira Story Points]],Tabelle1324568910111213141516171619[[#This Row],[Carry-over]]))</f>
        <v>0</v>
      </c>
      <c r="O313" s="379">
        <f>SUM(IF(ISBLANK(Tabelle1324568910111213141516171619[[#This Row],[Carry-over]]),Tabelle1324568910111213141516171619[[#This Row],[Jira Story Points]],Tabelle1324568910111213141516171619[[#This Row],[Carry-over]]),-Tabelle1324568910111213141516171619[[#This Row],[COsSP Initially Planned]])</f>
        <v>0</v>
      </c>
      <c r="P31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13" s="379">
        <f>IF(Tabelle1324568910111213141516171619[[#This Row],[Status]]=$J$5,Tabelle1324568910111213141516171619[[#This Row],[COsSP Initially Planned]]+Tabelle1324568910111213141516171619[[#This Row],[COsSP Pulled after Start]]-Tabelle1324568910111213141516171619[[#This Row],[CSOsSP Completed]],0)</f>
        <v>0</v>
      </c>
      <c r="R313" s="379">
        <f>Tabelle1324568910111213141516171619[[#This Row],[COsSP Initially Planned]]+Tabelle1324568910111213141516171619[[#This Row],[COsSP Pulled after Start]]-Tabelle1324568910111213141516171619[[#This Row],[CSOsSP Completed]]-Tabelle1324568910111213141516171619[[#This Row],[CSOsSP Removed]]</f>
        <v>0</v>
      </c>
    </row>
    <row r="314" spans="1:18" ht="13.5" customHeight="1">
      <c r="A314" s="383"/>
      <c r="B314" s="47"/>
      <c r="C314" s="203"/>
      <c r="D314" s="203"/>
      <c r="E314" s="203"/>
      <c r="F314" s="204"/>
      <c r="G314" s="203"/>
      <c r="H314" s="205"/>
      <c r="I314" s="206"/>
      <c r="J314" s="206"/>
      <c r="K314" s="203"/>
      <c r="L314" s="204"/>
      <c r="M314" s="204"/>
      <c r="N314" s="378">
        <f>IF(OR(Tabelle1324568910111213141516171619[[#This Row],[Pulled after Start]]="yes",Tabelle1324568910111213141516171619[[#This Row],[Jira Story Points]]="-"),0,MIN(Tabelle1324568910111213141516171619[[#This Row],[Jira Story Points]],Tabelle1324568910111213141516171619[[#This Row],[Carry-over]]))</f>
        <v>0</v>
      </c>
      <c r="O314" s="379">
        <f>SUM(IF(ISBLANK(Tabelle1324568910111213141516171619[[#This Row],[Carry-over]]),Tabelle1324568910111213141516171619[[#This Row],[Jira Story Points]],Tabelle1324568910111213141516171619[[#This Row],[Carry-over]]),-Tabelle1324568910111213141516171619[[#This Row],[COsSP Initially Planned]])</f>
        <v>0</v>
      </c>
      <c r="P31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14" s="379">
        <f>IF(Tabelle1324568910111213141516171619[[#This Row],[Status]]=$J$5,Tabelle1324568910111213141516171619[[#This Row],[COsSP Initially Planned]]+Tabelle1324568910111213141516171619[[#This Row],[COsSP Pulled after Start]]-Tabelle1324568910111213141516171619[[#This Row],[CSOsSP Completed]],0)</f>
        <v>0</v>
      </c>
      <c r="R314" s="379">
        <f>Tabelle1324568910111213141516171619[[#This Row],[COsSP Initially Planned]]+Tabelle1324568910111213141516171619[[#This Row],[COsSP Pulled after Start]]-Tabelle1324568910111213141516171619[[#This Row],[CSOsSP Completed]]-Tabelle1324568910111213141516171619[[#This Row],[CSOsSP Removed]]</f>
        <v>0</v>
      </c>
    </row>
    <row r="315" spans="1:18" ht="13.5" customHeight="1">
      <c r="A315" s="383"/>
      <c r="B315" s="47"/>
      <c r="C315" s="203"/>
      <c r="D315" s="203"/>
      <c r="E315" s="203"/>
      <c r="F315" s="204"/>
      <c r="G315" s="203"/>
      <c r="H315" s="205"/>
      <c r="I315" s="206"/>
      <c r="J315" s="206"/>
      <c r="K315" s="203"/>
      <c r="L315" s="204"/>
      <c r="M315" s="204"/>
      <c r="N315" s="378">
        <f>IF(OR(Tabelle1324568910111213141516171619[[#This Row],[Pulled after Start]]="yes",Tabelle1324568910111213141516171619[[#This Row],[Jira Story Points]]="-"),0,MIN(Tabelle1324568910111213141516171619[[#This Row],[Jira Story Points]],Tabelle1324568910111213141516171619[[#This Row],[Carry-over]]))</f>
        <v>0</v>
      </c>
      <c r="O315" s="379">
        <f>SUM(IF(ISBLANK(Tabelle1324568910111213141516171619[[#This Row],[Carry-over]]),Tabelle1324568910111213141516171619[[#This Row],[Jira Story Points]],Tabelle1324568910111213141516171619[[#This Row],[Carry-over]]),-Tabelle1324568910111213141516171619[[#This Row],[COsSP Initially Planned]])</f>
        <v>0</v>
      </c>
      <c r="P31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15" s="379">
        <f>IF(Tabelle1324568910111213141516171619[[#This Row],[Status]]=$J$5,Tabelle1324568910111213141516171619[[#This Row],[COsSP Initially Planned]]+Tabelle1324568910111213141516171619[[#This Row],[COsSP Pulled after Start]]-Tabelle1324568910111213141516171619[[#This Row],[CSOsSP Completed]],0)</f>
        <v>0</v>
      </c>
      <c r="R315" s="379">
        <f>Tabelle1324568910111213141516171619[[#This Row],[COsSP Initially Planned]]+Tabelle1324568910111213141516171619[[#This Row],[COsSP Pulled after Start]]-Tabelle1324568910111213141516171619[[#This Row],[CSOsSP Completed]]-Tabelle1324568910111213141516171619[[#This Row],[CSOsSP Removed]]</f>
        <v>0</v>
      </c>
    </row>
    <row r="316" spans="1:18" ht="13.5" customHeight="1">
      <c r="A316" s="383"/>
      <c r="B316" s="47"/>
      <c r="C316" s="203"/>
      <c r="D316" s="203"/>
      <c r="E316" s="203"/>
      <c r="F316" s="204"/>
      <c r="G316" s="203"/>
      <c r="H316" s="205"/>
      <c r="I316" s="206"/>
      <c r="J316" s="206"/>
      <c r="K316" s="203"/>
      <c r="L316" s="204"/>
      <c r="M316" s="204"/>
      <c r="N316" s="378">
        <f>IF(OR(Tabelle1324568910111213141516171619[[#This Row],[Pulled after Start]]="yes",Tabelle1324568910111213141516171619[[#This Row],[Jira Story Points]]="-"),0,MIN(Tabelle1324568910111213141516171619[[#This Row],[Jira Story Points]],Tabelle1324568910111213141516171619[[#This Row],[Carry-over]]))</f>
        <v>0</v>
      </c>
      <c r="O316" s="379">
        <f>SUM(IF(ISBLANK(Tabelle1324568910111213141516171619[[#This Row],[Carry-over]]),Tabelle1324568910111213141516171619[[#This Row],[Jira Story Points]],Tabelle1324568910111213141516171619[[#This Row],[Carry-over]]),-Tabelle1324568910111213141516171619[[#This Row],[COsSP Initially Planned]])</f>
        <v>0</v>
      </c>
      <c r="P31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16" s="379">
        <f>IF(Tabelle1324568910111213141516171619[[#This Row],[Status]]=$J$5,Tabelle1324568910111213141516171619[[#This Row],[COsSP Initially Planned]]+Tabelle1324568910111213141516171619[[#This Row],[COsSP Pulled after Start]]-Tabelle1324568910111213141516171619[[#This Row],[CSOsSP Completed]],0)</f>
        <v>0</v>
      </c>
      <c r="R316" s="379">
        <f>Tabelle1324568910111213141516171619[[#This Row],[COsSP Initially Planned]]+Tabelle1324568910111213141516171619[[#This Row],[COsSP Pulled after Start]]-Tabelle1324568910111213141516171619[[#This Row],[CSOsSP Completed]]-Tabelle1324568910111213141516171619[[#This Row],[CSOsSP Removed]]</f>
        <v>0</v>
      </c>
    </row>
    <row r="317" spans="1:18" ht="13.5" customHeight="1">
      <c r="A317" s="383"/>
      <c r="B317" s="47"/>
      <c r="C317" s="203"/>
      <c r="D317" s="203"/>
      <c r="E317" s="203"/>
      <c r="F317" s="204"/>
      <c r="G317" s="203"/>
      <c r="H317" s="205"/>
      <c r="I317" s="206"/>
      <c r="J317" s="206"/>
      <c r="K317" s="203"/>
      <c r="L317" s="204"/>
      <c r="M317" s="204"/>
      <c r="N317" s="378">
        <f>IF(OR(Tabelle1324568910111213141516171619[[#This Row],[Pulled after Start]]="yes",Tabelle1324568910111213141516171619[[#This Row],[Jira Story Points]]="-"),0,MIN(Tabelle1324568910111213141516171619[[#This Row],[Jira Story Points]],Tabelle1324568910111213141516171619[[#This Row],[Carry-over]]))</f>
        <v>0</v>
      </c>
      <c r="O317" s="379">
        <f>SUM(IF(ISBLANK(Tabelle1324568910111213141516171619[[#This Row],[Carry-over]]),Tabelle1324568910111213141516171619[[#This Row],[Jira Story Points]],Tabelle1324568910111213141516171619[[#This Row],[Carry-over]]),-Tabelle1324568910111213141516171619[[#This Row],[COsSP Initially Planned]])</f>
        <v>0</v>
      </c>
      <c r="P31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17" s="379">
        <f>IF(Tabelle1324568910111213141516171619[[#This Row],[Status]]=$J$5,Tabelle1324568910111213141516171619[[#This Row],[COsSP Initially Planned]]+Tabelle1324568910111213141516171619[[#This Row],[COsSP Pulled after Start]]-Tabelle1324568910111213141516171619[[#This Row],[CSOsSP Completed]],0)</f>
        <v>0</v>
      </c>
      <c r="R317" s="379">
        <f>Tabelle1324568910111213141516171619[[#This Row],[COsSP Initially Planned]]+Tabelle1324568910111213141516171619[[#This Row],[COsSP Pulled after Start]]-Tabelle1324568910111213141516171619[[#This Row],[CSOsSP Completed]]-Tabelle1324568910111213141516171619[[#This Row],[CSOsSP Removed]]</f>
        <v>0</v>
      </c>
    </row>
    <row r="318" spans="1:18" ht="13.5" customHeight="1">
      <c r="A318" s="383"/>
      <c r="B318" s="47"/>
      <c r="C318" s="203"/>
      <c r="D318" s="203"/>
      <c r="E318" s="203"/>
      <c r="F318" s="204"/>
      <c r="G318" s="203"/>
      <c r="H318" s="205"/>
      <c r="I318" s="206"/>
      <c r="J318" s="206"/>
      <c r="K318" s="203"/>
      <c r="L318" s="204"/>
      <c r="M318" s="204"/>
      <c r="N318" s="378">
        <f>IF(OR(Tabelle1324568910111213141516171619[[#This Row],[Pulled after Start]]="yes",Tabelle1324568910111213141516171619[[#This Row],[Jira Story Points]]="-"),0,MIN(Tabelle1324568910111213141516171619[[#This Row],[Jira Story Points]],Tabelle1324568910111213141516171619[[#This Row],[Carry-over]]))</f>
        <v>0</v>
      </c>
      <c r="O318" s="379">
        <f>SUM(IF(ISBLANK(Tabelle1324568910111213141516171619[[#This Row],[Carry-over]]),Tabelle1324568910111213141516171619[[#This Row],[Jira Story Points]],Tabelle1324568910111213141516171619[[#This Row],[Carry-over]]),-Tabelle1324568910111213141516171619[[#This Row],[COsSP Initially Planned]])</f>
        <v>0</v>
      </c>
      <c r="P31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18" s="379">
        <f>IF(Tabelle1324568910111213141516171619[[#This Row],[Status]]=$J$5,Tabelle1324568910111213141516171619[[#This Row],[COsSP Initially Planned]]+Tabelle1324568910111213141516171619[[#This Row],[COsSP Pulled after Start]]-Tabelle1324568910111213141516171619[[#This Row],[CSOsSP Completed]],0)</f>
        <v>0</v>
      </c>
      <c r="R318" s="379">
        <f>Tabelle1324568910111213141516171619[[#This Row],[COsSP Initially Planned]]+Tabelle1324568910111213141516171619[[#This Row],[COsSP Pulled after Start]]-Tabelle1324568910111213141516171619[[#This Row],[CSOsSP Completed]]-Tabelle1324568910111213141516171619[[#This Row],[CSOsSP Removed]]</f>
        <v>0</v>
      </c>
    </row>
    <row r="319" spans="1:18" ht="13.5" customHeight="1">
      <c r="A319" s="383"/>
      <c r="B319" s="47"/>
      <c r="C319" s="203"/>
      <c r="D319" s="203"/>
      <c r="E319" s="203"/>
      <c r="F319" s="204"/>
      <c r="G319" s="203"/>
      <c r="H319" s="205"/>
      <c r="I319" s="206"/>
      <c r="J319" s="206"/>
      <c r="K319" s="203"/>
      <c r="L319" s="204"/>
      <c r="M319" s="204"/>
      <c r="N319" s="378">
        <f>IF(OR(Tabelle1324568910111213141516171619[[#This Row],[Pulled after Start]]="yes",Tabelle1324568910111213141516171619[[#This Row],[Jira Story Points]]="-"),0,MIN(Tabelle1324568910111213141516171619[[#This Row],[Jira Story Points]],Tabelle1324568910111213141516171619[[#This Row],[Carry-over]]))</f>
        <v>0</v>
      </c>
      <c r="O319" s="379">
        <f>SUM(IF(ISBLANK(Tabelle1324568910111213141516171619[[#This Row],[Carry-over]]),Tabelle1324568910111213141516171619[[#This Row],[Jira Story Points]],Tabelle1324568910111213141516171619[[#This Row],[Carry-over]]),-Tabelle1324568910111213141516171619[[#This Row],[COsSP Initially Planned]])</f>
        <v>0</v>
      </c>
      <c r="P31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19" s="379">
        <f>IF(Tabelle1324568910111213141516171619[[#This Row],[Status]]=$J$5,Tabelle1324568910111213141516171619[[#This Row],[COsSP Initially Planned]]+Tabelle1324568910111213141516171619[[#This Row],[COsSP Pulled after Start]]-Tabelle1324568910111213141516171619[[#This Row],[CSOsSP Completed]],0)</f>
        <v>0</v>
      </c>
      <c r="R319" s="379">
        <f>Tabelle1324568910111213141516171619[[#This Row],[COsSP Initially Planned]]+Tabelle1324568910111213141516171619[[#This Row],[COsSP Pulled after Start]]-Tabelle1324568910111213141516171619[[#This Row],[CSOsSP Completed]]-Tabelle1324568910111213141516171619[[#This Row],[CSOsSP Removed]]</f>
        <v>0</v>
      </c>
    </row>
    <row r="320" spans="1:18" ht="13.5" customHeight="1">
      <c r="A320" s="383"/>
      <c r="B320" s="47"/>
      <c r="C320" s="203"/>
      <c r="D320" s="203"/>
      <c r="E320" s="203"/>
      <c r="F320" s="204"/>
      <c r="G320" s="203"/>
      <c r="H320" s="205"/>
      <c r="I320" s="206"/>
      <c r="J320" s="206"/>
      <c r="K320" s="203"/>
      <c r="L320" s="204"/>
      <c r="M320" s="204"/>
      <c r="N320" s="378">
        <f>IF(OR(Tabelle1324568910111213141516171619[[#This Row],[Pulled after Start]]="yes",Tabelle1324568910111213141516171619[[#This Row],[Jira Story Points]]="-"),0,MIN(Tabelle1324568910111213141516171619[[#This Row],[Jira Story Points]],Tabelle1324568910111213141516171619[[#This Row],[Carry-over]]))</f>
        <v>0</v>
      </c>
      <c r="O320" s="379">
        <f>SUM(IF(ISBLANK(Tabelle1324568910111213141516171619[[#This Row],[Carry-over]]),Tabelle1324568910111213141516171619[[#This Row],[Jira Story Points]],Tabelle1324568910111213141516171619[[#This Row],[Carry-over]]),-Tabelle1324568910111213141516171619[[#This Row],[COsSP Initially Planned]])</f>
        <v>0</v>
      </c>
      <c r="P32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20" s="379">
        <f>IF(Tabelle1324568910111213141516171619[[#This Row],[Status]]=$J$5,Tabelle1324568910111213141516171619[[#This Row],[COsSP Initially Planned]]+Tabelle1324568910111213141516171619[[#This Row],[COsSP Pulled after Start]]-Tabelle1324568910111213141516171619[[#This Row],[CSOsSP Completed]],0)</f>
        <v>0</v>
      </c>
      <c r="R320" s="379">
        <f>Tabelle1324568910111213141516171619[[#This Row],[COsSP Initially Planned]]+Tabelle1324568910111213141516171619[[#This Row],[COsSP Pulled after Start]]-Tabelle1324568910111213141516171619[[#This Row],[CSOsSP Completed]]-Tabelle1324568910111213141516171619[[#This Row],[CSOsSP Removed]]</f>
        <v>0</v>
      </c>
    </row>
    <row r="321" spans="1:18" ht="13.5" customHeight="1">
      <c r="A321" s="383"/>
      <c r="B321" s="47"/>
      <c r="C321" s="203"/>
      <c r="D321" s="203"/>
      <c r="E321" s="203"/>
      <c r="F321" s="204"/>
      <c r="G321" s="203"/>
      <c r="H321" s="205"/>
      <c r="I321" s="206"/>
      <c r="J321" s="206"/>
      <c r="K321" s="203"/>
      <c r="L321" s="204"/>
      <c r="M321" s="204"/>
      <c r="N321" s="378">
        <f>IF(OR(Tabelle1324568910111213141516171619[[#This Row],[Pulled after Start]]="yes",Tabelle1324568910111213141516171619[[#This Row],[Jira Story Points]]="-"),0,MIN(Tabelle1324568910111213141516171619[[#This Row],[Jira Story Points]],Tabelle1324568910111213141516171619[[#This Row],[Carry-over]]))</f>
        <v>0</v>
      </c>
      <c r="O321" s="379">
        <f>SUM(IF(ISBLANK(Tabelle1324568910111213141516171619[[#This Row],[Carry-over]]),Tabelle1324568910111213141516171619[[#This Row],[Jira Story Points]],Tabelle1324568910111213141516171619[[#This Row],[Carry-over]]),-Tabelle1324568910111213141516171619[[#This Row],[COsSP Initially Planned]])</f>
        <v>0</v>
      </c>
      <c r="P32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21" s="379">
        <f>IF(Tabelle1324568910111213141516171619[[#This Row],[Status]]=$J$5,Tabelle1324568910111213141516171619[[#This Row],[COsSP Initially Planned]]+Tabelle1324568910111213141516171619[[#This Row],[COsSP Pulled after Start]]-Tabelle1324568910111213141516171619[[#This Row],[CSOsSP Completed]],0)</f>
        <v>0</v>
      </c>
      <c r="R321" s="379">
        <f>Tabelle1324568910111213141516171619[[#This Row],[COsSP Initially Planned]]+Tabelle1324568910111213141516171619[[#This Row],[COsSP Pulled after Start]]-Tabelle1324568910111213141516171619[[#This Row],[CSOsSP Completed]]-Tabelle1324568910111213141516171619[[#This Row],[CSOsSP Removed]]</f>
        <v>0</v>
      </c>
    </row>
    <row r="322" spans="1:18" ht="13.5" customHeight="1">
      <c r="A322" s="383"/>
      <c r="B322" s="47"/>
      <c r="C322" s="203"/>
      <c r="D322" s="203"/>
      <c r="E322" s="203"/>
      <c r="F322" s="204"/>
      <c r="G322" s="203"/>
      <c r="H322" s="205"/>
      <c r="I322" s="206"/>
      <c r="J322" s="206"/>
      <c r="K322" s="203"/>
      <c r="L322" s="204"/>
      <c r="M322" s="204"/>
      <c r="N322" s="378">
        <f>IF(OR(Tabelle1324568910111213141516171619[[#This Row],[Pulled after Start]]="yes",Tabelle1324568910111213141516171619[[#This Row],[Jira Story Points]]="-"),0,MIN(Tabelle1324568910111213141516171619[[#This Row],[Jira Story Points]],Tabelle1324568910111213141516171619[[#This Row],[Carry-over]]))</f>
        <v>0</v>
      </c>
      <c r="O322" s="379">
        <f>SUM(IF(ISBLANK(Tabelle1324568910111213141516171619[[#This Row],[Carry-over]]),Tabelle1324568910111213141516171619[[#This Row],[Jira Story Points]],Tabelle1324568910111213141516171619[[#This Row],[Carry-over]]),-Tabelle1324568910111213141516171619[[#This Row],[COsSP Initially Planned]])</f>
        <v>0</v>
      </c>
      <c r="P32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22" s="379">
        <f>IF(Tabelle1324568910111213141516171619[[#This Row],[Status]]=$J$5,Tabelle1324568910111213141516171619[[#This Row],[COsSP Initially Planned]]+Tabelle1324568910111213141516171619[[#This Row],[COsSP Pulled after Start]]-Tabelle1324568910111213141516171619[[#This Row],[CSOsSP Completed]],0)</f>
        <v>0</v>
      </c>
      <c r="R322" s="379">
        <f>Tabelle1324568910111213141516171619[[#This Row],[COsSP Initially Planned]]+Tabelle1324568910111213141516171619[[#This Row],[COsSP Pulled after Start]]-Tabelle1324568910111213141516171619[[#This Row],[CSOsSP Completed]]-Tabelle1324568910111213141516171619[[#This Row],[CSOsSP Removed]]</f>
        <v>0</v>
      </c>
    </row>
    <row r="323" spans="1:18" ht="13.5" customHeight="1">
      <c r="A323" s="383"/>
      <c r="B323" s="47"/>
      <c r="C323" s="203"/>
      <c r="D323" s="203"/>
      <c r="E323" s="203"/>
      <c r="F323" s="204"/>
      <c r="G323" s="203"/>
      <c r="H323" s="205"/>
      <c r="I323" s="206"/>
      <c r="J323" s="206"/>
      <c r="K323" s="203"/>
      <c r="L323" s="204"/>
      <c r="M323" s="204"/>
      <c r="N323" s="378">
        <f>IF(OR(Tabelle1324568910111213141516171619[[#This Row],[Pulled after Start]]="yes",Tabelle1324568910111213141516171619[[#This Row],[Jira Story Points]]="-"),0,MIN(Tabelle1324568910111213141516171619[[#This Row],[Jira Story Points]],Tabelle1324568910111213141516171619[[#This Row],[Carry-over]]))</f>
        <v>0</v>
      </c>
      <c r="O323" s="379">
        <f>SUM(IF(ISBLANK(Tabelle1324568910111213141516171619[[#This Row],[Carry-over]]),Tabelle1324568910111213141516171619[[#This Row],[Jira Story Points]],Tabelle1324568910111213141516171619[[#This Row],[Carry-over]]),-Tabelle1324568910111213141516171619[[#This Row],[COsSP Initially Planned]])</f>
        <v>0</v>
      </c>
      <c r="P32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23" s="379">
        <f>IF(Tabelle1324568910111213141516171619[[#This Row],[Status]]=$J$5,Tabelle1324568910111213141516171619[[#This Row],[COsSP Initially Planned]]+Tabelle1324568910111213141516171619[[#This Row],[COsSP Pulled after Start]]-Tabelle1324568910111213141516171619[[#This Row],[CSOsSP Completed]],0)</f>
        <v>0</v>
      </c>
      <c r="R323" s="379">
        <f>Tabelle1324568910111213141516171619[[#This Row],[COsSP Initially Planned]]+Tabelle1324568910111213141516171619[[#This Row],[COsSP Pulled after Start]]-Tabelle1324568910111213141516171619[[#This Row],[CSOsSP Completed]]-Tabelle1324568910111213141516171619[[#This Row],[CSOsSP Removed]]</f>
        <v>0</v>
      </c>
    </row>
    <row r="324" spans="1:18" ht="13.5" customHeight="1">
      <c r="A324" s="383"/>
      <c r="B324" s="47"/>
      <c r="C324" s="203"/>
      <c r="D324" s="203"/>
      <c r="E324" s="203"/>
      <c r="F324" s="204"/>
      <c r="G324" s="203"/>
      <c r="H324" s="205"/>
      <c r="I324" s="206"/>
      <c r="J324" s="206"/>
      <c r="K324" s="203"/>
      <c r="L324" s="204"/>
      <c r="M324" s="204"/>
      <c r="N324" s="378">
        <f>IF(OR(Tabelle1324568910111213141516171619[[#This Row],[Pulled after Start]]="yes",Tabelle1324568910111213141516171619[[#This Row],[Jira Story Points]]="-"),0,MIN(Tabelle1324568910111213141516171619[[#This Row],[Jira Story Points]],Tabelle1324568910111213141516171619[[#This Row],[Carry-over]]))</f>
        <v>0</v>
      </c>
      <c r="O324" s="379">
        <f>SUM(IF(ISBLANK(Tabelle1324568910111213141516171619[[#This Row],[Carry-over]]),Tabelle1324568910111213141516171619[[#This Row],[Jira Story Points]],Tabelle1324568910111213141516171619[[#This Row],[Carry-over]]),-Tabelle1324568910111213141516171619[[#This Row],[COsSP Initially Planned]])</f>
        <v>0</v>
      </c>
      <c r="P32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24" s="379">
        <f>IF(Tabelle1324568910111213141516171619[[#This Row],[Status]]=$J$5,Tabelle1324568910111213141516171619[[#This Row],[COsSP Initially Planned]]+Tabelle1324568910111213141516171619[[#This Row],[COsSP Pulled after Start]]-Tabelle1324568910111213141516171619[[#This Row],[CSOsSP Completed]],0)</f>
        <v>0</v>
      </c>
      <c r="R324" s="379">
        <f>Tabelle1324568910111213141516171619[[#This Row],[COsSP Initially Planned]]+Tabelle1324568910111213141516171619[[#This Row],[COsSP Pulled after Start]]-Tabelle1324568910111213141516171619[[#This Row],[CSOsSP Completed]]-Tabelle1324568910111213141516171619[[#This Row],[CSOsSP Removed]]</f>
        <v>0</v>
      </c>
    </row>
    <row r="325" spans="1:18" ht="13.5" customHeight="1">
      <c r="A325" s="383"/>
      <c r="B325" s="47"/>
      <c r="C325" s="203"/>
      <c r="D325" s="203"/>
      <c r="E325" s="203"/>
      <c r="F325" s="204"/>
      <c r="G325" s="203"/>
      <c r="H325" s="205"/>
      <c r="I325" s="206"/>
      <c r="J325" s="206"/>
      <c r="K325" s="203"/>
      <c r="L325" s="204"/>
      <c r="M325" s="204"/>
      <c r="N325" s="378">
        <f>IF(OR(Tabelle1324568910111213141516171619[[#This Row],[Pulled after Start]]="yes",Tabelle1324568910111213141516171619[[#This Row],[Jira Story Points]]="-"),0,MIN(Tabelle1324568910111213141516171619[[#This Row],[Jira Story Points]],Tabelle1324568910111213141516171619[[#This Row],[Carry-over]]))</f>
        <v>0</v>
      </c>
      <c r="O325" s="379">
        <f>SUM(IF(ISBLANK(Tabelle1324568910111213141516171619[[#This Row],[Carry-over]]),Tabelle1324568910111213141516171619[[#This Row],[Jira Story Points]],Tabelle1324568910111213141516171619[[#This Row],[Carry-over]]),-Tabelle1324568910111213141516171619[[#This Row],[COsSP Initially Planned]])</f>
        <v>0</v>
      </c>
      <c r="P32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25" s="379">
        <f>IF(Tabelle1324568910111213141516171619[[#This Row],[Status]]=$J$5,Tabelle1324568910111213141516171619[[#This Row],[COsSP Initially Planned]]+Tabelle1324568910111213141516171619[[#This Row],[COsSP Pulled after Start]]-Tabelle1324568910111213141516171619[[#This Row],[CSOsSP Completed]],0)</f>
        <v>0</v>
      </c>
      <c r="R325" s="379">
        <f>Tabelle1324568910111213141516171619[[#This Row],[COsSP Initially Planned]]+Tabelle1324568910111213141516171619[[#This Row],[COsSP Pulled after Start]]-Tabelle1324568910111213141516171619[[#This Row],[CSOsSP Completed]]-Tabelle1324568910111213141516171619[[#This Row],[CSOsSP Removed]]</f>
        <v>0</v>
      </c>
    </row>
    <row r="326" spans="1:18" ht="13.5" customHeight="1">
      <c r="A326" s="383"/>
      <c r="B326" s="47"/>
      <c r="C326" s="203"/>
      <c r="D326" s="203"/>
      <c r="E326" s="203"/>
      <c r="F326" s="204"/>
      <c r="G326" s="203"/>
      <c r="H326" s="205"/>
      <c r="I326" s="206"/>
      <c r="J326" s="206"/>
      <c r="K326" s="203"/>
      <c r="L326" s="204"/>
      <c r="M326" s="204"/>
      <c r="N326" s="378">
        <f>IF(OR(Tabelle1324568910111213141516171619[[#This Row],[Pulled after Start]]="yes",Tabelle1324568910111213141516171619[[#This Row],[Jira Story Points]]="-"),0,MIN(Tabelle1324568910111213141516171619[[#This Row],[Jira Story Points]],Tabelle1324568910111213141516171619[[#This Row],[Carry-over]]))</f>
        <v>0</v>
      </c>
      <c r="O326" s="379">
        <f>SUM(IF(ISBLANK(Tabelle1324568910111213141516171619[[#This Row],[Carry-over]]),Tabelle1324568910111213141516171619[[#This Row],[Jira Story Points]],Tabelle1324568910111213141516171619[[#This Row],[Carry-over]]),-Tabelle1324568910111213141516171619[[#This Row],[COsSP Initially Planned]])</f>
        <v>0</v>
      </c>
      <c r="P32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26" s="379">
        <f>IF(Tabelle1324568910111213141516171619[[#This Row],[Status]]=$J$5,Tabelle1324568910111213141516171619[[#This Row],[COsSP Initially Planned]]+Tabelle1324568910111213141516171619[[#This Row],[COsSP Pulled after Start]]-Tabelle1324568910111213141516171619[[#This Row],[CSOsSP Completed]],0)</f>
        <v>0</v>
      </c>
      <c r="R326" s="379">
        <f>Tabelle1324568910111213141516171619[[#This Row],[COsSP Initially Planned]]+Tabelle1324568910111213141516171619[[#This Row],[COsSP Pulled after Start]]-Tabelle1324568910111213141516171619[[#This Row],[CSOsSP Completed]]-Tabelle1324568910111213141516171619[[#This Row],[CSOsSP Removed]]</f>
        <v>0</v>
      </c>
    </row>
    <row r="327" spans="1:18" ht="13.5" customHeight="1">
      <c r="A327" s="383"/>
      <c r="B327" s="47"/>
      <c r="C327" s="203"/>
      <c r="D327" s="203"/>
      <c r="E327" s="203"/>
      <c r="F327" s="204"/>
      <c r="G327" s="203"/>
      <c r="H327" s="205"/>
      <c r="I327" s="206"/>
      <c r="J327" s="206"/>
      <c r="K327" s="203"/>
      <c r="L327" s="204"/>
      <c r="M327" s="204"/>
      <c r="N327" s="378">
        <f>IF(OR(Tabelle1324568910111213141516171619[[#This Row],[Pulled after Start]]="yes",Tabelle1324568910111213141516171619[[#This Row],[Jira Story Points]]="-"),0,MIN(Tabelle1324568910111213141516171619[[#This Row],[Jira Story Points]],Tabelle1324568910111213141516171619[[#This Row],[Carry-over]]))</f>
        <v>0</v>
      </c>
      <c r="O327" s="379">
        <f>SUM(IF(ISBLANK(Tabelle1324568910111213141516171619[[#This Row],[Carry-over]]),Tabelle1324568910111213141516171619[[#This Row],[Jira Story Points]],Tabelle1324568910111213141516171619[[#This Row],[Carry-over]]),-Tabelle1324568910111213141516171619[[#This Row],[COsSP Initially Planned]])</f>
        <v>0</v>
      </c>
      <c r="P32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27" s="379">
        <f>IF(Tabelle1324568910111213141516171619[[#This Row],[Status]]=$J$5,Tabelle1324568910111213141516171619[[#This Row],[COsSP Initially Planned]]+Tabelle1324568910111213141516171619[[#This Row],[COsSP Pulled after Start]]-Tabelle1324568910111213141516171619[[#This Row],[CSOsSP Completed]],0)</f>
        <v>0</v>
      </c>
      <c r="R327" s="379">
        <f>Tabelle1324568910111213141516171619[[#This Row],[COsSP Initially Planned]]+Tabelle1324568910111213141516171619[[#This Row],[COsSP Pulled after Start]]-Tabelle1324568910111213141516171619[[#This Row],[CSOsSP Completed]]-Tabelle1324568910111213141516171619[[#This Row],[CSOsSP Removed]]</f>
        <v>0</v>
      </c>
    </row>
    <row r="328" spans="1:18" ht="13.5" customHeight="1">
      <c r="A328" s="383"/>
      <c r="B328" s="47"/>
      <c r="C328" s="203"/>
      <c r="D328" s="203"/>
      <c r="E328" s="203"/>
      <c r="F328" s="204"/>
      <c r="G328" s="203"/>
      <c r="H328" s="205"/>
      <c r="I328" s="206"/>
      <c r="J328" s="206"/>
      <c r="K328" s="203"/>
      <c r="L328" s="204"/>
      <c r="M328" s="204"/>
      <c r="N328" s="378">
        <f>IF(OR(Tabelle1324568910111213141516171619[[#This Row],[Pulled after Start]]="yes",Tabelle1324568910111213141516171619[[#This Row],[Jira Story Points]]="-"),0,MIN(Tabelle1324568910111213141516171619[[#This Row],[Jira Story Points]],Tabelle1324568910111213141516171619[[#This Row],[Carry-over]]))</f>
        <v>0</v>
      </c>
      <c r="O328" s="379">
        <f>SUM(IF(ISBLANK(Tabelle1324568910111213141516171619[[#This Row],[Carry-over]]),Tabelle1324568910111213141516171619[[#This Row],[Jira Story Points]],Tabelle1324568910111213141516171619[[#This Row],[Carry-over]]),-Tabelle1324568910111213141516171619[[#This Row],[COsSP Initially Planned]])</f>
        <v>0</v>
      </c>
      <c r="P32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28" s="379">
        <f>IF(Tabelle1324568910111213141516171619[[#This Row],[Status]]=$J$5,Tabelle1324568910111213141516171619[[#This Row],[COsSP Initially Planned]]+Tabelle1324568910111213141516171619[[#This Row],[COsSP Pulled after Start]]-Tabelle1324568910111213141516171619[[#This Row],[CSOsSP Completed]],0)</f>
        <v>0</v>
      </c>
      <c r="R328" s="379">
        <f>Tabelle1324568910111213141516171619[[#This Row],[COsSP Initially Planned]]+Tabelle1324568910111213141516171619[[#This Row],[COsSP Pulled after Start]]-Tabelle1324568910111213141516171619[[#This Row],[CSOsSP Completed]]-Tabelle1324568910111213141516171619[[#This Row],[CSOsSP Removed]]</f>
        <v>0</v>
      </c>
    </row>
    <row r="329" spans="1:18" ht="13.5" customHeight="1">
      <c r="A329" s="383"/>
      <c r="B329" s="47"/>
      <c r="C329" s="203"/>
      <c r="D329" s="203"/>
      <c r="E329" s="203"/>
      <c r="F329" s="204"/>
      <c r="G329" s="203"/>
      <c r="H329" s="205"/>
      <c r="I329" s="206"/>
      <c r="J329" s="206"/>
      <c r="K329" s="203"/>
      <c r="L329" s="204"/>
      <c r="M329" s="204"/>
      <c r="N329" s="378">
        <f>IF(OR(Tabelle1324568910111213141516171619[[#This Row],[Pulled after Start]]="yes",Tabelle1324568910111213141516171619[[#This Row],[Jira Story Points]]="-"),0,MIN(Tabelle1324568910111213141516171619[[#This Row],[Jira Story Points]],Tabelle1324568910111213141516171619[[#This Row],[Carry-over]]))</f>
        <v>0</v>
      </c>
      <c r="O329" s="379">
        <f>SUM(IF(ISBLANK(Tabelle1324568910111213141516171619[[#This Row],[Carry-over]]),Tabelle1324568910111213141516171619[[#This Row],[Jira Story Points]],Tabelle1324568910111213141516171619[[#This Row],[Carry-over]]),-Tabelle1324568910111213141516171619[[#This Row],[COsSP Initially Planned]])</f>
        <v>0</v>
      </c>
      <c r="P32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29" s="379">
        <f>IF(Tabelle1324568910111213141516171619[[#This Row],[Status]]=$J$5,Tabelle1324568910111213141516171619[[#This Row],[COsSP Initially Planned]]+Tabelle1324568910111213141516171619[[#This Row],[COsSP Pulled after Start]]-Tabelle1324568910111213141516171619[[#This Row],[CSOsSP Completed]],0)</f>
        <v>0</v>
      </c>
      <c r="R329" s="379">
        <f>Tabelle1324568910111213141516171619[[#This Row],[COsSP Initially Planned]]+Tabelle1324568910111213141516171619[[#This Row],[COsSP Pulled after Start]]-Tabelle1324568910111213141516171619[[#This Row],[CSOsSP Completed]]-Tabelle1324568910111213141516171619[[#This Row],[CSOsSP Removed]]</f>
        <v>0</v>
      </c>
    </row>
    <row r="330" spans="1:18" ht="13.5" customHeight="1">
      <c r="A330" s="383"/>
      <c r="B330" s="47"/>
      <c r="C330" s="203"/>
      <c r="D330" s="203"/>
      <c r="E330" s="203"/>
      <c r="F330" s="204"/>
      <c r="G330" s="203"/>
      <c r="H330" s="205"/>
      <c r="I330" s="206"/>
      <c r="J330" s="206"/>
      <c r="K330" s="203"/>
      <c r="L330" s="204"/>
      <c r="M330" s="204"/>
      <c r="N330" s="378">
        <f>IF(OR(Tabelle1324568910111213141516171619[[#This Row],[Pulled after Start]]="yes",Tabelle1324568910111213141516171619[[#This Row],[Jira Story Points]]="-"),0,MIN(Tabelle1324568910111213141516171619[[#This Row],[Jira Story Points]],Tabelle1324568910111213141516171619[[#This Row],[Carry-over]]))</f>
        <v>0</v>
      </c>
      <c r="O330" s="379">
        <f>SUM(IF(ISBLANK(Tabelle1324568910111213141516171619[[#This Row],[Carry-over]]),Tabelle1324568910111213141516171619[[#This Row],[Jira Story Points]],Tabelle1324568910111213141516171619[[#This Row],[Carry-over]]),-Tabelle1324568910111213141516171619[[#This Row],[COsSP Initially Planned]])</f>
        <v>0</v>
      </c>
      <c r="P33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30" s="379">
        <f>IF(Tabelle1324568910111213141516171619[[#This Row],[Status]]=$J$5,Tabelle1324568910111213141516171619[[#This Row],[COsSP Initially Planned]]+Tabelle1324568910111213141516171619[[#This Row],[COsSP Pulled after Start]]-Tabelle1324568910111213141516171619[[#This Row],[CSOsSP Completed]],0)</f>
        <v>0</v>
      </c>
      <c r="R330" s="379">
        <f>Tabelle1324568910111213141516171619[[#This Row],[COsSP Initially Planned]]+Tabelle1324568910111213141516171619[[#This Row],[COsSP Pulled after Start]]-Tabelle1324568910111213141516171619[[#This Row],[CSOsSP Completed]]-Tabelle1324568910111213141516171619[[#This Row],[CSOsSP Removed]]</f>
        <v>0</v>
      </c>
    </row>
    <row r="331" spans="1:18" ht="13.5" customHeight="1">
      <c r="A331" s="383"/>
      <c r="B331" s="47"/>
      <c r="C331" s="203"/>
      <c r="D331" s="203"/>
      <c r="E331" s="203"/>
      <c r="F331" s="204"/>
      <c r="G331" s="203"/>
      <c r="H331" s="205"/>
      <c r="I331" s="206"/>
      <c r="J331" s="206"/>
      <c r="K331" s="203"/>
      <c r="L331" s="204"/>
      <c r="M331" s="204"/>
      <c r="N331" s="378">
        <f>IF(OR(Tabelle1324568910111213141516171619[[#This Row],[Pulled after Start]]="yes",Tabelle1324568910111213141516171619[[#This Row],[Jira Story Points]]="-"),0,MIN(Tabelle1324568910111213141516171619[[#This Row],[Jira Story Points]],Tabelle1324568910111213141516171619[[#This Row],[Carry-over]]))</f>
        <v>0</v>
      </c>
      <c r="O331" s="379">
        <f>SUM(IF(ISBLANK(Tabelle1324568910111213141516171619[[#This Row],[Carry-over]]),Tabelle1324568910111213141516171619[[#This Row],[Jira Story Points]],Tabelle1324568910111213141516171619[[#This Row],[Carry-over]]),-Tabelle1324568910111213141516171619[[#This Row],[COsSP Initially Planned]])</f>
        <v>0</v>
      </c>
      <c r="P33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31" s="379">
        <f>IF(Tabelle1324568910111213141516171619[[#This Row],[Status]]=$J$5,Tabelle1324568910111213141516171619[[#This Row],[COsSP Initially Planned]]+Tabelle1324568910111213141516171619[[#This Row],[COsSP Pulled after Start]]-Tabelle1324568910111213141516171619[[#This Row],[CSOsSP Completed]],0)</f>
        <v>0</v>
      </c>
      <c r="R331" s="379">
        <f>Tabelle1324568910111213141516171619[[#This Row],[COsSP Initially Planned]]+Tabelle1324568910111213141516171619[[#This Row],[COsSP Pulled after Start]]-Tabelle1324568910111213141516171619[[#This Row],[CSOsSP Completed]]-Tabelle1324568910111213141516171619[[#This Row],[CSOsSP Removed]]</f>
        <v>0</v>
      </c>
    </row>
    <row r="332" spans="1:18" ht="13.5" customHeight="1">
      <c r="A332" s="383"/>
      <c r="B332" s="47"/>
      <c r="C332" s="203"/>
      <c r="D332" s="203"/>
      <c r="E332" s="203"/>
      <c r="F332" s="204"/>
      <c r="G332" s="203"/>
      <c r="H332" s="205"/>
      <c r="I332" s="206"/>
      <c r="J332" s="206"/>
      <c r="K332" s="203"/>
      <c r="L332" s="204"/>
      <c r="M332" s="204"/>
      <c r="N332" s="378">
        <f>IF(OR(Tabelle1324568910111213141516171619[[#This Row],[Pulled after Start]]="yes",Tabelle1324568910111213141516171619[[#This Row],[Jira Story Points]]="-"),0,MIN(Tabelle1324568910111213141516171619[[#This Row],[Jira Story Points]],Tabelle1324568910111213141516171619[[#This Row],[Carry-over]]))</f>
        <v>0</v>
      </c>
      <c r="O332" s="379">
        <f>SUM(IF(ISBLANK(Tabelle1324568910111213141516171619[[#This Row],[Carry-over]]),Tabelle1324568910111213141516171619[[#This Row],[Jira Story Points]],Tabelle1324568910111213141516171619[[#This Row],[Carry-over]]),-Tabelle1324568910111213141516171619[[#This Row],[COsSP Initially Planned]])</f>
        <v>0</v>
      </c>
      <c r="P33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32" s="379">
        <f>IF(Tabelle1324568910111213141516171619[[#This Row],[Status]]=$J$5,Tabelle1324568910111213141516171619[[#This Row],[COsSP Initially Planned]]+Tabelle1324568910111213141516171619[[#This Row],[COsSP Pulled after Start]]-Tabelle1324568910111213141516171619[[#This Row],[CSOsSP Completed]],0)</f>
        <v>0</v>
      </c>
      <c r="R332" s="379">
        <f>Tabelle1324568910111213141516171619[[#This Row],[COsSP Initially Planned]]+Tabelle1324568910111213141516171619[[#This Row],[COsSP Pulled after Start]]-Tabelle1324568910111213141516171619[[#This Row],[CSOsSP Completed]]-Tabelle1324568910111213141516171619[[#This Row],[CSOsSP Removed]]</f>
        <v>0</v>
      </c>
    </row>
    <row r="333" spans="1:18" ht="13.5" customHeight="1">
      <c r="A333" s="383"/>
      <c r="B333" s="47"/>
      <c r="C333" s="203"/>
      <c r="D333" s="203"/>
      <c r="E333" s="203"/>
      <c r="F333" s="204"/>
      <c r="G333" s="203"/>
      <c r="H333" s="205"/>
      <c r="I333" s="206"/>
      <c r="J333" s="206"/>
      <c r="K333" s="203"/>
      <c r="L333" s="204"/>
      <c r="M333" s="204"/>
      <c r="N333" s="378">
        <f>IF(OR(Tabelle1324568910111213141516171619[[#This Row],[Pulled after Start]]="yes",Tabelle1324568910111213141516171619[[#This Row],[Jira Story Points]]="-"),0,MIN(Tabelle1324568910111213141516171619[[#This Row],[Jira Story Points]],Tabelle1324568910111213141516171619[[#This Row],[Carry-over]]))</f>
        <v>0</v>
      </c>
      <c r="O333" s="379">
        <f>SUM(IF(ISBLANK(Tabelle1324568910111213141516171619[[#This Row],[Carry-over]]),Tabelle1324568910111213141516171619[[#This Row],[Jira Story Points]],Tabelle1324568910111213141516171619[[#This Row],[Carry-over]]),-Tabelle1324568910111213141516171619[[#This Row],[COsSP Initially Planned]])</f>
        <v>0</v>
      </c>
      <c r="P33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33" s="379">
        <f>IF(Tabelle1324568910111213141516171619[[#This Row],[Status]]=$J$5,Tabelle1324568910111213141516171619[[#This Row],[COsSP Initially Planned]]+Tabelle1324568910111213141516171619[[#This Row],[COsSP Pulled after Start]]-Tabelle1324568910111213141516171619[[#This Row],[CSOsSP Completed]],0)</f>
        <v>0</v>
      </c>
      <c r="R333" s="379">
        <f>Tabelle1324568910111213141516171619[[#This Row],[COsSP Initially Planned]]+Tabelle1324568910111213141516171619[[#This Row],[COsSP Pulled after Start]]-Tabelle1324568910111213141516171619[[#This Row],[CSOsSP Completed]]-Tabelle1324568910111213141516171619[[#This Row],[CSOsSP Removed]]</f>
        <v>0</v>
      </c>
    </row>
    <row r="334" spans="1:18" ht="13.5" customHeight="1">
      <c r="A334" s="383"/>
      <c r="B334" s="47"/>
      <c r="C334" s="203"/>
      <c r="D334" s="203"/>
      <c r="E334" s="203"/>
      <c r="F334" s="204"/>
      <c r="G334" s="203"/>
      <c r="H334" s="205"/>
      <c r="I334" s="206"/>
      <c r="J334" s="206"/>
      <c r="K334" s="203"/>
      <c r="L334" s="204"/>
      <c r="M334" s="204"/>
      <c r="N334" s="378">
        <f>IF(OR(Tabelle1324568910111213141516171619[[#This Row],[Pulled after Start]]="yes",Tabelle1324568910111213141516171619[[#This Row],[Jira Story Points]]="-"),0,MIN(Tabelle1324568910111213141516171619[[#This Row],[Jira Story Points]],Tabelle1324568910111213141516171619[[#This Row],[Carry-over]]))</f>
        <v>0</v>
      </c>
      <c r="O334" s="379">
        <f>SUM(IF(ISBLANK(Tabelle1324568910111213141516171619[[#This Row],[Carry-over]]),Tabelle1324568910111213141516171619[[#This Row],[Jira Story Points]],Tabelle1324568910111213141516171619[[#This Row],[Carry-over]]),-Tabelle1324568910111213141516171619[[#This Row],[COsSP Initially Planned]])</f>
        <v>0</v>
      </c>
      <c r="P33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34" s="379">
        <f>IF(Tabelle1324568910111213141516171619[[#This Row],[Status]]=$J$5,Tabelle1324568910111213141516171619[[#This Row],[COsSP Initially Planned]]+Tabelle1324568910111213141516171619[[#This Row],[COsSP Pulled after Start]]-Tabelle1324568910111213141516171619[[#This Row],[CSOsSP Completed]],0)</f>
        <v>0</v>
      </c>
      <c r="R334" s="379">
        <f>Tabelle1324568910111213141516171619[[#This Row],[COsSP Initially Planned]]+Tabelle1324568910111213141516171619[[#This Row],[COsSP Pulled after Start]]-Tabelle1324568910111213141516171619[[#This Row],[CSOsSP Completed]]-Tabelle1324568910111213141516171619[[#This Row],[CSOsSP Removed]]</f>
        <v>0</v>
      </c>
    </row>
    <row r="335" spans="1:18" ht="13.5" customHeight="1">
      <c r="A335" s="383"/>
      <c r="B335" s="47"/>
      <c r="C335" s="203"/>
      <c r="D335" s="203"/>
      <c r="E335" s="203"/>
      <c r="F335" s="204"/>
      <c r="G335" s="203"/>
      <c r="H335" s="205"/>
      <c r="I335" s="206"/>
      <c r="J335" s="206"/>
      <c r="K335" s="203"/>
      <c r="L335" s="204"/>
      <c r="M335" s="204"/>
      <c r="N335" s="378">
        <f>IF(OR(Tabelle1324568910111213141516171619[[#This Row],[Pulled after Start]]="yes",Tabelle1324568910111213141516171619[[#This Row],[Jira Story Points]]="-"),0,MIN(Tabelle1324568910111213141516171619[[#This Row],[Jira Story Points]],Tabelle1324568910111213141516171619[[#This Row],[Carry-over]]))</f>
        <v>0</v>
      </c>
      <c r="O335" s="379">
        <f>SUM(IF(ISBLANK(Tabelle1324568910111213141516171619[[#This Row],[Carry-over]]),Tabelle1324568910111213141516171619[[#This Row],[Jira Story Points]],Tabelle1324568910111213141516171619[[#This Row],[Carry-over]]),-Tabelle1324568910111213141516171619[[#This Row],[COsSP Initially Planned]])</f>
        <v>0</v>
      </c>
      <c r="P33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35" s="379">
        <f>IF(Tabelle1324568910111213141516171619[[#This Row],[Status]]=$J$5,Tabelle1324568910111213141516171619[[#This Row],[COsSP Initially Planned]]+Tabelle1324568910111213141516171619[[#This Row],[COsSP Pulled after Start]]-Tabelle1324568910111213141516171619[[#This Row],[CSOsSP Completed]],0)</f>
        <v>0</v>
      </c>
      <c r="R335" s="379">
        <f>Tabelle1324568910111213141516171619[[#This Row],[COsSP Initially Planned]]+Tabelle1324568910111213141516171619[[#This Row],[COsSP Pulled after Start]]-Tabelle1324568910111213141516171619[[#This Row],[CSOsSP Completed]]-Tabelle1324568910111213141516171619[[#This Row],[CSOsSP Removed]]</f>
        <v>0</v>
      </c>
    </row>
    <row r="336" spans="1:18" ht="13.5" customHeight="1">
      <c r="A336" s="383"/>
      <c r="B336" s="47"/>
      <c r="C336" s="203"/>
      <c r="D336" s="203"/>
      <c r="E336" s="203"/>
      <c r="F336" s="204"/>
      <c r="G336" s="203"/>
      <c r="H336" s="205"/>
      <c r="I336" s="206"/>
      <c r="J336" s="206"/>
      <c r="K336" s="203"/>
      <c r="L336" s="204"/>
      <c r="M336" s="204"/>
      <c r="N336" s="378">
        <f>IF(OR(Tabelle1324568910111213141516171619[[#This Row],[Pulled after Start]]="yes",Tabelle1324568910111213141516171619[[#This Row],[Jira Story Points]]="-"),0,MIN(Tabelle1324568910111213141516171619[[#This Row],[Jira Story Points]],Tabelle1324568910111213141516171619[[#This Row],[Carry-over]]))</f>
        <v>0</v>
      </c>
      <c r="O336" s="379">
        <f>SUM(IF(ISBLANK(Tabelle1324568910111213141516171619[[#This Row],[Carry-over]]),Tabelle1324568910111213141516171619[[#This Row],[Jira Story Points]],Tabelle1324568910111213141516171619[[#This Row],[Carry-over]]),-Tabelle1324568910111213141516171619[[#This Row],[COsSP Initially Planned]])</f>
        <v>0</v>
      </c>
      <c r="P33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36" s="379">
        <f>IF(Tabelle1324568910111213141516171619[[#This Row],[Status]]=$J$5,Tabelle1324568910111213141516171619[[#This Row],[COsSP Initially Planned]]+Tabelle1324568910111213141516171619[[#This Row],[COsSP Pulled after Start]]-Tabelle1324568910111213141516171619[[#This Row],[CSOsSP Completed]],0)</f>
        <v>0</v>
      </c>
      <c r="R336" s="379">
        <f>Tabelle1324568910111213141516171619[[#This Row],[COsSP Initially Planned]]+Tabelle1324568910111213141516171619[[#This Row],[COsSP Pulled after Start]]-Tabelle1324568910111213141516171619[[#This Row],[CSOsSP Completed]]-Tabelle1324568910111213141516171619[[#This Row],[CSOsSP Removed]]</f>
        <v>0</v>
      </c>
    </row>
    <row r="337" spans="1:18" ht="13.5" customHeight="1">
      <c r="A337" s="383"/>
      <c r="B337" s="47"/>
      <c r="C337" s="203"/>
      <c r="D337" s="203"/>
      <c r="E337" s="203"/>
      <c r="F337" s="204"/>
      <c r="G337" s="203"/>
      <c r="H337" s="205"/>
      <c r="I337" s="206"/>
      <c r="J337" s="206"/>
      <c r="K337" s="203"/>
      <c r="L337" s="204"/>
      <c r="M337" s="204"/>
      <c r="N337" s="378">
        <f>IF(OR(Tabelle1324568910111213141516171619[[#This Row],[Pulled after Start]]="yes",Tabelle1324568910111213141516171619[[#This Row],[Jira Story Points]]="-"),0,MIN(Tabelle1324568910111213141516171619[[#This Row],[Jira Story Points]],Tabelle1324568910111213141516171619[[#This Row],[Carry-over]]))</f>
        <v>0</v>
      </c>
      <c r="O337" s="379">
        <f>SUM(IF(ISBLANK(Tabelle1324568910111213141516171619[[#This Row],[Carry-over]]),Tabelle1324568910111213141516171619[[#This Row],[Jira Story Points]],Tabelle1324568910111213141516171619[[#This Row],[Carry-over]]),-Tabelle1324568910111213141516171619[[#This Row],[COsSP Initially Planned]])</f>
        <v>0</v>
      </c>
      <c r="P33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37" s="379">
        <f>IF(Tabelle1324568910111213141516171619[[#This Row],[Status]]=$J$5,Tabelle1324568910111213141516171619[[#This Row],[COsSP Initially Planned]]+Tabelle1324568910111213141516171619[[#This Row],[COsSP Pulled after Start]]-Tabelle1324568910111213141516171619[[#This Row],[CSOsSP Completed]],0)</f>
        <v>0</v>
      </c>
      <c r="R337" s="379">
        <f>Tabelle1324568910111213141516171619[[#This Row],[COsSP Initially Planned]]+Tabelle1324568910111213141516171619[[#This Row],[COsSP Pulled after Start]]-Tabelle1324568910111213141516171619[[#This Row],[CSOsSP Completed]]-Tabelle1324568910111213141516171619[[#This Row],[CSOsSP Removed]]</f>
        <v>0</v>
      </c>
    </row>
    <row r="338" spans="1:18" ht="13.5" customHeight="1">
      <c r="A338" s="383"/>
      <c r="B338" s="47"/>
      <c r="C338" s="203"/>
      <c r="D338" s="203"/>
      <c r="E338" s="203"/>
      <c r="F338" s="204"/>
      <c r="G338" s="203"/>
      <c r="H338" s="205"/>
      <c r="I338" s="206"/>
      <c r="J338" s="206"/>
      <c r="K338" s="203"/>
      <c r="L338" s="204"/>
      <c r="M338" s="204"/>
      <c r="N338" s="378">
        <f>IF(OR(Tabelle1324568910111213141516171619[[#This Row],[Pulled after Start]]="yes",Tabelle1324568910111213141516171619[[#This Row],[Jira Story Points]]="-"),0,MIN(Tabelle1324568910111213141516171619[[#This Row],[Jira Story Points]],Tabelle1324568910111213141516171619[[#This Row],[Carry-over]]))</f>
        <v>0</v>
      </c>
      <c r="O338" s="379">
        <f>SUM(IF(ISBLANK(Tabelle1324568910111213141516171619[[#This Row],[Carry-over]]),Tabelle1324568910111213141516171619[[#This Row],[Jira Story Points]],Tabelle1324568910111213141516171619[[#This Row],[Carry-over]]),-Tabelle1324568910111213141516171619[[#This Row],[COsSP Initially Planned]])</f>
        <v>0</v>
      </c>
      <c r="P33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38" s="379">
        <f>IF(Tabelle1324568910111213141516171619[[#This Row],[Status]]=$J$5,Tabelle1324568910111213141516171619[[#This Row],[COsSP Initially Planned]]+Tabelle1324568910111213141516171619[[#This Row],[COsSP Pulled after Start]]-Tabelle1324568910111213141516171619[[#This Row],[CSOsSP Completed]],0)</f>
        <v>0</v>
      </c>
      <c r="R338" s="379">
        <f>Tabelle1324568910111213141516171619[[#This Row],[COsSP Initially Planned]]+Tabelle1324568910111213141516171619[[#This Row],[COsSP Pulled after Start]]-Tabelle1324568910111213141516171619[[#This Row],[CSOsSP Completed]]-Tabelle1324568910111213141516171619[[#This Row],[CSOsSP Removed]]</f>
        <v>0</v>
      </c>
    </row>
    <row r="339" spans="1:18" ht="13.5" customHeight="1">
      <c r="A339" s="383"/>
      <c r="B339" s="47"/>
      <c r="C339" s="203"/>
      <c r="D339" s="203"/>
      <c r="E339" s="203"/>
      <c r="F339" s="204"/>
      <c r="G339" s="203"/>
      <c r="H339" s="205"/>
      <c r="I339" s="206"/>
      <c r="J339" s="206"/>
      <c r="K339" s="203"/>
      <c r="L339" s="204"/>
      <c r="M339" s="204"/>
      <c r="N339" s="378">
        <f>IF(OR(Tabelle1324568910111213141516171619[[#This Row],[Pulled after Start]]="yes",Tabelle1324568910111213141516171619[[#This Row],[Jira Story Points]]="-"),0,MIN(Tabelle1324568910111213141516171619[[#This Row],[Jira Story Points]],Tabelle1324568910111213141516171619[[#This Row],[Carry-over]]))</f>
        <v>0</v>
      </c>
      <c r="O339" s="379">
        <f>SUM(IF(ISBLANK(Tabelle1324568910111213141516171619[[#This Row],[Carry-over]]),Tabelle1324568910111213141516171619[[#This Row],[Jira Story Points]],Tabelle1324568910111213141516171619[[#This Row],[Carry-over]]),-Tabelle1324568910111213141516171619[[#This Row],[COsSP Initially Planned]])</f>
        <v>0</v>
      </c>
      <c r="P33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39" s="379">
        <f>IF(Tabelle1324568910111213141516171619[[#This Row],[Status]]=$J$5,Tabelle1324568910111213141516171619[[#This Row],[COsSP Initially Planned]]+Tabelle1324568910111213141516171619[[#This Row],[COsSP Pulled after Start]]-Tabelle1324568910111213141516171619[[#This Row],[CSOsSP Completed]],0)</f>
        <v>0</v>
      </c>
      <c r="R339" s="379">
        <f>Tabelle1324568910111213141516171619[[#This Row],[COsSP Initially Planned]]+Tabelle1324568910111213141516171619[[#This Row],[COsSP Pulled after Start]]-Tabelle1324568910111213141516171619[[#This Row],[CSOsSP Completed]]-Tabelle1324568910111213141516171619[[#This Row],[CSOsSP Removed]]</f>
        <v>0</v>
      </c>
    </row>
    <row r="340" spans="1:18" ht="13.5" customHeight="1">
      <c r="A340" s="383"/>
      <c r="B340" s="47"/>
      <c r="C340" s="203"/>
      <c r="D340" s="203"/>
      <c r="E340" s="203"/>
      <c r="F340" s="204"/>
      <c r="G340" s="203"/>
      <c r="H340" s="205"/>
      <c r="I340" s="206"/>
      <c r="J340" s="206"/>
      <c r="K340" s="203"/>
      <c r="L340" s="204"/>
      <c r="M340" s="204"/>
      <c r="N340" s="378">
        <f>IF(OR(Tabelle1324568910111213141516171619[[#This Row],[Pulled after Start]]="yes",Tabelle1324568910111213141516171619[[#This Row],[Jira Story Points]]="-"),0,MIN(Tabelle1324568910111213141516171619[[#This Row],[Jira Story Points]],Tabelle1324568910111213141516171619[[#This Row],[Carry-over]]))</f>
        <v>0</v>
      </c>
      <c r="O340" s="379">
        <f>SUM(IF(ISBLANK(Tabelle1324568910111213141516171619[[#This Row],[Carry-over]]),Tabelle1324568910111213141516171619[[#This Row],[Jira Story Points]],Tabelle1324568910111213141516171619[[#This Row],[Carry-over]]),-Tabelle1324568910111213141516171619[[#This Row],[COsSP Initially Planned]])</f>
        <v>0</v>
      </c>
      <c r="P34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40" s="379">
        <f>IF(Tabelle1324568910111213141516171619[[#This Row],[Status]]=$J$5,Tabelle1324568910111213141516171619[[#This Row],[COsSP Initially Planned]]+Tabelle1324568910111213141516171619[[#This Row],[COsSP Pulled after Start]]-Tabelle1324568910111213141516171619[[#This Row],[CSOsSP Completed]],0)</f>
        <v>0</v>
      </c>
      <c r="R340" s="379">
        <f>Tabelle1324568910111213141516171619[[#This Row],[COsSP Initially Planned]]+Tabelle1324568910111213141516171619[[#This Row],[COsSP Pulled after Start]]-Tabelle1324568910111213141516171619[[#This Row],[CSOsSP Completed]]-Tabelle1324568910111213141516171619[[#This Row],[CSOsSP Removed]]</f>
        <v>0</v>
      </c>
    </row>
    <row r="341" spans="1:18" ht="13.5" customHeight="1">
      <c r="A341" s="383"/>
      <c r="B341" s="47"/>
      <c r="C341" s="203"/>
      <c r="D341" s="203"/>
      <c r="E341" s="203"/>
      <c r="F341" s="204"/>
      <c r="G341" s="203"/>
      <c r="H341" s="205"/>
      <c r="I341" s="206"/>
      <c r="J341" s="206"/>
      <c r="K341" s="203"/>
      <c r="L341" s="204"/>
      <c r="M341" s="204"/>
      <c r="N341" s="378">
        <f>IF(OR(Tabelle1324568910111213141516171619[[#This Row],[Pulled after Start]]="yes",Tabelle1324568910111213141516171619[[#This Row],[Jira Story Points]]="-"),0,MIN(Tabelle1324568910111213141516171619[[#This Row],[Jira Story Points]],Tabelle1324568910111213141516171619[[#This Row],[Carry-over]]))</f>
        <v>0</v>
      </c>
      <c r="O341" s="379">
        <f>SUM(IF(ISBLANK(Tabelle1324568910111213141516171619[[#This Row],[Carry-over]]),Tabelle1324568910111213141516171619[[#This Row],[Jira Story Points]],Tabelle1324568910111213141516171619[[#This Row],[Carry-over]]),-Tabelle1324568910111213141516171619[[#This Row],[COsSP Initially Planned]])</f>
        <v>0</v>
      </c>
      <c r="P34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41" s="379">
        <f>IF(Tabelle1324568910111213141516171619[[#This Row],[Status]]=$J$5,Tabelle1324568910111213141516171619[[#This Row],[COsSP Initially Planned]]+Tabelle1324568910111213141516171619[[#This Row],[COsSP Pulled after Start]]-Tabelle1324568910111213141516171619[[#This Row],[CSOsSP Completed]],0)</f>
        <v>0</v>
      </c>
      <c r="R341" s="379">
        <f>Tabelle1324568910111213141516171619[[#This Row],[COsSP Initially Planned]]+Tabelle1324568910111213141516171619[[#This Row],[COsSP Pulled after Start]]-Tabelle1324568910111213141516171619[[#This Row],[CSOsSP Completed]]-Tabelle1324568910111213141516171619[[#This Row],[CSOsSP Removed]]</f>
        <v>0</v>
      </c>
    </row>
    <row r="342" spans="1:18" ht="13.5" customHeight="1">
      <c r="A342" s="383"/>
      <c r="B342" s="47"/>
      <c r="C342" s="203"/>
      <c r="D342" s="203"/>
      <c r="E342" s="203"/>
      <c r="F342" s="204"/>
      <c r="G342" s="203"/>
      <c r="H342" s="205"/>
      <c r="I342" s="206"/>
      <c r="J342" s="206"/>
      <c r="K342" s="203"/>
      <c r="L342" s="204"/>
      <c r="M342" s="204"/>
      <c r="N342" s="378">
        <f>IF(OR(Tabelle1324568910111213141516171619[[#This Row],[Pulled after Start]]="yes",Tabelle1324568910111213141516171619[[#This Row],[Jira Story Points]]="-"),0,MIN(Tabelle1324568910111213141516171619[[#This Row],[Jira Story Points]],Tabelle1324568910111213141516171619[[#This Row],[Carry-over]]))</f>
        <v>0</v>
      </c>
      <c r="O342" s="379">
        <f>SUM(IF(ISBLANK(Tabelle1324568910111213141516171619[[#This Row],[Carry-over]]),Tabelle1324568910111213141516171619[[#This Row],[Jira Story Points]],Tabelle1324568910111213141516171619[[#This Row],[Carry-over]]),-Tabelle1324568910111213141516171619[[#This Row],[COsSP Initially Planned]])</f>
        <v>0</v>
      </c>
      <c r="P34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42" s="379">
        <f>IF(Tabelle1324568910111213141516171619[[#This Row],[Status]]=$J$5,Tabelle1324568910111213141516171619[[#This Row],[COsSP Initially Planned]]+Tabelle1324568910111213141516171619[[#This Row],[COsSP Pulled after Start]]-Tabelle1324568910111213141516171619[[#This Row],[CSOsSP Completed]],0)</f>
        <v>0</v>
      </c>
      <c r="R342" s="379">
        <f>Tabelle1324568910111213141516171619[[#This Row],[COsSP Initially Planned]]+Tabelle1324568910111213141516171619[[#This Row],[COsSP Pulled after Start]]-Tabelle1324568910111213141516171619[[#This Row],[CSOsSP Completed]]-Tabelle1324568910111213141516171619[[#This Row],[CSOsSP Removed]]</f>
        <v>0</v>
      </c>
    </row>
    <row r="343" spans="1:18" ht="13.5" customHeight="1">
      <c r="A343" s="383"/>
      <c r="B343" s="47"/>
      <c r="C343" s="203"/>
      <c r="D343" s="203"/>
      <c r="E343" s="203"/>
      <c r="F343" s="204"/>
      <c r="G343" s="203"/>
      <c r="H343" s="205"/>
      <c r="I343" s="206"/>
      <c r="J343" s="206"/>
      <c r="K343" s="203"/>
      <c r="L343" s="204"/>
      <c r="M343" s="204"/>
      <c r="N343" s="378">
        <f>IF(OR(Tabelle1324568910111213141516171619[[#This Row],[Pulled after Start]]="yes",Tabelle1324568910111213141516171619[[#This Row],[Jira Story Points]]="-"),0,MIN(Tabelle1324568910111213141516171619[[#This Row],[Jira Story Points]],Tabelle1324568910111213141516171619[[#This Row],[Carry-over]]))</f>
        <v>0</v>
      </c>
      <c r="O343" s="379">
        <f>SUM(IF(ISBLANK(Tabelle1324568910111213141516171619[[#This Row],[Carry-over]]),Tabelle1324568910111213141516171619[[#This Row],[Jira Story Points]],Tabelle1324568910111213141516171619[[#This Row],[Carry-over]]),-Tabelle1324568910111213141516171619[[#This Row],[COsSP Initially Planned]])</f>
        <v>0</v>
      </c>
      <c r="P34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43" s="379">
        <f>IF(Tabelle1324568910111213141516171619[[#This Row],[Status]]=$J$5,Tabelle1324568910111213141516171619[[#This Row],[COsSP Initially Planned]]+Tabelle1324568910111213141516171619[[#This Row],[COsSP Pulled after Start]]-Tabelle1324568910111213141516171619[[#This Row],[CSOsSP Completed]],0)</f>
        <v>0</v>
      </c>
      <c r="R343" s="379">
        <f>Tabelle1324568910111213141516171619[[#This Row],[COsSP Initially Planned]]+Tabelle1324568910111213141516171619[[#This Row],[COsSP Pulled after Start]]-Tabelle1324568910111213141516171619[[#This Row],[CSOsSP Completed]]-Tabelle1324568910111213141516171619[[#This Row],[CSOsSP Removed]]</f>
        <v>0</v>
      </c>
    </row>
    <row r="344" spans="1:18" ht="13.5" customHeight="1">
      <c r="A344" s="383"/>
      <c r="B344" s="47"/>
      <c r="C344" s="203"/>
      <c r="D344" s="203"/>
      <c r="E344" s="203"/>
      <c r="F344" s="204"/>
      <c r="G344" s="203"/>
      <c r="H344" s="205"/>
      <c r="I344" s="206"/>
      <c r="J344" s="206"/>
      <c r="K344" s="203"/>
      <c r="L344" s="204"/>
      <c r="M344" s="204"/>
      <c r="N344" s="378">
        <f>IF(OR(Tabelle1324568910111213141516171619[[#This Row],[Pulled after Start]]="yes",Tabelle1324568910111213141516171619[[#This Row],[Jira Story Points]]="-"),0,MIN(Tabelle1324568910111213141516171619[[#This Row],[Jira Story Points]],Tabelle1324568910111213141516171619[[#This Row],[Carry-over]]))</f>
        <v>0</v>
      </c>
      <c r="O344" s="379">
        <f>SUM(IF(ISBLANK(Tabelle1324568910111213141516171619[[#This Row],[Carry-over]]),Tabelle1324568910111213141516171619[[#This Row],[Jira Story Points]],Tabelle1324568910111213141516171619[[#This Row],[Carry-over]]),-Tabelle1324568910111213141516171619[[#This Row],[COsSP Initially Planned]])</f>
        <v>0</v>
      </c>
      <c r="P34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44" s="379">
        <f>IF(Tabelle1324568910111213141516171619[[#This Row],[Status]]=$J$5,Tabelle1324568910111213141516171619[[#This Row],[COsSP Initially Planned]]+Tabelle1324568910111213141516171619[[#This Row],[COsSP Pulled after Start]]-Tabelle1324568910111213141516171619[[#This Row],[CSOsSP Completed]],0)</f>
        <v>0</v>
      </c>
      <c r="R344" s="379">
        <f>Tabelle1324568910111213141516171619[[#This Row],[COsSP Initially Planned]]+Tabelle1324568910111213141516171619[[#This Row],[COsSP Pulled after Start]]-Tabelle1324568910111213141516171619[[#This Row],[CSOsSP Completed]]-Tabelle1324568910111213141516171619[[#This Row],[CSOsSP Removed]]</f>
        <v>0</v>
      </c>
    </row>
    <row r="345" spans="1:18" ht="13.5" customHeight="1">
      <c r="A345" s="383"/>
      <c r="B345" s="47"/>
      <c r="C345" s="203"/>
      <c r="D345" s="203"/>
      <c r="E345" s="203"/>
      <c r="F345" s="204"/>
      <c r="G345" s="203"/>
      <c r="H345" s="205"/>
      <c r="I345" s="206"/>
      <c r="J345" s="206"/>
      <c r="K345" s="203"/>
      <c r="L345" s="204"/>
      <c r="M345" s="204"/>
      <c r="N345" s="378">
        <f>IF(OR(Tabelle1324568910111213141516171619[[#This Row],[Pulled after Start]]="yes",Tabelle1324568910111213141516171619[[#This Row],[Jira Story Points]]="-"),0,MIN(Tabelle1324568910111213141516171619[[#This Row],[Jira Story Points]],Tabelle1324568910111213141516171619[[#This Row],[Carry-over]]))</f>
        <v>0</v>
      </c>
      <c r="O345" s="379">
        <f>SUM(IF(ISBLANK(Tabelle1324568910111213141516171619[[#This Row],[Carry-over]]),Tabelle1324568910111213141516171619[[#This Row],[Jira Story Points]],Tabelle1324568910111213141516171619[[#This Row],[Carry-over]]),-Tabelle1324568910111213141516171619[[#This Row],[COsSP Initially Planned]])</f>
        <v>0</v>
      </c>
      <c r="P34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45" s="379">
        <f>IF(Tabelle1324568910111213141516171619[[#This Row],[Status]]=$J$5,Tabelle1324568910111213141516171619[[#This Row],[COsSP Initially Planned]]+Tabelle1324568910111213141516171619[[#This Row],[COsSP Pulled after Start]]-Tabelle1324568910111213141516171619[[#This Row],[CSOsSP Completed]],0)</f>
        <v>0</v>
      </c>
      <c r="R345" s="379">
        <f>Tabelle1324568910111213141516171619[[#This Row],[COsSP Initially Planned]]+Tabelle1324568910111213141516171619[[#This Row],[COsSP Pulled after Start]]-Tabelle1324568910111213141516171619[[#This Row],[CSOsSP Completed]]-Tabelle1324568910111213141516171619[[#This Row],[CSOsSP Removed]]</f>
        <v>0</v>
      </c>
    </row>
    <row r="346" spans="1:18" ht="13.5" customHeight="1">
      <c r="A346" s="383"/>
      <c r="B346" s="47"/>
      <c r="C346" s="203"/>
      <c r="D346" s="203"/>
      <c r="E346" s="203"/>
      <c r="F346" s="204"/>
      <c r="G346" s="203"/>
      <c r="H346" s="205"/>
      <c r="I346" s="206"/>
      <c r="J346" s="206"/>
      <c r="K346" s="203"/>
      <c r="L346" s="204"/>
      <c r="M346" s="204"/>
      <c r="N346" s="378">
        <f>IF(OR(Tabelle1324568910111213141516171619[[#This Row],[Pulled after Start]]="yes",Tabelle1324568910111213141516171619[[#This Row],[Jira Story Points]]="-"),0,MIN(Tabelle1324568910111213141516171619[[#This Row],[Jira Story Points]],Tabelle1324568910111213141516171619[[#This Row],[Carry-over]]))</f>
        <v>0</v>
      </c>
      <c r="O346" s="379">
        <f>SUM(IF(ISBLANK(Tabelle1324568910111213141516171619[[#This Row],[Carry-over]]),Tabelle1324568910111213141516171619[[#This Row],[Jira Story Points]],Tabelle1324568910111213141516171619[[#This Row],[Carry-over]]),-Tabelle1324568910111213141516171619[[#This Row],[COsSP Initially Planned]])</f>
        <v>0</v>
      </c>
      <c r="P34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46" s="379">
        <f>IF(Tabelle1324568910111213141516171619[[#This Row],[Status]]=$J$5,Tabelle1324568910111213141516171619[[#This Row],[COsSP Initially Planned]]+Tabelle1324568910111213141516171619[[#This Row],[COsSP Pulled after Start]]-Tabelle1324568910111213141516171619[[#This Row],[CSOsSP Completed]],0)</f>
        <v>0</v>
      </c>
      <c r="R346" s="379">
        <f>Tabelle1324568910111213141516171619[[#This Row],[COsSP Initially Planned]]+Tabelle1324568910111213141516171619[[#This Row],[COsSP Pulled after Start]]-Tabelle1324568910111213141516171619[[#This Row],[CSOsSP Completed]]-Tabelle1324568910111213141516171619[[#This Row],[CSOsSP Removed]]</f>
        <v>0</v>
      </c>
    </row>
    <row r="347" spans="1:18" ht="13.5" customHeight="1">
      <c r="A347" s="383"/>
      <c r="B347" s="47"/>
      <c r="C347" s="203"/>
      <c r="D347" s="203"/>
      <c r="E347" s="203"/>
      <c r="F347" s="204"/>
      <c r="G347" s="203"/>
      <c r="H347" s="205"/>
      <c r="I347" s="206"/>
      <c r="J347" s="206"/>
      <c r="K347" s="203"/>
      <c r="L347" s="204"/>
      <c r="M347" s="204"/>
      <c r="N347" s="378">
        <f>IF(OR(Tabelle1324568910111213141516171619[[#This Row],[Pulled after Start]]="yes",Tabelle1324568910111213141516171619[[#This Row],[Jira Story Points]]="-"),0,MIN(Tabelle1324568910111213141516171619[[#This Row],[Jira Story Points]],Tabelle1324568910111213141516171619[[#This Row],[Carry-over]]))</f>
        <v>0</v>
      </c>
      <c r="O347" s="379">
        <f>SUM(IF(ISBLANK(Tabelle1324568910111213141516171619[[#This Row],[Carry-over]]),Tabelle1324568910111213141516171619[[#This Row],[Jira Story Points]],Tabelle1324568910111213141516171619[[#This Row],[Carry-over]]),-Tabelle1324568910111213141516171619[[#This Row],[COsSP Initially Planned]])</f>
        <v>0</v>
      </c>
      <c r="P34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47" s="379">
        <f>IF(Tabelle1324568910111213141516171619[[#This Row],[Status]]=$J$5,Tabelle1324568910111213141516171619[[#This Row],[COsSP Initially Planned]]+Tabelle1324568910111213141516171619[[#This Row],[COsSP Pulled after Start]]-Tabelle1324568910111213141516171619[[#This Row],[CSOsSP Completed]],0)</f>
        <v>0</v>
      </c>
      <c r="R347" s="379">
        <f>Tabelle1324568910111213141516171619[[#This Row],[COsSP Initially Planned]]+Tabelle1324568910111213141516171619[[#This Row],[COsSP Pulled after Start]]-Tabelle1324568910111213141516171619[[#This Row],[CSOsSP Completed]]-Tabelle1324568910111213141516171619[[#This Row],[CSOsSP Removed]]</f>
        <v>0</v>
      </c>
    </row>
    <row r="348" spans="1:18" ht="13.5" customHeight="1">
      <c r="A348" s="383"/>
      <c r="B348" s="47"/>
      <c r="C348" s="203"/>
      <c r="D348" s="203"/>
      <c r="E348" s="203"/>
      <c r="F348" s="204"/>
      <c r="G348" s="203"/>
      <c r="H348" s="205"/>
      <c r="I348" s="206"/>
      <c r="J348" s="206"/>
      <c r="K348" s="203"/>
      <c r="L348" s="204"/>
      <c r="M348" s="204"/>
      <c r="N348" s="378">
        <f>IF(OR(Tabelle1324568910111213141516171619[[#This Row],[Pulled after Start]]="yes",Tabelle1324568910111213141516171619[[#This Row],[Jira Story Points]]="-"),0,MIN(Tabelle1324568910111213141516171619[[#This Row],[Jira Story Points]],Tabelle1324568910111213141516171619[[#This Row],[Carry-over]]))</f>
        <v>0</v>
      </c>
      <c r="O348" s="379">
        <f>SUM(IF(ISBLANK(Tabelle1324568910111213141516171619[[#This Row],[Carry-over]]),Tabelle1324568910111213141516171619[[#This Row],[Jira Story Points]],Tabelle1324568910111213141516171619[[#This Row],[Carry-over]]),-Tabelle1324568910111213141516171619[[#This Row],[COsSP Initially Planned]])</f>
        <v>0</v>
      </c>
      <c r="P34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48" s="379">
        <f>IF(Tabelle1324568910111213141516171619[[#This Row],[Status]]=$J$5,Tabelle1324568910111213141516171619[[#This Row],[COsSP Initially Planned]]+Tabelle1324568910111213141516171619[[#This Row],[COsSP Pulled after Start]]-Tabelle1324568910111213141516171619[[#This Row],[CSOsSP Completed]],0)</f>
        <v>0</v>
      </c>
      <c r="R348" s="379">
        <f>Tabelle1324568910111213141516171619[[#This Row],[COsSP Initially Planned]]+Tabelle1324568910111213141516171619[[#This Row],[COsSP Pulled after Start]]-Tabelle1324568910111213141516171619[[#This Row],[CSOsSP Completed]]-Tabelle1324568910111213141516171619[[#This Row],[CSOsSP Removed]]</f>
        <v>0</v>
      </c>
    </row>
    <row r="349" spans="1:18" ht="13.5" customHeight="1">
      <c r="A349" s="383"/>
      <c r="B349" s="47"/>
      <c r="C349" s="203"/>
      <c r="D349" s="203"/>
      <c r="E349" s="203"/>
      <c r="F349" s="204"/>
      <c r="G349" s="203"/>
      <c r="H349" s="205"/>
      <c r="I349" s="206"/>
      <c r="J349" s="206"/>
      <c r="K349" s="203"/>
      <c r="L349" s="204"/>
      <c r="M349" s="204"/>
      <c r="N349" s="378">
        <f>IF(OR(Tabelle1324568910111213141516171619[[#This Row],[Pulled after Start]]="yes",Tabelle1324568910111213141516171619[[#This Row],[Jira Story Points]]="-"),0,MIN(Tabelle1324568910111213141516171619[[#This Row],[Jira Story Points]],Tabelle1324568910111213141516171619[[#This Row],[Carry-over]]))</f>
        <v>0</v>
      </c>
      <c r="O349" s="379">
        <f>SUM(IF(ISBLANK(Tabelle1324568910111213141516171619[[#This Row],[Carry-over]]),Tabelle1324568910111213141516171619[[#This Row],[Jira Story Points]],Tabelle1324568910111213141516171619[[#This Row],[Carry-over]]),-Tabelle1324568910111213141516171619[[#This Row],[COsSP Initially Planned]])</f>
        <v>0</v>
      </c>
      <c r="P34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49" s="379">
        <f>IF(Tabelle1324568910111213141516171619[[#This Row],[Status]]=$J$5,Tabelle1324568910111213141516171619[[#This Row],[COsSP Initially Planned]]+Tabelle1324568910111213141516171619[[#This Row],[COsSP Pulled after Start]]-Tabelle1324568910111213141516171619[[#This Row],[CSOsSP Completed]],0)</f>
        <v>0</v>
      </c>
      <c r="R349" s="379">
        <f>Tabelle1324568910111213141516171619[[#This Row],[COsSP Initially Planned]]+Tabelle1324568910111213141516171619[[#This Row],[COsSP Pulled after Start]]-Tabelle1324568910111213141516171619[[#This Row],[CSOsSP Completed]]-Tabelle1324568910111213141516171619[[#This Row],[CSOsSP Removed]]</f>
        <v>0</v>
      </c>
    </row>
    <row r="350" spans="1:18" ht="13.5" customHeight="1">
      <c r="A350" s="383"/>
      <c r="B350" s="47"/>
      <c r="C350" s="203"/>
      <c r="D350" s="203"/>
      <c r="E350" s="203"/>
      <c r="F350" s="204"/>
      <c r="G350" s="203"/>
      <c r="H350" s="205"/>
      <c r="I350" s="206"/>
      <c r="J350" s="206"/>
      <c r="K350" s="203"/>
      <c r="L350" s="204"/>
      <c r="M350" s="204"/>
      <c r="N350" s="378">
        <f>IF(OR(Tabelle1324568910111213141516171619[[#This Row],[Pulled after Start]]="yes",Tabelle1324568910111213141516171619[[#This Row],[Jira Story Points]]="-"),0,MIN(Tabelle1324568910111213141516171619[[#This Row],[Jira Story Points]],Tabelle1324568910111213141516171619[[#This Row],[Carry-over]]))</f>
        <v>0</v>
      </c>
      <c r="O350" s="379">
        <f>SUM(IF(ISBLANK(Tabelle1324568910111213141516171619[[#This Row],[Carry-over]]),Tabelle1324568910111213141516171619[[#This Row],[Jira Story Points]],Tabelle1324568910111213141516171619[[#This Row],[Carry-over]]),-Tabelle1324568910111213141516171619[[#This Row],[COsSP Initially Planned]])</f>
        <v>0</v>
      </c>
      <c r="P35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50" s="379">
        <f>IF(Tabelle1324568910111213141516171619[[#This Row],[Status]]=$J$5,Tabelle1324568910111213141516171619[[#This Row],[COsSP Initially Planned]]+Tabelle1324568910111213141516171619[[#This Row],[COsSP Pulled after Start]]-Tabelle1324568910111213141516171619[[#This Row],[CSOsSP Completed]],0)</f>
        <v>0</v>
      </c>
      <c r="R350" s="379">
        <f>Tabelle1324568910111213141516171619[[#This Row],[COsSP Initially Planned]]+Tabelle1324568910111213141516171619[[#This Row],[COsSP Pulled after Start]]-Tabelle1324568910111213141516171619[[#This Row],[CSOsSP Completed]]-Tabelle1324568910111213141516171619[[#This Row],[CSOsSP Removed]]</f>
        <v>0</v>
      </c>
    </row>
    <row r="351" spans="1:18" ht="13.5" customHeight="1">
      <c r="A351" s="383"/>
      <c r="B351" s="47"/>
      <c r="C351" s="203"/>
      <c r="D351" s="203"/>
      <c r="E351" s="203"/>
      <c r="F351" s="204"/>
      <c r="G351" s="203"/>
      <c r="H351" s="205"/>
      <c r="I351" s="206"/>
      <c r="J351" s="206"/>
      <c r="K351" s="203"/>
      <c r="L351" s="204"/>
      <c r="M351" s="204"/>
      <c r="N351" s="378">
        <f>IF(OR(Tabelle1324568910111213141516171619[[#This Row],[Pulled after Start]]="yes",Tabelle1324568910111213141516171619[[#This Row],[Jira Story Points]]="-"),0,MIN(Tabelle1324568910111213141516171619[[#This Row],[Jira Story Points]],Tabelle1324568910111213141516171619[[#This Row],[Carry-over]]))</f>
        <v>0</v>
      </c>
      <c r="O351" s="379">
        <f>SUM(IF(ISBLANK(Tabelle1324568910111213141516171619[[#This Row],[Carry-over]]),Tabelle1324568910111213141516171619[[#This Row],[Jira Story Points]],Tabelle1324568910111213141516171619[[#This Row],[Carry-over]]),-Tabelle1324568910111213141516171619[[#This Row],[COsSP Initially Planned]])</f>
        <v>0</v>
      </c>
      <c r="P35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51" s="379">
        <f>IF(Tabelle1324568910111213141516171619[[#This Row],[Status]]=$J$5,Tabelle1324568910111213141516171619[[#This Row],[COsSP Initially Planned]]+Tabelle1324568910111213141516171619[[#This Row],[COsSP Pulled after Start]]-Tabelle1324568910111213141516171619[[#This Row],[CSOsSP Completed]],0)</f>
        <v>0</v>
      </c>
      <c r="R351" s="379">
        <f>Tabelle1324568910111213141516171619[[#This Row],[COsSP Initially Planned]]+Tabelle1324568910111213141516171619[[#This Row],[COsSP Pulled after Start]]-Tabelle1324568910111213141516171619[[#This Row],[CSOsSP Completed]]-Tabelle1324568910111213141516171619[[#This Row],[CSOsSP Removed]]</f>
        <v>0</v>
      </c>
    </row>
    <row r="352" spans="1:18" ht="13.5" customHeight="1">
      <c r="A352" s="383"/>
      <c r="B352" s="47"/>
      <c r="C352" s="203"/>
      <c r="D352" s="203"/>
      <c r="E352" s="203"/>
      <c r="F352" s="204"/>
      <c r="G352" s="203"/>
      <c r="H352" s="205"/>
      <c r="I352" s="206"/>
      <c r="J352" s="206"/>
      <c r="K352" s="203"/>
      <c r="L352" s="204"/>
      <c r="M352" s="204"/>
      <c r="N352" s="378">
        <f>IF(OR(Tabelle1324568910111213141516171619[[#This Row],[Pulled after Start]]="yes",Tabelle1324568910111213141516171619[[#This Row],[Jira Story Points]]="-"),0,MIN(Tabelle1324568910111213141516171619[[#This Row],[Jira Story Points]],Tabelle1324568910111213141516171619[[#This Row],[Carry-over]]))</f>
        <v>0</v>
      </c>
      <c r="O352" s="379">
        <f>SUM(IF(ISBLANK(Tabelle1324568910111213141516171619[[#This Row],[Carry-over]]),Tabelle1324568910111213141516171619[[#This Row],[Jira Story Points]],Tabelle1324568910111213141516171619[[#This Row],[Carry-over]]),-Tabelle1324568910111213141516171619[[#This Row],[COsSP Initially Planned]])</f>
        <v>0</v>
      </c>
      <c r="P35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52" s="379">
        <f>IF(Tabelle1324568910111213141516171619[[#This Row],[Status]]=$J$5,Tabelle1324568910111213141516171619[[#This Row],[COsSP Initially Planned]]+Tabelle1324568910111213141516171619[[#This Row],[COsSP Pulled after Start]]-Tabelle1324568910111213141516171619[[#This Row],[CSOsSP Completed]],0)</f>
        <v>0</v>
      </c>
      <c r="R352" s="379">
        <f>Tabelle1324568910111213141516171619[[#This Row],[COsSP Initially Planned]]+Tabelle1324568910111213141516171619[[#This Row],[COsSP Pulled after Start]]-Tabelle1324568910111213141516171619[[#This Row],[CSOsSP Completed]]-Tabelle1324568910111213141516171619[[#This Row],[CSOsSP Removed]]</f>
        <v>0</v>
      </c>
    </row>
    <row r="353" spans="1:18" ht="13.5" customHeight="1">
      <c r="A353" s="383"/>
      <c r="B353" s="47"/>
      <c r="C353" s="203"/>
      <c r="D353" s="203"/>
      <c r="E353" s="203"/>
      <c r="F353" s="204"/>
      <c r="G353" s="203"/>
      <c r="H353" s="205"/>
      <c r="I353" s="206"/>
      <c r="J353" s="206"/>
      <c r="K353" s="203"/>
      <c r="L353" s="204"/>
      <c r="M353" s="204"/>
      <c r="N353" s="378">
        <f>IF(OR(Tabelle1324568910111213141516171619[[#This Row],[Pulled after Start]]="yes",Tabelle1324568910111213141516171619[[#This Row],[Jira Story Points]]="-"),0,MIN(Tabelle1324568910111213141516171619[[#This Row],[Jira Story Points]],Tabelle1324568910111213141516171619[[#This Row],[Carry-over]]))</f>
        <v>0</v>
      </c>
      <c r="O353" s="379">
        <f>SUM(IF(ISBLANK(Tabelle1324568910111213141516171619[[#This Row],[Carry-over]]),Tabelle1324568910111213141516171619[[#This Row],[Jira Story Points]],Tabelle1324568910111213141516171619[[#This Row],[Carry-over]]),-Tabelle1324568910111213141516171619[[#This Row],[COsSP Initially Planned]])</f>
        <v>0</v>
      </c>
      <c r="P35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53" s="379">
        <f>IF(Tabelle1324568910111213141516171619[[#This Row],[Status]]=$J$5,Tabelle1324568910111213141516171619[[#This Row],[COsSP Initially Planned]]+Tabelle1324568910111213141516171619[[#This Row],[COsSP Pulled after Start]]-Tabelle1324568910111213141516171619[[#This Row],[CSOsSP Completed]],0)</f>
        <v>0</v>
      </c>
      <c r="R353" s="379">
        <f>Tabelle1324568910111213141516171619[[#This Row],[COsSP Initially Planned]]+Tabelle1324568910111213141516171619[[#This Row],[COsSP Pulled after Start]]-Tabelle1324568910111213141516171619[[#This Row],[CSOsSP Completed]]-Tabelle1324568910111213141516171619[[#This Row],[CSOsSP Removed]]</f>
        <v>0</v>
      </c>
    </row>
    <row r="354" spans="1:18" ht="13.5" customHeight="1">
      <c r="A354" s="383"/>
      <c r="B354" s="47"/>
      <c r="C354" s="203"/>
      <c r="D354" s="203"/>
      <c r="E354" s="203"/>
      <c r="F354" s="204"/>
      <c r="G354" s="203"/>
      <c r="H354" s="205"/>
      <c r="I354" s="206"/>
      <c r="J354" s="206"/>
      <c r="K354" s="203"/>
      <c r="L354" s="204"/>
      <c r="M354" s="204"/>
      <c r="N354" s="378">
        <f>IF(OR(Tabelle1324568910111213141516171619[[#This Row],[Pulled after Start]]="yes",Tabelle1324568910111213141516171619[[#This Row],[Jira Story Points]]="-"),0,MIN(Tabelle1324568910111213141516171619[[#This Row],[Jira Story Points]],Tabelle1324568910111213141516171619[[#This Row],[Carry-over]]))</f>
        <v>0</v>
      </c>
      <c r="O354" s="379">
        <f>SUM(IF(ISBLANK(Tabelle1324568910111213141516171619[[#This Row],[Carry-over]]),Tabelle1324568910111213141516171619[[#This Row],[Jira Story Points]],Tabelle1324568910111213141516171619[[#This Row],[Carry-over]]),-Tabelle1324568910111213141516171619[[#This Row],[COsSP Initially Planned]])</f>
        <v>0</v>
      </c>
      <c r="P35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54" s="379">
        <f>IF(Tabelle1324568910111213141516171619[[#This Row],[Status]]=$J$5,Tabelle1324568910111213141516171619[[#This Row],[COsSP Initially Planned]]+Tabelle1324568910111213141516171619[[#This Row],[COsSP Pulled after Start]]-Tabelle1324568910111213141516171619[[#This Row],[CSOsSP Completed]],0)</f>
        <v>0</v>
      </c>
      <c r="R354" s="379">
        <f>Tabelle1324568910111213141516171619[[#This Row],[COsSP Initially Planned]]+Tabelle1324568910111213141516171619[[#This Row],[COsSP Pulled after Start]]-Tabelle1324568910111213141516171619[[#This Row],[CSOsSP Completed]]-Tabelle1324568910111213141516171619[[#This Row],[CSOsSP Removed]]</f>
        <v>0</v>
      </c>
    </row>
    <row r="355" spans="1:18" ht="13.5" customHeight="1">
      <c r="A355" s="383"/>
      <c r="B355" s="47"/>
      <c r="C355" s="203"/>
      <c r="D355" s="203"/>
      <c r="E355" s="203"/>
      <c r="F355" s="204"/>
      <c r="G355" s="203"/>
      <c r="H355" s="205"/>
      <c r="I355" s="206"/>
      <c r="J355" s="206"/>
      <c r="K355" s="203"/>
      <c r="L355" s="204"/>
      <c r="M355" s="204"/>
      <c r="N355" s="378">
        <f>IF(OR(Tabelle1324568910111213141516171619[[#This Row],[Pulled after Start]]="yes",Tabelle1324568910111213141516171619[[#This Row],[Jira Story Points]]="-"),0,MIN(Tabelle1324568910111213141516171619[[#This Row],[Jira Story Points]],Tabelle1324568910111213141516171619[[#This Row],[Carry-over]]))</f>
        <v>0</v>
      </c>
      <c r="O355" s="379">
        <f>SUM(IF(ISBLANK(Tabelle1324568910111213141516171619[[#This Row],[Carry-over]]),Tabelle1324568910111213141516171619[[#This Row],[Jira Story Points]],Tabelle1324568910111213141516171619[[#This Row],[Carry-over]]),-Tabelle1324568910111213141516171619[[#This Row],[COsSP Initially Planned]])</f>
        <v>0</v>
      </c>
      <c r="P35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55" s="379">
        <f>IF(Tabelle1324568910111213141516171619[[#This Row],[Status]]=$J$5,Tabelle1324568910111213141516171619[[#This Row],[COsSP Initially Planned]]+Tabelle1324568910111213141516171619[[#This Row],[COsSP Pulled after Start]]-Tabelle1324568910111213141516171619[[#This Row],[CSOsSP Completed]],0)</f>
        <v>0</v>
      </c>
      <c r="R355" s="379">
        <f>Tabelle1324568910111213141516171619[[#This Row],[COsSP Initially Planned]]+Tabelle1324568910111213141516171619[[#This Row],[COsSP Pulled after Start]]-Tabelle1324568910111213141516171619[[#This Row],[CSOsSP Completed]]-Tabelle1324568910111213141516171619[[#This Row],[CSOsSP Removed]]</f>
        <v>0</v>
      </c>
    </row>
    <row r="356" spans="1:18" ht="13.5" customHeight="1">
      <c r="A356" s="383"/>
      <c r="B356" s="47"/>
      <c r="C356" s="203"/>
      <c r="D356" s="203"/>
      <c r="E356" s="203"/>
      <c r="F356" s="204"/>
      <c r="G356" s="203"/>
      <c r="H356" s="205"/>
      <c r="I356" s="206"/>
      <c r="J356" s="206"/>
      <c r="K356" s="203"/>
      <c r="L356" s="204"/>
      <c r="M356" s="204"/>
      <c r="N356" s="378">
        <f>IF(OR(Tabelle1324568910111213141516171619[[#This Row],[Pulled after Start]]="yes",Tabelle1324568910111213141516171619[[#This Row],[Jira Story Points]]="-"),0,MIN(Tabelle1324568910111213141516171619[[#This Row],[Jira Story Points]],Tabelle1324568910111213141516171619[[#This Row],[Carry-over]]))</f>
        <v>0</v>
      </c>
      <c r="O356" s="379">
        <f>SUM(IF(ISBLANK(Tabelle1324568910111213141516171619[[#This Row],[Carry-over]]),Tabelle1324568910111213141516171619[[#This Row],[Jira Story Points]],Tabelle1324568910111213141516171619[[#This Row],[Carry-over]]),-Tabelle1324568910111213141516171619[[#This Row],[COsSP Initially Planned]])</f>
        <v>0</v>
      </c>
      <c r="P35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56" s="379">
        <f>IF(Tabelle1324568910111213141516171619[[#This Row],[Status]]=$J$5,Tabelle1324568910111213141516171619[[#This Row],[COsSP Initially Planned]]+Tabelle1324568910111213141516171619[[#This Row],[COsSP Pulled after Start]]-Tabelle1324568910111213141516171619[[#This Row],[CSOsSP Completed]],0)</f>
        <v>0</v>
      </c>
      <c r="R356" s="379">
        <f>Tabelle1324568910111213141516171619[[#This Row],[COsSP Initially Planned]]+Tabelle1324568910111213141516171619[[#This Row],[COsSP Pulled after Start]]-Tabelle1324568910111213141516171619[[#This Row],[CSOsSP Completed]]-Tabelle1324568910111213141516171619[[#This Row],[CSOsSP Removed]]</f>
        <v>0</v>
      </c>
    </row>
    <row r="357" spans="1:18" ht="13.5" customHeight="1">
      <c r="A357" s="383"/>
      <c r="B357" s="47"/>
      <c r="C357" s="203"/>
      <c r="D357" s="203"/>
      <c r="E357" s="203"/>
      <c r="F357" s="204"/>
      <c r="G357" s="203"/>
      <c r="H357" s="205"/>
      <c r="I357" s="206"/>
      <c r="J357" s="206"/>
      <c r="K357" s="203"/>
      <c r="L357" s="204"/>
      <c r="M357" s="204"/>
      <c r="N357" s="378">
        <f>IF(OR(Tabelle1324568910111213141516171619[[#This Row],[Pulled after Start]]="yes",Tabelle1324568910111213141516171619[[#This Row],[Jira Story Points]]="-"),0,MIN(Tabelle1324568910111213141516171619[[#This Row],[Jira Story Points]],Tabelle1324568910111213141516171619[[#This Row],[Carry-over]]))</f>
        <v>0</v>
      </c>
      <c r="O357" s="379">
        <f>SUM(IF(ISBLANK(Tabelle1324568910111213141516171619[[#This Row],[Carry-over]]),Tabelle1324568910111213141516171619[[#This Row],[Jira Story Points]],Tabelle1324568910111213141516171619[[#This Row],[Carry-over]]),-Tabelle1324568910111213141516171619[[#This Row],[COsSP Initially Planned]])</f>
        <v>0</v>
      </c>
      <c r="P35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57" s="379">
        <f>IF(Tabelle1324568910111213141516171619[[#This Row],[Status]]=$J$5,Tabelle1324568910111213141516171619[[#This Row],[COsSP Initially Planned]]+Tabelle1324568910111213141516171619[[#This Row],[COsSP Pulled after Start]]-Tabelle1324568910111213141516171619[[#This Row],[CSOsSP Completed]],0)</f>
        <v>0</v>
      </c>
      <c r="R357" s="379">
        <f>Tabelle1324568910111213141516171619[[#This Row],[COsSP Initially Planned]]+Tabelle1324568910111213141516171619[[#This Row],[COsSP Pulled after Start]]-Tabelle1324568910111213141516171619[[#This Row],[CSOsSP Completed]]-Tabelle1324568910111213141516171619[[#This Row],[CSOsSP Removed]]</f>
        <v>0</v>
      </c>
    </row>
    <row r="358" spans="1:18" ht="13.5" customHeight="1">
      <c r="A358" s="383"/>
      <c r="B358" s="47"/>
      <c r="C358" s="203"/>
      <c r="D358" s="203"/>
      <c r="E358" s="203"/>
      <c r="F358" s="204"/>
      <c r="G358" s="203"/>
      <c r="H358" s="205"/>
      <c r="I358" s="206"/>
      <c r="J358" s="206"/>
      <c r="K358" s="203"/>
      <c r="L358" s="204"/>
      <c r="M358" s="204"/>
      <c r="N358" s="378">
        <f>IF(OR(Tabelle1324568910111213141516171619[[#This Row],[Pulled after Start]]="yes",Tabelle1324568910111213141516171619[[#This Row],[Jira Story Points]]="-"),0,MIN(Tabelle1324568910111213141516171619[[#This Row],[Jira Story Points]],Tabelle1324568910111213141516171619[[#This Row],[Carry-over]]))</f>
        <v>0</v>
      </c>
      <c r="O358" s="379">
        <f>SUM(IF(ISBLANK(Tabelle1324568910111213141516171619[[#This Row],[Carry-over]]),Tabelle1324568910111213141516171619[[#This Row],[Jira Story Points]],Tabelle1324568910111213141516171619[[#This Row],[Carry-over]]),-Tabelle1324568910111213141516171619[[#This Row],[COsSP Initially Planned]])</f>
        <v>0</v>
      </c>
      <c r="P35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58" s="379">
        <f>IF(Tabelle1324568910111213141516171619[[#This Row],[Status]]=$J$5,Tabelle1324568910111213141516171619[[#This Row],[COsSP Initially Planned]]+Tabelle1324568910111213141516171619[[#This Row],[COsSP Pulled after Start]]-Tabelle1324568910111213141516171619[[#This Row],[CSOsSP Completed]],0)</f>
        <v>0</v>
      </c>
      <c r="R358" s="379">
        <f>Tabelle1324568910111213141516171619[[#This Row],[COsSP Initially Planned]]+Tabelle1324568910111213141516171619[[#This Row],[COsSP Pulled after Start]]-Tabelle1324568910111213141516171619[[#This Row],[CSOsSP Completed]]-Tabelle1324568910111213141516171619[[#This Row],[CSOsSP Removed]]</f>
        <v>0</v>
      </c>
    </row>
    <row r="359" spans="1:18" ht="13.5" customHeight="1">
      <c r="A359" s="383"/>
      <c r="B359" s="47"/>
      <c r="C359" s="203"/>
      <c r="D359" s="203"/>
      <c r="E359" s="203"/>
      <c r="F359" s="204"/>
      <c r="G359" s="203"/>
      <c r="H359" s="205"/>
      <c r="I359" s="206"/>
      <c r="J359" s="206"/>
      <c r="K359" s="203"/>
      <c r="L359" s="204"/>
      <c r="M359" s="204"/>
      <c r="N359" s="378">
        <f>IF(OR(Tabelle1324568910111213141516171619[[#This Row],[Pulled after Start]]="yes",Tabelle1324568910111213141516171619[[#This Row],[Jira Story Points]]="-"),0,MIN(Tabelle1324568910111213141516171619[[#This Row],[Jira Story Points]],Tabelle1324568910111213141516171619[[#This Row],[Carry-over]]))</f>
        <v>0</v>
      </c>
      <c r="O359" s="379">
        <f>SUM(IF(ISBLANK(Tabelle1324568910111213141516171619[[#This Row],[Carry-over]]),Tabelle1324568910111213141516171619[[#This Row],[Jira Story Points]],Tabelle1324568910111213141516171619[[#This Row],[Carry-over]]),-Tabelle1324568910111213141516171619[[#This Row],[COsSP Initially Planned]])</f>
        <v>0</v>
      </c>
      <c r="P35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59" s="379">
        <f>IF(Tabelle1324568910111213141516171619[[#This Row],[Status]]=$J$5,Tabelle1324568910111213141516171619[[#This Row],[COsSP Initially Planned]]+Tabelle1324568910111213141516171619[[#This Row],[COsSP Pulled after Start]]-Tabelle1324568910111213141516171619[[#This Row],[CSOsSP Completed]],0)</f>
        <v>0</v>
      </c>
      <c r="R359" s="379">
        <f>Tabelle1324568910111213141516171619[[#This Row],[COsSP Initially Planned]]+Tabelle1324568910111213141516171619[[#This Row],[COsSP Pulled after Start]]-Tabelle1324568910111213141516171619[[#This Row],[CSOsSP Completed]]-Tabelle1324568910111213141516171619[[#This Row],[CSOsSP Removed]]</f>
        <v>0</v>
      </c>
    </row>
    <row r="360" spans="1:18" ht="13.5" customHeight="1">
      <c r="A360" s="383"/>
      <c r="B360" s="47"/>
      <c r="C360" s="203"/>
      <c r="D360" s="203"/>
      <c r="E360" s="203"/>
      <c r="F360" s="204"/>
      <c r="G360" s="203"/>
      <c r="H360" s="205"/>
      <c r="I360" s="206"/>
      <c r="J360" s="206"/>
      <c r="K360" s="203"/>
      <c r="L360" s="204"/>
      <c r="M360" s="204"/>
      <c r="N360" s="378">
        <f>IF(OR(Tabelle1324568910111213141516171619[[#This Row],[Pulled after Start]]="yes",Tabelle1324568910111213141516171619[[#This Row],[Jira Story Points]]="-"),0,MIN(Tabelle1324568910111213141516171619[[#This Row],[Jira Story Points]],Tabelle1324568910111213141516171619[[#This Row],[Carry-over]]))</f>
        <v>0</v>
      </c>
      <c r="O360" s="379">
        <f>SUM(IF(ISBLANK(Tabelle1324568910111213141516171619[[#This Row],[Carry-over]]),Tabelle1324568910111213141516171619[[#This Row],[Jira Story Points]],Tabelle1324568910111213141516171619[[#This Row],[Carry-over]]),-Tabelle1324568910111213141516171619[[#This Row],[COsSP Initially Planned]])</f>
        <v>0</v>
      </c>
      <c r="P36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60" s="379">
        <f>IF(Tabelle1324568910111213141516171619[[#This Row],[Status]]=$J$5,Tabelle1324568910111213141516171619[[#This Row],[COsSP Initially Planned]]+Tabelle1324568910111213141516171619[[#This Row],[COsSP Pulled after Start]]-Tabelle1324568910111213141516171619[[#This Row],[CSOsSP Completed]],0)</f>
        <v>0</v>
      </c>
      <c r="R360" s="379">
        <f>Tabelle1324568910111213141516171619[[#This Row],[COsSP Initially Planned]]+Tabelle1324568910111213141516171619[[#This Row],[COsSP Pulled after Start]]-Tabelle1324568910111213141516171619[[#This Row],[CSOsSP Completed]]-Tabelle1324568910111213141516171619[[#This Row],[CSOsSP Removed]]</f>
        <v>0</v>
      </c>
    </row>
    <row r="361" spans="1:18" ht="13.5" customHeight="1">
      <c r="A361" s="383"/>
      <c r="B361" s="47"/>
      <c r="C361" s="203"/>
      <c r="D361" s="203"/>
      <c r="E361" s="203"/>
      <c r="F361" s="204"/>
      <c r="G361" s="203"/>
      <c r="H361" s="205"/>
      <c r="I361" s="206"/>
      <c r="J361" s="206"/>
      <c r="K361" s="203"/>
      <c r="L361" s="204"/>
      <c r="M361" s="204"/>
      <c r="N361" s="378">
        <f>IF(OR(Tabelle1324568910111213141516171619[[#This Row],[Pulled after Start]]="yes",Tabelle1324568910111213141516171619[[#This Row],[Jira Story Points]]="-"),0,MIN(Tabelle1324568910111213141516171619[[#This Row],[Jira Story Points]],Tabelle1324568910111213141516171619[[#This Row],[Carry-over]]))</f>
        <v>0</v>
      </c>
      <c r="O361" s="379">
        <f>SUM(IF(ISBLANK(Tabelle1324568910111213141516171619[[#This Row],[Carry-over]]),Tabelle1324568910111213141516171619[[#This Row],[Jira Story Points]],Tabelle1324568910111213141516171619[[#This Row],[Carry-over]]),-Tabelle1324568910111213141516171619[[#This Row],[COsSP Initially Planned]])</f>
        <v>0</v>
      </c>
      <c r="P36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61" s="379">
        <f>IF(Tabelle1324568910111213141516171619[[#This Row],[Status]]=$J$5,Tabelle1324568910111213141516171619[[#This Row],[COsSP Initially Planned]]+Tabelle1324568910111213141516171619[[#This Row],[COsSP Pulled after Start]]-Tabelle1324568910111213141516171619[[#This Row],[CSOsSP Completed]],0)</f>
        <v>0</v>
      </c>
      <c r="R361" s="379">
        <f>Tabelle1324568910111213141516171619[[#This Row],[COsSP Initially Planned]]+Tabelle1324568910111213141516171619[[#This Row],[COsSP Pulled after Start]]-Tabelle1324568910111213141516171619[[#This Row],[CSOsSP Completed]]-Tabelle1324568910111213141516171619[[#This Row],[CSOsSP Removed]]</f>
        <v>0</v>
      </c>
    </row>
    <row r="362" spans="1:18" ht="13.5" customHeight="1">
      <c r="A362" s="383"/>
      <c r="B362" s="47"/>
      <c r="C362" s="203"/>
      <c r="D362" s="203"/>
      <c r="E362" s="203"/>
      <c r="F362" s="204"/>
      <c r="G362" s="203"/>
      <c r="H362" s="205"/>
      <c r="I362" s="206"/>
      <c r="J362" s="206"/>
      <c r="K362" s="203"/>
      <c r="L362" s="204"/>
      <c r="M362" s="204"/>
      <c r="N362" s="378">
        <f>IF(OR(Tabelle1324568910111213141516171619[[#This Row],[Pulled after Start]]="yes",Tabelle1324568910111213141516171619[[#This Row],[Jira Story Points]]="-"),0,MIN(Tabelle1324568910111213141516171619[[#This Row],[Jira Story Points]],Tabelle1324568910111213141516171619[[#This Row],[Carry-over]]))</f>
        <v>0</v>
      </c>
      <c r="O362" s="379">
        <f>SUM(IF(ISBLANK(Tabelle1324568910111213141516171619[[#This Row],[Carry-over]]),Tabelle1324568910111213141516171619[[#This Row],[Jira Story Points]],Tabelle1324568910111213141516171619[[#This Row],[Carry-over]]),-Tabelle1324568910111213141516171619[[#This Row],[COsSP Initially Planned]])</f>
        <v>0</v>
      </c>
      <c r="P36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62" s="379">
        <f>IF(Tabelle1324568910111213141516171619[[#This Row],[Status]]=$J$5,Tabelle1324568910111213141516171619[[#This Row],[COsSP Initially Planned]]+Tabelle1324568910111213141516171619[[#This Row],[COsSP Pulled after Start]]-Tabelle1324568910111213141516171619[[#This Row],[CSOsSP Completed]],0)</f>
        <v>0</v>
      </c>
      <c r="R362" s="379">
        <f>Tabelle1324568910111213141516171619[[#This Row],[COsSP Initially Planned]]+Tabelle1324568910111213141516171619[[#This Row],[COsSP Pulled after Start]]-Tabelle1324568910111213141516171619[[#This Row],[CSOsSP Completed]]-Tabelle1324568910111213141516171619[[#This Row],[CSOsSP Removed]]</f>
        <v>0</v>
      </c>
    </row>
    <row r="363" spans="1:18" ht="13.5" customHeight="1">
      <c r="A363" s="383"/>
      <c r="B363" s="47"/>
      <c r="C363" s="203"/>
      <c r="D363" s="203"/>
      <c r="E363" s="203"/>
      <c r="F363" s="204"/>
      <c r="G363" s="203"/>
      <c r="H363" s="205"/>
      <c r="I363" s="206"/>
      <c r="J363" s="206"/>
      <c r="K363" s="203"/>
      <c r="L363" s="204"/>
      <c r="M363" s="204"/>
      <c r="N363" s="378">
        <f>IF(OR(Tabelle1324568910111213141516171619[[#This Row],[Pulled after Start]]="yes",Tabelle1324568910111213141516171619[[#This Row],[Jira Story Points]]="-"),0,MIN(Tabelle1324568910111213141516171619[[#This Row],[Jira Story Points]],Tabelle1324568910111213141516171619[[#This Row],[Carry-over]]))</f>
        <v>0</v>
      </c>
      <c r="O363" s="379">
        <f>SUM(IF(ISBLANK(Tabelle1324568910111213141516171619[[#This Row],[Carry-over]]),Tabelle1324568910111213141516171619[[#This Row],[Jira Story Points]],Tabelle1324568910111213141516171619[[#This Row],[Carry-over]]),-Tabelle1324568910111213141516171619[[#This Row],[COsSP Initially Planned]])</f>
        <v>0</v>
      </c>
      <c r="P36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63" s="379">
        <f>IF(Tabelle1324568910111213141516171619[[#This Row],[Status]]=$J$5,Tabelle1324568910111213141516171619[[#This Row],[COsSP Initially Planned]]+Tabelle1324568910111213141516171619[[#This Row],[COsSP Pulled after Start]]-Tabelle1324568910111213141516171619[[#This Row],[CSOsSP Completed]],0)</f>
        <v>0</v>
      </c>
      <c r="R363" s="379">
        <f>Tabelle1324568910111213141516171619[[#This Row],[COsSP Initially Planned]]+Tabelle1324568910111213141516171619[[#This Row],[COsSP Pulled after Start]]-Tabelle1324568910111213141516171619[[#This Row],[CSOsSP Completed]]-Tabelle1324568910111213141516171619[[#This Row],[CSOsSP Removed]]</f>
        <v>0</v>
      </c>
    </row>
    <row r="364" spans="1:18" ht="13.5" customHeight="1">
      <c r="A364" s="383"/>
      <c r="B364" s="47"/>
      <c r="C364" s="203"/>
      <c r="D364" s="203"/>
      <c r="E364" s="203"/>
      <c r="F364" s="204"/>
      <c r="G364" s="203"/>
      <c r="H364" s="205"/>
      <c r="I364" s="206"/>
      <c r="J364" s="206"/>
      <c r="K364" s="203"/>
      <c r="L364" s="204"/>
      <c r="M364" s="204"/>
      <c r="N364" s="378">
        <f>IF(OR(Tabelle1324568910111213141516171619[[#This Row],[Pulled after Start]]="yes",Tabelle1324568910111213141516171619[[#This Row],[Jira Story Points]]="-"),0,MIN(Tabelle1324568910111213141516171619[[#This Row],[Jira Story Points]],Tabelle1324568910111213141516171619[[#This Row],[Carry-over]]))</f>
        <v>0</v>
      </c>
      <c r="O364" s="379">
        <f>SUM(IF(ISBLANK(Tabelle1324568910111213141516171619[[#This Row],[Carry-over]]),Tabelle1324568910111213141516171619[[#This Row],[Jira Story Points]],Tabelle1324568910111213141516171619[[#This Row],[Carry-over]]),-Tabelle1324568910111213141516171619[[#This Row],[COsSP Initially Planned]])</f>
        <v>0</v>
      </c>
      <c r="P36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64" s="379">
        <f>IF(Tabelle1324568910111213141516171619[[#This Row],[Status]]=$J$5,Tabelle1324568910111213141516171619[[#This Row],[COsSP Initially Planned]]+Tabelle1324568910111213141516171619[[#This Row],[COsSP Pulled after Start]]-Tabelle1324568910111213141516171619[[#This Row],[CSOsSP Completed]],0)</f>
        <v>0</v>
      </c>
      <c r="R364" s="379">
        <f>Tabelle1324568910111213141516171619[[#This Row],[COsSP Initially Planned]]+Tabelle1324568910111213141516171619[[#This Row],[COsSP Pulled after Start]]-Tabelle1324568910111213141516171619[[#This Row],[CSOsSP Completed]]-Tabelle1324568910111213141516171619[[#This Row],[CSOsSP Removed]]</f>
        <v>0</v>
      </c>
    </row>
    <row r="365" spans="1:18" ht="13.5" customHeight="1">
      <c r="A365" s="383"/>
      <c r="B365" s="47"/>
      <c r="C365" s="203"/>
      <c r="D365" s="203"/>
      <c r="E365" s="203"/>
      <c r="F365" s="204"/>
      <c r="G365" s="203"/>
      <c r="H365" s="205"/>
      <c r="I365" s="206"/>
      <c r="J365" s="206"/>
      <c r="K365" s="203"/>
      <c r="L365" s="204"/>
      <c r="M365" s="204"/>
      <c r="N365" s="378">
        <f>IF(OR(Tabelle1324568910111213141516171619[[#This Row],[Pulled after Start]]="yes",Tabelle1324568910111213141516171619[[#This Row],[Jira Story Points]]="-"),0,MIN(Tabelle1324568910111213141516171619[[#This Row],[Jira Story Points]],Tabelle1324568910111213141516171619[[#This Row],[Carry-over]]))</f>
        <v>0</v>
      </c>
      <c r="O365" s="379">
        <f>SUM(IF(ISBLANK(Tabelle1324568910111213141516171619[[#This Row],[Carry-over]]),Tabelle1324568910111213141516171619[[#This Row],[Jira Story Points]],Tabelle1324568910111213141516171619[[#This Row],[Carry-over]]),-Tabelle1324568910111213141516171619[[#This Row],[COsSP Initially Planned]])</f>
        <v>0</v>
      </c>
      <c r="P36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65" s="379">
        <f>IF(Tabelle1324568910111213141516171619[[#This Row],[Status]]=$J$5,Tabelle1324568910111213141516171619[[#This Row],[COsSP Initially Planned]]+Tabelle1324568910111213141516171619[[#This Row],[COsSP Pulled after Start]]-Tabelle1324568910111213141516171619[[#This Row],[CSOsSP Completed]],0)</f>
        <v>0</v>
      </c>
      <c r="R365" s="379">
        <f>Tabelle1324568910111213141516171619[[#This Row],[COsSP Initially Planned]]+Tabelle1324568910111213141516171619[[#This Row],[COsSP Pulled after Start]]-Tabelle1324568910111213141516171619[[#This Row],[CSOsSP Completed]]-Tabelle1324568910111213141516171619[[#This Row],[CSOsSP Removed]]</f>
        <v>0</v>
      </c>
    </row>
    <row r="366" spans="1:18" ht="13.5" customHeight="1">
      <c r="A366" s="383"/>
      <c r="B366" s="47"/>
      <c r="C366" s="203"/>
      <c r="D366" s="203"/>
      <c r="E366" s="203"/>
      <c r="F366" s="204"/>
      <c r="G366" s="203"/>
      <c r="H366" s="205"/>
      <c r="I366" s="206"/>
      <c r="J366" s="206"/>
      <c r="K366" s="203"/>
      <c r="L366" s="204"/>
      <c r="M366" s="204"/>
      <c r="N366" s="378">
        <f>IF(OR(Tabelle1324568910111213141516171619[[#This Row],[Pulled after Start]]="yes",Tabelle1324568910111213141516171619[[#This Row],[Jira Story Points]]="-"),0,MIN(Tabelle1324568910111213141516171619[[#This Row],[Jira Story Points]],Tabelle1324568910111213141516171619[[#This Row],[Carry-over]]))</f>
        <v>0</v>
      </c>
      <c r="O366" s="379">
        <f>SUM(IF(ISBLANK(Tabelle1324568910111213141516171619[[#This Row],[Carry-over]]),Tabelle1324568910111213141516171619[[#This Row],[Jira Story Points]],Tabelle1324568910111213141516171619[[#This Row],[Carry-over]]),-Tabelle1324568910111213141516171619[[#This Row],[COsSP Initially Planned]])</f>
        <v>0</v>
      </c>
      <c r="P36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66" s="379">
        <f>IF(Tabelle1324568910111213141516171619[[#This Row],[Status]]=$J$5,Tabelle1324568910111213141516171619[[#This Row],[COsSP Initially Planned]]+Tabelle1324568910111213141516171619[[#This Row],[COsSP Pulled after Start]]-Tabelle1324568910111213141516171619[[#This Row],[CSOsSP Completed]],0)</f>
        <v>0</v>
      </c>
      <c r="R366" s="379">
        <f>Tabelle1324568910111213141516171619[[#This Row],[COsSP Initially Planned]]+Tabelle1324568910111213141516171619[[#This Row],[COsSP Pulled after Start]]-Tabelle1324568910111213141516171619[[#This Row],[CSOsSP Completed]]-Tabelle1324568910111213141516171619[[#This Row],[CSOsSP Removed]]</f>
        <v>0</v>
      </c>
    </row>
    <row r="367" spans="1:18" ht="13.5" customHeight="1">
      <c r="A367" s="383"/>
      <c r="B367" s="47"/>
      <c r="C367" s="203"/>
      <c r="D367" s="203"/>
      <c r="E367" s="203"/>
      <c r="F367" s="204"/>
      <c r="G367" s="203"/>
      <c r="H367" s="205"/>
      <c r="I367" s="206"/>
      <c r="J367" s="206"/>
      <c r="K367" s="203"/>
      <c r="L367" s="204"/>
      <c r="M367" s="204"/>
      <c r="N367" s="378">
        <f>IF(OR(Tabelle1324568910111213141516171619[[#This Row],[Pulled after Start]]="yes",Tabelle1324568910111213141516171619[[#This Row],[Jira Story Points]]="-"),0,MIN(Tabelle1324568910111213141516171619[[#This Row],[Jira Story Points]],Tabelle1324568910111213141516171619[[#This Row],[Carry-over]]))</f>
        <v>0</v>
      </c>
      <c r="O367" s="379">
        <f>SUM(IF(ISBLANK(Tabelle1324568910111213141516171619[[#This Row],[Carry-over]]),Tabelle1324568910111213141516171619[[#This Row],[Jira Story Points]],Tabelle1324568910111213141516171619[[#This Row],[Carry-over]]),-Tabelle1324568910111213141516171619[[#This Row],[COsSP Initially Planned]])</f>
        <v>0</v>
      </c>
      <c r="P36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67" s="379">
        <f>IF(Tabelle1324568910111213141516171619[[#This Row],[Status]]=$J$5,Tabelle1324568910111213141516171619[[#This Row],[COsSP Initially Planned]]+Tabelle1324568910111213141516171619[[#This Row],[COsSP Pulled after Start]]-Tabelle1324568910111213141516171619[[#This Row],[CSOsSP Completed]],0)</f>
        <v>0</v>
      </c>
      <c r="R367" s="379">
        <f>Tabelle1324568910111213141516171619[[#This Row],[COsSP Initially Planned]]+Tabelle1324568910111213141516171619[[#This Row],[COsSP Pulled after Start]]-Tabelle1324568910111213141516171619[[#This Row],[CSOsSP Completed]]-Tabelle1324568910111213141516171619[[#This Row],[CSOsSP Removed]]</f>
        <v>0</v>
      </c>
    </row>
    <row r="368" spans="1:18" ht="13.5" customHeight="1">
      <c r="A368" s="383"/>
      <c r="B368" s="47"/>
      <c r="C368" s="203"/>
      <c r="D368" s="203"/>
      <c r="E368" s="203"/>
      <c r="F368" s="204"/>
      <c r="G368" s="203"/>
      <c r="H368" s="205"/>
      <c r="I368" s="206"/>
      <c r="J368" s="206"/>
      <c r="K368" s="203"/>
      <c r="L368" s="204"/>
      <c r="M368" s="204"/>
      <c r="N368" s="378">
        <f>IF(OR(Tabelle1324568910111213141516171619[[#This Row],[Pulled after Start]]="yes",Tabelle1324568910111213141516171619[[#This Row],[Jira Story Points]]="-"),0,MIN(Tabelle1324568910111213141516171619[[#This Row],[Jira Story Points]],Tabelle1324568910111213141516171619[[#This Row],[Carry-over]]))</f>
        <v>0</v>
      </c>
      <c r="O368" s="379">
        <f>SUM(IF(ISBLANK(Tabelle1324568910111213141516171619[[#This Row],[Carry-over]]),Tabelle1324568910111213141516171619[[#This Row],[Jira Story Points]],Tabelle1324568910111213141516171619[[#This Row],[Carry-over]]),-Tabelle1324568910111213141516171619[[#This Row],[COsSP Initially Planned]])</f>
        <v>0</v>
      </c>
      <c r="P36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68" s="379">
        <f>IF(Tabelle1324568910111213141516171619[[#This Row],[Status]]=$J$5,Tabelle1324568910111213141516171619[[#This Row],[COsSP Initially Planned]]+Tabelle1324568910111213141516171619[[#This Row],[COsSP Pulled after Start]]-Tabelle1324568910111213141516171619[[#This Row],[CSOsSP Completed]],0)</f>
        <v>0</v>
      </c>
      <c r="R368" s="379">
        <f>Tabelle1324568910111213141516171619[[#This Row],[COsSP Initially Planned]]+Tabelle1324568910111213141516171619[[#This Row],[COsSP Pulled after Start]]-Tabelle1324568910111213141516171619[[#This Row],[CSOsSP Completed]]-Tabelle1324568910111213141516171619[[#This Row],[CSOsSP Removed]]</f>
        <v>0</v>
      </c>
    </row>
    <row r="369" spans="1:18" ht="13.5" customHeight="1">
      <c r="A369" s="383"/>
      <c r="B369" s="47"/>
      <c r="C369" s="203"/>
      <c r="D369" s="203"/>
      <c r="E369" s="203"/>
      <c r="F369" s="204"/>
      <c r="G369" s="203"/>
      <c r="H369" s="205"/>
      <c r="I369" s="206"/>
      <c r="J369" s="206"/>
      <c r="K369" s="203"/>
      <c r="L369" s="204"/>
      <c r="M369" s="204"/>
      <c r="N369" s="378">
        <f>IF(OR(Tabelle1324568910111213141516171619[[#This Row],[Pulled after Start]]="yes",Tabelle1324568910111213141516171619[[#This Row],[Jira Story Points]]="-"),0,MIN(Tabelle1324568910111213141516171619[[#This Row],[Jira Story Points]],Tabelle1324568910111213141516171619[[#This Row],[Carry-over]]))</f>
        <v>0</v>
      </c>
      <c r="O369" s="379">
        <f>SUM(IF(ISBLANK(Tabelle1324568910111213141516171619[[#This Row],[Carry-over]]),Tabelle1324568910111213141516171619[[#This Row],[Jira Story Points]],Tabelle1324568910111213141516171619[[#This Row],[Carry-over]]),-Tabelle1324568910111213141516171619[[#This Row],[COsSP Initially Planned]])</f>
        <v>0</v>
      </c>
      <c r="P36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69" s="379">
        <f>IF(Tabelle1324568910111213141516171619[[#This Row],[Status]]=$J$5,Tabelle1324568910111213141516171619[[#This Row],[COsSP Initially Planned]]+Tabelle1324568910111213141516171619[[#This Row],[COsSP Pulled after Start]]-Tabelle1324568910111213141516171619[[#This Row],[CSOsSP Completed]],0)</f>
        <v>0</v>
      </c>
      <c r="R369" s="379">
        <f>Tabelle1324568910111213141516171619[[#This Row],[COsSP Initially Planned]]+Tabelle1324568910111213141516171619[[#This Row],[COsSP Pulled after Start]]-Tabelle1324568910111213141516171619[[#This Row],[CSOsSP Completed]]-Tabelle1324568910111213141516171619[[#This Row],[CSOsSP Removed]]</f>
        <v>0</v>
      </c>
    </row>
    <row r="370" spans="1:18" ht="13.5" customHeight="1">
      <c r="A370" s="383"/>
      <c r="B370" s="47"/>
      <c r="C370" s="203"/>
      <c r="D370" s="203"/>
      <c r="E370" s="203"/>
      <c r="F370" s="204"/>
      <c r="G370" s="203"/>
      <c r="H370" s="205"/>
      <c r="I370" s="206"/>
      <c r="J370" s="206"/>
      <c r="K370" s="203"/>
      <c r="L370" s="204"/>
      <c r="M370" s="204"/>
      <c r="N370" s="378">
        <f>IF(OR(Tabelle1324568910111213141516171619[[#This Row],[Pulled after Start]]="yes",Tabelle1324568910111213141516171619[[#This Row],[Jira Story Points]]="-"),0,MIN(Tabelle1324568910111213141516171619[[#This Row],[Jira Story Points]],Tabelle1324568910111213141516171619[[#This Row],[Carry-over]]))</f>
        <v>0</v>
      </c>
      <c r="O370" s="379">
        <f>SUM(IF(ISBLANK(Tabelle1324568910111213141516171619[[#This Row],[Carry-over]]),Tabelle1324568910111213141516171619[[#This Row],[Jira Story Points]],Tabelle1324568910111213141516171619[[#This Row],[Carry-over]]),-Tabelle1324568910111213141516171619[[#This Row],[COsSP Initially Planned]])</f>
        <v>0</v>
      </c>
      <c r="P37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70" s="379">
        <f>IF(Tabelle1324568910111213141516171619[[#This Row],[Status]]=$J$5,Tabelle1324568910111213141516171619[[#This Row],[COsSP Initially Planned]]+Tabelle1324568910111213141516171619[[#This Row],[COsSP Pulled after Start]]-Tabelle1324568910111213141516171619[[#This Row],[CSOsSP Completed]],0)</f>
        <v>0</v>
      </c>
      <c r="R370" s="379">
        <f>Tabelle1324568910111213141516171619[[#This Row],[COsSP Initially Planned]]+Tabelle1324568910111213141516171619[[#This Row],[COsSP Pulled after Start]]-Tabelle1324568910111213141516171619[[#This Row],[CSOsSP Completed]]-Tabelle1324568910111213141516171619[[#This Row],[CSOsSP Removed]]</f>
        <v>0</v>
      </c>
    </row>
    <row r="371" spans="1:18" ht="13.5" customHeight="1">
      <c r="A371" s="383"/>
      <c r="B371" s="47"/>
      <c r="C371" s="203"/>
      <c r="D371" s="203"/>
      <c r="E371" s="203"/>
      <c r="F371" s="204"/>
      <c r="G371" s="203"/>
      <c r="H371" s="205"/>
      <c r="I371" s="206"/>
      <c r="J371" s="206"/>
      <c r="K371" s="203"/>
      <c r="L371" s="204"/>
      <c r="M371" s="204"/>
      <c r="N371" s="378">
        <f>IF(OR(Tabelle1324568910111213141516171619[[#This Row],[Pulled after Start]]="yes",Tabelle1324568910111213141516171619[[#This Row],[Jira Story Points]]="-"),0,MIN(Tabelle1324568910111213141516171619[[#This Row],[Jira Story Points]],Tabelle1324568910111213141516171619[[#This Row],[Carry-over]]))</f>
        <v>0</v>
      </c>
      <c r="O371" s="379">
        <f>SUM(IF(ISBLANK(Tabelle1324568910111213141516171619[[#This Row],[Carry-over]]),Tabelle1324568910111213141516171619[[#This Row],[Jira Story Points]],Tabelle1324568910111213141516171619[[#This Row],[Carry-over]]),-Tabelle1324568910111213141516171619[[#This Row],[COsSP Initially Planned]])</f>
        <v>0</v>
      </c>
      <c r="P37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71" s="379">
        <f>IF(Tabelle1324568910111213141516171619[[#This Row],[Status]]=$J$5,Tabelle1324568910111213141516171619[[#This Row],[COsSP Initially Planned]]+Tabelle1324568910111213141516171619[[#This Row],[COsSP Pulled after Start]]-Tabelle1324568910111213141516171619[[#This Row],[CSOsSP Completed]],0)</f>
        <v>0</v>
      </c>
      <c r="R371" s="379">
        <f>Tabelle1324568910111213141516171619[[#This Row],[COsSP Initially Planned]]+Tabelle1324568910111213141516171619[[#This Row],[COsSP Pulled after Start]]-Tabelle1324568910111213141516171619[[#This Row],[CSOsSP Completed]]-Tabelle1324568910111213141516171619[[#This Row],[CSOsSP Removed]]</f>
        <v>0</v>
      </c>
    </row>
    <row r="372" spans="1:18" ht="13.5" customHeight="1">
      <c r="A372" s="383"/>
      <c r="B372" s="47"/>
      <c r="C372" s="203"/>
      <c r="D372" s="203"/>
      <c r="E372" s="203"/>
      <c r="F372" s="204"/>
      <c r="G372" s="203"/>
      <c r="H372" s="205"/>
      <c r="I372" s="206"/>
      <c r="J372" s="206"/>
      <c r="K372" s="203"/>
      <c r="L372" s="204"/>
      <c r="M372" s="204"/>
      <c r="N372" s="378">
        <f>IF(OR(Tabelle1324568910111213141516171619[[#This Row],[Pulled after Start]]="yes",Tabelle1324568910111213141516171619[[#This Row],[Jira Story Points]]="-"),0,MIN(Tabelle1324568910111213141516171619[[#This Row],[Jira Story Points]],Tabelle1324568910111213141516171619[[#This Row],[Carry-over]]))</f>
        <v>0</v>
      </c>
      <c r="O372" s="379">
        <f>SUM(IF(ISBLANK(Tabelle1324568910111213141516171619[[#This Row],[Carry-over]]),Tabelle1324568910111213141516171619[[#This Row],[Jira Story Points]],Tabelle1324568910111213141516171619[[#This Row],[Carry-over]]),-Tabelle1324568910111213141516171619[[#This Row],[COsSP Initially Planned]])</f>
        <v>0</v>
      </c>
      <c r="P37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72" s="379">
        <f>IF(Tabelle1324568910111213141516171619[[#This Row],[Status]]=$J$5,Tabelle1324568910111213141516171619[[#This Row],[COsSP Initially Planned]]+Tabelle1324568910111213141516171619[[#This Row],[COsSP Pulled after Start]]-Tabelle1324568910111213141516171619[[#This Row],[CSOsSP Completed]],0)</f>
        <v>0</v>
      </c>
      <c r="R372" s="379">
        <f>Tabelle1324568910111213141516171619[[#This Row],[COsSP Initially Planned]]+Tabelle1324568910111213141516171619[[#This Row],[COsSP Pulled after Start]]-Tabelle1324568910111213141516171619[[#This Row],[CSOsSP Completed]]-Tabelle1324568910111213141516171619[[#This Row],[CSOsSP Removed]]</f>
        <v>0</v>
      </c>
    </row>
    <row r="373" spans="1:18" ht="13.5" customHeight="1">
      <c r="A373" s="383"/>
      <c r="B373" s="47"/>
      <c r="C373" s="203"/>
      <c r="D373" s="203"/>
      <c r="E373" s="203"/>
      <c r="F373" s="204"/>
      <c r="G373" s="203"/>
      <c r="H373" s="205"/>
      <c r="I373" s="206"/>
      <c r="J373" s="206"/>
      <c r="K373" s="203"/>
      <c r="L373" s="204"/>
      <c r="M373" s="204"/>
      <c r="N373" s="378">
        <f>IF(OR(Tabelle1324568910111213141516171619[[#This Row],[Pulled after Start]]="yes",Tabelle1324568910111213141516171619[[#This Row],[Jira Story Points]]="-"),0,MIN(Tabelle1324568910111213141516171619[[#This Row],[Jira Story Points]],Tabelle1324568910111213141516171619[[#This Row],[Carry-over]]))</f>
        <v>0</v>
      </c>
      <c r="O373" s="379">
        <f>SUM(IF(ISBLANK(Tabelle1324568910111213141516171619[[#This Row],[Carry-over]]),Tabelle1324568910111213141516171619[[#This Row],[Jira Story Points]],Tabelle1324568910111213141516171619[[#This Row],[Carry-over]]),-Tabelle1324568910111213141516171619[[#This Row],[COsSP Initially Planned]])</f>
        <v>0</v>
      </c>
      <c r="P37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73" s="379">
        <f>IF(Tabelle1324568910111213141516171619[[#This Row],[Status]]=$J$5,Tabelle1324568910111213141516171619[[#This Row],[COsSP Initially Planned]]+Tabelle1324568910111213141516171619[[#This Row],[COsSP Pulled after Start]]-Tabelle1324568910111213141516171619[[#This Row],[CSOsSP Completed]],0)</f>
        <v>0</v>
      </c>
      <c r="R373" s="379">
        <f>Tabelle1324568910111213141516171619[[#This Row],[COsSP Initially Planned]]+Tabelle1324568910111213141516171619[[#This Row],[COsSP Pulled after Start]]-Tabelle1324568910111213141516171619[[#This Row],[CSOsSP Completed]]-Tabelle1324568910111213141516171619[[#This Row],[CSOsSP Removed]]</f>
        <v>0</v>
      </c>
    </row>
    <row r="374" spans="1:18" ht="13.5" customHeight="1">
      <c r="A374" s="383"/>
      <c r="B374" s="47"/>
      <c r="C374" s="203"/>
      <c r="D374" s="203"/>
      <c r="E374" s="203"/>
      <c r="F374" s="204"/>
      <c r="G374" s="203"/>
      <c r="H374" s="205"/>
      <c r="I374" s="206"/>
      <c r="J374" s="206"/>
      <c r="K374" s="203"/>
      <c r="L374" s="204"/>
      <c r="M374" s="204"/>
      <c r="N374" s="378">
        <f>IF(OR(Tabelle1324568910111213141516171619[[#This Row],[Pulled after Start]]="yes",Tabelle1324568910111213141516171619[[#This Row],[Jira Story Points]]="-"),0,MIN(Tabelle1324568910111213141516171619[[#This Row],[Jira Story Points]],Tabelle1324568910111213141516171619[[#This Row],[Carry-over]]))</f>
        <v>0</v>
      </c>
      <c r="O374" s="379">
        <f>SUM(IF(ISBLANK(Tabelle1324568910111213141516171619[[#This Row],[Carry-over]]),Tabelle1324568910111213141516171619[[#This Row],[Jira Story Points]],Tabelle1324568910111213141516171619[[#This Row],[Carry-over]]),-Tabelle1324568910111213141516171619[[#This Row],[COsSP Initially Planned]])</f>
        <v>0</v>
      </c>
      <c r="P37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74" s="379">
        <f>IF(Tabelle1324568910111213141516171619[[#This Row],[Status]]=$J$5,Tabelle1324568910111213141516171619[[#This Row],[COsSP Initially Planned]]+Tabelle1324568910111213141516171619[[#This Row],[COsSP Pulled after Start]]-Tabelle1324568910111213141516171619[[#This Row],[CSOsSP Completed]],0)</f>
        <v>0</v>
      </c>
      <c r="R374" s="379">
        <f>Tabelle1324568910111213141516171619[[#This Row],[COsSP Initially Planned]]+Tabelle1324568910111213141516171619[[#This Row],[COsSP Pulled after Start]]-Tabelle1324568910111213141516171619[[#This Row],[CSOsSP Completed]]-Tabelle1324568910111213141516171619[[#This Row],[CSOsSP Removed]]</f>
        <v>0</v>
      </c>
    </row>
    <row r="375" spans="1:18" ht="13.5" customHeight="1">
      <c r="A375" s="383"/>
      <c r="B375" s="47"/>
      <c r="C375" s="203"/>
      <c r="D375" s="203"/>
      <c r="E375" s="203"/>
      <c r="F375" s="204"/>
      <c r="G375" s="203"/>
      <c r="H375" s="205"/>
      <c r="I375" s="206"/>
      <c r="J375" s="206"/>
      <c r="K375" s="203"/>
      <c r="L375" s="204"/>
      <c r="M375" s="204"/>
      <c r="N375" s="378">
        <f>IF(OR(Tabelle1324568910111213141516171619[[#This Row],[Pulled after Start]]="yes",Tabelle1324568910111213141516171619[[#This Row],[Jira Story Points]]="-"),0,MIN(Tabelle1324568910111213141516171619[[#This Row],[Jira Story Points]],Tabelle1324568910111213141516171619[[#This Row],[Carry-over]]))</f>
        <v>0</v>
      </c>
      <c r="O375" s="379">
        <f>SUM(IF(ISBLANK(Tabelle1324568910111213141516171619[[#This Row],[Carry-over]]),Tabelle1324568910111213141516171619[[#This Row],[Jira Story Points]],Tabelle1324568910111213141516171619[[#This Row],[Carry-over]]),-Tabelle1324568910111213141516171619[[#This Row],[COsSP Initially Planned]])</f>
        <v>0</v>
      </c>
      <c r="P37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75" s="379">
        <f>IF(Tabelle1324568910111213141516171619[[#This Row],[Status]]=$J$5,Tabelle1324568910111213141516171619[[#This Row],[COsSP Initially Planned]]+Tabelle1324568910111213141516171619[[#This Row],[COsSP Pulled after Start]]-Tabelle1324568910111213141516171619[[#This Row],[CSOsSP Completed]],0)</f>
        <v>0</v>
      </c>
      <c r="R375" s="379">
        <f>Tabelle1324568910111213141516171619[[#This Row],[COsSP Initially Planned]]+Tabelle1324568910111213141516171619[[#This Row],[COsSP Pulled after Start]]-Tabelle1324568910111213141516171619[[#This Row],[CSOsSP Completed]]-Tabelle1324568910111213141516171619[[#This Row],[CSOsSP Removed]]</f>
        <v>0</v>
      </c>
    </row>
    <row r="376" spans="1:18" ht="13.5" customHeight="1">
      <c r="A376" s="383"/>
      <c r="B376" s="47"/>
      <c r="C376" s="203"/>
      <c r="D376" s="203"/>
      <c r="E376" s="203"/>
      <c r="F376" s="204"/>
      <c r="G376" s="203"/>
      <c r="H376" s="205"/>
      <c r="I376" s="206"/>
      <c r="J376" s="206"/>
      <c r="K376" s="203"/>
      <c r="L376" s="204"/>
      <c r="M376" s="204"/>
      <c r="N376" s="378">
        <f>IF(OR(Tabelle1324568910111213141516171619[[#This Row],[Pulled after Start]]="yes",Tabelle1324568910111213141516171619[[#This Row],[Jira Story Points]]="-"),0,MIN(Tabelle1324568910111213141516171619[[#This Row],[Jira Story Points]],Tabelle1324568910111213141516171619[[#This Row],[Carry-over]]))</f>
        <v>0</v>
      </c>
      <c r="O376" s="379">
        <f>SUM(IF(ISBLANK(Tabelle1324568910111213141516171619[[#This Row],[Carry-over]]),Tabelle1324568910111213141516171619[[#This Row],[Jira Story Points]],Tabelle1324568910111213141516171619[[#This Row],[Carry-over]]),-Tabelle1324568910111213141516171619[[#This Row],[COsSP Initially Planned]])</f>
        <v>0</v>
      </c>
      <c r="P37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76" s="379">
        <f>IF(Tabelle1324568910111213141516171619[[#This Row],[Status]]=$J$5,Tabelle1324568910111213141516171619[[#This Row],[COsSP Initially Planned]]+Tabelle1324568910111213141516171619[[#This Row],[COsSP Pulled after Start]]-Tabelle1324568910111213141516171619[[#This Row],[CSOsSP Completed]],0)</f>
        <v>0</v>
      </c>
      <c r="R376" s="379">
        <f>Tabelle1324568910111213141516171619[[#This Row],[COsSP Initially Planned]]+Tabelle1324568910111213141516171619[[#This Row],[COsSP Pulled after Start]]-Tabelle1324568910111213141516171619[[#This Row],[CSOsSP Completed]]-Tabelle1324568910111213141516171619[[#This Row],[CSOsSP Removed]]</f>
        <v>0</v>
      </c>
    </row>
    <row r="377" spans="1:18" ht="13.5" customHeight="1">
      <c r="A377" s="383"/>
      <c r="B377" s="47"/>
      <c r="C377" s="203"/>
      <c r="D377" s="203"/>
      <c r="E377" s="203"/>
      <c r="F377" s="204"/>
      <c r="G377" s="203"/>
      <c r="H377" s="205"/>
      <c r="I377" s="206"/>
      <c r="J377" s="206"/>
      <c r="K377" s="203"/>
      <c r="L377" s="204"/>
      <c r="M377" s="204"/>
      <c r="N377" s="378">
        <f>IF(OR(Tabelle1324568910111213141516171619[[#This Row],[Pulled after Start]]="yes",Tabelle1324568910111213141516171619[[#This Row],[Jira Story Points]]="-"),0,MIN(Tabelle1324568910111213141516171619[[#This Row],[Jira Story Points]],Tabelle1324568910111213141516171619[[#This Row],[Carry-over]]))</f>
        <v>0</v>
      </c>
      <c r="O377" s="379">
        <f>SUM(IF(ISBLANK(Tabelle1324568910111213141516171619[[#This Row],[Carry-over]]),Tabelle1324568910111213141516171619[[#This Row],[Jira Story Points]],Tabelle1324568910111213141516171619[[#This Row],[Carry-over]]),-Tabelle1324568910111213141516171619[[#This Row],[COsSP Initially Planned]])</f>
        <v>0</v>
      </c>
      <c r="P37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77" s="379">
        <f>IF(Tabelle1324568910111213141516171619[[#This Row],[Status]]=$J$5,Tabelle1324568910111213141516171619[[#This Row],[COsSP Initially Planned]]+Tabelle1324568910111213141516171619[[#This Row],[COsSP Pulled after Start]]-Tabelle1324568910111213141516171619[[#This Row],[CSOsSP Completed]],0)</f>
        <v>0</v>
      </c>
      <c r="R377" s="379">
        <f>Tabelle1324568910111213141516171619[[#This Row],[COsSP Initially Planned]]+Tabelle1324568910111213141516171619[[#This Row],[COsSP Pulled after Start]]-Tabelle1324568910111213141516171619[[#This Row],[CSOsSP Completed]]-Tabelle1324568910111213141516171619[[#This Row],[CSOsSP Removed]]</f>
        <v>0</v>
      </c>
    </row>
    <row r="378" spans="1:18" ht="13.5" customHeight="1">
      <c r="A378" s="383"/>
      <c r="B378" s="47"/>
      <c r="C378" s="203"/>
      <c r="D378" s="203"/>
      <c r="E378" s="203"/>
      <c r="F378" s="204"/>
      <c r="G378" s="203"/>
      <c r="H378" s="205"/>
      <c r="I378" s="206"/>
      <c r="J378" s="206"/>
      <c r="K378" s="203"/>
      <c r="L378" s="204"/>
      <c r="M378" s="204"/>
      <c r="N378" s="378">
        <f>IF(OR(Tabelle1324568910111213141516171619[[#This Row],[Pulled after Start]]="yes",Tabelle1324568910111213141516171619[[#This Row],[Jira Story Points]]="-"),0,MIN(Tabelle1324568910111213141516171619[[#This Row],[Jira Story Points]],Tabelle1324568910111213141516171619[[#This Row],[Carry-over]]))</f>
        <v>0</v>
      </c>
      <c r="O378" s="379">
        <f>SUM(IF(ISBLANK(Tabelle1324568910111213141516171619[[#This Row],[Carry-over]]),Tabelle1324568910111213141516171619[[#This Row],[Jira Story Points]],Tabelle1324568910111213141516171619[[#This Row],[Carry-over]]),-Tabelle1324568910111213141516171619[[#This Row],[COsSP Initially Planned]])</f>
        <v>0</v>
      </c>
      <c r="P37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78" s="379">
        <f>IF(Tabelle1324568910111213141516171619[[#This Row],[Status]]=$J$5,Tabelle1324568910111213141516171619[[#This Row],[COsSP Initially Planned]]+Tabelle1324568910111213141516171619[[#This Row],[COsSP Pulled after Start]]-Tabelle1324568910111213141516171619[[#This Row],[CSOsSP Completed]],0)</f>
        <v>0</v>
      </c>
      <c r="R378" s="379">
        <f>Tabelle1324568910111213141516171619[[#This Row],[COsSP Initially Planned]]+Tabelle1324568910111213141516171619[[#This Row],[COsSP Pulled after Start]]-Tabelle1324568910111213141516171619[[#This Row],[CSOsSP Completed]]-Tabelle1324568910111213141516171619[[#This Row],[CSOsSP Removed]]</f>
        <v>0</v>
      </c>
    </row>
    <row r="379" spans="1:18" ht="13.5" customHeight="1">
      <c r="A379" s="383"/>
      <c r="B379" s="47"/>
      <c r="C379" s="203"/>
      <c r="D379" s="203"/>
      <c r="E379" s="203"/>
      <c r="F379" s="204"/>
      <c r="G379" s="203"/>
      <c r="H379" s="205"/>
      <c r="I379" s="206"/>
      <c r="J379" s="206"/>
      <c r="K379" s="203"/>
      <c r="L379" s="204"/>
      <c r="M379" s="204"/>
      <c r="N379" s="378">
        <f>IF(OR(Tabelle1324568910111213141516171619[[#This Row],[Pulled after Start]]="yes",Tabelle1324568910111213141516171619[[#This Row],[Jira Story Points]]="-"),0,MIN(Tabelle1324568910111213141516171619[[#This Row],[Jira Story Points]],Tabelle1324568910111213141516171619[[#This Row],[Carry-over]]))</f>
        <v>0</v>
      </c>
      <c r="O379" s="379">
        <f>SUM(IF(ISBLANK(Tabelle1324568910111213141516171619[[#This Row],[Carry-over]]),Tabelle1324568910111213141516171619[[#This Row],[Jira Story Points]],Tabelle1324568910111213141516171619[[#This Row],[Carry-over]]),-Tabelle1324568910111213141516171619[[#This Row],[COsSP Initially Planned]])</f>
        <v>0</v>
      </c>
      <c r="P37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79" s="379">
        <f>IF(Tabelle1324568910111213141516171619[[#This Row],[Status]]=$J$5,Tabelle1324568910111213141516171619[[#This Row],[COsSP Initially Planned]]+Tabelle1324568910111213141516171619[[#This Row],[COsSP Pulled after Start]]-Tabelle1324568910111213141516171619[[#This Row],[CSOsSP Completed]],0)</f>
        <v>0</v>
      </c>
      <c r="R379" s="379">
        <f>Tabelle1324568910111213141516171619[[#This Row],[COsSP Initially Planned]]+Tabelle1324568910111213141516171619[[#This Row],[COsSP Pulled after Start]]-Tabelle1324568910111213141516171619[[#This Row],[CSOsSP Completed]]-Tabelle1324568910111213141516171619[[#This Row],[CSOsSP Removed]]</f>
        <v>0</v>
      </c>
    </row>
    <row r="380" spans="1:18" ht="13.5" customHeight="1">
      <c r="A380" s="383"/>
      <c r="B380" s="47"/>
      <c r="C380" s="203"/>
      <c r="D380" s="203"/>
      <c r="E380" s="203"/>
      <c r="F380" s="204"/>
      <c r="G380" s="203"/>
      <c r="H380" s="205"/>
      <c r="I380" s="206"/>
      <c r="J380" s="206"/>
      <c r="K380" s="203"/>
      <c r="L380" s="204"/>
      <c r="M380" s="204"/>
      <c r="N380" s="378">
        <f>IF(OR(Tabelle1324568910111213141516171619[[#This Row],[Pulled after Start]]="yes",Tabelle1324568910111213141516171619[[#This Row],[Jira Story Points]]="-"),0,MIN(Tabelle1324568910111213141516171619[[#This Row],[Jira Story Points]],Tabelle1324568910111213141516171619[[#This Row],[Carry-over]]))</f>
        <v>0</v>
      </c>
      <c r="O380" s="379">
        <f>SUM(IF(ISBLANK(Tabelle1324568910111213141516171619[[#This Row],[Carry-over]]),Tabelle1324568910111213141516171619[[#This Row],[Jira Story Points]],Tabelle1324568910111213141516171619[[#This Row],[Carry-over]]),-Tabelle1324568910111213141516171619[[#This Row],[COsSP Initially Planned]])</f>
        <v>0</v>
      </c>
      <c r="P38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80" s="379">
        <f>IF(Tabelle1324568910111213141516171619[[#This Row],[Status]]=$J$5,Tabelle1324568910111213141516171619[[#This Row],[COsSP Initially Planned]]+Tabelle1324568910111213141516171619[[#This Row],[COsSP Pulled after Start]]-Tabelle1324568910111213141516171619[[#This Row],[CSOsSP Completed]],0)</f>
        <v>0</v>
      </c>
      <c r="R380" s="379">
        <f>Tabelle1324568910111213141516171619[[#This Row],[COsSP Initially Planned]]+Tabelle1324568910111213141516171619[[#This Row],[COsSP Pulled after Start]]-Tabelle1324568910111213141516171619[[#This Row],[CSOsSP Completed]]-Tabelle1324568910111213141516171619[[#This Row],[CSOsSP Removed]]</f>
        <v>0</v>
      </c>
    </row>
    <row r="381" spans="1:18" ht="13.5" customHeight="1">
      <c r="A381" s="383"/>
      <c r="B381" s="47"/>
      <c r="C381" s="203"/>
      <c r="D381" s="203"/>
      <c r="E381" s="203"/>
      <c r="F381" s="204"/>
      <c r="G381" s="203"/>
      <c r="H381" s="205"/>
      <c r="I381" s="206"/>
      <c r="J381" s="206"/>
      <c r="K381" s="203"/>
      <c r="L381" s="204"/>
      <c r="M381" s="204"/>
      <c r="N381" s="378">
        <f>IF(OR(Tabelle1324568910111213141516171619[[#This Row],[Pulled after Start]]="yes",Tabelle1324568910111213141516171619[[#This Row],[Jira Story Points]]="-"),0,MIN(Tabelle1324568910111213141516171619[[#This Row],[Jira Story Points]],Tabelle1324568910111213141516171619[[#This Row],[Carry-over]]))</f>
        <v>0</v>
      </c>
      <c r="O381" s="379">
        <f>SUM(IF(ISBLANK(Tabelle1324568910111213141516171619[[#This Row],[Carry-over]]),Tabelle1324568910111213141516171619[[#This Row],[Jira Story Points]],Tabelle1324568910111213141516171619[[#This Row],[Carry-over]]),-Tabelle1324568910111213141516171619[[#This Row],[COsSP Initially Planned]])</f>
        <v>0</v>
      </c>
      <c r="P38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81" s="379">
        <f>IF(Tabelle1324568910111213141516171619[[#This Row],[Status]]=$J$5,Tabelle1324568910111213141516171619[[#This Row],[COsSP Initially Planned]]+Tabelle1324568910111213141516171619[[#This Row],[COsSP Pulled after Start]]-Tabelle1324568910111213141516171619[[#This Row],[CSOsSP Completed]],0)</f>
        <v>0</v>
      </c>
      <c r="R381" s="379">
        <f>Tabelle1324568910111213141516171619[[#This Row],[COsSP Initially Planned]]+Tabelle1324568910111213141516171619[[#This Row],[COsSP Pulled after Start]]-Tabelle1324568910111213141516171619[[#This Row],[CSOsSP Completed]]-Tabelle1324568910111213141516171619[[#This Row],[CSOsSP Removed]]</f>
        <v>0</v>
      </c>
    </row>
    <row r="382" spans="1:18" ht="13.5" customHeight="1">
      <c r="A382" s="383"/>
      <c r="B382" s="47"/>
      <c r="C382" s="203"/>
      <c r="D382" s="203"/>
      <c r="E382" s="203"/>
      <c r="F382" s="204"/>
      <c r="G382" s="203"/>
      <c r="H382" s="205"/>
      <c r="I382" s="206"/>
      <c r="J382" s="206"/>
      <c r="K382" s="203"/>
      <c r="L382" s="204"/>
      <c r="M382" s="204"/>
      <c r="N382" s="378">
        <f>IF(OR(Tabelle1324568910111213141516171619[[#This Row],[Pulled after Start]]="yes",Tabelle1324568910111213141516171619[[#This Row],[Jira Story Points]]="-"),0,MIN(Tabelle1324568910111213141516171619[[#This Row],[Jira Story Points]],Tabelle1324568910111213141516171619[[#This Row],[Carry-over]]))</f>
        <v>0</v>
      </c>
      <c r="O382" s="379">
        <f>SUM(IF(ISBLANK(Tabelle1324568910111213141516171619[[#This Row],[Carry-over]]),Tabelle1324568910111213141516171619[[#This Row],[Jira Story Points]],Tabelle1324568910111213141516171619[[#This Row],[Carry-over]]),-Tabelle1324568910111213141516171619[[#This Row],[COsSP Initially Planned]])</f>
        <v>0</v>
      </c>
      <c r="P38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82" s="379">
        <f>IF(Tabelle1324568910111213141516171619[[#This Row],[Status]]=$J$5,Tabelle1324568910111213141516171619[[#This Row],[COsSP Initially Planned]]+Tabelle1324568910111213141516171619[[#This Row],[COsSP Pulled after Start]]-Tabelle1324568910111213141516171619[[#This Row],[CSOsSP Completed]],0)</f>
        <v>0</v>
      </c>
      <c r="R382" s="379">
        <f>Tabelle1324568910111213141516171619[[#This Row],[COsSP Initially Planned]]+Tabelle1324568910111213141516171619[[#This Row],[COsSP Pulled after Start]]-Tabelle1324568910111213141516171619[[#This Row],[CSOsSP Completed]]-Tabelle1324568910111213141516171619[[#This Row],[CSOsSP Removed]]</f>
        <v>0</v>
      </c>
    </row>
    <row r="383" spans="1:18" ht="13.5" customHeight="1">
      <c r="A383" s="383"/>
      <c r="B383" s="47"/>
      <c r="C383" s="203"/>
      <c r="D383" s="203"/>
      <c r="E383" s="203"/>
      <c r="F383" s="204"/>
      <c r="G383" s="203"/>
      <c r="H383" s="205"/>
      <c r="I383" s="206"/>
      <c r="J383" s="206"/>
      <c r="K383" s="203"/>
      <c r="L383" s="204"/>
      <c r="M383" s="204"/>
      <c r="N383" s="378">
        <f>IF(OR(Tabelle1324568910111213141516171619[[#This Row],[Pulled after Start]]="yes",Tabelle1324568910111213141516171619[[#This Row],[Jira Story Points]]="-"),0,MIN(Tabelle1324568910111213141516171619[[#This Row],[Jira Story Points]],Tabelle1324568910111213141516171619[[#This Row],[Carry-over]]))</f>
        <v>0</v>
      </c>
      <c r="O383" s="379">
        <f>SUM(IF(ISBLANK(Tabelle1324568910111213141516171619[[#This Row],[Carry-over]]),Tabelle1324568910111213141516171619[[#This Row],[Jira Story Points]],Tabelle1324568910111213141516171619[[#This Row],[Carry-over]]),-Tabelle1324568910111213141516171619[[#This Row],[COsSP Initially Planned]])</f>
        <v>0</v>
      </c>
      <c r="P38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83" s="379">
        <f>IF(Tabelle1324568910111213141516171619[[#This Row],[Status]]=$J$5,Tabelle1324568910111213141516171619[[#This Row],[COsSP Initially Planned]]+Tabelle1324568910111213141516171619[[#This Row],[COsSP Pulled after Start]]-Tabelle1324568910111213141516171619[[#This Row],[CSOsSP Completed]],0)</f>
        <v>0</v>
      </c>
      <c r="R383" s="379">
        <f>Tabelle1324568910111213141516171619[[#This Row],[COsSP Initially Planned]]+Tabelle1324568910111213141516171619[[#This Row],[COsSP Pulled after Start]]-Tabelle1324568910111213141516171619[[#This Row],[CSOsSP Completed]]-Tabelle1324568910111213141516171619[[#This Row],[CSOsSP Removed]]</f>
        <v>0</v>
      </c>
    </row>
    <row r="384" spans="1:18" ht="13.5" customHeight="1">
      <c r="A384" s="383"/>
      <c r="B384" s="47"/>
      <c r="C384" s="203"/>
      <c r="D384" s="203"/>
      <c r="E384" s="203"/>
      <c r="F384" s="204"/>
      <c r="G384" s="203"/>
      <c r="H384" s="205"/>
      <c r="I384" s="206"/>
      <c r="J384" s="206"/>
      <c r="K384" s="203"/>
      <c r="L384" s="204"/>
      <c r="M384" s="204"/>
      <c r="N384" s="378">
        <f>IF(OR(Tabelle1324568910111213141516171619[[#This Row],[Pulled after Start]]="yes",Tabelle1324568910111213141516171619[[#This Row],[Jira Story Points]]="-"),0,MIN(Tabelle1324568910111213141516171619[[#This Row],[Jira Story Points]],Tabelle1324568910111213141516171619[[#This Row],[Carry-over]]))</f>
        <v>0</v>
      </c>
      <c r="O384" s="379">
        <f>SUM(IF(ISBLANK(Tabelle1324568910111213141516171619[[#This Row],[Carry-over]]),Tabelle1324568910111213141516171619[[#This Row],[Jira Story Points]],Tabelle1324568910111213141516171619[[#This Row],[Carry-over]]),-Tabelle1324568910111213141516171619[[#This Row],[COsSP Initially Planned]])</f>
        <v>0</v>
      </c>
      <c r="P38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84" s="379">
        <f>IF(Tabelle1324568910111213141516171619[[#This Row],[Status]]=$J$5,Tabelle1324568910111213141516171619[[#This Row],[COsSP Initially Planned]]+Tabelle1324568910111213141516171619[[#This Row],[COsSP Pulled after Start]]-Tabelle1324568910111213141516171619[[#This Row],[CSOsSP Completed]],0)</f>
        <v>0</v>
      </c>
      <c r="R384" s="379">
        <f>Tabelle1324568910111213141516171619[[#This Row],[COsSP Initially Planned]]+Tabelle1324568910111213141516171619[[#This Row],[COsSP Pulled after Start]]-Tabelle1324568910111213141516171619[[#This Row],[CSOsSP Completed]]-Tabelle1324568910111213141516171619[[#This Row],[CSOsSP Removed]]</f>
        <v>0</v>
      </c>
    </row>
    <row r="385" spans="1:18" ht="13.5" customHeight="1">
      <c r="A385" s="383"/>
      <c r="B385" s="47"/>
      <c r="C385" s="203"/>
      <c r="D385" s="203"/>
      <c r="E385" s="203"/>
      <c r="F385" s="204"/>
      <c r="G385" s="203"/>
      <c r="H385" s="205"/>
      <c r="I385" s="206"/>
      <c r="J385" s="206"/>
      <c r="K385" s="203"/>
      <c r="L385" s="204"/>
      <c r="M385" s="204"/>
      <c r="N385" s="378">
        <f>IF(OR(Tabelle1324568910111213141516171619[[#This Row],[Pulled after Start]]="yes",Tabelle1324568910111213141516171619[[#This Row],[Jira Story Points]]="-"),0,MIN(Tabelle1324568910111213141516171619[[#This Row],[Jira Story Points]],Tabelle1324568910111213141516171619[[#This Row],[Carry-over]]))</f>
        <v>0</v>
      </c>
      <c r="O385" s="379">
        <f>SUM(IF(ISBLANK(Tabelle1324568910111213141516171619[[#This Row],[Carry-over]]),Tabelle1324568910111213141516171619[[#This Row],[Jira Story Points]],Tabelle1324568910111213141516171619[[#This Row],[Carry-over]]),-Tabelle1324568910111213141516171619[[#This Row],[COsSP Initially Planned]])</f>
        <v>0</v>
      </c>
      <c r="P38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85" s="379">
        <f>IF(Tabelle1324568910111213141516171619[[#This Row],[Status]]=$J$5,Tabelle1324568910111213141516171619[[#This Row],[COsSP Initially Planned]]+Tabelle1324568910111213141516171619[[#This Row],[COsSP Pulled after Start]]-Tabelle1324568910111213141516171619[[#This Row],[CSOsSP Completed]],0)</f>
        <v>0</v>
      </c>
      <c r="R385" s="379">
        <f>Tabelle1324568910111213141516171619[[#This Row],[COsSP Initially Planned]]+Tabelle1324568910111213141516171619[[#This Row],[COsSP Pulled after Start]]-Tabelle1324568910111213141516171619[[#This Row],[CSOsSP Completed]]-Tabelle1324568910111213141516171619[[#This Row],[CSOsSP Removed]]</f>
        <v>0</v>
      </c>
    </row>
    <row r="386" spans="1:18" ht="13.5" customHeight="1">
      <c r="A386" s="383"/>
      <c r="B386" s="47"/>
      <c r="C386" s="203"/>
      <c r="D386" s="203"/>
      <c r="E386" s="203"/>
      <c r="F386" s="204"/>
      <c r="G386" s="203"/>
      <c r="H386" s="205"/>
      <c r="I386" s="206"/>
      <c r="J386" s="206"/>
      <c r="K386" s="203"/>
      <c r="L386" s="204"/>
      <c r="M386" s="204"/>
      <c r="N386" s="378">
        <f>IF(OR(Tabelle1324568910111213141516171619[[#This Row],[Pulled after Start]]="yes",Tabelle1324568910111213141516171619[[#This Row],[Jira Story Points]]="-"),0,MIN(Tabelle1324568910111213141516171619[[#This Row],[Jira Story Points]],Tabelle1324568910111213141516171619[[#This Row],[Carry-over]]))</f>
        <v>0</v>
      </c>
      <c r="O386" s="379">
        <f>SUM(IF(ISBLANK(Tabelle1324568910111213141516171619[[#This Row],[Carry-over]]),Tabelle1324568910111213141516171619[[#This Row],[Jira Story Points]],Tabelle1324568910111213141516171619[[#This Row],[Carry-over]]),-Tabelle1324568910111213141516171619[[#This Row],[COsSP Initially Planned]])</f>
        <v>0</v>
      </c>
      <c r="P38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86" s="379">
        <f>IF(Tabelle1324568910111213141516171619[[#This Row],[Status]]=$J$5,Tabelle1324568910111213141516171619[[#This Row],[COsSP Initially Planned]]+Tabelle1324568910111213141516171619[[#This Row],[COsSP Pulled after Start]]-Tabelle1324568910111213141516171619[[#This Row],[CSOsSP Completed]],0)</f>
        <v>0</v>
      </c>
      <c r="R386" s="379">
        <f>Tabelle1324568910111213141516171619[[#This Row],[COsSP Initially Planned]]+Tabelle1324568910111213141516171619[[#This Row],[COsSP Pulled after Start]]-Tabelle1324568910111213141516171619[[#This Row],[CSOsSP Completed]]-Tabelle1324568910111213141516171619[[#This Row],[CSOsSP Removed]]</f>
        <v>0</v>
      </c>
    </row>
    <row r="387" spans="1:18" ht="13.5" customHeight="1">
      <c r="A387" s="383"/>
      <c r="B387" s="47"/>
      <c r="C387" s="203"/>
      <c r="D387" s="203"/>
      <c r="E387" s="203"/>
      <c r="F387" s="204"/>
      <c r="G387" s="203"/>
      <c r="H387" s="205"/>
      <c r="I387" s="206"/>
      <c r="J387" s="206"/>
      <c r="K387" s="203"/>
      <c r="L387" s="204"/>
      <c r="M387" s="204"/>
      <c r="N387" s="378">
        <f>IF(OR(Tabelle1324568910111213141516171619[[#This Row],[Pulled after Start]]="yes",Tabelle1324568910111213141516171619[[#This Row],[Jira Story Points]]="-"),0,MIN(Tabelle1324568910111213141516171619[[#This Row],[Jira Story Points]],Tabelle1324568910111213141516171619[[#This Row],[Carry-over]]))</f>
        <v>0</v>
      </c>
      <c r="O387" s="379">
        <f>SUM(IF(ISBLANK(Tabelle1324568910111213141516171619[[#This Row],[Carry-over]]),Tabelle1324568910111213141516171619[[#This Row],[Jira Story Points]],Tabelle1324568910111213141516171619[[#This Row],[Carry-over]]),-Tabelle1324568910111213141516171619[[#This Row],[COsSP Initially Planned]])</f>
        <v>0</v>
      </c>
      <c r="P38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87" s="379">
        <f>IF(Tabelle1324568910111213141516171619[[#This Row],[Status]]=$J$5,Tabelle1324568910111213141516171619[[#This Row],[COsSP Initially Planned]]+Tabelle1324568910111213141516171619[[#This Row],[COsSP Pulled after Start]]-Tabelle1324568910111213141516171619[[#This Row],[CSOsSP Completed]],0)</f>
        <v>0</v>
      </c>
      <c r="R387" s="379">
        <f>Tabelle1324568910111213141516171619[[#This Row],[COsSP Initially Planned]]+Tabelle1324568910111213141516171619[[#This Row],[COsSP Pulled after Start]]-Tabelle1324568910111213141516171619[[#This Row],[CSOsSP Completed]]-Tabelle1324568910111213141516171619[[#This Row],[CSOsSP Removed]]</f>
        <v>0</v>
      </c>
    </row>
    <row r="388" spans="1:18" ht="13.5" customHeight="1">
      <c r="A388" s="383"/>
      <c r="B388" s="47"/>
      <c r="C388" s="203"/>
      <c r="D388" s="203"/>
      <c r="E388" s="203"/>
      <c r="F388" s="204"/>
      <c r="G388" s="203"/>
      <c r="H388" s="205"/>
      <c r="I388" s="206"/>
      <c r="J388" s="206"/>
      <c r="K388" s="203"/>
      <c r="L388" s="204"/>
      <c r="M388" s="204"/>
      <c r="N388" s="378">
        <f>IF(OR(Tabelle1324568910111213141516171619[[#This Row],[Pulled after Start]]="yes",Tabelle1324568910111213141516171619[[#This Row],[Jira Story Points]]="-"),0,MIN(Tabelle1324568910111213141516171619[[#This Row],[Jira Story Points]],Tabelle1324568910111213141516171619[[#This Row],[Carry-over]]))</f>
        <v>0</v>
      </c>
      <c r="O388" s="379">
        <f>SUM(IF(ISBLANK(Tabelle1324568910111213141516171619[[#This Row],[Carry-over]]),Tabelle1324568910111213141516171619[[#This Row],[Jira Story Points]],Tabelle1324568910111213141516171619[[#This Row],[Carry-over]]),-Tabelle1324568910111213141516171619[[#This Row],[COsSP Initially Planned]])</f>
        <v>0</v>
      </c>
      <c r="P38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88" s="379">
        <f>IF(Tabelle1324568910111213141516171619[[#This Row],[Status]]=$J$5,Tabelle1324568910111213141516171619[[#This Row],[COsSP Initially Planned]]+Tabelle1324568910111213141516171619[[#This Row],[COsSP Pulled after Start]]-Tabelle1324568910111213141516171619[[#This Row],[CSOsSP Completed]],0)</f>
        <v>0</v>
      </c>
      <c r="R388" s="379">
        <f>Tabelle1324568910111213141516171619[[#This Row],[COsSP Initially Planned]]+Tabelle1324568910111213141516171619[[#This Row],[COsSP Pulled after Start]]-Tabelle1324568910111213141516171619[[#This Row],[CSOsSP Completed]]-Tabelle1324568910111213141516171619[[#This Row],[CSOsSP Removed]]</f>
        <v>0</v>
      </c>
    </row>
    <row r="389" spans="1:18" ht="13.5" customHeight="1">
      <c r="A389" s="383"/>
      <c r="B389" s="47"/>
      <c r="C389" s="203"/>
      <c r="D389" s="203"/>
      <c r="E389" s="203"/>
      <c r="F389" s="204"/>
      <c r="G389" s="203"/>
      <c r="H389" s="205"/>
      <c r="I389" s="206"/>
      <c r="J389" s="206"/>
      <c r="K389" s="203"/>
      <c r="L389" s="204"/>
      <c r="M389" s="204"/>
      <c r="N389" s="378">
        <f>IF(OR(Tabelle1324568910111213141516171619[[#This Row],[Pulled after Start]]="yes",Tabelle1324568910111213141516171619[[#This Row],[Jira Story Points]]="-"),0,MIN(Tabelle1324568910111213141516171619[[#This Row],[Jira Story Points]],Tabelle1324568910111213141516171619[[#This Row],[Carry-over]]))</f>
        <v>0</v>
      </c>
      <c r="O389" s="379">
        <f>SUM(IF(ISBLANK(Tabelle1324568910111213141516171619[[#This Row],[Carry-over]]),Tabelle1324568910111213141516171619[[#This Row],[Jira Story Points]],Tabelle1324568910111213141516171619[[#This Row],[Carry-over]]),-Tabelle1324568910111213141516171619[[#This Row],[COsSP Initially Planned]])</f>
        <v>0</v>
      </c>
      <c r="P389"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89" s="379">
        <f>IF(Tabelle1324568910111213141516171619[[#This Row],[Status]]=$J$5,Tabelle1324568910111213141516171619[[#This Row],[COsSP Initially Planned]]+Tabelle1324568910111213141516171619[[#This Row],[COsSP Pulled after Start]]-Tabelle1324568910111213141516171619[[#This Row],[CSOsSP Completed]],0)</f>
        <v>0</v>
      </c>
      <c r="R389" s="379">
        <f>Tabelle1324568910111213141516171619[[#This Row],[COsSP Initially Planned]]+Tabelle1324568910111213141516171619[[#This Row],[COsSP Pulled after Start]]-Tabelle1324568910111213141516171619[[#This Row],[CSOsSP Completed]]-Tabelle1324568910111213141516171619[[#This Row],[CSOsSP Removed]]</f>
        <v>0</v>
      </c>
    </row>
    <row r="390" spans="1:18" ht="13.5" customHeight="1">
      <c r="A390" s="383"/>
      <c r="B390" s="47"/>
      <c r="C390" s="203"/>
      <c r="D390" s="203"/>
      <c r="E390" s="203"/>
      <c r="F390" s="204"/>
      <c r="G390" s="203"/>
      <c r="H390" s="205"/>
      <c r="I390" s="206"/>
      <c r="J390" s="206"/>
      <c r="K390" s="203"/>
      <c r="L390" s="204"/>
      <c r="M390" s="204"/>
      <c r="N390" s="378">
        <f>IF(OR(Tabelle1324568910111213141516171619[[#This Row],[Pulled after Start]]="yes",Tabelle1324568910111213141516171619[[#This Row],[Jira Story Points]]="-"),0,MIN(Tabelle1324568910111213141516171619[[#This Row],[Jira Story Points]],Tabelle1324568910111213141516171619[[#This Row],[Carry-over]]))</f>
        <v>0</v>
      </c>
      <c r="O390" s="379">
        <f>SUM(IF(ISBLANK(Tabelle1324568910111213141516171619[[#This Row],[Carry-over]]),Tabelle1324568910111213141516171619[[#This Row],[Jira Story Points]],Tabelle1324568910111213141516171619[[#This Row],[Carry-over]]),-Tabelle1324568910111213141516171619[[#This Row],[COsSP Initially Planned]])</f>
        <v>0</v>
      </c>
      <c r="P390"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90" s="379">
        <f>IF(Tabelle1324568910111213141516171619[[#This Row],[Status]]=$J$5,Tabelle1324568910111213141516171619[[#This Row],[COsSP Initially Planned]]+Tabelle1324568910111213141516171619[[#This Row],[COsSP Pulled after Start]]-Tabelle1324568910111213141516171619[[#This Row],[CSOsSP Completed]],0)</f>
        <v>0</v>
      </c>
      <c r="R390" s="379">
        <f>Tabelle1324568910111213141516171619[[#This Row],[COsSP Initially Planned]]+Tabelle1324568910111213141516171619[[#This Row],[COsSP Pulled after Start]]-Tabelle1324568910111213141516171619[[#This Row],[CSOsSP Completed]]-Tabelle1324568910111213141516171619[[#This Row],[CSOsSP Removed]]</f>
        <v>0</v>
      </c>
    </row>
    <row r="391" spans="1:18" ht="13.5" customHeight="1">
      <c r="A391" s="383"/>
      <c r="B391" s="47"/>
      <c r="C391" s="203"/>
      <c r="D391" s="203"/>
      <c r="E391" s="203"/>
      <c r="F391" s="204"/>
      <c r="G391" s="203"/>
      <c r="H391" s="205"/>
      <c r="I391" s="206"/>
      <c r="J391" s="206"/>
      <c r="K391" s="203"/>
      <c r="L391" s="204"/>
      <c r="M391" s="204"/>
      <c r="N391" s="378">
        <f>IF(OR(Tabelle1324568910111213141516171619[[#This Row],[Pulled after Start]]="yes",Tabelle1324568910111213141516171619[[#This Row],[Jira Story Points]]="-"),0,MIN(Tabelle1324568910111213141516171619[[#This Row],[Jira Story Points]],Tabelle1324568910111213141516171619[[#This Row],[Carry-over]]))</f>
        <v>0</v>
      </c>
      <c r="O391" s="379">
        <f>SUM(IF(ISBLANK(Tabelle1324568910111213141516171619[[#This Row],[Carry-over]]),Tabelle1324568910111213141516171619[[#This Row],[Jira Story Points]],Tabelle1324568910111213141516171619[[#This Row],[Carry-over]]),-Tabelle1324568910111213141516171619[[#This Row],[COsSP Initially Planned]])</f>
        <v>0</v>
      </c>
      <c r="P391"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91" s="379">
        <f>IF(Tabelle1324568910111213141516171619[[#This Row],[Status]]=$J$5,Tabelle1324568910111213141516171619[[#This Row],[COsSP Initially Planned]]+Tabelle1324568910111213141516171619[[#This Row],[COsSP Pulled after Start]]-Tabelle1324568910111213141516171619[[#This Row],[CSOsSP Completed]],0)</f>
        <v>0</v>
      </c>
      <c r="R391" s="379">
        <f>Tabelle1324568910111213141516171619[[#This Row],[COsSP Initially Planned]]+Tabelle1324568910111213141516171619[[#This Row],[COsSP Pulled after Start]]-Tabelle1324568910111213141516171619[[#This Row],[CSOsSP Completed]]-Tabelle1324568910111213141516171619[[#This Row],[CSOsSP Removed]]</f>
        <v>0</v>
      </c>
    </row>
    <row r="392" spans="1:18" ht="13.5" customHeight="1">
      <c r="A392" s="383"/>
      <c r="B392" s="47"/>
      <c r="C392" s="203"/>
      <c r="D392" s="203"/>
      <c r="E392" s="203"/>
      <c r="F392" s="204"/>
      <c r="G392" s="203"/>
      <c r="H392" s="205"/>
      <c r="I392" s="206"/>
      <c r="J392" s="206"/>
      <c r="K392" s="203"/>
      <c r="L392" s="204"/>
      <c r="M392" s="204"/>
      <c r="N392" s="378">
        <f>IF(OR(Tabelle1324568910111213141516171619[[#This Row],[Pulled after Start]]="yes",Tabelle1324568910111213141516171619[[#This Row],[Jira Story Points]]="-"),0,MIN(Tabelle1324568910111213141516171619[[#This Row],[Jira Story Points]],Tabelle1324568910111213141516171619[[#This Row],[Carry-over]]))</f>
        <v>0</v>
      </c>
      <c r="O392" s="379">
        <f>SUM(IF(ISBLANK(Tabelle1324568910111213141516171619[[#This Row],[Carry-over]]),Tabelle1324568910111213141516171619[[#This Row],[Jira Story Points]],Tabelle1324568910111213141516171619[[#This Row],[Carry-over]]),-Tabelle1324568910111213141516171619[[#This Row],[COsSP Initially Planned]])</f>
        <v>0</v>
      </c>
      <c r="P392"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92" s="379">
        <f>IF(Tabelle1324568910111213141516171619[[#This Row],[Status]]=$J$5,Tabelle1324568910111213141516171619[[#This Row],[COsSP Initially Planned]]+Tabelle1324568910111213141516171619[[#This Row],[COsSP Pulled after Start]]-Tabelle1324568910111213141516171619[[#This Row],[CSOsSP Completed]],0)</f>
        <v>0</v>
      </c>
      <c r="R392" s="379">
        <f>Tabelle1324568910111213141516171619[[#This Row],[COsSP Initially Planned]]+Tabelle1324568910111213141516171619[[#This Row],[COsSP Pulled after Start]]-Tabelle1324568910111213141516171619[[#This Row],[CSOsSP Completed]]-Tabelle1324568910111213141516171619[[#This Row],[CSOsSP Removed]]</f>
        <v>0</v>
      </c>
    </row>
    <row r="393" spans="1:18" ht="13.5" customHeight="1">
      <c r="A393" s="383"/>
      <c r="B393" s="47"/>
      <c r="C393" s="203"/>
      <c r="D393" s="203"/>
      <c r="E393" s="203"/>
      <c r="F393" s="204"/>
      <c r="G393" s="203"/>
      <c r="H393" s="205"/>
      <c r="I393" s="206"/>
      <c r="J393" s="206"/>
      <c r="K393" s="203"/>
      <c r="L393" s="204"/>
      <c r="M393" s="204"/>
      <c r="N393" s="378">
        <f>IF(OR(Tabelle1324568910111213141516171619[[#This Row],[Pulled after Start]]="yes",Tabelle1324568910111213141516171619[[#This Row],[Jira Story Points]]="-"),0,MIN(Tabelle1324568910111213141516171619[[#This Row],[Jira Story Points]],Tabelle1324568910111213141516171619[[#This Row],[Carry-over]]))</f>
        <v>0</v>
      </c>
      <c r="O393" s="379">
        <f>SUM(IF(ISBLANK(Tabelle1324568910111213141516171619[[#This Row],[Carry-over]]),Tabelle1324568910111213141516171619[[#This Row],[Jira Story Points]],Tabelle1324568910111213141516171619[[#This Row],[Carry-over]]),-Tabelle1324568910111213141516171619[[#This Row],[COsSP Initially Planned]])</f>
        <v>0</v>
      </c>
      <c r="P393"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93" s="379">
        <f>IF(Tabelle1324568910111213141516171619[[#This Row],[Status]]=$J$5,Tabelle1324568910111213141516171619[[#This Row],[COsSP Initially Planned]]+Tabelle1324568910111213141516171619[[#This Row],[COsSP Pulled after Start]]-Tabelle1324568910111213141516171619[[#This Row],[CSOsSP Completed]],0)</f>
        <v>0</v>
      </c>
      <c r="R393" s="379">
        <f>Tabelle1324568910111213141516171619[[#This Row],[COsSP Initially Planned]]+Tabelle1324568910111213141516171619[[#This Row],[COsSP Pulled after Start]]-Tabelle1324568910111213141516171619[[#This Row],[CSOsSP Completed]]-Tabelle1324568910111213141516171619[[#This Row],[CSOsSP Removed]]</f>
        <v>0</v>
      </c>
    </row>
    <row r="394" spans="1:18" ht="13.5" customHeight="1">
      <c r="A394" s="383"/>
      <c r="B394" s="47"/>
      <c r="C394" s="203"/>
      <c r="D394" s="203"/>
      <c r="E394" s="203"/>
      <c r="F394" s="204"/>
      <c r="G394" s="203"/>
      <c r="H394" s="205"/>
      <c r="I394" s="206"/>
      <c r="J394" s="206"/>
      <c r="K394" s="203"/>
      <c r="L394" s="204"/>
      <c r="M394" s="204"/>
      <c r="N394" s="378">
        <f>IF(OR(Tabelle1324568910111213141516171619[[#This Row],[Pulled after Start]]="yes",Tabelle1324568910111213141516171619[[#This Row],[Jira Story Points]]="-"),0,MIN(Tabelle1324568910111213141516171619[[#This Row],[Jira Story Points]],Tabelle1324568910111213141516171619[[#This Row],[Carry-over]]))</f>
        <v>0</v>
      </c>
      <c r="O394" s="379">
        <f>SUM(IF(ISBLANK(Tabelle1324568910111213141516171619[[#This Row],[Carry-over]]),Tabelle1324568910111213141516171619[[#This Row],[Jira Story Points]],Tabelle1324568910111213141516171619[[#This Row],[Carry-over]]),-Tabelle1324568910111213141516171619[[#This Row],[COsSP Initially Planned]])</f>
        <v>0</v>
      </c>
      <c r="P394"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94" s="379">
        <f>IF(Tabelle1324568910111213141516171619[[#This Row],[Status]]=$J$5,Tabelle1324568910111213141516171619[[#This Row],[COsSP Initially Planned]]+Tabelle1324568910111213141516171619[[#This Row],[COsSP Pulled after Start]]-Tabelle1324568910111213141516171619[[#This Row],[CSOsSP Completed]],0)</f>
        <v>0</v>
      </c>
      <c r="R394" s="379">
        <f>Tabelle1324568910111213141516171619[[#This Row],[COsSP Initially Planned]]+Tabelle1324568910111213141516171619[[#This Row],[COsSP Pulled after Start]]-Tabelle1324568910111213141516171619[[#This Row],[CSOsSP Completed]]-Tabelle1324568910111213141516171619[[#This Row],[CSOsSP Removed]]</f>
        <v>0</v>
      </c>
    </row>
    <row r="395" spans="1:18" ht="13.5" customHeight="1">
      <c r="A395" s="383"/>
      <c r="B395" s="47"/>
      <c r="C395" s="203"/>
      <c r="D395" s="203"/>
      <c r="E395" s="203"/>
      <c r="F395" s="204"/>
      <c r="G395" s="203"/>
      <c r="H395" s="205"/>
      <c r="I395" s="206"/>
      <c r="J395" s="206"/>
      <c r="K395" s="203"/>
      <c r="L395" s="204"/>
      <c r="M395" s="204"/>
      <c r="N395" s="378">
        <f>IF(OR(Tabelle1324568910111213141516171619[[#This Row],[Pulled after Start]]="yes",Tabelle1324568910111213141516171619[[#This Row],[Jira Story Points]]="-"),0,MIN(Tabelle1324568910111213141516171619[[#This Row],[Jira Story Points]],Tabelle1324568910111213141516171619[[#This Row],[Carry-over]]))</f>
        <v>0</v>
      </c>
      <c r="O395" s="379">
        <f>SUM(IF(ISBLANK(Tabelle1324568910111213141516171619[[#This Row],[Carry-over]]),Tabelle1324568910111213141516171619[[#This Row],[Jira Story Points]],Tabelle1324568910111213141516171619[[#This Row],[Carry-over]]),-Tabelle1324568910111213141516171619[[#This Row],[COsSP Initially Planned]])</f>
        <v>0</v>
      </c>
      <c r="P395"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95" s="379">
        <f>IF(Tabelle1324568910111213141516171619[[#This Row],[Status]]=$J$5,Tabelle1324568910111213141516171619[[#This Row],[COsSP Initially Planned]]+Tabelle1324568910111213141516171619[[#This Row],[COsSP Pulled after Start]]-Tabelle1324568910111213141516171619[[#This Row],[CSOsSP Completed]],0)</f>
        <v>0</v>
      </c>
      <c r="R395" s="379">
        <f>Tabelle1324568910111213141516171619[[#This Row],[COsSP Initially Planned]]+Tabelle1324568910111213141516171619[[#This Row],[COsSP Pulled after Start]]-Tabelle1324568910111213141516171619[[#This Row],[CSOsSP Completed]]-Tabelle1324568910111213141516171619[[#This Row],[CSOsSP Removed]]</f>
        <v>0</v>
      </c>
    </row>
    <row r="396" spans="1:18" ht="13.5" customHeight="1">
      <c r="A396" s="383"/>
      <c r="B396" s="47"/>
      <c r="C396" s="203"/>
      <c r="D396" s="203"/>
      <c r="E396" s="203"/>
      <c r="F396" s="204"/>
      <c r="G396" s="203"/>
      <c r="H396" s="205"/>
      <c r="I396" s="206"/>
      <c r="J396" s="206"/>
      <c r="K396" s="203"/>
      <c r="L396" s="204"/>
      <c r="M396" s="204"/>
      <c r="N396" s="378">
        <f>IF(OR(Tabelle1324568910111213141516171619[[#This Row],[Pulled after Start]]="yes",Tabelle1324568910111213141516171619[[#This Row],[Jira Story Points]]="-"),0,MIN(Tabelle1324568910111213141516171619[[#This Row],[Jira Story Points]],Tabelle1324568910111213141516171619[[#This Row],[Carry-over]]))</f>
        <v>0</v>
      </c>
      <c r="O396" s="379">
        <f>SUM(IF(ISBLANK(Tabelle1324568910111213141516171619[[#This Row],[Carry-over]]),Tabelle1324568910111213141516171619[[#This Row],[Jira Story Points]],Tabelle1324568910111213141516171619[[#This Row],[Carry-over]]),-Tabelle1324568910111213141516171619[[#This Row],[COsSP Initially Planned]])</f>
        <v>0</v>
      </c>
      <c r="P396"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96" s="379">
        <f>IF(Tabelle1324568910111213141516171619[[#This Row],[Status]]=$J$5,Tabelle1324568910111213141516171619[[#This Row],[COsSP Initially Planned]]+Tabelle1324568910111213141516171619[[#This Row],[COsSP Pulled after Start]]-Tabelle1324568910111213141516171619[[#This Row],[CSOsSP Completed]],0)</f>
        <v>0</v>
      </c>
      <c r="R396" s="379">
        <f>Tabelle1324568910111213141516171619[[#This Row],[COsSP Initially Planned]]+Tabelle1324568910111213141516171619[[#This Row],[COsSP Pulled after Start]]-Tabelle1324568910111213141516171619[[#This Row],[CSOsSP Completed]]-Tabelle1324568910111213141516171619[[#This Row],[CSOsSP Removed]]</f>
        <v>0</v>
      </c>
    </row>
    <row r="397" spans="1:18" ht="13.5" customHeight="1">
      <c r="A397" s="383"/>
      <c r="B397" s="47"/>
      <c r="C397" s="203"/>
      <c r="D397" s="203"/>
      <c r="E397" s="203"/>
      <c r="F397" s="204"/>
      <c r="G397" s="203"/>
      <c r="H397" s="205"/>
      <c r="I397" s="206"/>
      <c r="J397" s="206"/>
      <c r="K397" s="203"/>
      <c r="L397" s="204"/>
      <c r="M397" s="204"/>
      <c r="N397" s="378">
        <f>IF(OR(Tabelle1324568910111213141516171619[[#This Row],[Pulled after Start]]="yes",Tabelle1324568910111213141516171619[[#This Row],[Jira Story Points]]="-"),0,MIN(Tabelle1324568910111213141516171619[[#This Row],[Jira Story Points]],Tabelle1324568910111213141516171619[[#This Row],[Carry-over]]))</f>
        <v>0</v>
      </c>
      <c r="O397" s="379">
        <f>SUM(IF(ISBLANK(Tabelle1324568910111213141516171619[[#This Row],[Carry-over]]),Tabelle1324568910111213141516171619[[#This Row],[Jira Story Points]],Tabelle1324568910111213141516171619[[#This Row],[Carry-over]]),-Tabelle1324568910111213141516171619[[#This Row],[COsSP Initially Planned]])</f>
        <v>0</v>
      </c>
      <c r="P397"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97" s="379">
        <f>IF(Tabelle1324568910111213141516171619[[#This Row],[Status]]=$J$5,Tabelle1324568910111213141516171619[[#This Row],[COsSP Initially Planned]]+Tabelle1324568910111213141516171619[[#This Row],[COsSP Pulled after Start]]-Tabelle1324568910111213141516171619[[#This Row],[CSOsSP Completed]],0)</f>
        <v>0</v>
      </c>
      <c r="R397" s="379">
        <f>Tabelle1324568910111213141516171619[[#This Row],[COsSP Initially Planned]]+Tabelle1324568910111213141516171619[[#This Row],[COsSP Pulled after Start]]-Tabelle1324568910111213141516171619[[#This Row],[CSOsSP Completed]]-Tabelle1324568910111213141516171619[[#This Row],[CSOsSP Removed]]</f>
        <v>0</v>
      </c>
    </row>
    <row r="398" spans="1:18" ht="13.5" customHeight="1">
      <c r="A398" s="383"/>
      <c r="B398" s="47"/>
      <c r="C398" s="203"/>
      <c r="D398" s="203"/>
      <c r="E398" s="203"/>
      <c r="F398" s="204"/>
      <c r="G398" s="203"/>
      <c r="H398" s="205"/>
      <c r="I398" s="206"/>
      <c r="J398" s="206"/>
      <c r="K398" s="203"/>
      <c r="L398" s="204"/>
      <c r="M398" s="204"/>
      <c r="N398" s="378">
        <f>IF(OR(Tabelle1324568910111213141516171619[[#This Row],[Pulled after Start]]="yes",Tabelle1324568910111213141516171619[[#This Row],[Jira Story Points]]="-"),0,MIN(Tabelle1324568910111213141516171619[[#This Row],[Jira Story Points]],Tabelle1324568910111213141516171619[[#This Row],[Carry-over]]))</f>
        <v>0</v>
      </c>
      <c r="O398" s="379">
        <f>SUM(IF(ISBLANK(Tabelle1324568910111213141516171619[[#This Row],[Carry-over]]),Tabelle1324568910111213141516171619[[#This Row],[Jira Story Points]],Tabelle1324568910111213141516171619[[#This Row],[Carry-over]]),-Tabelle1324568910111213141516171619[[#This Row],[COsSP Initially Planned]])</f>
        <v>0</v>
      </c>
      <c r="P398" s="379">
        <f>IF(Tabelle1324568910111213141516171619[[#This Row],[Status]]=$H$5,Tabelle1324568910111213141516171619[[#This Row],[COsSP Initially Planned]]+Tabelle1324568910111213141516171619[[#This Row],[COsSP Pulled after Start]],IF(ISBLANK(Tabelle1324568910111213141516171619[[#This Row],[Spill-over]]),0,Tabelle1324568910111213141516171619[[#This Row],[COsSP Initially Planned]]+Tabelle1324568910111213141516171619[[#This Row],[COsSP Pulled after Start]]-Tabelle1324568910111213141516171619[[#This Row],[Spill-over]]))</f>
        <v>0</v>
      </c>
      <c r="Q398" s="379">
        <f>IF(Tabelle1324568910111213141516171619[[#This Row],[Status]]=$J$5,Tabelle1324568910111213141516171619[[#This Row],[COsSP Initially Planned]]+Tabelle1324568910111213141516171619[[#This Row],[COsSP Pulled after Start]]-Tabelle1324568910111213141516171619[[#This Row],[CSOsSP Completed]],0)</f>
        <v>0</v>
      </c>
      <c r="R398" s="379">
        <f>Tabelle1324568910111213141516171619[[#This Row],[COsSP Initially Planned]]+Tabelle1324568910111213141516171619[[#This Row],[COsSP Pulled after Start]]-Tabelle1324568910111213141516171619[[#This Row],[CSOsSP Completed]]-Tabelle1324568910111213141516171619[[#This Row],[CSOsSP Removed]]</f>
        <v>0</v>
      </c>
    </row>
    <row r="400" spans="1:18" ht="13.5" customHeight="1">
      <c r="I400" s="353" t="s">
        <v>66</v>
      </c>
    </row>
  </sheetData>
  <mergeCells count="12">
    <mergeCell ref="B6:B15"/>
    <mergeCell ref="N22:O22"/>
    <mergeCell ref="C1:J1"/>
    <mergeCell ref="H3:J3"/>
    <mergeCell ref="D4:E4"/>
    <mergeCell ref="F4:K4"/>
    <mergeCell ref="M4:R4"/>
    <mergeCell ref="D22:E22"/>
    <mergeCell ref="F22:G22"/>
    <mergeCell ref="H22:I22"/>
    <mergeCell ref="J22:K22"/>
    <mergeCell ref="L22:M22"/>
  </mergeCells>
  <dataValidations count="3">
    <dataValidation type="list" allowBlank="1" showErrorMessage="1" sqref="K32:K199" xr:uid="{45EF3110-0823-4A46-B64B-B952D82FB2C3}">
      <formula1>$H$5:$J$5</formula1>
    </dataValidation>
    <dataValidation type="list" allowBlank="1" showErrorMessage="1" sqref="G32:G51 G69:G71 G137:G199" xr:uid="{CEFC3CCA-36A7-4396-A2D3-4720ABDB4EAD}">
      <formula1>$C$6:$C$15</formula1>
    </dataValidation>
    <dataValidation type="list" allowBlank="1" showErrorMessage="1" sqref="H32:H51 H69:H71 H136:H199" xr:uid="{24B26188-A8C7-4DDC-9C3F-BAD960CED8DC}">
      <formula1>"yes"</formula1>
    </dataValidation>
  </dataValidations>
  <hyperlinks>
    <hyperlink ref="A34" r:id="rId1" display="[ANP-25440] Logfiles: Multi-Lane Till Development - Jira" xr:uid="{AB204345-332C-4F24-8634-0FD838534904}"/>
    <hyperlink ref="A35" r:id="rId2" display="[ANP-27041] Switch Transaction Data Endpoints - Jira" xr:uid="{27B4544D-9344-42EF-9E83-A7A74D1FFBBD}"/>
    <hyperlink ref="A36" r:id="rId3" display="[ANP-28397] EFT IT - Card information mapping to MeansOfPayment (MCO) - Jira" xr:uid="{DC6FB6AA-0811-4FE8-A22A-01719EFD530B}"/>
    <hyperlink ref="A37" r:id="rId4" display="[ANP-28543] refine short-notice bugs prior to processing - Jira" xr:uid="{CB22C54B-BE3E-48FF-900A-DACCF54B11A2}"/>
    <hyperlink ref="A38" r:id="rId5" display="[ANP-25064] Store- credit card payments against signature, the merchant receipt will no longer be printed- EM: no - Jira" xr:uid="{A8CF04DE-559C-47D4-944C-8F4BF0A13E73}"/>
    <hyperlink ref="A40" r:id="rId6" display="[ANP-28399] Means of Payment cannot be resolved for MCO with direct implementation for IT - Jira" xr:uid="{FB8465E1-B611-467E-A06D-D12A25ADCDF5}"/>
    <hyperlink ref="A42" r:id="rId7" display="[ANP-28571] [MCO] AT: Fiscalization error - Jira" xr:uid="{529C6EFA-6D50-42FE-B3A7-CA07CC38B57B}"/>
    <hyperlink ref="A43" r:id="rId8" display="[ANP-25955] Customers get charged more than the total receipt sum - Jira" xr:uid="{2477FB8A-03E9-4474-91A8-CB1C5D4CD776}"/>
    <hyperlink ref="A41" r:id="rId9" display="[ANP-28170] INC5253414 - Means of Payment cannot be resolved for MCO - Jira" xr:uid="{8369BE30-8FF7-4E3D-8B28-05990D91E55B}"/>
    <hyperlink ref="A44" r:id="rId10" display="[ANP-28354] INC5323862 - Unrecoverable error (UK) - Jira" xr:uid="{0FDC3D0E-771B-4B22-A8D5-C51A8EDF70E5}"/>
    <hyperlink ref="A45" r:id="rId11" display="[ANP-28355] INC5366201 - Unrecoverable error (UK) during logIn process - Jira" xr:uid="{5CEDEE4B-879A-4AEE-BC22-8CCBD2E6E1B3}"/>
    <hyperlink ref="A46" r:id="rId12" display="[ANP-28469] Till prints wrong card payment information and doesn't charge customer after failed payment - Jira" xr:uid="{19CC45E1-5A7B-4B39-A7D3-5C6A984F7742}"/>
    <hyperlink ref="A47" r:id="rId13" display="[ANP-28506] set up testlab for ANP-25541 - Jira" xr:uid="{1E52586F-1222-4794-817F-BC0A9986D704}"/>
    <hyperlink ref="A48" r:id="rId14" display="[ANP-28536] [SPIKE] Prep&amp;Spec: POS&lt;-&gt;ACI Interface - Jira" xr:uid="{6B18C830-DB11-4CAF-A7D9-BD33BD1B1232}"/>
    <hyperlink ref="J34" r:id="rId15" display="[ANP-22244] Collect Logfiles in /var/log - Jira" xr:uid="{0D9D7C1D-CD0F-442A-A6DF-473433D7966A}"/>
    <hyperlink ref="J35" r:id="rId16" display="[ANP-25952] Backoffice Transaction Data Refactoring - Switch Transaction data endpoints (MCO) - Jira" xr:uid="{FE63C1CC-6705-410C-82AA-3E2B3CF17BB1}"/>
    <hyperlink ref="J38" r:id="rId17" display="[ANP-24505] MCO #04 | [INT] Transaction Data - Jira" xr:uid="{C28D893D-DBEA-4BCC-8BF3-B72EA6B2D0B4}"/>
    <hyperlink ref="J40" r:id="rId18" display="[ANP-24505] MCO #04 | [INT] Transaction Data - Jira" xr:uid="{B15CC7E6-7CB3-4E07-A278-7F39B103A57F}"/>
    <hyperlink ref="J43" r:id="rId19" display="[ANP-24505] MCO #04 | [INT] Transaction Data - Jira" xr:uid="{B84886BE-7334-4890-AB62-529961BCDE95}"/>
    <hyperlink ref="J41" r:id="rId20" display="[ANP-24505] MCO #04 | [INT] Transaction Data - Jira" xr:uid="{B53156E3-2E69-4101-8259-DF066F5FF953}"/>
    <hyperlink ref="J46" r:id="rId21" display="[ANP-24505] MCO #04 | [INT] Transaction Data - Jira" xr:uid="{BE06B5E7-23BC-4A33-BFF3-FC302DC55CA4}"/>
    <hyperlink ref="J42" r:id="rId22" display="[ANP-27720] MCO #01 | Fiscalization - Jira" xr:uid="{51A0FDC9-8448-41B8-B247-F82F21E58F17}"/>
    <hyperlink ref="J48" r:id="rId23" display="[ANP-27742] MCO Base - Conceptional preparation for HFBC (Healthy Food Benefits Card) - Jira" xr:uid="{26503640-3CEA-4FAB-AAC6-3931C2FF5465}"/>
    <hyperlink ref="A39" r:id="rId24" display="[ANP-28370] Integrate POS-3724: Means of Payment cannot be resolved for MCO with TIM implementation - Jira" xr:uid="{3F5DB585-90B0-40B3-A245-B178F74C3B95}"/>
    <hyperlink ref="A33" r:id="rId25" display="[ANP-28913] Workaround for TIM Terminal 3.41 issue for NEWPOSS 4.12.0 - Jira" xr:uid="{77FD2AAA-BF7C-4852-982D-C47B6AB99EC4}"/>
    <hyperlink ref="J39" r:id="rId26" display="[ANP-24505] MCO #04 | [INT] Transaction Data - Jira" xr:uid="{70957C77-A597-472A-8F67-75B324CF8BD9}"/>
    <hyperlink ref="A49" r:id="rId27" display="[ANP-28938] Pick Tickets for 4.7.15 - Jira" xr:uid="{39F0530F-AE89-4F64-AAA8-F46B1A77F482}"/>
    <hyperlink ref="A50" r:id="rId28" display="[ANP-28946] Pick Tickets for 4.7.16 - Jira" xr:uid="{791CC2DA-2D3A-47A9-B726-BF67B5C8DEF6}"/>
    <hyperlink ref="A32" r:id="rId29" display="[ANP-29057] Parameter replication is not working on till level/Tills had to be manually rebooted to trigger update - Jira" xr:uid="{0610E40B-B827-48A5-804B-45238A46CE00}"/>
    <hyperlink ref="A51" r:id="rId30" display="[ANP-27222] Analysis of ANP-26719: EFT after Total / Discount coupon in advanced tendering mode leads to a lost receipt - Jira" xr:uid="{F22E6F74-AEAE-40F9-8CB5-629F298A2CD1}"/>
    <hyperlink ref="A52" r:id="rId31" display="https://aldi-sued.atlassian.net/browse/NPSCO-22216" xr:uid="{6B675840-AE24-4C6C-8178-01C3CD081521}"/>
    <hyperlink ref="B52" r:id="rId32" display="https://aldi-sued.atlassian.net/browse/NPSCO-22216" xr:uid="{5365A0E0-43F3-41E5-B02F-956D1BE070F2}"/>
    <hyperlink ref="A53" r:id="rId33" display="https://aldi-sued.atlassian.net/browse/NPSCO-21098" xr:uid="{A58BBBA5-0873-4F01-9A8E-20F062EA52B7}"/>
    <hyperlink ref="B53" r:id="rId34" display="https://aldi-sued.atlassian.net/browse/NPSCO-21098" xr:uid="{67979518-0A52-41C6-A81B-28678F5228D8}"/>
    <hyperlink ref="A54" r:id="rId35" display="https://aldi-sued.atlassian.net/browse/NPSCO-22347" xr:uid="{6932E64F-6F10-4624-AB5E-E93A569EBE06}"/>
    <hyperlink ref="B54" r:id="rId36" display="https://aldi-sued.atlassian.net/browse/NPSCO-22347" xr:uid="{359A14BD-8E33-41FC-AC9A-7DB9CB477E77}"/>
    <hyperlink ref="A55" r:id="rId37" display="https://aldi-sued.atlassian.net/browse/NPSCO-22101" xr:uid="{5513A091-699E-4CC7-AF4A-055FC93A15AC}"/>
    <hyperlink ref="B55" r:id="rId38" display="https://aldi-sued.atlassian.net/browse/NPSCO-22101" xr:uid="{5F57C491-8247-4F9A-B0C6-EE01B1BBEC01}"/>
    <hyperlink ref="A56" r:id="rId39" display="https://aldi-sued.atlassian.net/browse/NPSCO-22302" xr:uid="{05465CFB-208B-451C-9538-142BF8DFF02D}"/>
    <hyperlink ref="B56" r:id="rId40" display="https://aldi-sued.atlassian.net/browse/NPSCO-22302" xr:uid="{2C640B60-C307-488A-82C8-C61969EB80B6}"/>
    <hyperlink ref="A57" r:id="rId41" display="https://aldi-sued.atlassian.net/browse/NPSCO-21717" xr:uid="{4C4B5926-8D31-4DAF-AB80-7F17C6CF959D}"/>
    <hyperlink ref="B57" r:id="rId42" display="https://aldi-sued.atlassian.net/browse/NPSCO-21717" xr:uid="{19392AEB-4269-4FFB-90B1-4263B6D3B223}"/>
    <hyperlink ref="A58" r:id="rId43" display="https://aldi-sued.atlassian.net/browse/NPSCO-21824" xr:uid="{62415AE5-8E39-4E46-9FBA-9BD9F80F033C}"/>
    <hyperlink ref="B58" r:id="rId44" display="https://aldi-sued.atlassian.net/browse/NPSCO-21824" xr:uid="{A2077E40-F3D0-49C0-8773-94BA03CF8069}"/>
    <hyperlink ref="A59" r:id="rId45" display="https://aldi-sued.atlassian.net/browse/NPSCO-15181" xr:uid="{8C4F1004-6BB0-4CAA-8E52-F81EB06EC2A1}"/>
    <hyperlink ref="B59" r:id="rId46" display="https://aldi-sued.atlassian.net/browse/NPSCO-15181" xr:uid="{798C922F-D5C0-4E0E-91C8-4A7F5E391A4B}"/>
    <hyperlink ref="A60" r:id="rId47" display="https://aldi-sued.atlassian.net/browse/NPSCO-21799" xr:uid="{834792E9-DAEC-4AA3-B732-5D3F5A9314D6}"/>
    <hyperlink ref="B60" r:id="rId48" display="https://aldi-sued.atlassian.net/browse/NPSCO-21799" xr:uid="{71331C5B-8376-46F6-B73A-43E0FB62426D}"/>
    <hyperlink ref="A61" r:id="rId49" display="https://aldi-sued.atlassian.net/browse/NPSCO-21166" xr:uid="{5B59C16E-EF47-4E77-9B1E-8E62117EAF8B}"/>
    <hyperlink ref="B61" r:id="rId50" display="https://aldi-sued.atlassian.net/browse/NPSCO-21166" xr:uid="{6E2AC3BE-AB34-44FE-B8ED-092BE189DDFD}"/>
    <hyperlink ref="A62" r:id="rId51" display="https://aldi-sued.atlassian.net/browse/NPSCO-20230" xr:uid="{74EE74AA-9C3F-4A5A-9F97-02322026F25E}"/>
    <hyperlink ref="B62" r:id="rId52" display="https://aldi-sued.atlassian.net/browse/NPSCO-20230" xr:uid="{8E79F59C-71A9-441B-AD83-AEBAF78F1C7E}"/>
    <hyperlink ref="A63" r:id="rId53" display="https://aldi-sued.atlassian.net/browse/NPSCO-21910" xr:uid="{34E01808-C26B-4AFA-BEE6-B35D24A56924}"/>
    <hyperlink ref="B63" r:id="rId54" display="https://aldi-sued.atlassian.net/browse/NPSCO-21910" xr:uid="{73DC4F72-EB02-450C-A467-7073AD8595D4}"/>
    <hyperlink ref="A64" r:id="rId55" display="https://aldi-sued.atlassian.net/browse/NPSCO-21181" xr:uid="{928B863B-2DC9-4CD8-A523-BB77CCEA1110}"/>
    <hyperlink ref="B64" r:id="rId56" display="https://aldi-sued.atlassian.net/browse/NPSCO-21181" xr:uid="{99591BBB-7D3F-410F-BEF9-D61F6F9C8FAE}"/>
    <hyperlink ref="A65" r:id="rId57" display="https://aldi-sued.atlassian.net/browse/NPSCO-21831" xr:uid="{942BF2F9-E1ED-4A91-BF5E-0814BD118AB5}"/>
    <hyperlink ref="B65" r:id="rId58" display="https://aldi-sued.atlassian.net/browse/NPSCO-21831" xr:uid="{E8E2CE2C-D216-4311-B572-203DF931D2F6}"/>
    <hyperlink ref="A66" r:id="rId59" display="https://aldi-sued.atlassian.net/browse/NPSCO-21833" xr:uid="{413FF3C7-D289-411C-89AE-748A74F780AB}"/>
    <hyperlink ref="B66" r:id="rId60" display="https://aldi-sued.atlassian.net/browse/NPSCO-21833" xr:uid="{F3E5BD2F-6E8B-4B6E-87A4-A9E9F469DEF8}"/>
    <hyperlink ref="A67" r:id="rId61" display="https://aldi-sued.atlassian.net/browse/NPSCO-21835" xr:uid="{89D9641B-763F-432A-BF8A-0E1420954DDB}"/>
    <hyperlink ref="B67" r:id="rId62" display="https://aldi-sued.atlassian.net/browse/NPSCO-21835" xr:uid="{0B991FB9-DAB7-43E7-8C8D-8FC8F179D4B2}"/>
    <hyperlink ref="A68" r:id="rId63" display="https://aldi-sued.atlassian.net/browse/NPSCO-22269" xr:uid="{1AC73758-2950-4542-91BA-36554224FBE6}"/>
    <hyperlink ref="B68" r:id="rId64" display="https://aldi-sued.atlassian.net/browse/NPSCO-22269" xr:uid="{A2A91EFB-0385-4FDD-A360-362787635BDD}"/>
    <hyperlink ref="A69" r:id="rId65" xr:uid="{1FC405E3-1ED0-471F-A877-BEC5621FC8CE}"/>
    <hyperlink ref="A70" r:id="rId66" xr:uid="{D6EED58A-92FB-4436-A6AF-E55FFA39B107}"/>
    <hyperlink ref="A71" r:id="rId67" xr:uid="{650B90B1-4478-4784-B230-E7D5746704A6}"/>
    <hyperlink ref="A72" r:id="rId68" display="https://aldi-sued.atlassian.net/browse/NPSCO-21992" xr:uid="{B531FB4D-5971-49DB-80A7-D5191FDD3E19}"/>
    <hyperlink ref="A73" r:id="rId69" display="https://aldi-sued.atlassian.net/browse/NPSCO-20297" xr:uid="{22853EBF-6A54-4E47-9478-C09392799EF4}"/>
    <hyperlink ref="A74" r:id="rId70" display="https://aldi-sued.atlassian.net/browse/NPSCO-21115" xr:uid="{1A002771-565C-43C0-AA59-AB3D849E8041}"/>
    <hyperlink ref="A75" r:id="rId71" display="https://aldi-sued.atlassian.net/browse/NPSCO-20414" xr:uid="{076E1D3D-E735-4FBE-BAFB-A2B00BB3D595}"/>
    <hyperlink ref="A76" r:id="rId72" display="https://aldi-sued.atlassian.net/browse/NPSCO-21296" xr:uid="{2E0F0DA5-A914-4BC2-91C6-D96867AC8A2C}"/>
    <hyperlink ref="A77" r:id="rId73" display="https://aldi-sued.atlassian.net/browse/NPSCO-21706" xr:uid="{507BEA72-CDCC-4EB6-BDA5-487D1D8D7C90}"/>
    <hyperlink ref="A78" r:id="rId74" display="https://aldi-sued.atlassian.net/browse/NPSCO-21840" xr:uid="{C46DBE25-FBAA-4B17-AF08-1B60D84D8C3E}"/>
    <hyperlink ref="A79" r:id="rId75" display="https://aldi-sued.atlassian.net/browse/NPSCO-21681" xr:uid="{64328A19-F38D-4766-AE26-D785D90F2A44}"/>
    <hyperlink ref="A80" r:id="rId76" display="https://aldi-sued.atlassian.net/browse/NPSCO-21491" xr:uid="{5182FD0C-3043-4ECC-9A5A-8429CD0C6782}"/>
    <hyperlink ref="A81" r:id="rId77" display="https://aldi-sued.atlassian.net/browse/NPSCO-20797" xr:uid="{9239E4ED-FB9B-452E-A30F-D0E43A3D1427}"/>
    <hyperlink ref="A82" r:id="rId78" display="https://aldi-sued.atlassian.net/browse/NPSCO-20648" xr:uid="{AD07748A-C8FE-4042-93A5-DBC658DC8D7F}"/>
    <hyperlink ref="A83" r:id="rId79" display="https://aldi-sued.atlassian.net/browse/NPSCO-18838" xr:uid="{93011B10-D6AE-4DB7-9303-415E081CC81F}"/>
    <hyperlink ref="A84" r:id="rId80" display="https://aldi-sued.atlassian.net/browse/NPSCO-22081" xr:uid="{3337A613-CF18-4415-BA8F-51495DD4D025}"/>
    <hyperlink ref="A85" r:id="rId81" display="https://aldi-sued.atlassian.net/browse/NPSCO-21815" xr:uid="{08E2DB9D-1E26-4B00-B094-2529109FFADE}"/>
    <hyperlink ref="A86" r:id="rId82" display="https://aldi-sued.atlassian.net/browse/NPSCO-21855" xr:uid="{D6401CA1-7FF8-43EB-827D-DEE1BA376BEC}"/>
    <hyperlink ref="A87" r:id="rId83" display="https://aldi-sued.atlassian.net/browse/NPSCO-22034" xr:uid="{F8BE67F5-FC22-4BE3-8364-770ABE8CB082}"/>
    <hyperlink ref="A88" r:id="rId84" display="https://aldi-sued.atlassian.net/browse/NPSCO-22073" xr:uid="{D9311010-0ADE-4E58-AE87-4F9D8ADB7648}"/>
    <hyperlink ref="A89" r:id="rId85" display="https://aldi-sued.atlassian.net/browse/NPSCO-22373" xr:uid="{930E276D-B378-45BE-9B21-E2A517975AE2}"/>
    <hyperlink ref="A90" r:id="rId86" display="https://aldi-sued.atlassian.net/browse/NPSCO-22428" xr:uid="{2968C3B8-EB05-4DF7-9D48-C802D1449302}"/>
    <hyperlink ref="A91" r:id="rId87" display="https://aldi-sued.atlassian.net/browse/NPSCO-20447" xr:uid="{56D2BC91-2511-4F5D-84E5-6DF8DDD677E2}"/>
    <hyperlink ref="A92" r:id="rId88" display="https://aldi-sued.atlassian.net/browse/NPSCO-22361" xr:uid="{EF56B333-F161-4862-953C-433B4BDD3BDE}"/>
    <hyperlink ref="A93" r:id="rId89" display="https://aldi-sued.atlassian.net/browse/NPSCO-22522" xr:uid="{71D384A0-234D-4131-B6AC-0EF26EE0D7F7}"/>
    <hyperlink ref="A94" r:id="rId90" xr:uid="{520465AE-9A25-4E52-8E42-87C5B584EFAB}"/>
    <hyperlink ref="A95" r:id="rId91" xr:uid="{ACDA421E-77FE-4CB1-9249-EA854770BF36}"/>
    <hyperlink ref="A96" r:id="rId92" xr:uid="{68F159BD-E792-4E4D-BC96-EF0496F5AD08}"/>
    <hyperlink ref="A97" r:id="rId93" xr:uid="{34A40B6D-1CB7-4837-BD75-BCF1B5678978}"/>
    <hyperlink ref="A98" r:id="rId94" xr:uid="{63373A2F-C1DD-4CBE-8AA0-0F8AAFCBAFB7}"/>
    <hyperlink ref="A99" r:id="rId95" xr:uid="{DC6E02AA-68AC-4C8C-B39E-7660A5B9E516}"/>
    <hyperlink ref="A100" r:id="rId96" xr:uid="{7F6DEA1C-2823-4D42-A571-7D7DEFEA3ECD}"/>
    <hyperlink ref="A101" r:id="rId97" xr:uid="{63402AC3-3410-481F-8DDC-FA4BAFACD75F}"/>
    <hyperlink ref="A102" r:id="rId98" xr:uid="{F6AF06DB-6B2F-4E17-BA74-A848D5339021}"/>
    <hyperlink ref="A103" r:id="rId99" xr:uid="{4EC01A79-EF8D-41B6-B466-24B678793F4B}"/>
    <hyperlink ref="A104" r:id="rId100" xr:uid="{F6C5042D-7A0C-4860-9E8C-E1DC77341E2C}"/>
    <hyperlink ref="A105" r:id="rId101" xr:uid="{B93EA52D-4F24-421E-B251-8A400918F33D}"/>
    <hyperlink ref="A106" r:id="rId102" xr:uid="{E797F233-9339-4377-A779-BFA90B8ACF25}"/>
    <hyperlink ref="A107" r:id="rId103" xr:uid="{3B73A628-98D2-44A3-9E0A-C6C4FD83ECF3}"/>
    <hyperlink ref="A108" r:id="rId104" xr:uid="{A67D5D9C-991C-4C54-AC8F-D8297B9C3654}"/>
    <hyperlink ref="A109" r:id="rId105" xr:uid="{D8A97B69-1F9C-4EEC-A589-C9B118CE755A}"/>
    <hyperlink ref="A110" r:id="rId106" xr:uid="{98CD2587-29F2-43C0-8277-D799E640FB9C}"/>
    <hyperlink ref="A111" r:id="rId107" xr:uid="{199F337F-23C0-427F-AD76-0FD7751DBDEE}"/>
    <hyperlink ref="A112" r:id="rId108" xr:uid="{949DFAE2-32EB-4494-B7FA-3356CDD4CBE6}"/>
    <hyperlink ref="A113" r:id="rId109" xr:uid="{4F62D848-4C79-4A4C-9819-11252B3C0AE7}"/>
    <hyperlink ref="A114" r:id="rId110" xr:uid="{21CC878B-1FC3-41A7-A257-41F460F8AFBC}"/>
    <hyperlink ref="A115" r:id="rId111" xr:uid="{0D55BA69-B3ED-4AE5-9CC7-198E2C2CDB37}"/>
    <hyperlink ref="A116" r:id="rId112" xr:uid="{15B89737-F400-4FB8-83DC-02B325ACD2C5}"/>
    <hyperlink ref="A117" r:id="rId113" xr:uid="{2F723E37-973B-4E9D-8D1D-C323A5CD6C04}"/>
    <hyperlink ref="A118" r:id="rId114" xr:uid="{880DFA53-B9C7-420E-84BC-C705B6C1D362}"/>
    <hyperlink ref="A119" r:id="rId115" xr:uid="{8D8CFE94-47DF-4E35-8384-AF9F45FD0BE3}"/>
    <hyperlink ref="A120" r:id="rId116" xr:uid="{6F4CD868-D626-4334-9199-E88CF9C884AB}"/>
    <hyperlink ref="A121" r:id="rId117" xr:uid="{6425EDA6-084F-4272-B0CD-4B2AF761FAAB}"/>
    <hyperlink ref="A122" r:id="rId118" xr:uid="{218E2F12-F6B4-4F14-923C-1AF5C28BF832}"/>
    <hyperlink ref="A123" r:id="rId119" xr:uid="{359751AB-93A2-41E8-A42B-770F8FE9FEC5}"/>
    <hyperlink ref="A124" r:id="rId120" xr:uid="{EFF815E2-8DDA-4581-97A4-091416BC0A09}"/>
    <hyperlink ref="A125" r:id="rId121" xr:uid="{B3FF260B-C4CC-4672-9948-7E8DC80F68FF}"/>
    <hyperlink ref="A126" r:id="rId122" xr:uid="{FBC29D91-E4A8-437C-A702-E653E7A69BC7}"/>
    <hyperlink ref="A127" r:id="rId123" xr:uid="{4C6D467F-0DA1-4A20-8E03-40F76B7AC657}"/>
    <hyperlink ref="A128" r:id="rId124" xr:uid="{7A93E15A-3DFB-4812-8C11-6B5E2EF353F9}"/>
    <hyperlink ref="A129" r:id="rId125" xr:uid="{E988C934-F82B-4774-BC21-F4DB91F0AD96}"/>
    <hyperlink ref="A132" r:id="rId126" xr:uid="{39344407-3CF1-4F8F-8635-BA650EB36483}"/>
  </hyperlinks>
  <pageMargins left="0.23622047244094491" right="0.23622047244094491" top="0.35433070866141736" bottom="0.35433070866141736" header="0" footer="0"/>
  <pageSetup paperSize="9" scale="39" fitToHeight="0" orientation="landscape" r:id="rId127"/>
  <headerFooter>
    <oddFooter>&amp;CS. &amp;P / &amp;N</oddFooter>
  </headerFooter>
  <drawing r:id="rId128"/>
  <tableParts count="1">
    <tablePart r:id="rId12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23048-8734-40E9-A76C-61777DEE6072}">
  <sheetPr>
    <outlinePr summaryBelow="0" summaryRight="0"/>
    <pageSetUpPr fitToPage="1"/>
  </sheetPr>
  <dimension ref="A1:V322"/>
  <sheetViews>
    <sheetView zoomScale="80" zoomScaleNormal="80" workbookViewId="0"/>
  </sheetViews>
  <sheetFormatPr baseColWidth="10" defaultColWidth="8.85546875" defaultRowHeight="13.5" customHeight="1"/>
  <cols>
    <col min="1" max="1" width="16" style="313" customWidth="1"/>
    <col min="2" max="2" width="72.85546875" style="313" customWidth="1"/>
    <col min="3" max="8" width="15.42578125" style="319" customWidth="1"/>
    <col min="9" max="9" width="19" style="353" customWidth="1"/>
    <col min="10" max="11" width="15.42578125" style="353" customWidth="1"/>
    <col min="12" max="12" width="15.42578125" style="321" customWidth="1"/>
    <col min="13" max="13" width="15.42578125" style="319" customWidth="1"/>
    <col min="14" max="18" width="15.42578125" style="315" customWidth="1"/>
    <col min="19" max="20" width="10.42578125" style="315" customWidth="1"/>
    <col min="21" max="22" width="17" style="314" customWidth="1"/>
    <col min="23" max="28" width="10.42578125" style="315" customWidth="1"/>
    <col min="29" max="34" width="8.42578125" style="315" customWidth="1"/>
    <col min="35" max="35" width="3.42578125" style="315" customWidth="1"/>
    <col min="36" max="36" width="8.42578125" style="315" customWidth="1"/>
    <col min="37" max="16384" width="8.85546875" style="315"/>
  </cols>
  <sheetData>
    <row r="1" spans="2:22" ht="13.5" customHeight="1">
      <c r="C1" s="428" t="s">
        <v>459</v>
      </c>
      <c r="D1" s="428"/>
      <c r="E1" s="428"/>
      <c r="F1" s="428"/>
      <c r="G1" s="428"/>
      <c r="H1" s="428"/>
      <c r="I1" s="428"/>
      <c r="J1" s="428"/>
      <c r="K1" s="314"/>
      <c r="L1" s="314"/>
      <c r="M1" s="314"/>
    </row>
    <row r="2" spans="2:22" ht="13.5" customHeight="1">
      <c r="C2" s="315"/>
      <c r="D2" s="315"/>
      <c r="E2" s="314"/>
      <c r="F2" s="314"/>
      <c r="G2" s="314"/>
      <c r="H2" s="314"/>
      <c r="I2" s="314"/>
      <c r="J2" s="315"/>
      <c r="K2" s="314"/>
      <c r="L2" s="314"/>
      <c r="M2" s="315"/>
    </row>
    <row r="3" spans="2:22" ht="13.5" customHeight="1" thickBot="1">
      <c r="C3" s="316" t="s">
        <v>162</v>
      </c>
      <c r="D3" s="317"/>
      <c r="E3" s="318"/>
      <c r="F3" s="318"/>
      <c r="H3" s="429" t="s">
        <v>212</v>
      </c>
      <c r="I3" s="429"/>
      <c r="J3" s="429"/>
      <c r="K3" s="320"/>
      <c r="L3" s="320"/>
      <c r="M3" s="314"/>
    </row>
    <row r="4" spans="2:22" ht="13.5" customHeight="1">
      <c r="C4" s="318"/>
      <c r="D4" s="430" t="s">
        <v>164</v>
      </c>
      <c r="E4" s="430"/>
      <c r="F4" s="432" t="s">
        <v>165</v>
      </c>
      <c r="G4" s="432"/>
      <c r="H4" s="432"/>
      <c r="I4" s="432"/>
      <c r="J4" s="432"/>
      <c r="K4" s="432"/>
      <c r="M4" s="435" t="s">
        <v>166</v>
      </c>
      <c r="N4" s="435"/>
      <c r="O4" s="435"/>
      <c r="P4" s="435"/>
      <c r="Q4" s="435"/>
      <c r="R4" s="435"/>
    </row>
    <row r="5" spans="2:22" ht="27" customHeight="1">
      <c r="C5" s="322" t="s">
        <v>167</v>
      </c>
      <c r="D5" s="323" t="s">
        <v>171</v>
      </c>
      <c r="E5" s="324" t="str">
        <f>H5</f>
        <v>Completed</v>
      </c>
      <c r="F5" s="323" t="s">
        <v>105</v>
      </c>
      <c r="G5" s="325" t="s">
        <v>106</v>
      </c>
      <c r="H5" s="326" t="s">
        <v>125</v>
      </c>
      <c r="I5" s="326" t="s">
        <v>127</v>
      </c>
      <c r="J5" s="326" t="s">
        <v>126</v>
      </c>
      <c r="K5" s="327" t="s">
        <v>172</v>
      </c>
      <c r="M5" s="325" t="str">
        <f>F5</f>
        <v>Initially Planned</v>
      </c>
      <c r="N5" s="325" t="str">
        <f>G5</f>
        <v>Pulled after Start</v>
      </c>
      <c r="O5" s="328" t="str">
        <f>H5</f>
        <v>Completed</v>
      </c>
      <c r="P5" s="328" t="str">
        <f>J5</f>
        <v>Removed</v>
      </c>
      <c r="Q5" s="328" t="str">
        <f>I5</f>
        <v>Not Completed</v>
      </c>
      <c r="R5" s="329" t="s">
        <v>173</v>
      </c>
      <c r="U5" s="324" t="s">
        <v>460</v>
      </c>
      <c r="V5" s="324" t="s">
        <v>461</v>
      </c>
    </row>
    <row r="6" spans="2:22" ht="13.5" customHeight="1">
      <c r="B6" s="415" t="s">
        <v>174</v>
      </c>
      <c r="C6" s="330" t="s">
        <v>35</v>
      </c>
      <c r="D6" s="331">
        <f>COUNTIFS(Tabelle1324568910111213141516171618[Team],$C6)</f>
        <v>33</v>
      </c>
      <c r="E6" s="332">
        <f>COUNTIFS(Tabelle1324568910111213141516171618[Team],$C6,Tabelle1324568910111213141516171618[Status],$E$5)</f>
        <v>23</v>
      </c>
      <c r="F6" s="333">
        <f>SUMIFS(Tabelle1324568910111213141516171618[Jira Story Points],Tabelle1324568910111213141516171618[Pulled after Start],"",Tabelle1324568910111213141516171618[Team],$C6)</f>
        <v>104</v>
      </c>
      <c r="G6" s="334">
        <f>SUMIFS(Tabelle1324568910111213141516171618[Jira Story Points],Tabelle1324568910111213141516171618[Pulled after Start],"yes",Tabelle1324568910111213141516171618[Team],$C6)</f>
        <v>20</v>
      </c>
      <c r="H6" s="335">
        <f>SUMIFS(Tabelle1324568910111213141516171618[Jira Story Points],Tabelle1324568910111213141516171618[Status],$H$5,Tabelle1324568910111213141516171618[Team],$C6)</f>
        <v>83</v>
      </c>
      <c r="I6" s="334">
        <f>SUMIFS(Tabelle1324568910111213141516171618[Jira Story Points],Tabelle1324568910111213141516171618[Status],$I$5,Tabelle1324568910111213141516171618[Team],$C6)</f>
        <v>41</v>
      </c>
      <c r="J6" s="334">
        <f>SUMIFS(Tabelle1324568910111213141516171618[Jira Story Points],Tabelle1324568910111213141516171618[Status],$J$5,Tabelle1324568910111213141516171618[Team],$C6)</f>
        <v>0</v>
      </c>
      <c r="K6" s="336">
        <f>SUMIFS(Tabelle1324568910111213141516171618[Jira Story Points],Tabelle1324568910111213141516171618[Team],$C6)</f>
        <v>124</v>
      </c>
      <c r="M6" s="334">
        <f>SUMIFS(Tabelle1324568910111213141516171618[COsSP Initially Planned],Tabelle1324568910111213141516171618[Team],$C6)</f>
        <v>104</v>
      </c>
      <c r="N6" s="334">
        <f>SUMIFS(Tabelle1324568910111213141516171618[COsSP Pulled after Start],Tabelle1324568910111213141516171618[Team],$C6)</f>
        <v>20</v>
      </c>
      <c r="O6" s="337">
        <f>SUMIFS(Tabelle1324568910111213141516171618[CSOsSP Completed],Tabelle1324568910111213141516171618[Team],$C6)</f>
        <v>83</v>
      </c>
      <c r="P6" s="337">
        <f>SUMIFS(Tabelle1324568910111213141516171618[CSOsSP Removed],Tabelle1324568910111213141516171618[Team],$C6)</f>
        <v>0</v>
      </c>
      <c r="Q6" s="338">
        <f>SUMIFS(Tabelle1324568910111213141516171618[CSOsSP Not Completed],Tabelle1324568910111213141516171618[Team],$C6)</f>
        <v>41</v>
      </c>
      <c r="R6" s="339">
        <f t="shared" ref="R6:R15" si="0">IFERROR(O6/$M6," ")</f>
        <v>0.79807692307692313</v>
      </c>
      <c r="T6" s="340"/>
      <c r="U6" s="341">
        <f>H6-V6</f>
        <v>68</v>
      </c>
      <c r="V6" s="341">
        <f>SUMIFS(Tabelle1324568910111213141516171618[Jira Story Points],Tabelle1324568910111213141516171618[Status],$H$5,Tabelle1324568910111213141516171618[Team],$C6,Tabelle1324568910111213141516171618[Pulled after Start],"yes")</f>
        <v>15</v>
      </c>
    </row>
    <row r="7" spans="2:22" ht="13.5" customHeight="1">
      <c r="B7" s="415"/>
      <c r="C7" s="330" t="s">
        <v>12</v>
      </c>
      <c r="D7" s="331">
        <f>COUNTIFS(Tabelle1324568910111213141516171618[Team],$C7)</f>
        <v>13</v>
      </c>
      <c r="E7" s="332">
        <f>COUNTIFS(Tabelle1324568910111213141516171618[Team],$C7,Tabelle1324568910111213141516171618[Status],$E$5)</f>
        <v>11</v>
      </c>
      <c r="F7" s="333">
        <f>SUMIFS(Tabelle1324568910111213141516171618[Jira Story Points],Tabelle1324568910111213141516171618[Pulled after Start],"",Tabelle1324568910111213141516171618[Team],$C7)</f>
        <v>20</v>
      </c>
      <c r="G7" s="334">
        <f>SUMIFS(Tabelle1324568910111213141516171618[Jira Story Points],Tabelle1324568910111213141516171618[Pulled after Start],"yes",Tabelle1324568910111213141516171618[Team],$C7)</f>
        <v>10</v>
      </c>
      <c r="H7" s="335">
        <f>SUMIFS(Tabelle1324568910111213141516171618[Jira Story Points],Tabelle1324568910111213141516171618[Status],$H$5,Tabelle1324568910111213141516171618[Team],$C7)</f>
        <v>25</v>
      </c>
      <c r="I7" s="334">
        <f>SUMIFS(Tabelle1324568910111213141516171618[Jira Story Points],Tabelle1324568910111213141516171618[Status],$I$5,Tabelle1324568910111213141516171618[Team],$C7)</f>
        <v>3</v>
      </c>
      <c r="J7" s="334">
        <f>SUMIFS(Tabelle1324568910111213141516171618[Jira Story Points],Tabelle1324568910111213141516171618[Status],$J$5,Tabelle1324568910111213141516171618[Team],$C7)</f>
        <v>2</v>
      </c>
      <c r="K7" s="336">
        <f>SUMIFS(Tabelle1324568910111213141516171618[Jira Story Points],Tabelle1324568910111213141516171618[Team],$C7)</f>
        <v>30</v>
      </c>
      <c r="M7" s="334">
        <f>SUMIFS(Tabelle1324568910111213141516171618[COsSP Initially Planned],Tabelle1324568910111213141516171618[Team],$C7)</f>
        <v>18</v>
      </c>
      <c r="N7" s="334">
        <f>SUMIFS(Tabelle1324568910111213141516171618[COsSP Pulled after Start],Tabelle1324568910111213141516171618[Team],$C7)</f>
        <v>12</v>
      </c>
      <c r="O7" s="337">
        <f>SUMIFS(Tabelle1324568910111213141516171618[CSOsSP Completed],Tabelle1324568910111213141516171618[Team],$C7)</f>
        <v>26</v>
      </c>
      <c r="P7" s="337">
        <f>SUMIFS(Tabelle1324568910111213141516171618[CSOsSP Removed],Tabelle1324568910111213141516171618[Team],$C7)</f>
        <v>2</v>
      </c>
      <c r="Q7" s="338">
        <f>SUMIFS(Tabelle1324568910111213141516171618[CSOsSP Not Completed],Tabelle1324568910111213141516171618[Team],$C7)</f>
        <v>2</v>
      </c>
      <c r="R7" s="339">
        <f t="shared" si="0"/>
        <v>1.4444444444444444</v>
      </c>
      <c r="T7" s="340"/>
      <c r="U7" s="341">
        <f t="shared" ref="U7:U15" si="1">H7-V7</f>
        <v>15</v>
      </c>
      <c r="V7" s="341">
        <f>SUMIFS(Tabelle1324568910111213141516171618[Jira Story Points],Tabelle1324568910111213141516171618[Status],$H$5,Tabelle1324568910111213141516171618[Team],$C7,Tabelle1324568910111213141516171618[Pulled after Start],"yes")</f>
        <v>10</v>
      </c>
    </row>
    <row r="8" spans="2:22" ht="13.5" customHeight="1">
      <c r="B8" s="415"/>
      <c r="C8" s="330" t="s">
        <v>27</v>
      </c>
      <c r="D8" s="331">
        <f>COUNTIFS(Tabelle1324568910111213141516171618[Team],$C8)</f>
        <v>36</v>
      </c>
      <c r="E8" s="332">
        <f>COUNTIFS(Tabelle1324568910111213141516171618[Team],$C8,Tabelle1324568910111213141516171618[Status],$E$5)</f>
        <v>27</v>
      </c>
      <c r="F8" s="333">
        <f>SUMIFS(Tabelle1324568910111213141516171618[Jira Story Points],Tabelle1324568910111213141516171618[Pulled after Start],"",Tabelle1324568910111213141516171618[Team],$C8)</f>
        <v>68</v>
      </c>
      <c r="G8" s="334">
        <f>SUMIFS(Tabelle1324568910111213141516171618[Jira Story Points],Tabelle1324568910111213141516171618[Pulled after Start],"yes",Tabelle1324568910111213141516171618[Team],$C8)</f>
        <v>56</v>
      </c>
      <c r="H8" s="335">
        <f>SUMIFS(Tabelle1324568910111213141516171618[Jira Story Points],Tabelle1324568910111213141516171618[Status],$H$5,Tabelle1324568910111213141516171618[Team],$C8)</f>
        <v>81</v>
      </c>
      <c r="I8" s="334">
        <f>SUMIFS(Tabelle1324568910111213141516171618[Jira Story Points],Tabelle1324568910111213141516171618[Status],$I$5,Tabelle1324568910111213141516171618[Team],$C8)</f>
        <v>43</v>
      </c>
      <c r="J8" s="334">
        <f>SUMIFS(Tabelle1324568910111213141516171618[Jira Story Points],Tabelle1324568910111213141516171618[Status],$J$5,Tabelle1324568910111213141516171618[Team],$C8)</f>
        <v>0</v>
      </c>
      <c r="K8" s="336">
        <f>SUMIFS(Tabelle1324568910111213141516171618[Jira Story Points],Tabelle1324568910111213141516171618[Team],$C8)</f>
        <v>124</v>
      </c>
      <c r="M8" s="334">
        <f>SUMIFS(Tabelle1324568910111213141516171618[COsSP Initially Planned],Tabelle1324568910111213141516171618[Team],$C8)</f>
        <v>57</v>
      </c>
      <c r="N8" s="334">
        <f>SUMIFS(Tabelle1324568910111213141516171618[COsSP Pulled after Start],Tabelle1324568910111213141516171618[Team],$C8)</f>
        <v>56</v>
      </c>
      <c r="O8" s="337">
        <f>SUMIFS(Tabelle1324568910111213141516171618[CSOsSP Completed],Tabelle1324568910111213141516171618[Team],$C8)</f>
        <v>80</v>
      </c>
      <c r="P8" s="337">
        <f>SUMIFS(Tabelle1324568910111213141516171618[CSOsSP Removed],Tabelle1324568910111213141516171618[Team],$C8)</f>
        <v>0</v>
      </c>
      <c r="Q8" s="338">
        <f>SUMIFS(Tabelle1324568910111213141516171618[CSOsSP Not Completed],Tabelle1324568910111213141516171618[Team],$C8)</f>
        <v>33</v>
      </c>
      <c r="R8" s="339">
        <f t="shared" si="0"/>
        <v>1.4035087719298245</v>
      </c>
      <c r="T8" s="340"/>
      <c r="U8" s="341">
        <f t="shared" si="1"/>
        <v>44</v>
      </c>
      <c r="V8" s="341">
        <f>SUMIFS(Tabelle1324568910111213141516171618[Jira Story Points],Tabelle1324568910111213141516171618[Status],$H$5,Tabelle1324568910111213141516171618[Team],$C8,Tabelle1324568910111213141516171618[Pulled after Start],"yes")</f>
        <v>37</v>
      </c>
    </row>
    <row r="9" spans="2:22" ht="13.5" customHeight="1">
      <c r="B9" s="415"/>
      <c r="C9" s="330" t="s">
        <v>5</v>
      </c>
      <c r="D9" s="331">
        <f>COUNTIFS(Tabelle1324568910111213141516171618[Team],$C9)</f>
        <v>17</v>
      </c>
      <c r="E9" s="332">
        <f>COUNTIFS(Tabelle1324568910111213141516171618[Team],$C9,Tabelle1324568910111213141516171618[Status],$E$5)</f>
        <v>13</v>
      </c>
      <c r="F9" s="333">
        <f>SUMIFS(Tabelle1324568910111213141516171618[Jira Story Points],Tabelle1324568910111213141516171618[Pulled after Start],"",Tabelle1324568910111213141516171618[Team],$C9)</f>
        <v>52</v>
      </c>
      <c r="G9" s="334">
        <f>SUMIFS(Tabelle1324568910111213141516171618[Jira Story Points],Tabelle1324568910111213141516171618[Pulled after Start],"yes",Tabelle1324568910111213141516171618[Team],$C9)</f>
        <v>24</v>
      </c>
      <c r="H9" s="335">
        <f>SUMIFS(Tabelle1324568910111213141516171618[Jira Story Points],Tabelle1324568910111213141516171618[Status],$H$5,Tabelle1324568910111213141516171618[Team],$C9)</f>
        <v>52</v>
      </c>
      <c r="I9" s="334">
        <f>SUMIFS(Tabelle1324568910111213141516171618[Jira Story Points],Tabelle1324568910111213141516171618[Status],$I$5,Tabelle1324568910111213141516171618[Team],$C9)</f>
        <v>24</v>
      </c>
      <c r="J9" s="334">
        <f>SUMIFS(Tabelle1324568910111213141516171618[Jira Story Points],Tabelle1324568910111213141516171618[Status],$J$5,Tabelle1324568910111213141516171618[Team],$C9)</f>
        <v>0</v>
      </c>
      <c r="K9" s="336">
        <f>SUMIFS(Tabelle1324568910111213141516171618[Jira Story Points],Tabelle1324568910111213141516171618[Team],$C9)</f>
        <v>76</v>
      </c>
      <c r="M9" s="334">
        <f>SUMIFS(Tabelle1324568910111213141516171618[COsSP Initially Planned],Tabelle1324568910111213141516171618[Team],$C9)</f>
        <v>52</v>
      </c>
      <c r="N9" s="334">
        <f>SUMIFS(Tabelle1324568910111213141516171618[COsSP Pulled after Start],Tabelle1324568910111213141516171618[Team],$C9)</f>
        <v>24</v>
      </c>
      <c r="O9" s="337">
        <f>SUMIFS(Tabelle1324568910111213141516171618[CSOsSP Completed],Tabelle1324568910111213141516171618[Team],$C9)</f>
        <v>65</v>
      </c>
      <c r="P9" s="337">
        <f>SUMIFS(Tabelle1324568910111213141516171618[CSOsSP Removed],Tabelle1324568910111213141516171618[Team],$C9)</f>
        <v>0</v>
      </c>
      <c r="Q9" s="338">
        <f>SUMIFS(Tabelle1324568910111213141516171618[CSOsSP Not Completed],Tabelle1324568910111213141516171618[Team],$C9)</f>
        <v>11</v>
      </c>
      <c r="R9" s="339">
        <f t="shared" si="0"/>
        <v>1.25</v>
      </c>
      <c r="T9" s="340"/>
      <c r="U9" s="341">
        <f t="shared" si="1"/>
        <v>36</v>
      </c>
      <c r="V9" s="341">
        <f>SUMIFS(Tabelle1324568910111213141516171618[Jira Story Points],Tabelle1324568910111213141516171618[Status],$H$5,Tabelle1324568910111213141516171618[Team],$C9,Tabelle1324568910111213141516171618[Pulled after Start],"yes")</f>
        <v>16</v>
      </c>
    </row>
    <row r="10" spans="2:22" ht="13.5" customHeight="1">
      <c r="B10" s="415"/>
      <c r="C10" s="330" t="s">
        <v>32</v>
      </c>
      <c r="D10" s="331">
        <f>COUNTIFS(Tabelle1324568910111213141516171618[Team],$C10)</f>
        <v>21</v>
      </c>
      <c r="E10" s="332">
        <f>COUNTIFS(Tabelle1324568910111213141516171618[Team],$C10,Tabelle1324568910111213141516171618[Status],$E$5)</f>
        <v>17</v>
      </c>
      <c r="F10" s="333">
        <f>SUMIFS(Tabelle1324568910111213141516171618[Jira Story Points],Tabelle1324568910111213141516171618[Pulled after Start],"",Tabelle1324568910111213141516171618[Team],$C10)</f>
        <v>52</v>
      </c>
      <c r="G10" s="334">
        <f>SUMIFS(Tabelle1324568910111213141516171618[Jira Story Points],Tabelle1324568910111213141516171618[Pulled after Start],"yes",Tabelle1324568910111213141516171618[Team],$C10)</f>
        <v>19</v>
      </c>
      <c r="H10" s="335">
        <f>SUMIFS(Tabelle1324568910111213141516171618[Jira Story Points],Tabelle1324568910111213141516171618[Status],$H$5,Tabelle1324568910111213141516171618[Team],$C10)</f>
        <v>47</v>
      </c>
      <c r="I10" s="334">
        <f>SUMIFS(Tabelle1324568910111213141516171618[Jira Story Points],Tabelle1324568910111213141516171618[Status],$I$5,Tabelle1324568910111213141516171618[Team],$C10)</f>
        <v>24</v>
      </c>
      <c r="J10" s="334">
        <f>SUMIFS(Tabelle1324568910111213141516171618[Jira Story Points],Tabelle1324568910111213141516171618[Status],$J$5,Tabelle1324568910111213141516171618[Team],$C10)</f>
        <v>0</v>
      </c>
      <c r="K10" s="336">
        <f>SUMIFS(Tabelle1324568910111213141516171618[Jira Story Points],Tabelle1324568910111213141516171618[Team],$C10)</f>
        <v>71</v>
      </c>
      <c r="M10" s="334">
        <f>SUMIFS(Tabelle1324568910111213141516171618[COsSP Initially Planned],Tabelle1324568910111213141516171618[Team],$C10)</f>
        <v>45</v>
      </c>
      <c r="N10" s="334">
        <f>SUMIFS(Tabelle1324568910111213141516171618[COsSP Pulled after Start],Tabelle1324568910111213141516171618[Team],$C10)</f>
        <v>19</v>
      </c>
      <c r="O10" s="337">
        <f>SUMIFS(Tabelle1324568910111213141516171618[CSOsSP Completed],Tabelle1324568910111213141516171618[Team],$C10)</f>
        <v>50</v>
      </c>
      <c r="P10" s="337">
        <f>SUMIFS(Tabelle1324568910111213141516171618[CSOsSP Removed],Tabelle1324568910111213141516171618[Team],$C10)</f>
        <v>0</v>
      </c>
      <c r="Q10" s="338">
        <f>SUMIFS(Tabelle1324568910111213141516171618[CSOsSP Not Completed],Tabelle1324568910111213141516171618[Team],$C10)</f>
        <v>14</v>
      </c>
      <c r="R10" s="339">
        <f t="shared" si="0"/>
        <v>1.1111111111111112</v>
      </c>
      <c r="T10" s="340"/>
      <c r="U10" s="341">
        <f t="shared" si="1"/>
        <v>36</v>
      </c>
      <c r="V10" s="341">
        <f>SUMIFS(Tabelle1324568910111213141516171618[Jira Story Points],Tabelle1324568910111213141516171618[Status],$H$5,Tabelle1324568910111213141516171618[Team],$C10,Tabelle1324568910111213141516171618[Pulled after Start],"yes")</f>
        <v>11</v>
      </c>
    </row>
    <row r="11" spans="2:22" ht="13.5" customHeight="1">
      <c r="B11" s="415"/>
      <c r="C11" s="330" t="s">
        <v>24</v>
      </c>
      <c r="D11" s="331">
        <f>COUNTIFS(Tabelle1324568910111213141516171618[Team],$C11)</f>
        <v>28</v>
      </c>
      <c r="E11" s="332">
        <f>COUNTIFS(Tabelle1324568910111213141516171618[Team],$C11,Tabelle1324568910111213141516171618[Status],$E$5)</f>
        <v>20</v>
      </c>
      <c r="F11" s="333">
        <f>SUMIFS(Tabelle1324568910111213141516171618[Jira Story Points],Tabelle1324568910111213141516171618[Pulled after Start],"",Tabelle1324568910111213141516171618[Team],$C11)</f>
        <v>59</v>
      </c>
      <c r="G11" s="334">
        <f>SUMIFS(Tabelle1324568910111213141516171618[Jira Story Points],Tabelle1324568910111213141516171618[Pulled after Start],"yes",Tabelle1324568910111213141516171618[Team],$C11)</f>
        <v>28</v>
      </c>
      <c r="H11" s="335">
        <f>SUMIFS(Tabelle1324568910111213141516171618[Jira Story Points],Tabelle1324568910111213141516171618[Status],$H$5,Tabelle1324568910111213141516171618[Team],$C11)</f>
        <v>63</v>
      </c>
      <c r="I11" s="334">
        <f>SUMIFS(Tabelle1324568910111213141516171618[Jira Story Points],Tabelle1324568910111213141516171618[Status],$I$5,Tabelle1324568910111213141516171618[Team],$C11)</f>
        <v>24</v>
      </c>
      <c r="J11" s="334">
        <f>SUMIFS(Tabelle1324568910111213141516171618[Jira Story Points],Tabelle1324568910111213141516171618[Status],$J$5,Tabelle1324568910111213141516171618[Team],$C11)</f>
        <v>0</v>
      </c>
      <c r="K11" s="336">
        <f>SUMIFS(Tabelle1324568910111213141516171618[Jira Story Points],Tabelle1324568910111213141516171618[Team],$C11)</f>
        <v>87</v>
      </c>
      <c r="M11" s="334">
        <f>SUMIFS(Tabelle1324568910111213141516171618[COsSP Initially Planned],Tabelle1324568910111213141516171618[Team],$C11)</f>
        <v>59</v>
      </c>
      <c r="N11" s="334">
        <f>SUMIFS(Tabelle1324568910111213141516171618[COsSP Pulled after Start],Tabelle1324568910111213141516171618[Team],$C11)</f>
        <v>29</v>
      </c>
      <c r="O11" s="337">
        <f>SUMIFS(Tabelle1324568910111213141516171618[CSOsSP Completed],Tabelle1324568910111213141516171618[Team],$C11)</f>
        <v>64</v>
      </c>
      <c r="P11" s="337">
        <f>SUMIFS(Tabelle1324568910111213141516171618[CSOsSP Removed],Tabelle1324568910111213141516171618[Team],$C11)</f>
        <v>0</v>
      </c>
      <c r="Q11" s="338">
        <f>SUMIFS(Tabelle1324568910111213141516171618[CSOsSP Not Completed],Tabelle1324568910111213141516171618[Team],$C11)</f>
        <v>24</v>
      </c>
      <c r="R11" s="339">
        <f t="shared" si="0"/>
        <v>1.0847457627118644</v>
      </c>
      <c r="T11" s="340"/>
      <c r="U11" s="341">
        <f t="shared" si="1"/>
        <v>44</v>
      </c>
      <c r="V11" s="341">
        <f>SUMIFS(Tabelle1324568910111213141516171618[Jira Story Points],Tabelle1324568910111213141516171618[Status],$H$5,Tabelle1324568910111213141516171618[Team],$C11,Tabelle1324568910111213141516171618[Pulled after Start],"yes")</f>
        <v>19</v>
      </c>
    </row>
    <row r="12" spans="2:22" ht="13.5" customHeight="1">
      <c r="B12" s="415"/>
      <c r="C12" s="330" t="s">
        <v>17</v>
      </c>
      <c r="D12" s="331">
        <f>COUNTIFS(Tabelle1324568910111213141516171618[Team],$C12)</f>
        <v>23</v>
      </c>
      <c r="E12" s="332">
        <f>COUNTIFS(Tabelle1324568910111213141516171618[Team],$C12,Tabelle1324568910111213141516171618[Status],$E$5)</f>
        <v>20</v>
      </c>
      <c r="F12" s="333">
        <f>SUMIFS(Tabelle1324568910111213141516171618[Jira Story Points],Tabelle1324568910111213141516171618[Pulled after Start],"",Tabelle1324568910111213141516171618[Team],$C12)</f>
        <v>43</v>
      </c>
      <c r="G12" s="334">
        <f>SUMIFS(Tabelle1324568910111213141516171618[Jira Story Points],Tabelle1324568910111213141516171618[Pulled after Start],"yes",Tabelle1324568910111213141516171618[Team],$C12)</f>
        <v>19</v>
      </c>
      <c r="H12" s="335">
        <f>SUMIFS(Tabelle1324568910111213141516171618[Jira Story Points],Tabelle1324568910111213141516171618[Status],$H$5,Tabelle1324568910111213141516171618[Team],$C12)</f>
        <v>43</v>
      </c>
      <c r="I12" s="334">
        <f>SUMIFS(Tabelle1324568910111213141516171618[Jira Story Points],Tabelle1324568910111213141516171618[Status],$I$5,Tabelle1324568910111213141516171618[Team],$C12)</f>
        <v>19</v>
      </c>
      <c r="J12" s="334">
        <f>SUMIFS(Tabelle1324568910111213141516171618[Jira Story Points],Tabelle1324568910111213141516171618[Status],$J$5,Tabelle1324568910111213141516171618[Team],$C12)</f>
        <v>0</v>
      </c>
      <c r="K12" s="336">
        <f>SUMIFS(Tabelle1324568910111213141516171618[Jira Story Points],Tabelle1324568910111213141516171618[Team],$C12)</f>
        <v>62</v>
      </c>
      <c r="M12" s="334">
        <f>SUMIFS(Tabelle1324568910111213141516171618[COsSP Initially Planned],Tabelle1324568910111213141516171618[Team],$C12)</f>
        <v>43</v>
      </c>
      <c r="N12" s="334">
        <f>SUMIFS(Tabelle1324568910111213141516171618[COsSP Pulled after Start],Tabelle1324568910111213141516171618[Team],$C12)</f>
        <v>19</v>
      </c>
      <c r="O12" s="337">
        <f>SUMIFS(Tabelle1324568910111213141516171618[CSOsSP Completed],Tabelle1324568910111213141516171618[Team],$C12)</f>
        <v>53</v>
      </c>
      <c r="P12" s="337">
        <f>SUMIFS(Tabelle1324568910111213141516171618[CSOsSP Removed],Tabelle1324568910111213141516171618[Team],$C12)</f>
        <v>0</v>
      </c>
      <c r="Q12" s="338">
        <f>SUMIFS(Tabelle1324568910111213141516171618[CSOsSP Not Completed],Tabelle1324568910111213141516171618[Team],$C12)</f>
        <v>9</v>
      </c>
      <c r="R12" s="339">
        <f t="shared" si="0"/>
        <v>1.2325581395348837</v>
      </c>
      <c r="T12" s="340"/>
      <c r="U12" s="341">
        <f t="shared" si="1"/>
        <v>27</v>
      </c>
      <c r="V12" s="341">
        <f>SUMIFS(Tabelle1324568910111213141516171618[Jira Story Points],Tabelle1324568910111213141516171618[Status],$H$5,Tabelle1324568910111213141516171618[Team],$C12,Tabelle1324568910111213141516171618[Pulled after Start],"yes")</f>
        <v>16</v>
      </c>
    </row>
    <row r="13" spans="2:22" ht="13.5" customHeight="1">
      <c r="B13" s="415"/>
      <c r="C13" s="342" t="s">
        <v>107</v>
      </c>
      <c r="D13" s="331">
        <f>COUNTIFS(Tabelle1324568910111213141516171618[Team],$C13)</f>
        <v>0</v>
      </c>
      <c r="E13" s="332">
        <f>COUNTIFS(Tabelle1324568910111213141516171618[Team],$C13,Tabelle1324568910111213141516171618[Status],$E$5)</f>
        <v>0</v>
      </c>
      <c r="F13" s="333">
        <f>SUMIFS(Tabelle1324568910111213141516171618[Jira Story Points],Tabelle1324568910111213141516171618[Pulled after Start],"",Tabelle1324568910111213141516171618[Team],$C13)</f>
        <v>0</v>
      </c>
      <c r="G13" s="334">
        <f>SUMIFS(Tabelle1324568910111213141516171618[Jira Story Points],Tabelle1324568910111213141516171618[Pulled after Start],"yes",Tabelle1324568910111213141516171618[Team],$C13)</f>
        <v>0</v>
      </c>
      <c r="H13" s="335">
        <f>SUMIFS(Tabelle1324568910111213141516171618[Jira Story Points],Tabelle1324568910111213141516171618[Status],$H$5,Tabelle1324568910111213141516171618[Team],$C13)</f>
        <v>0</v>
      </c>
      <c r="I13" s="334">
        <f>SUMIFS(Tabelle1324568910111213141516171618[Jira Story Points],Tabelle1324568910111213141516171618[Status],$I$5,Tabelle1324568910111213141516171618[Team],$C13)</f>
        <v>0</v>
      </c>
      <c r="J13" s="334">
        <f>SUMIFS(Tabelle1324568910111213141516171618[Jira Story Points],Tabelle1324568910111213141516171618[Status],$J$5,Tabelle1324568910111213141516171618[Team],$C13)</f>
        <v>0</v>
      </c>
      <c r="K13" s="336">
        <f>SUMIFS(Tabelle1324568910111213141516171618[Jira Story Points],Tabelle1324568910111213141516171618[Team],$C13)</f>
        <v>0</v>
      </c>
      <c r="M13" s="334">
        <f>SUMIFS(Tabelle1324568910111213141516171618[COsSP Initially Planned],Tabelle1324568910111213141516171618[Team],$C13)</f>
        <v>0</v>
      </c>
      <c r="N13" s="334">
        <f>SUMIFS(Tabelle1324568910111213141516171618[COsSP Pulled after Start],Tabelle1324568910111213141516171618[Team],$C13)</f>
        <v>0</v>
      </c>
      <c r="O13" s="337">
        <f>SUMIFS(Tabelle1324568910111213141516171618[CSOsSP Completed],Tabelle1324568910111213141516171618[Team],$C13)</f>
        <v>0</v>
      </c>
      <c r="P13" s="337">
        <f>SUMIFS(Tabelle1324568910111213141516171618[CSOsSP Removed],Tabelle1324568910111213141516171618[Team],$C13)</f>
        <v>0</v>
      </c>
      <c r="Q13" s="338">
        <f>SUMIFS(Tabelle1324568910111213141516171618[CSOsSP Not Completed],Tabelle1324568910111213141516171618[Team],$C13)</f>
        <v>0</v>
      </c>
      <c r="R13" s="339" t="str">
        <f t="shared" si="0"/>
        <v xml:space="preserve"> </v>
      </c>
      <c r="T13" s="340"/>
      <c r="U13" s="341">
        <f t="shared" si="1"/>
        <v>0</v>
      </c>
      <c r="V13" s="341">
        <f>SUMIFS(Tabelle1324568910111213141516171618[Jira Story Points],Tabelle1324568910111213141516171618[Status],$H$5,Tabelle1324568910111213141516171618[Team],$C13,Tabelle1324568910111213141516171618[Pulled after Start],"yes")</f>
        <v>0</v>
      </c>
    </row>
    <row r="14" spans="2:22" ht="13.5" customHeight="1">
      <c r="B14" s="415"/>
      <c r="C14" s="338" t="s">
        <v>21</v>
      </c>
      <c r="D14" s="331">
        <f>COUNTIFS(Tabelle1324568910111213141516171618[Team],$C14)</f>
        <v>90</v>
      </c>
      <c r="E14" s="332">
        <f>COUNTIFS(Tabelle1324568910111213141516171618[Team],$C14,Tabelle1324568910111213141516171618[Status],$E$5)</f>
        <v>79</v>
      </c>
      <c r="F14" s="333">
        <f>SUMIFS(Tabelle1324568910111213141516171618[Jira Story Points],Tabelle1324568910111213141516171618[Pulled after Start],"",Tabelle1324568910111213141516171618[Team],$C14)</f>
        <v>81</v>
      </c>
      <c r="G14" s="334">
        <f>SUMIFS(Tabelle1324568910111213141516171618[Jira Story Points],Tabelle1324568910111213141516171618[Pulled after Start],"yes",Tabelle1324568910111213141516171618[Team],$C14)</f>
        <v>91</v>
      </c>
      <c r="H14" s="335">
        <f>SUMIFS(Tabelle1324568910111213141516171618[Jira Story Points],Tabelle1324568910111213141516171618[Status],$H$5,Tabelle1324568910111213141516171618[Team],$C14)</f>
        <v>151</v>
      </c>
      <c r="I14" s="334">
        <f>SUMIFS(Tabelle1324568910111213141516171618[Jira Story Points],Tabelle1324568910111213141516171618[Status],$I$5,Tabelle1324568910111213141516171618[Team],$C14)</f>
        <v>21</v>
      </c>
      <c r="J14" s="334">
        <f>SUMIFS(Tabelle1324568910111213141516171618[Jira Story Points],Tabelle1324568910111213141516171618[Status],$J$5,Tabelle1324568910111213141516171618[Team],$C14)</f>
        <v>0</v>
      </c>
      <c r="K14" s="336">
        <f>SUMIFS(Tabelle1324568910111213141516171618[Jira Story Points],Tabelle1324568910111213141516171618[Team],$C14)</f>
        <v>172</v>
      </c>
      <c r="M14" s="334">
        <f>SUMIFS(Tabelle1324568910111213141516171618[COsSP Initially Planned],Tabelle1324568910111213141516171618[Team],$C14)</f>
        <v>81</v>
      </c>
      <c r="N14" s="334">
        <f>SUMIFS(Tabelle1324568910111213141516171618[COsSP Pulled after Start],Tabelle1324568910111213141516171618[Team],$C14)</f>
        <v>91</v>
      </c>
      <c r="O14" s="337">
        <f>SUMIFS(Tabelle1324568910111213141516171618[CSOsSP Completed],Tabelle1324568910111213141516171618[Team],$C14)</f>
        <v>151</v>
      </c>
      <c r="P14" s="337">
        <f>SUMIFS(Tabelle1324568910111213141516171618[CSOsSP Removed],Tabelle1324568910111213141516171618[Team],$C14)</f>
        <v>0</v>
      </c>
      <c r="Q14" s="338">
        <f>SUMIFS(Tabelle1324568910111213141516171618[CSOsSP Not Completed],Tabelle1324568910111213141516171618[Team],$C14)</f>
        <v>21</v>
      </c>
      <c r="R14" s="339">
        <f t="shared" si="0"/>
        <v>1.8641975308641976</v>
      </c>
      <c r="T14" s="340"/>
      <c r="U14" s="341">
        <f t="shared" si="1"/>
        <v>73</v>
      </c>
      <c r="V14" s="341">
        <f>SUMIFS(Tabelle1324568910111213141516171618[Jira Story Points],Tabelle1324568910111213141516171618[Status],$H$5,Tabelle1324568910111213141516171618[Team],$C14,Tabelle1324568910111213141516171618[Pulled after Start],"yes")</f>
        <v>78</v>
      </c>
    </row>
    <row r="15" spans="2:22" ht="13.5" customHeight="1">
      <c r="B15" s="415"/>
      <c r="C15" s="338" t="s">
        <v>9</v>
      </c>
      <c r="D15" s="331">
        <f>COUNTIFS(Tabelle1324568910111213141516171618[Team],$C15)</f>
        <v>24</v>
      </c>
      <c r="E15" s="332">
        <f>COUNTIFS(Tabelle1324568910111213141516171618[Team],$C15,Tabelle1324568910111213141516171618[Status],$E$5)</f>
        <v>17</v>
      </c>
      <c r="F15" s="333">
        <f>SUMIFS(Tabelle1324568910111213141516171618[Jira Story Points],Tabelle1324568910111213141516171618[Pulled after Start],"",Tabelle1324568910111213141516171618[Team],$C15)</f>
        <v>77</v>
      </c>
      <c r="G15" s="334">
        <f>SUMIFS(Tabelle1324568910111213141516171618[Jira Story Points],Tabelle1324568910111213141516171618[Pulled after Start],"yes",Tabelle1324568910111213141516171618[Team],$C15)</f>
        <v>33</v>
      </c>
      <c r="H15" s="335">
        <f>SUMIFS(Tabelle1324568910111213141516171618[Jira Story Points],Tabelle1324568910111213141516171618[Status],$H$5,Tabelle1324568910111213141516171618[Team],$C15)</f>
        <v>59</v>
      </c>
      <c r="I15" s="334">
        <f>SUMIFS(Tabelle1324568910111213141516171618[Jira Story Points],Tabelle1324568910111213141516171618[Status],$I$5,Tabelle1324568910111213141516171618[Team],$C15)</f>
        <v>51</v>
      </c>
      <c r="J15" s="334">
        <f>SUMIFS(Tabelle1324568910111213141516171618[Jira Story Points],Tabelle1324568910111213141516171618[Status],$J$5,Tabelle1324568910111213141516171618[Team],$C15)</f>
        <v>0</v>
      </c>
      <c r="K15" s="336">
        <f>SUMIFS(Tabelle1324568910111213141516171618[Jira Story Points],Tabelle1324568910111213141516171618[Team],$C15)</f>
        <v>110</v>
      </c>
      <c r="M15" s="334">
        <f>SUMIFS(Tabelle1324568910111213141516171618[COsSP Initially Planned],Tabelle1324568910111213141516171618[Team],$C15)</f>
        <v>77</v>
      </c>
      <c r="N15" s="334">
        <f>SUMIFS(Tabelle1324568910111213141516171618[COsSP Pulled after Start],Tabelle1324568910111213141516171618[Team],$C15)</f>
        <v>33</v>
      </c>
      <c r="O15" s="337">
        <f>SUMIFS(Tabelle1324568910111213141516171618[CSOsSP Completed],Tabelle1324568910111213141516171618[Team],$C15)</f>
        <v>97</v>
      </c>
      <c r="P15" s="337">
        <f>SUMIFS(Tabelle1324568910111213141516171618[CSOsSP Removed],Tabelle1324568910111213141516171618[Team],$C15)</f>
        <v>0</v>
      </c>
      <c r="Q15" s="338">
        <f>SUMIFS(Tabelle1324568910111213141516171618[CSOsSP Not Completed],Tabelle1324568910111213141516171618[Team],$C15)</f>
        <v>13</v>
      </c>
      <c r="R15" s="339">
        <f t="shared" si="0"/>
        <v>1.2597402597402598</v>
      </c>
      <c r="T15" s="340"/>
      <c r="U15" s="341">
        <f t="shared" si="1"/>
        <v>44</v>
      </c>
      <c r="V15" s="341">
        <f>SUMIFS(Tabelle1324568910111213141516171618[Jira Story Points],Tabelle1324568910111213141516171618[Status],$H$5,Tabelle1324568910111213141516171618[Team],$C15,Tabelle1324568910111213141516171618[Pulled after Start],"yes")</f>
        <v>15</v>
      </c>
    </row>
    <row r="16" spans="2:22" ht="13.5" customHeight="1" thickBot="1">
      <c r="C16" s="343" t="s">
        <v>172</v>
      </c>
      <c r="D16" s="344">
        <f t="shared" ref="D16:K16" si="2">SUM(D6:D13)</f>
        <v>171</v>
      </c>
      <c r="E16" s="345">
        <f t="shared" si="2"/>
        <v>131</v>
      </c>
      <c r="F16" s="344">
        <f t="shared" si="2"/>
        <v>398</v>
      </c>
      <c r="G16" s="346">
        <f t="shared" si="2"/>
        <v>176</v>
      </c>
      <c r="H16" s="347">
        <f t="shared" si="2"/>
        <v>394</v>
      </c>
      <c r="I16" s="347">
        <f t="shared" si="2"/>
        <v>178</v>
      </c>
      <c r="J16" s="347">
        <f t="shared" si="2"/>
        <v>2</v>
      </c>
      <c r="K16" s="348">
        <f t="shared" si="2"/>
        <v>574</v>
      </c>
      <c r="M16" s="349">
        <f>SUM(M6:M13)</f>
        <v>378</v>
      </c>
      <c r="N16" s="325">
        <f>SUM(N6:N13)</f>
        <v>179</v>
      </c>
      <c r="O16" s="328">
        <f>SUM(O6:O13)</f>
        <v>421</v>
      </c>
      <c r="P16" s="328">
        <f>SUM(P6:P13)</f>
        <v>2</v>
      </c>
      <c r="Q16" s="350">
        <f>SUM(Q6:Q13)</f>
        <v>134</v>
      </c>
      <c r="R16" s="351" t="s">
        <v>185</v>
      </c>
      <c r="T16" s="352"/>
      <c r="U16" s="345">
        <f t="shared" ref="U16:V16" si="3">SUM(U6:U13)</f>
        <v>270</v>
      </c>
      <c r="V16" s="345">
        <f t="shared" si="3"/>
        <v>124</v>
      </c>
    </row>
    <row r="17" spans="1:22" ht="13.5" customHeight="1">
      <c r="T17" s="354"/>
      <c r="U17" s="355"/>
      <c r="V17" s="355"/>
    </row>
    <row r="18" spans="1:22" ht="13.5" customHeight="1">
      <c r="T18" s="354"/>
      <c r="U18" s="355"/>
      <c r="V18" s="355"/>
    </row>
    <row r="19" spans="1:22" ht="13.5" customHeight="1">
      <c r="T19" s="354"/>
      <c r="U19" s="355"/>
      <c r="V19" s="355"/>
    </row>
    <row r="20" spans="1:22" ht="13.5" customHeight="1">
      <c r="T20" s="354"/>
      <c r="U20" s="355"/>
      <c r="V20" s="355"/>
    </row>
    <row r="21" spans="1:22" ht="13.5" customHeight="1">
      <c r="C21" s="356" t="s">
        <v>186</v>
      </c>
      <c r="D21" s="357"/>
      <c r="E21" s="357"/>
      <c r="F21" s="357"/>
      <c r="G21" s="357"/>
      <c r="H21" s="357"/>
      <c r="I21" s="357"/>
      <c r="J21" s="357"/>
      <c r="K21" s="357"/>
      <c r="L21" s="357"/>
      <c r="M21" s="357"/>
      <c r="N21" s="357"/>
      <c r="O21" s="357"/>
      <c r="T21" s="354"/>
      <c r="U21" s="355"/>
      <c r="V21" s="355"/>
    </row>
    <row r="22" spans="1:22" ht="13.5" customHeight="1">
      <c r="C22" s="318"/>
      <c r="D22" s="436" t="s">
        <v>187</v>
      </c>
      <c r="E22" s="436"/>
      <c r="F22" s="436" t="s">
        <v>106</v>
      </c>
      <c r="G22" s="436"/>
      <c r="H22" s="436" t="s">
        <v>172</v>
      </c>
      <c r="I22" s="436"/>
      <c r="J22" s="437" t="s">
        <v>188</v>
      </c>
      <c r="K22" s="437"/>
      <c r="L22" s="437" t="s">
        <v>189</v>
      </c>
      <c r="M22" s="437"/>
      <c r="N22" s="427" t="s">
        <v>172</v>
      </c>
      <c r="O22" s="427"/>
    </row>
    <row r="23" spans="1:22" ht="13.5" customHeight="1">
      <c r="C23" s="318"/>
      <c r="D23" s="358" t="s">
        <v>190</v>
      </c>
      <c r="E23" s="359" t="s">
        <v>191</v>
      </c>
      <c r="F23" s="358" t="s">
        <v>190</v>
      </c>
      <c r="G23" s="359" t="s">
        <v>191</v>
      </c>
      <c r="H23" s="359" t="s">
        <v>190</v>
      </c>
      <c r="I23" s="359" t="s">
        <v>191</v>
      </c>
      <c r="J23" s="360" t="s">
        <v>190</v>
      </c>
      <c r="K23" s="361" t="s">
        <v>191</v>
      </c>
      <c r="L23" s="362" t="s">
        <v>190</v>
      </c>
      <c r="M23" s="362" t="s">
        <v>191</v>
      </c>
      <c r="N23" s="362" t="s">
        <v>190</v>
      </c>
      <c r="O23" s="362" t="s">
        <v>191</v>
      </c>
    </row>
    <row r="24" spans="1:22" ht="13.5" customHeight="1">
      <c r="C24" s="363" t="s">
        <v>192</v>
      </c>
      <c r="D24" s="335">
        <f>COUNTIFS(Tabelle1324568910111213141516171618[Team],"*",Tabelle1324568910111213141516171618[Pulled after Start],"&lt;&gt;yes")</f>
        <v>162</v>
      </c>
      <c r="E24" s="335">
        <f>SUMIFS(Tabelle1324568910111213141516171618[Jira Story Points],Tabelle1324568910111213141516171618[Team],"*",Tabelle1324568910111213141516171618[Pulled after Start],"&lt;&gt;yes")+COUNTIFS(Tabelle1324568910111213141516171618[Team],"*",Tabelle1324568910111213141516171618[Jira Story Points],"-",Tabelle1324568910111213141516171618[Pulled after Start],"&lt;&gt;yes")*$M$28</f>
        <v>560</v>
      </c>
      <c r="F24" s="335">
        <f>COUNTIF(Tabelle1324568910111213141516171618[Pulled after Start],"yes")</f>
        <v>123</v>
      </c>
      <c r="G24" s="335">
        <f>SUMIFS(Tabelle1324568910111213141516171618[Jira Story Points],Tabelle1324568910111213141516171618[Team],"*",Tabelle1324568910111213141516171618[Pulled after Start],"yes")+COUNTIFS(Tabelle1324568910111213141516171618[Team],"*",Tabelle1324568910111213141516171618[Jira Story Points],"-",Tabelle1324568910111213141516171618[Pulled after Start],"yes")*$M$28</f>
        <v>300</v>
      </c>
      <c r="H24" s="335">
        <f t="shared" ref="H24:I27" si="4">D24+F24</f>
        <v>285</v>
      </c>
      <c r="I24" s="335">
        <f t="shared" si="4"/>
        <v>860</v>
      </c>
      <c r="J24" s="335">
        <f>COUNTIFS(Tabelle1324568910111213141516171618[Team],"*",Tabelle1324568910111213141516171618[Jira Story Points],"&lt;&gt;-")</f>
        <v>283</v>
      </c>
      <c r="K24" s="364">
        <f>SUMIFS(Tabelle1324568910111213141516171618[Jira Story Points],Tabelle1324568910111213141516171618[Team],"*",Tabelle1324568910111213141516171618[Jira Story Points],"&lt;&gt;-")</f>
        <v>856</v>
      </c>
      <c r="L24" s="365">
        <f>COUNTIFS(Tabelle1324568910111213141516171618[Team],"*",Tabelle1324568910111213141516171618[Jira Story Points],"-")</f>
        <v>2</v>
      </c>
      <c r="M24" s="365">
        <f>L24*$M$28</f>
        <v>4</v>
      </c>
      <c r="N24" s="366">
        <f t="shared" ref="N24:O27" si="5">J24+L24</f>
        <v>285</v>
      </c>
      <c r="O24" s="335">
        <f t="shared" si="5"/>
        <v>860</v>
      </c>
    </row>
    <row r="25" spans="1:22" ht="13.5" customHeight="1">
      <c r="C25" s="363" t="s">
        <v>125</v>
      </c>
      <c r="D25" s="335">
        <f>COUNTIFS(Tabelle1324568910111213141516171618[Team],"*",Tabelle1324568910111213141516171618[Pulled after Start],"&lt;&gt;yes",Tabelle1324568910111213141516171618[Status],H5)</f>
        <v>129</v>
      </c>
      <c r="E25" s="335">
        <f>SUMIFS(Tabelle1324568910111213141516171618[Jira Story Points],Tabelle1324568910111213141516171618[Team],"*",Tabelle1324568910111213141516171618[Pulled after Start],"&lt;&gt;yes",Tabelle1324568910111213141516171618[Status],H5)+COUNTIFS(Tabelle1324568910111213141516171618[Team],"*",Tabelle1324568910111213141516171618[Jira Story Points],"-",Tabelle1324568910111213141516171618[Pulled after Start],"&lt;&gt;yes",Tabelle1324568910111213141516171618[Status],H5)*$M$28</f>
        <v>391</v>
      </c>
      <c r="F25" s="335">
        <f>COUNTIFS(Tabelle1324568910111213141516171618[Pulled after Start],"yes",Tabelle1324568910111213141516171618[Status],H5)</f>
        <v>98</v>
      </c>
      <c r="G25" s="335">
        <f>SUMIFS(Tabelle1324568910111213141516171618[Jira Story Points],Tabelle1324568910111213141516171618[Team],"*",Tabelle1324568910111213141516171618[Pulled after Start],"yes",Tabelle1324568910111213141516171618[Status],H5)+COUNTIFS(Tabelle1324568910111213141516171618[Team],"*",Tabelle1324568910111213141516171618[Jira Story Points],"-",Tabelle1324568910111213141516171618[Pulled after Start],"yes",Tabelle1324568910111213141516171618[Status],H5)*$M$28</f>
        <v>217</v>
      </c>
      <c r="H25" s="335">
        <f t="shared" si="4"/>
        <v>227</v>
      </c>
      <c r="I25" s="335">
        <f t="shared" si="4"/>
        <v>608</v>
      </c>
      <c r="J25" s="335">
        <f>COUNTIFS(Tabelle1324568910111213141516171618[Team],"*",Tabelle1324568910111213141516171618[Jira Story Points],"&lt;&gt;-",Tabelle1324568910111213141516171618[Status],H5)</f>
        <v>225</v>
      </c>
      <c r="K25" s="335">
        <f>SUMIFS(Tabelle1324568910111213141516171618[Jira Story Points],Tabelle1324568910111213141516171618[Team],"*",Tabelle1324568910111213141516171618[Jira Story Points],"&lt;&gt;-",Tabelle1324568910111213141516171618[Status],H5)</f>
        <v>604</v>
      </c>
      <c r="L25" s="367">
        <f>COUNTIFS(Tabelle1324568910111213141516171618[Team],"*",Tabelle1324568910111213141516171618[Jira Story Points],"-",Tabelle1324568910111213141516171618[Status],H5)</f>
        <v>2</v>
      </c>
      <c r="M25" s="365">
        <f>L25*$M$28</f>
        <v>4</v>
      </c>
      <c r="N25" s="335">
        <f t="shared" si="5"/>
        <v>227</v>
      </c>
      <c r="O25" s="335">
        <f t="shared" si="5"/>
        <v>608</v>
      </c>
    </row>
    <row r="26" spans="1:22" ht="13.5" customHeight="1">
      <c r="C26" s="363" t="s">
        <v>127</v>
      </c>
      <c r="D26" s="335">
        <f>COUNTIFS(Tabelle1324568910111213141516171618[Team],"*",Tabelle1324568910111213141516171618[Pulled after Start],"&lt;&gt;yes",Tabelle1324568910111213141516171618[Status],I5)</f>
        <v>32</v>
      </c>
      <c r="E26" s="335">
        <f>SUMIFS(Tabelle1324568910111213141516171618[Jira Story Points],Tabelle1324568910111213141516171618[Team],"*",Tabelle1324568910111213141516171618[Pulled after Start],"&lt;&gt;yes",Tabelle1324568910111213141516171618[Status],I5)+COUNTIFS(Tabelle1324568910111213141516171618[Team],"*",Tabelle1324568910111213141516171618[Jira Story Points],"-",Tabelle1324568910111213141516171618[Pulled after Start],"&lt;&gt;yes",Tabelle1324568910111213141516171618[Status],I5)*$M$28</f>
        <v>167</v>
      </c>
      <c r="F26" s="335">
        <f>COUNTIFS(Tabelle1324568910111213141516171618[Pulled after Start],"yes",Tabelle1324568910111213141516171618[Status],I5)</f>
        <v>25</v>
      </c>
      <c r="G26" s="335">
        <f>SUMIFS(Tabelle1324568910111213141516171618[Jira Story Points],Tabelle1324568910111213141516171618[Team],"*",Tabelle1324568910111213141516171618[Pulled after Start],"yes",Tabelle1324568910111213141516171618[Status],I5)+COUNTIFS(Tabelle1324568910111213141516171618[Team],"*",Tabelle1324568910111213141516171618[Jira Story Points],"-",Tabelle1324568910111213141516171618[Pulled after Start],"yes",Tabelle1324568910111213141516171618[Status],I5)*$M$28</f>
        <v>83</v>
      </c>
      <c r="H26" s="335">
        <f t="shared" si="4"/>
        <v>57</v>
      </c>
      <c r="I26" s="335">
        <f t="shared" si="4"/>
        <v>250</v>
      </c>
      <c r="J26" s="335">
        <f>COUNTIFS(Tabelle1324568910111213141516171618[Team],"*",Tabelle1324568910111213141516171618[Jira Story Points],"&lt;&gt;-",Tabelle1324568910111213141516171618[Status],I5)</f>
        <v>57</v>
      </c>
      <c r="K26" s="335">
        <f>SUMIFS(Tabelle1324568910111213141516171618[Jira Story Points],Tabelle1324568910111213141516171618[Team],"*",Tabelle1324568910111213141516171618[Jira Story Points],"&lt;&gt;-",Tabelle1324568910111213141516171618[Status],I5)</f>
        <v>250</v>
      </c>
      <c r="L26" s="367">
        <f>COUNTIFS(Tabelle1324568910111213141516171618[Team],"*",Tabelle1324568910111213141516171618[Jira Story Points],"-",Tabelle1324568910111213141516171618[Status],I5)</f>
        <v>0</v>
      </c>
      <c r="M26" s="365">
        <f>L26*$M$28</f>
        <v>0</v>
      </c>
      <c r="N26" s="335">
        <f t="shared" si="5"/>
        <v>57</v>
      </c>
      <c r="O26" s="335">
        <f t="shared" si="5"/>
        <v>250</v>
      </c>
    </row>
    <row r="27" spans="1:22" ht="13.5" customHeight="1">
      <c r="C27" s="363" t="s">
        <v>126</v>
      </c>
      <c r="D27" s="335">
        <f>COUNTIFS(Tabelle1324568910111213141516171618[Team],"*",Tabelle1324568910111213141516171618[Pulled after Start],"&lt;&gt;yes",Tabelle1324568910111213141516171618[Status],J5)</f>
        <v>1</v>
      </c>
      <c r="E27" s="335">
        <f>SUMIFS(Tabelle1324568910111213141516171618[Jira Story Points],Tabelle1324568910111213141516171618[Team],"*",Tabelle1324568910111213141516171618[Pulled after Start],"&lt;&gt;yes",Tabelle1324568910111213141516171618[Status],J5)+COUNTIFS(Tabelle1324568910111213141516171618[Team],"*",Tabelle1324568910111213141516171618[Jira Story Points],"-",Tabelle1324568910111213141516171618[Pulled after Start],"&lt;&gt;yes",Tabelle1324568910111213141516171618[Status],J5)*$M$28</f>
        <v>2</v>
      </c>
      <c r="F27" s="335">
        <f>COUNTIFS(Tabelle1324568910111213141516171618[Pulled after Start],"yes",Tabelle1324568910111213141516171618[Status],J5)</f>
        <v>0</v>
      </c>
      <c r="G27" s="335">
        <f>SUMIFS(Tabelle1324568910111213141516171618[Jira Story Points],Tabelle1324568910111213141516171618[Team],"*",Tabelle1324568910111213141516171618[Pulled after Start],"yes",Tabelle1324568910111213141516171618[Status],J5)+COUNTIFS(Tabelle1324568910111213141516171618[Team],"*",Tabelle1324568910111213141516171618[Jira Story Points],"-",Tabelle1324568910111213141516171618[Pulled after Start],"yes",Tabelle1324568910111213141516171618[Status],J5)*$M$28</f>
        <v>0</v>
      </c>
      <c r="H27" s="335">
        <f t="shared" si="4"/>
        <v>1</v>
      </c>
      <c r="I27" s="335">
        <f t="shared" si="4"/>
        <v>2</v>
      </c>
      <c r="J27" s="335">
        <f>COUNTIFS(Tabelle1324568910111213141516171618[Team],"*",Tabelle1324568910111213141516171618[Jira Story Points],"&lt;&gt;-",Tabelle1324568910111213141516171618[Status],J5)</f>
        <v>1</v>
      </c>
      <c r="K27" s="335">
        <f>SUMIFS(Tabelle1324568910111213141516171618[Jira Story Points],Tabelle1324568910111213141516171618[Team],"*",Tabelle1324568910111213141516171618[Jira Story Points],"&lt;&gt;-",Tabelle1324568910111213141516171618[Status],J5)</f>
        <v>2</v>
      </c>
      <c r="L27" s="367">
        <f>COUNTIFS(Tabelle1324568910111213141516171618[Team],"*",Tabelle1324568910111213141516171618[Jira Story Points],"-",Tabelle1324568910111213141516171618[Status],J5)</f>
        <v>0</v>
      </c>
      <c r="M27" s="365">
        <f>L27*$M$28</f>
        <v>0</v>
      </c>
      <c r="N27" s="335">
        <f t="shared" si="5"/>
        <v>1</v>
      </c>
      <c r="O27" s="335">
        <f t="shared" si="5"/>
        <v>2</v>
      </c>
    </row>
    <row r="28" spans="1:22" ht="13.5" customHeight="1" thickBot="1">
      <c r="C28" s="315"/>
      <c r="D28" s="315"/>
      <c r="E28" s="315"/>
      <c r="F28" s="315"/>
      <c r="G28" s="315"/>
      <c r="H28" s="315"/>
      <c r="I28" s="315"/>
      <c r="J28" s="315"/>
      <c r="K28" s="315"/>
      <c r="L28" s="368" t="s">
        <v>193</v>
      </c>
      <c r="M28" s="369">
        <v>2</v>
      </c>
    </row>
    <row r="29" spans="1:22" ht="13.5" customHeight="1" thickTop="1"/>
    <row r="31" spans="1:22" s="374" customFormat="1" ht="30.75" customHeight="1">
      <c r="A31" s="370" t="s">
        <v>194</v>
      </c>
      <c r="B31" s="370" t="s">
        <v>195</v>
      </c>
      <c r="C31" s="370" t="s">
        <v>196</v>
      </c>
      <c r="D31" s="370" t="s">
        <v>197</v>
      </c>
      <c r="E31" s="370" t="s">
        <v>198</v>
      </c>
      <c r="F31" s="370" t="s">
        <v>199</v>
      </c>
      <c r="G31" s="370" t="s">
        <v>167</v>
      </c>
      <c r="H31" s="370" t="s">
        <v>106</v>
      </c>
      <c r="I31" s="370" t="s">
        <v>200</v>
      </c>
      <c r="J31" s="370" t="s">
        <v>168</v>
      </c>
      <c r="K31" s="370" t="s">
        <v>201</v>
      </c>
      <c r="L31" s="370" t="s">
        <v>202</v>
      </c>
      <c r="M31" s="370" t="s">
        <v>203</v>
      </c>
      <c r="N31" s="371" t="s">
        <v>204</v>
      </c>
      <c r="O31" s="372" t="s">
        <v>205</v>
      </c>
      <c r="P31" s="372" t="s">
        <v>206</v>
      </c>
      <c r="Q31" s="373" t="s">
        <v>207</v>
      </c>
      <c r="R31" s="372" t="s">
        <v>208</v>
      </c>
    </row>
    <row r="32" spans="1:22" s="374" customFormat="1" ht="15">
      <c r="A32" s="202" t="s">
        <v>462</v>
      </c>
      <c r="B32" t="s">
        <v>463</v>
      </c>
      <c r="C32" s="203" t="s">
        <v>375</v>
      </c>
      <c r="D32" s="375">
        <v>1</v>
      </c>
      <c r="E32" s="203" t="s">
        <v>216</v>
      </c>
      <c r="F32" s="376">
        <v>5</v>
      </c>
      <c r="G32" s="203" t="s">
        <v>12</v>
      </c>
      <c r="H32" s="205" t="s">
        <v>209</v>
      </c>
      <c r="I32" s="206" t="s">
        <v>217</v>
      </c>
      <c r="J32" s="377"/>
      <c r="K32" s="203" t="s">
        <v>125</v>
      </c>
      <c r="L32" s="376"/>
      <c r="M32" s="376"/>
      <c r="N32" s="286">
        <f>IF(OR(Tabelle1324568910111213141516171618[[#This Row],[Pulled after Start]]="yes",Tabelle1324568910111213141516171618[[#This Row],[Jira Story Points]]="-"),0,MIN(Tabelle1324568910111213141516171618[[#This Row],[Jira Story Points]],Tabelle1324568910111213141516171618[[#This Row],[Carry-over]]))</f>
        <v>0</v>
      </c>
      <c r="O32" s="210">
        <f>SUM(IF(ISBLANK(Tabelle1324568910111213141516171618[[#This Row],[Carry-over]]),Tabelle1324568910111213141516171618[[#This Row],[Jira Story Points]],Tabelle1324568910111213141516171618[[#This Row],[Carry-over]]),-Tabelle1324568910111213141516171618[[#This Row],[COsSP Initially Planned]])</f>
        <v>5</v>
      </c>
      <c r="P32"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32" s="210">
        <f>IF(Tabelle1324568910111213141516171618[[#This Row],[Status]]=$J$5,Tabelle1324568910111213141516171618[[#This Row],[COsSP Initially Planned]]+Tabelle1324568910111213141516171618[[#This Row],[COsSP Pulled after Start]]-Tabelle1324568910111213141516171618[[#This Row],[CSOsSP Completed]],0)</f>
        <v>0</v>
      </c>
      <c r="R32" s="210">
        <f>Tabelle1324568910111213141516171618[[#This Row],[COsSP Initially Planned]]+Tabelle1324568910111213141516171618[[#This Row],[COsSP Pulled after Start]]-Tabelle1324568910111213141516171618[[#This Row],[CSOsSP Completed]]-Tabelle1324568910111213141516171618[[#This Row],[CSOsSP Removed]]</f>
        <v>0</v>
      </c>
    </row>
    <row r="33" spans="1:18" s="374" customFormat="1" ht="15">
      <c r="A33" s="202" t="s">
        <v>464</v>
      </c>
      <c r="B33" t="s">
        <v>465</v>
      </c>
      <c r="C33" s="203" t="s">
        <v>375</v>
      </c>
      <c r="D33" s="375">
        <v>2</v>
      </c>
      <c r="E33" s="203" t="s">
        <v>216</v>
      </c>
      <c r="F33" s="376">
        <v>2</v>
      </c>
      <c r="G33" s="203" t="s">
        <v>12</v>
      </c>
      <c r="H33" s="205" t="s">
        <v>209</v>
      </c>
      <c r="I33" s="206" t="s">
        <v>217</v>
      </c>
      <c r="J33" s="377"/>
      <c r="K33" s="203" t="s">
        <v>125</v>
      </c>
      <c r="L33" s="376"/>
      <c r="M33" s="376"/>
      <c r="N33" s="378">
        <f>IF(OR(Tabelle1324568910111213141516171618[[#This Row],[Pulled after Start]]="yes",Tabelle1324568910111213141516171618[[#This Row],[Jira Story Points]]="-"),0,MIN(Tabelle1324568910111213141516171618[[#This Row],[Jira Story Points]],Tabelle1324568910111213141516171618[[#This Row],[Carry-over]]))</f>
        <v>0</v>
      </c>
      <c r="O33" s="379">
        <f>SUM(IF(ISBLANK(Tabelle1324568910111213141516171618[[#This Row],[Carry-over]]),Tabelle1324568910111213141516171618[[#This Row],[Jira Story Points]],Tabelle1324568910111213141516171618[[#This Row],[Carry-over]]),-Tabelle1324568910111213141516171618[[#This Row],[COsSP Initially Planned]])</f>
        <v>2</v>
      </c>
      <c r="P3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33" s="379">
        <f>IF(Tabelle1324568910111213141516171618[[#This Row],[Status]]=$J$5,Tabelle1324568910111213141516171618[[#This Row],[COsSP Initially Planned]]+Tabelle1324568910111213141516171618[[#This Row],[COsSP Pulled after Start]]-Tabelle1324568910111213141516171618[[#This Row],[CSOsSP Completed]],0)</f>
        <v>0</v>
      </c>
      <c r="R33" s="379">
        <f>Tabelle1324568910111213141516171618[[#This Row],[COsSP Initially Planned]]+Tabelle1324568910111213141516171618[[#This Row],[COsSP Pulled after Start]]-Tabelle1324568910111213141516171618[[#This Row],[CSOsSP Completed]]-Tabelle1324568910111213141516171618[[#This Row],[CSOsSP Removed]]</f>
        <v>0</v>
      </c>
    </row>
    <row r="34" spans="1:18" s="374" customFormat="1" ht="15">
      <c r="A34" s="202" t="s">
        <v>466</v>
      </c>
      <c r="B34" t="s">
        <v>467</v>
      </c>
      <c r="C34" s="375" t="s">
        <v>375</v>
      </c>
      <c r="D34" s="375">
        <v>2</v>
      </c>
      <c r="E34" s="375" t="s">
        <v>216</v>
      </c>
      <c r="F34" s="376">
        <v>2</v>
      </c>
      <c r="G34" s="375" t="s">
        <v>12</v>
      </c>
      <c r="H34" s="380"/>
      <c r="I34" s="377" t="s">
        <v>217</v>
      </c>
      <c r="J34" s="377"/>
      <c r="K34" s="375" t="s">
        <v>125</v>
      </c>
      <c r="L34" s="376">
        <v>2</v>
      </c>
      <c r="M34" s="376"/>
      <c r="N34" s="378">
        <f>IF(OR(Tabelle1324568910111213141516171618[[#This Row],[Pulled after Start]]="yes",Tabelle1324568910111213141516171618[[#This Row],[Jira Story Points]]="-"),0,MIN(Tabelle1324568910111213141516171618[[#This Row],[Jira Story Points]],Tabelle1324568910111213141516171618[[#This Row],[Carry-over]]))</f>
        <v>2</v>
      </c>
      <c r="O34" s="379">
        <f>SUM(IF(ISBLANK(Tabelle1324568910111213141516171618[[#This Row],[Carry-over]]),Tabelle1324568910111213141516171618[[#This Row],[Jira Story Points]],Tabelle1324568910111213141516171618[[#This Row],[Carry-over]]),-Tabelle1324568910111213141516171618[[#This Row],[COsSP Initially Planned]])</f>
        <v>0</v>
      </c>
      <c r="P3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34" s="379">
        <f>IF(Tabelle1324568910111213141516171618[[#This Row],[Status]]=$J$5,Tabelle1324568910111213141516171618[[#This Row],[COsSP Initially Planned]]+Tabelle1324568910111213141516171618[[#This Row],[COsSP Pulled after Start]]-Tabelle1324568910111213141516171618[[#This Row],[CSOsSP Completed]],0)</f>
        <v>0</v>
      </c>
      <c r="R34" s="379">
        <f>Tabelle1324568910111213141516171618[[#This Row],[COsSP Initially Planned]]+Tabelle1324568910111213141516171618[[#This Row],[COsSP Pulled after Start]]-Tabelle1324568910111213141516171618[[#This Row],[CSOsSP Completed]]-Tabelle1324568910111213141516171618[[#This Row],[CSOsSP Removed]]</f>
        <v>0</v>
      </c>
    </row>
    <row r="35" spans="1:18" ht="13.5" customHeight="1">
      <c r="A35" s="202" t="s">
        <v>468</v>
      </c>
      <c r="B35" t="s">
        <v>469</v>
      </c>
      <c r="C35" s="375" t="s">
        <v>372</v>
      </c>
      <c r="D35" s="375">
        <v>3</v>
      </c>
      <c r="E35" s="375" t="s">
        <v>216</v>
      </c>
      <c r="F35" s="376">
        <v>3</v>
      </c>
      <c r="G35" s="375" t="s">
        <v>12</v>
      </c>
      <c r="H35" s="380"/>
      <c r="I35" s="377" t="s">
        <v>270</v>
      </c>
      <c r="J35" s="377"/>
      <c r="K35" s="375" t="s">
        <v>125</v>
      </c>
      <c r="L35" s="376"/>
      <c r="M35" s="376"/>
      <c r="N35" s="378">
        <f>IF(OR(Tabelle1324568910111213141516171618[[#This Row],[Pulled after Start]]="yes",Tabelle1324568910111213141516171618[[#This Row],[Jira Story Points]]="-"),0,MIN(Tabelle1324568910111213141516171618[[#This Row],[Jira Story Points]],Tabelle1324568910111213141516171618[[#This Row],[Carry-over]]))</f>
        <v>3</v>
      </c>
      <c r="O35" s="379">
        <f>SUM(IF(ISBLANK(Tabelle1324568910111213141516171618[[#This Row],[Carry-over]]),Tabelle1324568910111213141516171618[[#This Row],[Jira Story Points]],Tabelle1324568910111213141516171618[[#This Row],[Carry-over]]),-Tabelle1324568910111213141516171618[[#This Row],[COsSP Initially Planned]])</f>
        <v>0</v>
      </c>
      <c r="P3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35" s="379">
        <f>IF(Tabelle1324568910111213141516171618[[#This Row],[Status]]=$J$5,Tabelle1324568910111213141516171618[[#This Row],[COsSP Initially Planned]]+Tabelle1324568910111213141516171618[[#This Row],[COsSP Pulled after Start]]-Tabelle1324568910111213141516171618[[#This Row],[CSOsSP Completed]],0)</f>
        <v>0</v>
      </c>
      <c r="R35" s="379">
        <f>Tabelle1324568910111213141516171618[[#This Row],[COsSP Initially Planned]]+Tabelle1324568910111213141516171618[[#This Row],[COsSP Pulled after Start]]-Tabelle1324568910111213141516171618[[#This Row],[CSOsSP Completed]]-Tabelle1324568910111213141516171618[[#This Row],[CSOsSP Removed]]</f>
        <v>0</v>
      </c>
    </row>
    <row r="36" spans="1:18" ht="13.5" customHeight="1">
      <c r="A36" s="202" t="s">
        <v>470</v>
      </c>
      <c r="B36" t="s">
        <v>293</v>
      </c>
      <c r="C36" s="375" t="s">
        <v>375</v>
      </c>
      <c r="D36" s="375">
        <v>2</v>
      </c>
      <c r="E36" s="375" t="s">
        <v>216</v>
      </c>
      <c r="F36" s="376">
        <v>3</v>
      </c>
      <c r="G36" s="375" t="s">
        <v>12</v>
      </c>
      <c r="H36" s="380"/>
      <c r="I36" s="377" t="s">
        <v>217</v>
      </c>
      <c r="J36" s="202" t="s">
        <v>471</v>
      </c>
      <c r="K36" s="375" t="s">
        <v>125</v>
      </c>
      <c r="L36" s="376">
        <v>3</v>
      </c>
      <c r="M36" s="376"/>
      <c r="N36" s="378">
        <f>IF(OR(Tabelle1324568910111213141516171618[[#This Row],[Pulled after Start]]="yes",Tabelle1324568910111213141516171618[[#This Row],[Jira Story Points]]="-"),0,MIN(Tabelle1324568910111213141516171618[[#This Row],[Jira Story Points]],Tabelle1324568910111213141516171618[[#This Row],[Carry-over]]))</f>
        <v>3</v>
      </c>
      <c r="O36" s="379">
        <f>SUM(IF(ISBLANK(Tabelle1324568910111213141516171618[[#This Row],[Carry-over]]),Tabelle1324568910111213141516171618[[#This Row],[Jira Story Points]],Tabelle1324568910111213141516171618[[#This Row],[Carry-over]]),-Tabelle1324568910111213141516171618[[#This Row],[COsSP Initially Planned]])</f>
        <v>0</v>
      </c>
      <c r="P3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36" s="379">
        <f>IF(Tabelle1324568910111213141516171618[[#This Row],[Status]]=$J$5,Tabelle1324568910111213141516171618[[#This Row],[COsSP Initially Planned]]+Tabelle1324568910111213141516171618[[#This Row],[COsSP Pulled after Start]]-Tabelle1324568910111213141516171618[[#This Row],[CSOsSP Completed]],0)</f>
        <v>0</v>
      </c>
      <c r="R36" s="379">
        <f>Tabelle1324568910111213141516171618[[#This Row],[COsSP Initially Planned]]+Tabelle1324568910111213141516171618[[#This Row],[COsSP Pulled after Start]]-Tabelle1324568910111213141516171618[[#This Row],[CSOsSP Completed]]-Tabelle1324568910111213141516171618[[#This Row],[CSOsSP Removed]]</f>
        <v>0</v>
      </c>
    </row>
    <row r="37" spans="1:18" ht="13.5" customHeight="1">
      <c r="A37" s="202" t="s">
        <v>472</v>
      </c>
      <c r="B37" t="s">
        <v>473</v>
      </c>
      <c r="C37" s="375" t="s">
        <v>372</v>
      </c>
      <c r="D37" s="375">
        <v>2</v>
      </c>
      <c r="E37" s="375" t="s">
        <v>216</v>
      </c>
      <c r="F37" s="376">
        <v>1</v>
      </c>
      <c r="G37" s="375" t="s">
        <v>12</v>
      </c>
      <c r="H37" s="380"/>
      <c r="I37" s="377" t="s">
        <v>217</v>
      </c>
      <c r="J37" s="202" t="s">
        <v>471</v>
      </c>
      <c r="K37" s="375" t="s">
        <v>125</v>
      </c>
      <c r="L37" s="376">
        <v>1</v>
      </c>
      <c r="M37" s="376"/>
      <c r="N37" s="378">
        <f>IF(OR(Tabelle1324568910111213141516171618[[#This Row],[Pulled after Start]]="yes",Tabelle1324568910111213141516171618[[#This Row],[Jira Story Points]]="-"),0,MIN(Tabelle1324568910111213141516171618[[#This Row],[Jira Story Points]],Tabelle1324568910111213141516171618[[#This Row],[Carry-over]]))</f>
        <v>1</v>
      </c>
      <c r="O37" s="379">
        <f>SUM(IF(ISBLANK(Tabelle1324568910111213141516171618[[#This Row],[Carry-over]]),Tabelle1324568910111213141516171618[[#This Row],[Jira Story Points]],Tabelle1324568910111213141516171618[[#This Row],[Carry-over]]),-Tabelle1324568910111213141516171618[[#This Row],[COsSP Initially Planned]])</f>
        <v>0</v>
      </c>
      <c r="P3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37" s="379">
        <f>IF(Tabelle1324568910111213141516171618[[#This Row],[Status]]=$J$5,Tabelle1324568910111213141516171618[[#This Row],[COsSP Initially Planned]]+Tabelle1324568910111213141516171618[[#This Row],[COsSP Pulled after Start]]-Tabelle1324568910111213141516171618[[#This Row],[CSOsSP Completed]],0)</f>
        <v>0</v>
      </c>
      <c r="R37" s="379">
        <f>Tabelle1324568910111213141516171618[[#This Row],[COsSP Initially Planned]]+Tabelle1324568910111213141516171618[[#This Row],[COsSP Pulled after Start]]-Tabelle1324568910111213141516171618[[#This Row],[CSOsSP Completed]]-Tabelle1324568910111213141516171618[[#This Row],[CSOsSP Removed]]</f>
        <v>0</v>
      </c>
    </row>
    <row r="38" spans="1:18" ht="13.5" customHeight="1">
      <c r="A38" s="202" t="s">
        <v>474</v>
      </c>
      <c r="B38" t="s">
        <v>475</v>
      </c>
      <c r="C38" s="375" t="s">
        <v>372</v>
      </c>
      <c r="D38" s="375">
        <v>3</v>
      </c>
      <c r="E38" s="375" t="s">
        <v>254</v>
      </c>
      <c r="F38" s="376">
        <v>2</v>
      </c>
      <c r="G38" s="375" t="s">
        <v>12</v>
      </c>
      <c r="H38" s="380"/>
      <c r="I38" s="377" t="s">
        <v>217</v>
      </c>
      <c r="J38" s="202" t="s">
        <v>476</v>
      </c>
      <c r="K38" s="375" t="s">
        <v>126</v>
      </c>
      <c r="L38" s="376">
        <v>2</v>
      </c>
      <c r="M38" s="376">
        <v>2</v>
      </c>
      <c r="N38" s="378">
        <f>IF(OR(Tabelle1324568910111213141516171618[[#This Row],[Pulled after Start]]="yes",Tabelle1324568910111213141516171618[[#This Row],[Jira Story Points]]="-"),0,MIN(Tabelle1324568910111213141516171618[[#This Row],[Jira Story Points]],Tabelle1324568910111213141516171618[[#This Row],[Carry-over]]))</f>
        <v>2</v>
      </c>
      <c r="O38" s="379">
        <f>SUM(IF(ISBLANK(Tabelle1324568910111213141516171618[[#This Row],[Carry-over]]),Tabelle1324568910111213141516171618[[#This Row],[Jira Story Points]],Tabelle1324568910111213141516171618[[#This Row],[Carry-over]]),-Tabelle1324568910111213141516171618[[#This Row],[COsSP Initially Planned]])</f>
        <v>0</v>
      </c>
      <c r="P3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38" s="379">
        <f>IF(Tabelle1324568910111213141516171618[[#This Row],[Status]]=$J$5,Tabelle1324568910111213141516171618[[#This Row],[COsSP Initially Planned]]+Tabelle1324568910111213141516171618[[#This Row],[COsSP Pulled after Start]]-Tabelle1324568910111213141516171618[[#This Row],[CSOsSP Completed]],0)</f>
        <v>2</v>
      </c>
      <c r="R38" s="379">
        <f>Tabelle1324568910111213141516171618[[#This Row],[COsSP Initially Planned]]+Tabelle1324568910111213141516171618[[#This Row],[COsSP Pulled after Start]]-Tabelle1324568910111213141516171618[[#This Row],[CSOsSP Completed]]-Tabelle1324568910111213141516171618[[#This Row],[CSOsSP Removed]]</f>
        <v>0</v>
      </c>
    </row>
    <row r="39" spans="1:18" ht="13.5" customHeight="1">
      <c r="A39" s="202" t="s">
        <v>477</v>
      </c>
      <c r="B39" t="s">
        <v>478</v>
      </c>
      <c r="C39" s="375" t="s">
        <v>372</v>
      </c>
      <c r="D39" s="375">
        <v>3</v>
      </c>
      <c r="E39" s="375" t="s">
        <v>216</v>
      </c>
      <c r="F39" s="376">
        <v>1</v>
      </c>
      <c r="G39" s="375" t="s">
        <v>12</v>
      </c>
      <c r="H39" s="380" t="s">
        <v>209</v>
      </c>
      <c r="I39" s="377" t="s">
        <v>270</v>
      </c>
      <c r="J39" s="202"/>
      <c r="K39" s="375" t="s">
        <v>125</v>
      </c>
      <c r="L39" s="376"/>
      <c r="M39" s="376"/>
      <c r="N39" s="378">
        <f>IF(OR(Tabelle1324568910111213141516171618[[#This Row],[Pulled after Start]]="yes",Tabelle1324568910111213141516171618[[#This Row],[Jira Story Points]]="-"),0,MIN(Tabelle1324568910111213141516171618[[#This Row],[Jira Story Points]],Tabelle1324568910111213141516171618[[#This Row],[Carry-over]]))</f>
        <v>0</v>
      </c>
      <c r="O39" s="379">
        <f>SUM(IF(ISBLANK(Tabelle1324568910111213141516171618[[#This Row],[Carry-over]]),Tabelle1324568910111213141516171618[[#This Row],[Jira Story Points]],Tabelle1324568910111213141516171618[[#This Row],[Carry-over]]),-Tabelle1324568910111213141516171618[[#This Row],[COsSP Initially Planned]])</f>
        <v>1</v>
      </c>
      <c r="P3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39" s="379">
        <f>IF(Tabelle1324568910111213141516171618[[#This Row],[Status]]=$J$5,Tabelle1324568910111213141516171618[[#This Row],[COsSP Initially Planned]]+Tabelle1324568910111213141516171618[[#This Row],[COsSP Pulled after Start]]-Tabelle1324568910111213141516171618[[#This Row],[CSOsSP Completed]],0)</f>
        <v>0</v>
      </c>
      <c r="R39" s="379">
        <f>Tabelle1324568910111213141516171618[[#This Row],[COsSP Initially Planned]]+Tabelle1324568910111213141516171618[[#This Row],[COsSP Pulled after Start]]-Tabelle1324568910111213141516171618[[#This Row],[CSOsSP Completed]]-Tabelle1324568910111213141516171618[[#This Row],[CSOsSP Removed]]</f>
        <v>0</v>
      </c>
    </row>
    <row r="40" spans="1:18" ht="13.5" customHeight="1">
      <c r="A40" s="202" t="s">
        <v>479</v>
      </c>
      <c r="B40" t="s">
        <v>480</v>
      </c>
      <c r="C40" s="375" t="s">
        <v>372</v>
      </c>
      <c r="D40" s="375">
        <v>3</v>
      </c>
      <c r="E40" s="375" t="s">
        <v>216</v>
      </c>
      <c r="F40" s="376">
        <v>3</v>
      </c>
      <c r="G40" s="375" t="s">
        <v>12</v>
      </c>
      <c r="H40" s="380"/>
      <c r="I40" s="377" t="s">
        <v>270</v>
      </c>
      <c r="J40" s="377"/>
      <c r="K40" s="375" t="s">
        <v>125</v>
      </c>
      <c r="L40" s="376"/>
      <c r="M40" s="376"/>
      <c r="N40" s="378">
        <f>IF(OR(Tabelle1324568910111213141516171618[[#This Row],[Pulled after Start]]="yes",Tabelle1324568910111213141516171618[[#This Row],[Jira Story Points]]="-"),0,MIN(Tabelle1324568910111213141516171618[[#This Row],[Jira Story Points]],Tabelle1324568910111213141516171618[[#This Row],[Carry-over]]))</f>
        <v>3</v>
      </c>
      <c r="O40" s="379">
        <f>SUM(IF(ISBLANK(Tabelle1324568910111213141516171618[[#This Row],[Carry-over]]),Tabelle1324568910111213141516171618[[#This Row],[Jira Story Points]],Tabelle1324568910111213141516171618[[#This Row],[Carry-over]]),-Tabelle1324568910111213141516171618[[#This Row],[COsSP Initially Planned]])</f>
        <v>0</v>
      </c>
      <c r="P4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40" s="379">
        <f>IF(Tabelle1324568910111213141516171618[[#This Row],[Status]]=$J$5,Tabelle1324568910111213141516171618[[#This Row],[COsSP Initially Planned]]+Tabelle1324568910111213141516171618[[#This Row],[COsSP Pulled after Start]]-Tabelle1324568910111213141516171618[[#This Row],[CSOsSP Completed]],0)</f>
        <v>0</v>
      </c>
      <c r="R40" s="379">
        <f>Tabelle1324568910111213141516171618[[#This Row],[COsSP Initially Planned]]+Tabelle1324568910111213141516171618[[#This Row],[COsSP Pulled after Start]]-Tabelle1324568910111213141516171618[[#This Row],[CSOsSP Completed]]-Tabelle1324568910111213141516171618[[#This Row],[CSOsSP Removed]]</f>
        <v>0</v>
      </c>
    </row>
    <row r="41" spans="1:18" ht="13.5" customHeight="1">
      <c r="A41" s="202" t="s">
        <v>220</v>
      </c>
      <c r="B41" t="s">
        <v>221</v>
      </c>
      <c r="C41" s="375" t="s">
        <v>372</v>
      </c>
      <c r="D41" s="375">
        <v>3</v>
      </c>
      <c r="E41" s="375" t="s">
        <v>238</v>
      </c>
      <c r="F41" s="376">
        <v>3</v>
      </c>
      <c r="G41" s="375" t="s">
        <v>12</v>
      </c>
      <c r="H41" s="380"/>
      <c r="I41" s="377" t="s">
        <v>481</v>
      </c>
      <c r="J41" s="202" t="s">
        <v>223</v>
      </c>
      <c r="K41" s="375" t="s">
        <v>125</v>
      </c>
      <c r="L41" s="376">
        <v>1</v>
      </c>
      <c r="M41" s="376">
        <v>0</v>
      </c>
      <c r="N41" s="378">
        <f>IF(OR(Tabelle1324568910111213141516171618[[#This Row],[Pulled after Start]]="yes",Tabelle1324568910111213141516171618[[#This Row],[Jira Story Points]]="-"),0,MIN(Tabelle1324568910111213141516171618[[#This Row],[Jira Story Points]],Tabelle1324568910111213141516171618[[#This Row],[Carry-over]]))</f>
        <v>1</v>
      </c>
      <c r="O41" s="379">
        <f>SUM(IF(ISBLANK(Tabelle1324568910111213141516171618[[#This Row],[Carry-over]]),Tabelle1324568910111213141516171618[[#This Row],[Jira Story Points]],Tabelle1324568910111213141516171618[[#This Row],[Carry-over]]),-Tabelle1324568910111213141516171618[[#This Row],[COsSP Initially Planned]])</f>
        <v>0</v>
      </c>
      <c r="P4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41" s="379">
        <f>IF(Tabelle1324568910111213141516171618[[#This Row],[Status]]=$J$5,Tabelle1324568910111213141516171618[[#This Row],[COsSP Initially Planned]]+Tabelle1324568910111213141516171618[[#This Row],[COsSP Pulled after Start]]-Tabelle1324568910111213141516171618[[#This Row],[CSOsSP Completed]],0)</f>
        <v>0</v>
      </c>
      <c r="R41" s="379">
        <f>Tabelle1324568910111213141516171618[[#This Row],[COsSP Initially Planned]]+Tabelle1324568910111213141516171618[[#This Row],[COsSP Pulled after Start]]-Tabelle1324568910111213141516171618[[#This Row],[CSOsSP Completed]]-Tabelle1324568910111213141516171618[[#This Row],[CSOsSP Removed]]</f>
        <v>0</v>
      </c>
    </row>
    <row r="42" spans="1:18" ht="13.5" customHeight="1">
      <c r="A42" s="202" t="s">
        <v>482</v>
      </c>
      <c r="B42" t="s">
        <v>483</v>
      </c>
      <c r="C42" s="203" t="s">
        <v>372</v>
      </c>
      <c r="D42" s="203">
        <v>3</v>
      </c>
      <c r="E42" s="203" t="s">
        <v>216</v>
      </c>
      <c r="F42" s="204">
        <v>1</v>
      </c>
      <c r="G42" s="203" t="s">
        <v>12</v>
      </c>
      <c r="H42" s="205" t="s">
        <v>209</v>
      </c>
      <c r="I42" s="206" t="s">
        <v>270</v>
      </c>
      <c r="J42" s="202" t="s">
        <v>484</v>
      </c>
      <c r="K42" s="203" t="s">
        <v>125</v>
      </c>
      <c r="L42" s="204"/>
      <c r="M42" s="204"/>
      <c r="N42" s="378">
        <f>IF(OR(Tabelle1324568910111213141516171618[[#This Row],[Pulled after Start]]="yes",Tabelle1324568910111213141516171618[[#This Row],[Jira Story Points]]="-"),0,MIN(Tabelle1324568910111213141516171618[[#This Row],[Jira Story Points]],Tabelle1324568910111213141516171618[[#This Row],[Carry-over]]))</f>
        <v>0</v>
      </c>
      <c r="O42" s="379">
        <f>SUM(IF(ISBLANK(Tabelle1324568910111213141516171618[[#This Row],[Carry-over]]),Tabelle1324568910111213141516171618[[#This Row],[Jira Story Points]],Tabelle1324568910111213141516171618[[#This Row],[Carry-over]]),-Tabelle1324568910111213141516171618[[#This Row],[COsSP Initially Planned]])</f>
        <v>1</v>
      </c>
      <c r="P4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42" s="379">
        <f>IF(Tabelle1324568910111213141516171618[[#This Row],[Status]]=$J$5,Tabelle1324568910111213141516171618[[#This Row],[COsSP Initially Planned]]+Tabelle1324568910111213141516171618[[#This Row],[COsSP Pulled after Start]]-Tabelle1324568910111213141516171618[[#This Row],[CSOsSP Completed]],0)</f>
        <v>0</v>
      </c>
      <c r="R42" s="379">
        <f>Tabelle1324568910111213141516171618[[#This Row],[COsSP Initially Planned]]+Tabelle1324568910111213141516171618[[#This Row],[COsSP Pulled after Start]]-Tabelle1324568910111213141516171618[[#This Row],[CSOsSP Completed]]-Tabelle1324568910111213141516171618[[#This Row],[CSOsSP Removed]]</f>
        <v>0</v>
      </c>
    </row>
    <row r="43" spans="1:18" ht="13.5" customHeight="1">
      <c r="A43" s="202" t="s">
        <v>224</v>
      </c>
      <c r="B43" t="s">
        <v>225</v>
      </c>
      <c r="C43" s="375" t="s">
        <v>372</v>
      </c>
      <c r="D43" s="375">
        <v>3</v>
      </c>
      <c r="E43" s="375" t="s">
        <v>238</v>
      </c>
      <c r="F43" s="376">
        <v>3</v>
      </c>
      <c r="G43" s="375" t="s">
        <v>12</v>
      </c>
      <c r="H43" s="380"/>
      <c r="I43" s="377" t="s">
        <v>227</v>
      </c>
      <c r="J43" s="202" t="s">
        <v>228</v>
      </c>
      <c r="K43" s="375" t="s">
        <v>127</v>
      </c>
      <c r="L43" s="376">
        <v>5</v>
      </c>
      <c r="M43" s="376">
        <v>2</v>
      </c>
      <c r="N43" s="378">
        <f>IF(OR(Tabelle1324568910111213141516171618[[#This Row],[Pulled after Start]]="yes",Tabelle1324568910111213141516171618[[#This Row],[Jira Story Points]]="-"),0,MIN(Tabelle1324568910111213141516171618[[#This Row],[Jira Story Points]],Tabelle1324568910111213141516171618[[#This Row],[Carry-over]]))</f>
        <v>3</v>
      </c>
      <c r="O43" s="379">
        <f>SUM(IF(ISBLANK(Tabelle1324568910111213141516171618[[#This Row],[Carry-over]]),Tabelle1324568910111213141516171618[[#This Row],[Jira Story Points]],Tabelle1324568910111213141516171618[[#This Row],[Carry-over]]),-Tabelle1324568910111213141516171618[[#This Row],[COsSP Initially Planned]])</f>
        <v>2</v>
      </c>
      <c r="P4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43" s="379">
        <f>IF(Tabelle1324568910111213141516171618[[#This Row],[Status]]=$J$5,Tabelle1324568910111213141516171618[[#This Row],[COsSP Initially Planned]]+Tabelle1324568910111213141516171618[[#This Row],[COsSP Pulled after Start]]-Tabelle1324568910111213141516171618[[#This Row],[CSOsSP Completed]],0)</f>
        <v>0</v>
      </c>
      <c r="R43" s="379">
        <f>Tabelle1324568910111213141516171618[[#This Row],[COsSP Initially Planned]]+Tabelle1324568910111213141516171618[[#This Row],[COsSP Pulled after Start]]-Tabelle1324568910111213141516171618[[#This Row],[CSOsSP Completed]]-Tabelle1324568910111213141516171618[[#This Row],[CSOsSP Removed]]</f>
        <v>2</v>
      </c>
    </row>
    <row r="44" spans="1:18" ht="13.5" customHeight="1">
      <c r="A44" s="202" t="s">
        <v>485</v>
      </c>
      <c r="B44" t="s">
        <v>486</v>
      </c>
      <c r="C44" s="375" t="s">
        <v>372</v>
      </c>
      <c r="D44" s="375">
        <v>3</v>
      </c>
      <c r="E44" s="375" t="s">
        <v>216</v>
      </c>
      <c r="F44" s="376">
        <v>1</v>
      </c>
      <c r="G44" s="375" t="s">
        <v>12</v>
      </c>
      <c r="H44" s="380" t="s">
        <v>209</v>
      </c>
      <c r="I44" s="377" t="s">
        <v>270</v>
      </c>
      <c r="J44" s="377"/>
      <c r="K44" s="375" t="s">
        <v>125</v>
      </c>
      <c r="L44" s="376"/>
      <c r="M44" s="376"/>
      <c r="N44" s="378">
        <f>IF(OR(Tabelle1324568910111213141516171618[[#This Row],[Pulled after Start]]="yes",Tabelle1324568910111213141516171618[[#This Row],[Jira Story Points]]="-"),0,MIN(Tabelle1324568910111213141516171618[[#This Row],[Jira Story Points]],Tabelle1324568910111213141516171618[[#This Row],[Carry-over]]))</f>
        <v>0</v>
      </c>
      <c r="O44" s="379">
        <f>SUM(IF(ISBLANK(Tabelle1324568910111213141516171618[[#This Row],[Carry-over]]),Tabelle1324568910111213141516171618[[#This Row],[Jira Story Points]],Tabelle1324568910111213141516171618[[#This Row],[Carry-over]]),-Tabelle1324568910111213141516171618[[#This Row],[COsSP Initially Planned]])</f>
        <v>1</v>
      </c>
      <c r="P4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44" s="379">
        <f>IF(Tabelle1324568910111213141516171618[[#This Row],[Status]]=$J$5,Tabelle1324568910111213141516171618[[#This Row],[COsSP Initially Planned]]+Tabelle1324568910111213141516171618[[#This Row],[COsSP Pulled after Start]]-Tabelle1324568910111213141516171618[[#This Row],[CSOsSP Completed]],0)</f>
        <v>0</v>
      </c>
      <c r="R44" s="379">
        <f>Tabelle1324568910111213141516171618[[#This Row],[COsSP Initially Planned]]+Tabelle1324568910111213141516171618[[#This Row],[COsSP Pulled after Start]]-Tabelle1324568910111213141516171618[[#This Row],[CSOsSP Completed]]-Tabelle1324568910111213141516171618[[#This Row],[CSOsSP Removed]]</f>
        <v>0</v>
      </c>
    </row>
    <row r="45" spans="1:18" ht="13.5" hidden="1" customHeight="1">
      <c r="A45" s="202" t="s">
        <v>487</v>
      </c>
      <c r="B45" t="s">
        <v>488</v>
      </c>
      <c r="C45" s="375" t="s">
        <v>372</v>
      </c>
      <c r="D45" s="375">
        <v>3</v>
      </c>
      <c r="E45" s="375" t="s">
        <v>296</v>
      </c>
      <c r="F45" s="376">
        <v>1</v>
      </c>
      <c r="G45" s="375" t="s">
        <v>24</v>
      </c>
      <c r="H45" s="380"/>
      <c r="I45" s="377"/>
      <c r="J45" s="377"/>
      <c r="K45" s="375" t="s">
        <v>125</v>
      </c>
      <c r="L45" s="376"/>
      <c r="M45" s="376">
        <v>7</v>
      </c>
      <c r="N45" s="378">
        <f>IF(OR(Tabelle1324568910111213141516171618[[#This Row],[Pulled after Start]]="yes",Tabelle1324568910111213141516171618[[#This Row],[Jira Story Points]]="-"),0,MIN(Tabelle1324568910111213141516171618[[#This Row],[Jira Story Points]],Tabelle1324568910111213141516171618[[#This Row],[Carry-over]]))</f>
        <v>1</v>
      </c>
      <c r="O45" s="379">
        <f>SUM(IF(ISBLANK(Tabelle1324568910111213141516171618[[#This Row],[Carry-over]]),Tabelle1324568910111213141516171618[[#This Row],[Jira Story Points]],Tabelle1324568910111213141516171618[[#This Row],[Carry-over]]),-Tabelle1324568910111213141516171618[[#This Row],[COsSP Initially Planned]])</f>
        <v>0</v>
      </c>
      <c r="P4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45" s="379">
        <f>IF(Tabelle1324568910111213141516171618[[#This Row],[Status]]=$J$5,Tabelle1324568910111213141516171618[[#This Row],[COsSP Initially Planned]]+Tabelle1324568910111213141516171618[[#This Row],[COsSP Pulled after Start]]-Tabelle1324568910111213141516171618[[#This Row],[CSOsSP Completed]],0)</f>
        <v>0</v>
      </c>
      <c r="R45" s="379">
        <f>Tabelle1324568910111213141516171618[[#This Row],[COsSP Initially Planned]]+Tabelle1324568910111213141516171618[[#This Row],[COsSP Pulled after Start]]-Tabelle1324568910111213141516171618[[#This Row],[CSOsSP Completed]]-Tabelle1324568910111213141516171618[[#This Row],[CSOsSP Removed]]</f>
        <v>0</v>
      </c>
    </row>
    <row r="46" spans="1:18" ht="13.5" hidden="1" customHeight="1">
      <c r="A46" s="202" t="s">
        <v>489</v>
      </c>
      <c r="B46" t="s">
        <v>490</v>
      </c>
      <c r="C46" s="375" t="s">
        <v>375</v>
      </c>
      <c r="D46" s="375">
        <v>1</v>
      </c>
      <c r="E46" s="375" t="s">
        <v>278</v>
      </c>
      <c r="F46" s="376">
        <v>3</v>
      </c>
      <c r="G46" s="375" t="s">
        <v>24</v>
      </c>
      <c r="H46" s="380"/>
      <c r="I46" s="377"/>
      <c r="J46" s="377"/>
      <c r="K46" s="375" t="s">
        <v>125</v>
      </c>
      <c r="L46" s="376"/>
      <c r="M46" s="376"/>
      <c r="N46" s="378">
        <f>IF(OR(Tabelle1324568910111213141516171618[[#This Row],[Pulled after Start]]="yes",Tabelle1324568910111213141516171618[[#This Row],[Jira Story Points]]="-"),0,MIN(Tabelle1324568910111213141516171618[[#This Row],[Jira Story Points]],Tabelle1324568910111213141516171618[[#This Row],[Carry-over]]))</f>
        <v>3</v>
      </c>
      <c r="O46" s="379">
        <f>SUM(IF(ISBLANK(Tabelle1324568910111213141516171618[[#This Row],[Carry-over]]),Tabelle1324568910111213141516171618[[#This Row],[Jira Story Points]],Tabelle1324568910111213141516171618[[#This Row],[Carry-over]]),-Tabelle1324568910111213141516171618[[#This Row],[COsSP Initially Planned]])</f>
        <v>0</v>
      </c>
      <c r="P4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46" s="379">
        <f>IF(Tabelle1324568910111213141516171618[[#This Row],[Status]]=$J$5,Tabelle1324568910111213141516171618[[#This Row],[COsSP Initially Planned]]+Tabelle1324568910111213141516171618[[#This Row],[COsSP Pulled after Start]]-Tabelle1324568910111213141516171618[[#This Row],[CSOsSP Completed]],0)</f>
        <v>0</v>
      </c>
      <c r="R46" s="379">
        <f>Tabelle1324568910111213141516171618[[#This Row],[COsSP Initially Planned]]+Tabelle1324568910111213141516171618[[#This Row],[COsSP Pulled after Start]]-Tabelle1324568910111213141516171618[[#This Row],[CSOsSP Completed]]-Tabelle1324568910111213141516171618[[#This Row],[CSOsSP Removed]]</f>
        <v>0</v>
      </c>
    </row>
    <row r="47" spans="1:18" ht="13.5" hidden="1" customHeight="1">
      <c r="A47" s="202" t="s">
        <v>491</v>
      </c>
      <c r="B47" t="s">
        <v>492</v>
      </c>
      <c r="C47" s="375" t="s">
        <v>375</v>
      </c>
      <c r="D47" s="375">
        <v>2</v>
      </c>
      <c r="E47" s="375" t="s">
        <v>278</v>
      </c>
      <c r="F47" s="376">
        <v>3</v>
      </c>
      <c r="G47" s="375" t="s">
        <v>24</v>
      </c>
      <c r="H47" s="380"/>
      <c r="I47" s="377"/>
      <c r="J47" s="377"/>
      <c r="K47" s="375" t="s">
        <v>125</v>
      </c>
      <c r="L47" s="376"/>
      <c r="M47" s="376"/>
      <c r="N47" s="378">
        <f>IF(OR(Tabelle1324568910111213141516171618[[#This Row],[Pulled after Start]]="yes",Tabelle1324568910111213141516171618[[#This Row],[Jira Story Points]]="-"),0,MIN(Tabelle1324568910111213141516171618[[#This Row],[Jira Story Points]],Tabelle1324568910111213141516171618[[#This Row],[Carry-over]]))</f>
        <v>3</v>
      </c>
      <c r="O47" s="379">
        <f>SUM(IF(ISBLANK(Tabelle1324568910111213141516171618[[#This Row],[Carry-over]]),Tabelle1324568910111213141516171618[[#This Row],[Jira Story Points]],Tabelle1324568910111213141516171618[[#This Row],[Carry-over]]),-Tabelle1324568910111213141516171618[[#This Row],[COsSP Initially Planned]])</f>
        <v>0</v>
      </c>
      <c r="P4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47" s="379">
        <f>IF(Tabelle1324568910111213141516171618[[#This Row],[Status]]=$J$5,Tabelle1324568910111213141516171618[[#This Row],[COsSP Initially Planned]]+Tabelle1324568910111213141516171618[[#This Row],[COsSP Pulled after Start]]-Tabelle1324568910111213141516171618[[#This Row],[CSOsSP Completed]],0)</f>
        <v>0</v>
      </c>
      <c r="R47" s="379">
        <f>Tabelle1324568910111213141516171618[[#This Row],[COsSP Initially Planned]]+Tabelle1324568910111213141516171618[[#This Row],[COsSP Pulled after Start]]-Tabelle1324568910111213141516171618[[#This Row],[CSOsSP Completed]]-Tabelle1324568910111213141516171618[[#This Row],[CSOsSP Removed]]</f>
        <v>0</v>
      </c>
    </row>
    <row r="48" spans="1:18" ht="13.5" hidden="1" customHeight="1">
      <c r="A48" s="202" t="s">
        <v>493</v>
      </c>
      <c r="B48" t="s">
        <v>494</v>
      </c>
      <c r="C48" s="375" t="s">
        <v>372</v>
      </c>
      <c r="D48" s="375">
        <v>3</v>
      </c>
      <c r="E48" s="375" t="s">
        <v>278</v>
      </c>
      <c r="F48" s="376">
        <v>5</v>
      </c>
      <c r="G48" s="375" t="s">
        <v>24</v>
      </c>
      <c r="H48" s="380"/>
      <c r="I48" s="377"/>
      <c r="J48" s="377"/>
      <c r="K48" s="375" t="s">
        <v>125</v>
      </c>
      <c r="L48" s="376"/>
      <c r="M48" s="376"/>
      <c r="N48" s="378">
        <f>IF(OR(Tabelle1324568910111213141516171618[[#This Row],[Pulled after Start]]="yes",Tabelle1324568910111213141516171618[[#This Row],[Jira Story Points]]="-"),0,MIN(Tabelle1324568910111213141516171618[[#This Row],[Jira Story Points]],Tabelle1324568910111213141516171618[[#This Row],[Carry-over]]))</f>
        <v>5</v>
      </c>
      <c r="O48" s="379">
        <f>SUM(IF(ISBLANK(Tabelle1324568910111213141516171618[[#This Row],[Carry-over]]),Tabelle1324568910111213141516171618[[#This Row],[Jira Story Points]],Tabelle1324568910111213141516171618[[#This Row],[Carry-over]]),-Tabelle1324568910111213141516171618[[#This Row],[COsSP Initially Planned]])</f>
        <v>0</v>
      </c>
      <c r="P4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48" s="379">
        <f>IF(Tabelle1324568910111213141516171618[[#This Row],[Status]]=$J$5,Tabelle1324568910111213141516171618[[#This Row],[COsSP Initially Planned]]+Tabelle1324568910111213141516171618[[#This Row],[COsSP Pulled after Start]]-Tabelle1324568910111213141516171618[[#This Row],[CSOsSP Completed]],0)</f>
        <v>0</v>
      </c>
      <c r="R48" s="379">
        <f>Tabelle1324568910111213141516171618[[#This Row],[COsSP Initially Planned]]+Tabelle1324568910111213141516171618[[#This Row],[COsSP Pulled after Start]]-Tabelle1324568910111213141516171618[[#This Row],[CSOsSP Completed]]-Tabelle1324568910111213141516171618[[#This Row],[CSOsSP Removed]]</f>
        <v>0</v>
      </c>
    </row>
    <row r="49" spans="1:18" ht="13.5" hidden="1" customHeight="1">
      <c r="A49" s="202" t="s">
        <v>495</v>
      </c>
      <c r="B49" t="s">
        <v>496</v>
      </c>
      <c r="C49" s="375" t="s">
        <v>372</v>
      </c>
      <c r="D49" s="375">
        <v>3</v>
      </c>
      <c r="E49" s="375" t="s">
        <v>278</v>
      </c>
      <c r="F49" s="376">
        <v>3</v>
      </c>
      <c r="G49" s="375" t="s">
        <v>24</v>
      </c>
      <c r="H49" s="380" t="s">
        <v>209</v>
      </c>
      <c r="I49" s="377"/>
      <c r="J49" s="377"/>
      <c r="K49" s="375" t="s">
        <v>125</v>
      </c>
      <c r="L49" s="376"/>
      <c r="M49" s="376"/>
      <c r="N49" s="378">
        <f>IF(OR(Tabelle1324568910111213141516171618[[#This Row],[Pulled after Start]]="yes",Tabelle1324568910111213141516171618[[#This Row],[Jira Story Points]]="-"),0,MIN(Tabelle1324568910111213141516171618[[#This Row],[Jira Story Points]],Tabelle1324568910111213141516171618[[#This Row],[Carry-over]]))</f>
        <v>0</v>
      </c>
      <c r="O49" s="379">
        <f>SUM(IF(ISBLANK(Tabelle1324568910111213141516171618[[#This Row],[Carry-over]]),Tabelle1324568910111213141516171618[[#This Row],[Jira Story Points]],Tabelle1324568910111213141516171618[[#This Row],[Carry-over]]),-Tabelle1324568910111213141516171618[[#This Row],[COsSP Initially Planned]])</f>
        <v>3</v>
      </c>
      <c r="P4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49" s="379">
        <f>IF(Tabelle1324568910111213141516171618[[#This Row],[Status]]=$J$5,Tabelle1324568910111213141516171618[[#This Row],[COsSP Initially Planned]]+Tabelle1324568910111213141516171618[[#This Row],[COsSP Pulled after Start]]-Tabelle1324568910111213141516171618[[#This Row],[CSOsSP Completed]],0)</f>
        <v>0</v>
      </c>
      <c r="R49" s="379">
        <f>Tabelle1324568910111213141516171618[[#This Row],[COsSP Initially Planned]]+Tabelle1324568910111213141516171618[[#This Row],[COsSP Pulled after Start]]-Tabelle1324568910111213141516171618[[#This Row],[CSOsSP Completed]]-Tabelle1324568910111213141516171618[[#This Row],[CSOsSP Removed]]</f>
        <v>0</v>
      </c>
    </row>
    <row r="50" spans="1:18" ht="13.5" hidden="1" customHeight="1">
      <c r="A50" s="202" t="s">
        <v>497</v>
      </c>
      <c r="B50" t="s">
        <v>498</v>
      </c>
      <c r="C50" s="375" t="s">
        <v>372</v>
      </c>
      <c r="D50" s="375">
        <v>3</v>
      </c>
      <c r="E50" s="375" t="s">
        <v>278</v>
      </c>
      <c r="F50" s="376">
        <v>5</v>
      </c>
      <c r="G50" s="375" t="s">
        <v>24</v>
      </c>
      <c r="H50" s="380"/>
      <c r="I50" s="377"/>
      <c r="J50" s="377"/>
      <c r="K50" s="375" t="s">
        <v>125</v>
      </c>
      <c r="L50" s="376"/>
      <c r="M50" s="376"/>
      <c r="N50" s="378">
        <f>IF(OR(Tabelle1324568910111213141516171618[[#This Row],[Pulled after Start]]="yes",Tabelle1324568910111213141516171618[[#This Row],[Jira Story Points]]="-"),0,MIN(Tabelle1324568910111213141516171618[[#This Row],[Jira Story Points]],Tabelle1324568910111213141516171618[[#This Row],[Carry-over]]))</f>
        <v>5</v>
      </c>
      <c r="O50" s="379">
        <f>SUM(IF(ISBLANK(Tabelle1324568910111213141516171618[[#This Row],[Carry-over]]),Tabelle1324568910111213141516171618[[#This Row],[Jira Story Points]],Tabelle1324568910111213141516171618[[#This Row],[Carry-over]]),-Tabelle1324568910111213141516171618[[#This Row],[COsSP Initially Planned]])</f>
        <v>0</v>
      </c>
      <c r="P5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50" s="379">
        <f>IF(Tabelle1324568910111213141516171618[[#This Row],[Status]]=$J$5,Tabelle1324568910111213141516171618[[#This Row],[COsSP Initially Planned]]+Tabelle1324568910111213141516171618[[#This Row],[COsSP Pulled after Start]]-Tabelle1324568910111213141516171618[[#This Row],[CSOsSP Completed]],0)</f>
        <v>0</v>
      </c>
      <c r="R50" s="379">
        <f>Tabelle1324568910111213141516171618[[#This Row],[COsSP Initially Planned]]+Tabelle1324568910111213141516171618[[#This Row],[COsSP Pulled after Start]]-Tabelle1324568910111213141516171618[[#This Row],[CSOsSP Completed]]-Tabelle1324568910111213141516171618[[#This Row],[CSOsSP Removed]]</f>
        <v>0</v>
      </c>
    </row>
    <row r="51" spans="1:18" ht="13.5" hidden="1" customHeight="1">
      <c r="A51" s="202" t="s">
        <v>499</v>
      </c>
      <c r="B51" t="s">
        <v>500</v>
      </c>
      <c r="C51" s="375" t="s">
        <v>372</v>
      </c>
      <c r="D51" s="375">
        <v>3</v>
      </c>
      <c r="E51" s="375" t="s">
        <v>278</v>
      </c>
      <c r="F51" s="376">
        <v>5</v>
      </c>
      <c r="G51" s="375" t="s">
        <v>24</v>
      </c>
      <c r="H51" s="380"/>
      <c r="I51" s="377"/>
      <c r="J51" s="377"/>
      <c r="K51" s="375" t="s">
        <v>125</v>
      </c>
      <c r="L51" s="376"/>
      <c r="M51" s="376"/>
      <c r="N51" s="378">
        <f>IF(OR(Tabelle1324568910111213141516171618[[#This Row],[Pulled after Start]]="yes",Tabelle1324568910111213141516171618[[#This Row],[Jira Story Points]]="-"),0,MIN(Tabelle1324568910111213141516171618[[#This Row],[Jira Story Points]],Tabelle1324568910111213141516171618[[#This Row],[Carry-over]]))</f>
        <v>5</v>
      </c>
      <c r="O51" s="379">
        <f>SUM(IF(ISBLANK(Tabelle1324568910111213141516171618[[#This Row],[Carry-over]]),Tabelle1324568910111213141516171618[[#This Row],[Jira Story Points]],Tabelle1324568910111213141516171618[[#This Row],[Carry-over]]),-Tabelle1324568910111213141516171618[[#This Row],[COsSP Initially Planned]])</f>
        <v>0</v>
      </c>
      <c r="P5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51" s="379">
        <f>IF(Tabelle1324568910111213141516171618[[#This Row],[Status]]=$J$5,Tabelle1324568910111213141516171618[[#This Row],[COsSP Initially Planned]]+Tabelle1324568910111213141516171618[[#This Row],[COsSP Pulled after Start]]-Tabelle1324568910111213141516171618[[#This Row],[CSOsSP Completed]],0)</f>
        <v>0</v>
      </c>
      <c r="R51" s="379">
        <f>Tabelle1324568910111213141516171618[[#This Row],[COsSP Initially Planned]]+Tabelle1324568910111213141516171618[[#This Row],[COsSP Pulled after Start]]-Tabelle1324568910111213141516171618[[#This Row],[CSOsSP Completed]]-Tabelle1324568910111213141516171618[[#This Row],[CSOsSP Removed]]</f>
        <v>0</v>
      </c>
    </row>
    <row r="52" spans="1:18" ht="13.5" hidden="1" customHeight="1">
      <c r="A52" s="202" t="s">
        <v>501</v>
      </c>
      <c r="B52" t="s">
        <v>502</v>
      </c>
      <c r="C52" s="375" t="s">
        <v>375</v>
      </c>
      <c r="D52" s="375">
        <v>2</v>
      </c>
      <c r="E52" s="375" t="s">
        <v>278</v>
      </c>
      <c r="F52" s="376">
        <v>3</v>
      </c>
      <c r="G52" s="375" t="s">
        <v>24</v>
      </c>
      <c r="H52" s="380"/>
      <c r="I52" s="377"/>
      <c r="J52" s="377"/>
      <c r="K52" s="375" t="s">
        <v>125</v>
      </c>
      <c r="L52" s="376"/>
      <c r="M52" s="376"/>
      <c r="N52" s="378">
        <f>IF(OR(Tabelle1324568910111213141516171618[[#This Row],[Pulled after Start]]="yes",Tabelle1324568910111213141516171618[[#This Row],[Jira Story Points]]="-"),0,MIN(Tabelle1324568910111213141516171618[[#This Row],[Jira Story Points]],Tabelle1324568910111213141516171618[[#This Row],[Carry-over]]))</f>
        <v>3</v>
      </c>
      <c r="O52" s="379">
        <f>SUM(IF(ISBLANK(Tabelle1324568910111213141516171618[[#This Row],[Carry-over]]),Tabelle1324568910111213141516171618[[#This Row],[Jira Story Points]],Tabelle1324568910111213141516171618[[#This Row],[Carry-over]]),-Tabelle1324568910111213141516171618[[#This Row],[COsSP Initially Planned]])</f>
        <v>0</v>
      </c>
      <c r="P5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52" s="379">
        <f>IF(Tabelle1324568910111213141516171618[[#This Row],[Status]]=$J$5,Tabelle1324568910111213141516171618[[#This Row],[COsSP Initially Planned]]+Tabelle1324568910111213141516171618[[#This Row],[COsSP Pulled after Start]]-Tabelle1324568910111213141516171618[[#This Row],[CSOsSP Completed]],0)</f>
        <v>0</v>
      </c>
      <c r="R52" s="379">
        <f>Tabelle1324568910111213141516171618[[#This Row],[COsSP Initially Planned]]+Tabelle1324568910111213141516171618[[#This Row],[COsSP Pulled after Start]]-Tabelle1324568910111213141516171618[[#This Row],[CSOsSP Completed]]-Tabelle1324568910111213141516171618[[#This Row],[CSOsSP Removed]]</f>
        <v>0</v>
      </c>
    </row>
    <row r="53" spans="1:18" ht="13.5" hidden="1" customHeight="1">
      <c r="A53" s="202" t="s">
        <v>503</v>
      </c>
      <c r="B53" t="s">
        <v>504</v>
      </c>
      <c r="C53" s="375" t="s">
        <v>382</v>
      </c>
      <c r="D53" s="375">
        <v>3</v>
      </c>
      <c r="E53" s="375" t="s">
        <v>278</v>
      </c>
      <c r="F53" s="376">
        <v>5</v>
      </c>
      <c r="G53" s="375" t="s">
        <v>24</v>
      </c>
      <c r="H53" s="380"/>
      <c r="I53" s="377"/>
      <c r="J53" s="377"/>
      <c r="K53" s="375" t="s">
        <v>125</v>
      </c>
      <c r="L53" s="376"/>
      <c r="M53" s="376"/>
      <c r="N53" s="378">
        <f>IF(OR(Tabelle1324568910111213141516171618[[#This Row],[Pulled after Start]]="yes",Tabelle1324568910111213141516171618[[#This Row],[Jira Story Points]]="-"),0,MIN(Tabelle1324568910111213141516171618[[#This Row],[Jira Story Points]],Tabelle1324568910111213141516171618[[#This Row],[Carry-over]]))</f>
        <v>5</v>
      </c>
      <c r="O53" s="379">
        <f>SUM(IF(ISBLANK(Tabelle1324568910111213141516171618[[#This Row],[Carry-over]]),Tabelle1324568910111213141516171618[[#This Row],[Jira Story Points]],Tabelle1324568910111213141516171618[[#This Row],[Carry-over]]),-Tabelle1324568910111213141516171618[[#This Row],[COsSP Initially Planned]])</f>
        <v>0</v>
      </c>
      <c r="P5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53" s="379">
        <f>IF(Tabelle1324568910111213141516171618[[#This Row],[Status]]=$J$5,Tabelle1324568910111213141516171618[[#This Row],[COsSP Initially Planned]]+Tabelle1324568910111213141516171618[[#This Row],[COsSP Pulled after Start]]-Tabelle1324568910111213141516171618[[#This Row],[CSOsSP Completed]],0)</f>
        <v>0</v>
      </c>
      <c r="R53" s="379">
        <f>Tabelle1324568910111213141516171618[[#This Row],[COsSP Initially Planned]]+Tabelle1324568910111213141516171618[[#This Row],[COsSP Pulled after Start]]-Tabelle1324568910111213141516171618[[#This Row],[CSOsSP Completed]]-Tabelle1324568910111213141516171618[[#This Row],[CSOsSP Removed]]</f>
        <v>0</v>
      </c>
    </row>
    <row r="54" spans="1:18" ht="13.5" hidden="1" customHeight="1">
      <c r="A54" s="202" t="s">
        <v>505</v>
      </c>
      <c r="B54" t="s">
        <v>506</v>
      </c>
      <c r="C54" s="375" t="s">
        <v>372</v>
      </c>
      <c r="D54" s="375">
        <v>3</v>
      </c>
      <c r="E54" s="375" t="s">
        <v>278</v>
      </c>
      <c r="F54" s="376">
        <v>3</v>
      </c>
      <c r="G54" s="375" t="s">
        <v>24</v>
      </c>
      <c r="H54" s="380"/>
      <c r="I54" s="377"/>
      <c r="J54" s="377"/>
      <c r="K54" s="375" t="s">
        <v>125</v>
      </c>
      <c r="L54" s="376"/>
      <c r="M54" s="376"/>
      <c r="N54" s="378">
        <f>IF(OR(Tabelle1324568910111213141516171618[[#This Row],[Pulled after Start]]="yes",Tabelle1324568910111213141516171618[[#This Row],[Jira Story Points]]="-"),0,MIN(Tabelle1324568910111213141516171618[[#This Row],[Jira Story Points]],Tabelle1324568910111213141516171618[[#This Row],[Carry-over]]))</f>
        <v>3</v>
      </c>
      <c r="O54" s="379">
        <f>SUM(IF(ISBLANK(Tabelle1324568910111213141516171618[[#This Row],[Carry-over]]),Tabelle1324568910111213141516171618[[#This Row],[Jira Story Points]],Tabelle1324568910111213141516171618[[#This Row],[Carry-over]]),-Tabelle1324568910111213141516171618[[#This Row],[COsSP Initially Planned]])</f>
        <v>0</v>
      </c>
      <c r="P5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54" s="379">
        <f>IF(Tabelle1324568910111213141516171618[[#This Row],[Status]]=$J$5,Tabelle1324568910111213141516171618[[#This Row],[COsSP Initially Planned]]+Tabelle1324568910111213141516171618[[#This Row],[COsSP Pulled after Start]]-Tabelle1324568910111213141516171618[[#This Row],[CSOsSP Completed]],0)</f>
        <v>0</v>
      </c>
      <c r="R54" s="379">
        <f>Tabelle1324568910111213141516171618[[#This Row],[COsSP Initially Planned]]+Tabelle1324568910111213141516171618[[#This Row],[COsSP Pulled after Start]]-Tabelle1324568910111213141516171618[[#This Row],[CSOsSP Completed]]-Tabelle1324568910111213141516171618[[#This Row],[CSOsSP Removed]]</f>
        <v>0</v>
      </c>
    </row>
    <row r="55" spans="1:18" ht="13.5" hidden="1" customHeight="1">
      <c r="A55" s="202" t="s">
        <v>507</v>
      </c>
      <c r="B55" t="s">
        <v>508</v>
      </c>
      <c r="C55" s="375" t="s">
        <v>382</v>
      </c>
      <c r="D55" s="375">
        <v>3</v>
      </c>
      <c r="E55" s="375" t="s">
        <v>278</v>
      </c>
      <c r="F55" s="376">
        <v>2</v>
      </c>
      <c r="G55" s="375" t="s">
        <v>24</v>
      </c>
      <c r="H55" s="380"/>
      <c r="I55" s="377"/>
      <c r="J55" s="377"/>
      <c r="K55" s="375" t="s">
        <v>125</v>
      </c>
      <c r="L55" s="376"/>
      <c r="M55" s="376"/>
      <c r="N55" s="378">
        <f>IF(OR(Tabelle1324568910111213141516171618[[#This Row],[Pulled after Start]]="yes",Tabelle1324568910111213141516171618[[#This Row],[Jira Story Points]]="-"),0,MIN(Tabelle1324568910111213141516171618[[#This Row],[Jira Story Points]],Tabelle1324568910111213141516171618[[#This Row],[Carry-over]]))</f>
        <v>2</v>
      </c>
      <c r="O55" s="379">
        <f>SUM(IF(ISBLANK(Tabelle1324568910111213141516171618[[#This Row],[Carry-over]]),Tabelle1324568910111213141516171618[[#This Row],[Jira Story Points]],Tabelle1324568910111213141516171618[[#This Row],[Carry-over]]),-Tabelle1324568910111213141516171618[[#This Row],[COsSP Initially Planned]])</f>
        <v>0</v>
      </c>
      <c r="P5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55" s="379">
        <f>IF(Tabelle1324568910111213141516171618[[#This Row],[Status]]=$J$5,Tabelle1324568910111213141516171618[[#This Row],[COsSP Initially Planned]]+Tabelle1324568910111213141516171618[[#This Row],[COsSP Pulled after Start]]-Tabelle1324568910111213141516171618[[#This Row],[CSOsSP Completed]],0)</f>
        <v>0</v>
      </c>
      <c r="R55" s="379">
        <f>Tabelle1324568910111213141516171618[[#This Row],[COsSP Initially Planned]]+Tabelle1324568910111213141516171618[[#This Row],[COsSP Pulled after Start]]-Tabelle1324568910111213141516171618[[#This Row],[CSOsSP Completed]]-Tabelle1324568910111213141516171618[[#This Row],[CSOsSP Removed]]</f>
        <v>0</v>
      </c>
    </row>
    <row r="56" spans="1:18" ht="13.5" hidden="1" customHeight="1">
      <c r="A56" s="202" t="s">
        <v>509</v>
      </c>
      <c r="B56" t="s">
        <v>510</v>
      </c>
      <c r="C56" s="375" t="s">
        <v>375</v>
      </c>
      <c r="D56" s="375">
        <v>3</v>
      </c>
      <c r="E56" s="375" t="s">
        <v>278</v>
      </c>
      <c r="F56" s="376">
        <v>3</v>
      </c>
      <c r="G56" s="375" t="s">
        <v>24</v>
      </c>
      <c r="H56" s="380" t="s">
        <v>209</v>
      </c>
      <c r="I56" s="377"/>
      <c r="J56" s="377"/>
      <c r="K56" s="375" t="s">
        <v>125</v>
      </c>
      <c r="L56" s="376"/>
      <c r="M56" s="376"/>
      <c r="N56" s="378">
        <f>IF(OR(Tabelle1324568910111213141516171618[[#This Row],[Pulled after Start]]="yes",Tabelle1324568910111213141516171618[[#This Row],[Jira Story Points]]="-"),0,MIN(Tabelle1324568910111213141516171618[[#This Row],[Jira Story Points]],Tabelle1324568910111213141516171618[[#This Row],[Carry-over]]))</f>
        <v>0</v>
      </c>
      <c r="O56" s="379">
        <f>SUM(IF(ISBLANK(Tabelle1324568910111213141516171618[[#This Row],[Carry-over]]),Tabelle1324568910111213141516171618[[#This Row],[Jira Story Points]],Tabelle1324568910111213141516171618[[#This Row],[Carry-over]]),-Tabelle1324568910111213141516171618[[#This Row],[COsSP Initially Planned]])</f>
        <v>3</v>
      </c>
      <c r="P5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56" s="379">
        <f>IF(Tabelle1324568910111213141516171618[[#This Row],[Status]]=$J$5,Tabelle1324568910111213141516171618[[#This Row],[COsSP Initially Planned]]+Tabelle1324568910111213141516171618[[#This Row],[COsSP Pulled after Start]]-Tabelle1324568910111213141516171618[[#This Row],[CSOsSP Completed]],0)</f>
        <v>0</v>
      </c>
      <c r="R56" s="379">
        <f>Tabelle1324568910111213141516171618[[#This Row],[COsSP Initially Planned]]+Tabelle1324568910111213141516171618[[#This Row],[COsSP Pulled after Start]]-Tabelle1324568910111213141516171618[[#This Row],[CSOsSP Completed]]-Tabelle1324568910111213141516171618[[#This Row],[CSOsSP Removed]]</f>
        <v>0</v>
      </c>
    </row>
    <row r="57" spans="1:18" ht="13.5" hidden="1" customHeight="1">
      <c r="A57" s="202" t="s">
        <v>511</v>
      </c>
      <c r="B57" t="s">
        <v>512</v>
      </c>
      <c r="C57" s="375" t="s">
        <v>382</v>
      </c>
      <c r="D57" s="375">
        <v>3</v>
      </c>
      <c r="E57" s="375" t="s">
        <v>278</v>
      </c>
      <c r="F57" s="376">
        <v>2</v>
      </c>
      <c r="G57" s="375" t="s">
        <v>24</v>
      </c>
      <c r="H57" s="380" t="s">
        <v>209</v>
      </c>
      <c r="I57" s="377"/>
      <c r="J57" s="377"/>
      <c r="K57" s="375" t="s">
        <v>125</v>
      </c>
      <c r="L57" s="376"/>
      <c r="M57" s="376"/>
      <c r="N57" s="378">
        <f>IF(OR(Tabelle1324568910111213141516171618[[#This Row],[Pulled after Start]]="yes",Tabelle1324568910111213141516171618[[#This Row],[Jira Story Points]]="-"),0,MIN(Tabelle1324568910111213141516171618[[#This Row],[Jira Story Points]],Tabelle1324568910111213141516171618[[#This Row],[Carry-over]]))</f>
        <v>0</v>
      </c>
      <c r="O57" s="379">
        <f>SUM(IF(ISBLANK(Tabelle1324568910111213141516171618[[#This Row],[Carry-over]]),Tabelle1324568910111213141516171618[[#This Row],[Jira Story Points]],Tabelle1324568910111213141516171618[[#This Row],[Carry-over]]),-Tabelle1324568910111213141516171618[[#This Row],[COsSP Initially Planned]])</f>
        <v>2</v>
      </c>
      <c r="P5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57" s="379">
        <f>IF(Tabelle1324568910111213141516171618[[#This Row],[Status]]=$J$5,Tabelle1324568910111213141516171618[[#This Row],[COsSP Initially Planned]]+Tabelle1324568910111213141516171618[[#This Row],[COsSP Pulled after Start]]-Tabelle1324568910111213141516171618[[#This Row],[CSOsSP Completed]],0)</f>
        <v>0</v>
      </c>
      <c r="R57" s="379">
        <f>Tabelle1324568910111213141516171618[[#This Row],[COsSP Initially Planned]]+Tabelle1324568910111213141516171618[[#This Row],[COsSP Pulled after Start]]-Tabelle1324568910111213141516171618[[#This Row],[CSOsSP Completed]]-Tabelle1324568910111213141516171618[[#This Row],[CSOsSP Removed]]</f>
        <v>0</v>
      </c>
    </row>
    <row r="58" spans="1:18" ht="13.5" hidden="1" customHeight="1">
      <c r="A58" s="202" t="s">
        <v>513</v>
      </c>
      <c r="B58" t="s">
        <v>514</v>
      </c>
      <c r="C58" s="375" t="s">
        <v>375</v>
      </c>
      <c r="D58" s="375">
        <v>3</v>
      </c>
      <c r="E58" s="375" t="s">
        <v>278</v>
      </c>
      <c r="F58" s="376">
        <v>3</v>
      </c>
      <c r="G58" s="375" t="s">
        <v>24</v>
      </c>
      <c r="H58" s="380" t="s">
        <v>209</v>
      </c>
      <c r="I58" s="377"/>
      <c r="J58" s="377"/>
      <c r="K58" s="375" t="s">
        <v>125</v>
      </c>
      <c r="L58" s="376"/>
      <c r="M58" s="376"/>
      <c r="N58" s="378">
        <f>IF(OR(Tabelle1324568910111213141516171618[[#This Row],[Pulled after Start]]="yes",Tabelle1324568910111213141516171618[[#This Row],[Jira Story Points]]="-"),0,MIN(Tabelle1324568910111213141516171618[[#This Row],[Jira Story Points]],Tabelle1324568910111213141516171618[[#This Row],[Carry-over]]))</f>
        <v>0</v>
      </c>
      <c r="O58" s="379">
        <f>SUM(IF(ISBLANK(Tabelle1324568910111213141516171618[[#This Row],[Carry-over]]),Tabelle1324568910111213141516171618[[#This Row],[Jira Story Points]],Tabelle1324568910111213141516171618[[#This Row],[Carry-over]]),-Tabelle1324568910111213141516171618[[#This Row],[COsSP Initially Planned]])</f>
        <v>3</v>
      </c>
      <c r="P5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58" s="379">
        <f>IF(Tabelle1324568910111213141516171618[[#This Row],[Status]]=$J$5,Tabelle1324568910111213141516171618[[#This Row],[COsSP Initially Planned]]+Tabelle1324568910111213141516171618[[#This Row],[COsSP Pulled after Start]]-Tabelle1324568910111213141516171618[[#This Row],[CSOsSP Completed]],0)</f>
        <v>0</v>
      </c>
      <c r="R58" s="379">
        <f>Tabelle1324568910111213141516171618[[#This Row],[COsSP Initially Planned]]+Tabelle1324568910111213141516171618[[#This Row],[COsSP Pulled after Start]]-Tabelle1324568910111213141516171618[[#This Row],[CSOsSP Completed]]-Tabelle1324568910111213141516171618[[#This Row],[CSOsSP Removed]]</f>
        <v>0</v>
      </c>
    </row>
    <row r="59" spans="1:18" ht="13.5" hidden="1" customHeight="1">
      <c r="A59" s="202" t="s">
        <v>515</v>
      </c>
      <c r="B59" t="s">
        <v>516</v>
      </c>
      <c r="C59" s="375" t="s">
        <v>382</v>
      </c>
      <c r="D59" s="375">
        <v>3</v>
      </c>
      <c r="E59" s="375" t="s">
        <v>278</v>
      </c>
      <c r="F59" s="376">
        <v>5</v>
      </c>
      <c r="G59" s="375" t="s">
        <v>24</v>
      </c>
      <c r="H59" s="380" t="s">
        <v>209</v>
      </c>
      <c r="I59" s="377"/>
      <c r="J59" s="377"/>
      <c r="K59" s="375" t="s">
        <v>125</v>
      </c>
      <c r="L59" s="376"/>
      <c r="M59" s="376"/>
      <c r="N59" s="378">
        <f>IF(OR(Tabelle1324568910111213141516171618[[#This Row],[Pulled after Start]]="yes",Tabelle1324568910111213141516171618[[#This Row],[Jira Story Points]]="-"),0,MIN(Tabelle1324568910111213141516171618[[#This Row],[Jira Story Points]],Tabelle1324568910111213141516171618[[#This Row],[Carry-over]]))</f>
        <v>0</v>
      </c>
      <c r="O59" s="379">
        <f>SUM(IF(ISBLANK(Tabelle1324568910111213141516171618[[#This Row],[Carry-over]]),Tabelle1324568910111213141516171618[[#This Row],[Jira Story Points]],Tabelle1324568910111213141516171618[[#This Row],[Carry-over]]),-Tabelle1324568910111213141516171618[[#This Row],[COsSP Initially Planned]])</f>
        <v>5</v>
      </c>
      <c r="P5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59" s="379">
        <f>IF(Tabelle1324568910111213141516171618[[#This Row],[Status]]=$J$5,Tabelle1324568910111213141516171618[[#This Row],[COsSP Initially Planned]]+Tabelle1324568910111213141516171618[[#This Row],[COsSP Pulled after Start]]-Tabelle1324568910111213141516171618[[#This Row],[CSOsSP Completed]],0)</f>
        <v>0</v>
      </c>
      <c r="R59" s="379">
        <f>Tabelle1324568910111213141516171618[[#This Row],[COsSP Initially Planned]]+Tabelle1324568910111213141516171618[[#This Row],[COsSP Pulled after Start]]-Tabelle1324568910111213141516171618[[#This Row],[CSOsSP Completed]]-Tabelle1324568910111213141516171618[[#This Row],[CSOsSP Removed]]</f>
        <v>0</v>
      </c>
    </row>
    <row r="60" spans="1:18" ht="13.5" hidden="1" customHeight="1">
      <c r="A60" s="202" t="s">
        <v>517</v>
      </c>
      <c r="B60" t="s">
        <v>518</v>
      </c>
      <c r="C60" s="375" t="s">
        <v>382</v>
      </c>
      <c r="D60" s="375">
        <v>1</v>
      </c>
      <c r="E60" s="375" t="s">
        <v>278</v>
      </c>
      <c r="F60" s="376">
        <v>2</v>
      </c>
      <c r="G60" s="375" t="s">
        <v>24</v>
      </c>
      <c r="H60" s="380" t="s">
        <v>209</v>
      </c>
      <c r="I60" s="377"/>
      <c r="J60" s="377"/>
      <c r="K60" s="375" t="s">
        <v>125</v>
      </c>
      <c r="L60" s="376"/>
      <c r="M60" s="376"/>
      <c r="N60" s="378">
        <f>IF(OR(Tabelle1324568910111213141516171618[[#This Row],[Pulled after Start]]="yes",Tabelle1324568910111213141516171618[[#This Row],[Jira Story Points]]="-"),0,MIN(Tabelle1324568910111213141516171618[[#This Row],[Jira Story Points]],Tabelle1324568910111213141516171618[[#This Row],[Carry-over]]))</f>
        <v>0</v>
      </c>
      <c r="O60" s="379">
        <f>SUM(IF(ISBLANK(Tabelle1324568910111213141516171618[[#This Row],[Carry-over]]),Tabelle1324568910111213141516171618[[#This Row],[Jira Story Points]],Tabelle1324568910111213141516171618[[#This Row],[Carry-over]]),-Tabelle1324568910111213141516171618[[#This Row],[COsSP Initially Planned]])</f>
        <v>2</v>
      </c>
      <c r="P6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60" s="379">
        <f>IF(Tabelle1324568910111213141516171618[[#This Row],[Status]]=$J$5,Tabelle1324568910111213141516171618[[#This Row],[COsSP Initially Planned]]+Tabelle1324568910111213141516171618[[#This Row],[COsSP Pulled after Start]]-Tabelle1324568910111213141516171618[[#This Row],[CSOsSP Completed]],0)</f>
        <v>0</v>
      </c>
      <c r="R60" s="379">
        <f>Tabelle1324568910111213141516171618[[#This Row],[COsSP Initially Planned]]+Tabelle1324568910111213141516171618[[#This Row],[COsSP Pulled after Start]]-Tabelle1324568910111213141516171618[[#This Row],[CSOsSP Completed]]-Tabelle1324568910111213141516171618[[#This Row],[CSOsSP Removed]]</f>
        <v>0</v>
      </c>
    </row>
    <row r="61" spans="1:18" ht="13.5" hidden="1" customHeight="1">
      <c r="A61" s="202" t="s">
        <v>519</v>
      </c>
      <c r="B61" t="s">
        <v>520</v>
      </c>
      <c r="C61" s="375" t="s">
        <v>382</v>
      </c>
      <c r="D61" s="375">
        <v>3</v>
      </c>
      <c r="E61" s="375" t="s">
        <v>278</v>
      </c>
      <c r="F61" s="376">
        <v>1</v>
      </c>
      <c r="G61" s="375" t="s">
        <v>24</v>
      </c>
      <c r="H61" s="380" t="s">
        <v>209</v>
      </c>
      <c r="I61" s="377"/>
      <c r="J61" s="377"/>
      <c r="K61" s="375" t="s">
        <v>125</v>
      </c>
      <c r="L61" s="376"/>
      <c r="M61" s="376"/>
      <c r="N61" s="378">
        <f>IF(OR(Tabelle1324568910111213141516171618[[#This Row],[Pulled after Start]]="yes",Tabelle1324568910111213141516171618[[#This Row],[Jira Story Points]]="-"),0,MIN(Tabelle1324568910111213141516171618[[#This Row],[Jira Story Points]],Tabelle1324568910111213141516171618[[#This Row],[Carry-over]]))</f>
        <v>0</v>
      </c>
      <c r="O61" s="379">
        <f>SUM(IF(ISBLANK(Tabelle1324568910111213141516171618[[#This Row],[Carry-over]]),Tabelle1324568910111213141516171618[[#This Row],[Jira Story Points]],Tabelle1324568910111213141516171618[[#This Row],[Carry-over]]),-Tabelle1324568910111213141516171618[[#This Row],[COsSP Initially Planned]])</f>
        <v>1</v>
      </c>
      <c r="P6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61" s="379">
        <f>IF(Tabelle1324568910111213141516171618[[#This Row],[Status]]=$J$5,Tabelle1324568910111213141516171618[[#This Row],[COsSP Initially Planned]]+Tabelle1324568910111213141516171618[[#This Row],[COsSP Pulled after Start]]-Tabelle1324568910111213141516171618[[#This Row],[CSOsSP Completed]],0)</f>
        <v>0</v>
      </c>
      <c r="R61" s="379">
        <f>Tabelle1324568910111213141516171618[[#This Row],[COsSP Initially Planned]]+Tabelle1324568910111213141516171618[[#This Row],[COsSP Pulled after Start]]-Tabelle1324568910111213141516171618[[#This Row],[CSOsSP Completed]]-Tabelle1324568910111213141516171618[[#This Row],[CSOsSP Removed]]</f>
        <v>0</v>
      </c>
    </row>
    <row r="62" spans="1:18" ht="13.5" hidden="1" customHeight="1">
      <c r="A62" s="202" t="s">
        <v>521</v>
      </c>
      <c r="B62" t="s">
        <v>522</v>
      </c>
      <c r="C62" s="375" t="s">
        <v>375</v>
      </c>
      <c r="D62" s="375">
        <v>3</v>
      </c>
      <c r="E62" s="375" t="s">
        <v>278</v>
      </c>
      <c r="F62" s="376">
        <v>3</v>
      </c>
      <c r="G62" s="375" t="s">
        <v>24</v>
      </c>
      <c r="H62" s="380"/>
      <c r="I62" s="377"/>
      <c r="J62" s="377"/>
      <c r="K62" s="375" t="s">
        <v>125</v>
      </c>
      <c r="L62" s="376"/>
      <c r="M62" s="376"/>
      <c r="N62" s="378">
        <f>IF(OR(Tabelle1324568910111213141516171618[[#This Row],[Pulled after Start]]="yes",Tabelle1324568910111213141516171618[[#This Row],[Jira Story Points]]="-"),0,MIN(Tabelle1324568910111213141516171618[[#This Row],[Jira Story Points]],Tabelle1324568910111213141516171618[[#This Row],[Carry-over]]))</f>
        <v>3</v>
      </c>
      <c r="O62" s="379">
        <f>SUM(IF(ISBLANK(Tabelle1324568910111213141516171618[[#This Row],[Carry-over]]),Tabelle1324568910111213141516171618[[#This Row],[Jira Story Points]],Tabelle1324568910111213141516171618[[#This Row],[Carry-over]]),-Tabelle1324568910111213141516171618[[#This Row],[COsSP Initially Planned]])</f>
        <v>0</v>
      </c>
      <c r="P6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62" s="379">
        <f>IF(Tabelle1324568910111213141516171618[[#This Row],[Status]]=$J$5,Tabelle1324568910111213141516171618[[#This Row],[COsSP Initially Planned]]+Tabelle1324568910111213141516171618[[#This Row],[COsSP Pulled after Start]]-Tabelle1324568910111213141516171618[[#This Row],[CSOsSP Completed]],0)</f>
        <v>0</v>
      </c>
      <c r="R62" s="379">
        <f>Tabelle1324568910111213141516171618[[#This Row],[COsSP Initially Planned]]+Tabelle1324568910111213141516171618[[#This Row],[COsSP Pulled after Start]]-Tabelle1324568910111213141516171618[[#This Row],[CSOsSP Completed]]-Tabelle1324568910111213141516171618[[#This Row],[CSOsSP Removed]]</f>
        <v>0</v>
      </c>
    </row>
    <row r="63" spans="1:18" ht="13.5" hidden="1" customHeight="1">
      <c r="A63" s="202" t="s">
        <v>523</v>
      </c>
      <c r="B63" t="s">
        <v>524</v>
      </c>
      <c r="C63" s="375" t="s">
        <v>372</v>
      </c>
      <c r="D63" s="375">
        <v>3</v>
      </c>
      <c r="E63" s="375" t="s">
        <v>288</v>
      </c>
      <c r="F63" s="376">
        <v>3</v>
      </c>
      <c r="G63" s="375" t="s">
        <v>24</v>
      </c>
      <c r="H63" s="380"/>
      <c r="I63" s="377"/>
      <c r="J63" s="377"/>
      <c r="K63" s="375" t="s">
        <v>125</v>
      </c>
      <c r="L63" s="376"/>
      <c r="M63" s="376">
        <v>5</v>
      </c>
      <c r="N63" s="378">
        <f>IF(OR(Tabelle1324568910111213141516171618[[#This Row],[Pulled after Start]]="yes",Tabelle1324568910111213141516171618[[#This Row],[Jira Story Points]]="-"),0,MIN(Tabelle1324568910111213141516171618[[#This Row],[Jira Story Points]],Tabelle1324568910111213141516171618[[#This Row],[Carry-over]]))</f>
        <v>3</v>
      </c>
      <c r="O63" s="379">
        <f>SUM(IF(ISBLANK(Tabelle1324568910111213141516171618[[#This Row],[Carry-over]]),Tabelle1324568910111213141516171618[[#This Row],[Jira Story Points]],Tabelle1324568910111213141516171618[[#This Row],[Carry-over]]),-Tabelle1324568910111213141516171618[[#This Row],[COsSP Initially Planned]])</f>
        <v>0</v>
      </c>
      <c r="P6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63" s="379">
        <f>IF(Tabelle1324568910111213141516171618[[#This Row],[Status]]=$J$5,Tabelle1324568910111213141516171618[[#This Row],[COsSP Initially Planned]]+Tabelle1324568910111213141516171618[[#This Row],[COsSP Pulled after Start]]-Tabelle1324568910111213141516171618[[#This Row],[CSOsSP Completed]],0)</f>
        <v>0</v>
      </c>
      <c r="R63" s="379">
        <f>Tabelle1324568910111213141516171618[[#This Row],[COsSP Initially Planned]]+Tabelle1324568910111213141516171618[[#This Row],[COsSP Pulled after Start]]-Tabelle1324568910111213141516171618[[#This Row],[CSOsSP Completed]]-Tabelle1324568910111213141516171618[[#This Row],[CSOsSP Removed]]</f>
        <v>0</v>
      </c>
    </row>
    <row r="64" spans="1:18" ht="13.5" hidden="1" customHeight="1">
      <c r="A64" s="202" t="s">
        <v>525</v>
      </c>
      <c r="B64" t="s">
        <v>526</v>
      </c>
      <c r="C64" s="375" t="s">
        <v>372</v>
      </c>
      <c r="D64" s="375">
        <v>3</v>
      </c>
      <c r="E64" s="375" t="s">
        <v>278</v>
      </c>
      <c r="F64" s="376">
        <v>3</v>
      </c>
      <c r="G64" s="375" t="s">
        <v>24</v>
      </c>
      <c r="H64" s="380"/>
      <c r="I64" s="377"/>
      <c r="J64" s="377"/>
      <c r="K64" s="375" t="s">
        <v>125</v>
      </c>
      <c r="L64" s="376"/>
      <c r="M64" s="376"/>
      <c r="N64" s="378">
        <f>IF(OR(Tabelle1324568910111213141516171618[[#This Row],[Pulled after Start]]="yes",Tabelle1324568910111213141516171618[[#This Row],[Jira Story Points]]="-"),0,MIN(Tabelle1324568910111213141516171618[[#This Row],[Jira Story Points]],Tabelle1324568910111213141516171618[[#This Row],[Carry-over]]))</f>
        <v>3</v>
      </c>
      <c r="O64" s="379">
        <f>SUM(IF(ISBLANK(Tabelle1324568910111213141516171618[[#This Row],[Carry-over]]),Tabelle1324568910111213141516171618[[#This Row],[Jira Story Points]],Tabelle1324568910111213141516171618[[#This Row],[Carry-over]]),-Tabelle1324568910111213141516171618[[#This Row],[COsSP Initially Planned]])</f>
        <v>0</v>
      </c>
      <c r="P6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64" s="379">
        <f>IF(Tabelle1324568910111213141516171618[[#This Row],[Status]]=$J$5,Tabelle1324568910111213141516171618[[#This Row],[COsSP Initially Planned]]+Tabelle1324568910111213141516171618[[#This Row],[COsSP Pulled after Start]]-Tabelle1324568910111213141516171618[[#This Row],[CSOsSP Completed]],0)</f>
        <v>0</v>
      </c>
      <c r="R64" s="379">
        <f>Tabelle1324568910111213141516171618[[#This Row],[COsSP Initially Planned]]+Tabelle1324568910111213141516171618[[#This Row],[COsSP Pulled after Start]]-Tabelle1324568910111213141516171618[[#This Row],[CSOsSP Completed]]-Tabelle1324568910111213141516171618[[#This Row],[CSOsSP Removed]]</f>
        <v>0</v>
      </c>
    </row>
    <row r="65" spans="1:18" ht="13.5" hidden="1" customHeight="1">
      <c r="A65" s="202" t="s">
        <v>527</v>
      </c>
      <c r="B65" t="s">
        <v>528</v>
      </c>
      <c r="C65" s="375" t="s">
        <v>372</v>
      </c>
      <c r="D65" s="375">
        <v>3</v>
      </c>
      <c r="E65" s="375" t="s">
        <v>278</v>
      </c>
      <c r="F65" s="376">
        <v>3</v>
      </c>
      <c r="G65" s="375" t="s">
        <v>24</v>
      </c>
      <c r="H65" s="380"/>
      <c r="I65" s="377"/>
      <c r="J65" s="377"/>
      <c r="K65" s="375" t="s">
        <v>127</v>
      </c>
      <c r="L65" s="376"/>
      <c r="M65" s="376"/>
      <c r="N65" s="378">
        <f>IF(OR(Tabelle1324568910111213141516171618[[#This Row],[Pulled after Start]]="yes",Tabelle1324568910111213141516171618[[#This Row],[Jira Story Points]]="-"),0,MIN(Tabelle1324568910111213141516171618[[#This Row],[Jira Story Points]],Tabelle1324568910111213141516171618[[#This Row],[Carry-over]]))</f>
        <v>3</v>
      </c>
      <c r="O65" s="379">
        <f>SUM(IF(ISBLANK(Tabelle1324568910111213141516171618[[#This Row],[Carry-over]]),Tabelle1324568910111213141516171618[[#This Row],[Jira Story Points]],Tabelle1324568910111213141516171618[[#This Row],[Carry-over]]),-Tabelle1324568910111213141516171618[[#This Row],[COsSP Initially Planned]])</f>
        <v>0</v>
      </c>
      <c r="P6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65" s="379">
        <f>IF(Tabelle1324568910111213141516171618[[#This Row],[Status]]=$J$5,Tabelle1324568910111213141516171618[[#This Row],[COsSP Initially Planned]]+Tabelle1324568910111213141516171618[[#This Row],[COsSP Pulled after Start]]-Tabelle1324568910111213141516171618[[#This Row],[CSOsSP Completed]],0)</f>
        <v>0</v>
      </c>
      <c r="R65" s="379">
        <f>Tabelle1324568910111213141516171618[[#This Row],[COsSP Initially Planned]]+Tabelle1324568910111213141516171618[[#This Row],[COsSP Pulled after Start]]-Tabelle1324568910111213141516171618[[#This Row],[CSOsSP Completed]]-Tabelle1324568910111213141516171618[[#This Row],[CSOsSP Removed]]</f>
        <v>3</v>
      </c>
    </row>
    <row r="66" spans="1:18" ht="13.5" hidden="1" customHeight="1">
      <c r="A66" s="202" t="s">
        <v>529</v>
      </c>
      <c r="B66" t="s">
        <v>530</v>
      </c>
      <c r="C66" s="375" t="s">
        <v>372</v>
      </c>
      <c r="D66" s="375">
        <v>3</v>
      </c>
      <c r="E66" s="375" t="s">
        <v>278</v>
      </c>
      <c r="F66" s="376">
        <v>3</v>
      </c>
      <c r="G66" s="375" t="s">
        <v>24</v>
      </c>
      <c r="H66" s="380"/>
      <c r="I66" s="377"/>
      <c r="J66" s="377"/>
      <c r="K66" s="375" t="s">
        <v>127</v>
      </c>
      <c r="L66" s="376"/>
      <c r="M66" s="376"/>
      <c r="N66" s="378">
        <f>IF(OR(Tabelle1324568910111213141516171618[[#This Row],[Pulled after Start]]="yes",Tabelle1324568910111213141516171618[[#This Row],[Jira Story Points]]="-"),0,MIN(Tabelle1324568910111213141516171618[[#This Row],[Jira Story Points]],Tabelle1324568910111213141516171618[[#This Row],[Carry-over]]))</f>
        <v>3</v>
      </c>
      <c r="O66" s="379">
        <f>SUM(IF(ISBLANK(Tabelle1324568910111213141516171618[[#This Row],[Carry-over]]),Tabelle1324568910111213141516171618[[#This Row],[Jira Story Points]],Tabelle1324568910111213141516171618[[#This Row],[Carry-over]]),-Tabelle1324568910111213141516171618[[#This Row],[COsSP Initially Planned]])</f>
        <v>0</v>
      </c>
      <c r="P6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66" s="379">
        <f>IF(Tabelle1324568910111213141516171618[[#This Row],[Status]]=$J$5,Tabelle1324568910111213141516171618[[#This Row],[COsSP Initially Planned]]+Tabelle1324568910111213141516171618[[#This Row],[COsSP Pulled after Start]]-Tabelle1324568910111213141516171618[[#This Row],[CSOsSP Completed]],0)</f>
        <v>0</v>
      </c>
      <c r="R66" s="379">
        <f>Tabelle1324568910111213141516171618[[#This Row],[COsSP Initially Planned]]+Tabelle1324568910111213141516171618[[#This Row],[COsSP Pulled after Start]]-Tabelle1324568910111213141516171618[[#This Row],[CSOsSP Completed]]-Tabelle1324568910111213141516171618[[#This Row],[CSOsSP Removed]]</f>
        <v>3</v>
      </c>
    </row>
    <row r="67" spans="1:18" ht="13.5" hidden="1" customHeight="1">
      <c r="A67" s="202" t="s">
        <v>531</v>
      </c>
      <c r="B67" t="s">
        <v>532</v>
      </c>
      <c r="C67" s="375" t="s">
        <v>372</v>
      </c>
      <c r="D67" s="375">
        <v>3</v>
      </c>
      <c r="E67" s="375" t="s">
        <v>288</v>
      </c>
      <c r="F67" s="376">
        <v>5</v>
      </c>
      <c r="G67" s="375" t="s">
        <v>24</v>
      </c>
      <c r="H67" s="380"/>
      <c r="I67" s="377"/>
      <c r="J67" s="377"/>
      <c r="K67" s="375" t="s">
        <v>127</v>
      </c>
      <c r="L67" s="376"/>
      <c r="M67" s="376">
        <v>8</v>
      </c>
      <c r="N67" s="378">
        <f>IF(OR(Tabelle1324568910111213141516171618[[#This Row],[Pulled after Start]]="yes",Tabelle1324568910111213141516171618[[#This Row],[Jira Story Points]]="-"),0,MIN(Tabelle1324568910111213141516171618[[#This Row],[Jira Story Points]],Tabelle1324568910111213141516171618[[#This Row],[Carry-over]]))</f>
        <v>5</v>
      </c>
      <c r="O67" s="379">
        <f>SUM(IF(ISBLANK(Tabelle1324568910111213141516171618[[#This Row],[Carry-over]]),Tabelle1324568910111213141516171618[[#This Row],[Jira Story Points]],Tabelle1324568910111213141516171618[[#This Row],[Carry-over]]),-Tabelle1324568910111213141516171618[[#This Row],[COsSP Initially Planned]])</f>
        <v>0</v>
      </c>
      <c r="P6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67" s="379">
        <f>IF(Tabelle1324568910111213141516171618[[#This Row],[Status]]=$J$5,Tabelle1324568910111213141516171618[[#This Row],[COsSP Initially Planned]]+Tabelle1324568910111213141516171618[[#This Row],[COsSP Pulled after Start]]-Tabelle1324568910111213141516171618[[#This Row],[CSOsSP Completed]],0)</f>
        <v>0</v>
      </c>
      <c r="R67" s="379">
        <f>Tabelle1324568910111213141516171618[[#This Row],[COsSP Initially Planned]]+Tabelle1324568910111213141516171618[[#This Row],[COsSP Pulled after Start]]-Tabelle1324568910111213141516171618[[#This Row],[CSOsSP Completed]]-Tabelle1324568910111213141516171618[[#This Row],[CSOsSP Removed]]</f>
        <v>8</v>
      </c>
    </row>
    <row r="68" spans="1:18" ht="13.5" hidden="1" customHeight="1">
      <c r="A68" s="202" t="s">
        <v>533</v>
      </c>
      <c r="B68" t="s">
        <v>534</v>
      </c>
      <c r="C68" s="375" t="s">
        <v>375</v>
      </c>
      <c r="D68" s="375">
        <v>3</v>
      </c>
      <c r="E68" s="375" t="s">
        <v>288</v>
      </c>
      <c r="F68" s="376">
        <v>2</v>
      </c>
      <c r="G68" s="375" t="s">
        <v>24</v>
      </c>
      <c r="H68" s="380"/>
      <c r="I68" s="377"/>
      <c r="J68" s="377"/>
      <c r="K68" s="375" t="s">
        <v>127</v>
      </c>
      <c r="L68" s="376"/>
      <c r="M68" s="376">
        <v>1</v>
      </c>
      <c r="N68" s="378">
        <f>IF(OR(Tabelle1324568910111213141516171618[[#This Row],[Pulled after Start]]="yes",Tabelle1324568910111213141516171618[[#This Row],[Jira Story Points]]="-"),0,MIN(Tabelle1324568910111213141516171618[[#This Row],[Jira Story Points]],Tabelle1324568910111213141516171618[[#This Row],[Carry-over]]))</f>
        <v>2</v>
      </c>
      <c r="O68" s="379">
        <f>SUM(IF(ISBLANK(Tabelle1324568910111213141516171618[[#This Row],[Carry-over]]),Tabelle1324568910111213141516171618[[#This Row],[Jira Story Points]],Tabelle1324568910111213141516171618[[#This Row],[Carry-over]]),-Tabelle1324568910111213141516171618[[#This Row],[COsSP Initially Planned]])</f>
        <v>0</v>
      </c>
      <c r="P6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68" s="379">
        <f>IF(Tabelle1324568910111213141516171618[[#This Row],[Status]]=$J$5,Tabelle1324568910111213141516171618[[#This Row],[COsSP Initially Planned]]+Tabelle1324568910111213141516171618[[#This Row],[COsSP Pulled after Start]]-Tabelle1324568910111213141516171618[[#This Row],[CSOsSP Completed]],0)</f>
        <v>0</v>
      </c>
      <c r="R68" s="379">
        <f>Tabelle1324568910111213141516171618[[#This Row],[COsSP Initially Planned]]+Tabelle1324568910111213141516171618[[#This Row],[COsSP Pulled after Start]]-Tabelle1324568910111213141516171618[[#This Row],[CSOsSP Completed]]-Tabelle1324568910111213141516171618[[#This Row],[CSOsSP Removed]]</f>
        <v>1</v>
      </c>
    </row>
    <row r="69" spans="1:18" ht="13.5" hidden="1" customHeight="1">
      <c r="A69" s="202" t="s">
        <v>535</v>
      </c>
      <c r="B69" t="s">
        <v>536</v>
      </c>
      <c r="C69" s="375" t="s">
        <v>372</v>
      </c>
      <c r="D69" s="375">
        <v>3</v>
      </c>
      <c r="E69" s="375" t="s">
        <v>278</v>
      </c>
      <c r="F69" s="376">
        <v>2</v>
      </c>
      <c r="G69" s="375" t="s">
        <v>24</v>
      </c>
      <c r="H69" s="380" t="s">
        <v>209</v>
      </c>
      <c r="I69" s="377"/>
      <c r="J69" s="377"/>
      <c r="K69" s="375" t="s">
        <v>127</v>
      </c>
      <c r="L69" s="376"/>
      <c r="M69" s="376"/>
      <c r="N69" s="378">
        <f>IF(OR(Tabelle1324568910111213141516171618[[#This Row],[Pulled after Start]]="yes",Tabelle1324568910111213141516171618[[#This Row],[Jira Story Points]]="-"),0,MIN(Tabelle1324568910111213141516171618[[#This Row],[Jira Story Points]],Tabelle1324568910111213141516171618[[#This Row],[Carry-over]]))</f>
        <v>0</v>
      </c>
      <c r="O69" s="379">
        <f>SUM(IF(ISBLANK(Tabelle1324568910111213141516171618[[#This Row],[Carry-over]]),Tabelle1324568910111213141516171618[[#This Row],[Jira Story Points]],Tabelle1324568910111213141516171618[[#This Row],[Carry-over]]),-Tabelle1324568910111213141516171618[[#This Row],[COsSP Initially Planned]])</f>
        <v>2</v>
      </c>
      <c r="P6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69" s="379">
        <f>IF(Tabelle1324568910111213141516171618[[#This Row],[Status]]=$J$5,Tabelle1324568910111213141516171618[[#This Row],[COsSP Initially Planned]]+Tabelle1324568910111213141516171618[[#This Row],[COsSP Pulled after Start]]-Tabelle1324568910111213141516171618[[#This Row],[CSOsSP Completed]],0)</f>
        <v>0</v>
      </c>
      <c r="R69" s="379">
        <f>Tabelle1324568910111213141516171618[[#This Row],[COsSP Initially Planned]]+Tabelle1324568910111213141516171618[[#This Row],[COsSP Pulled after Start]]-Tabelle1324568910111213141516171618[[#This Row],[CSOsSP Completed]]-Tabelle1324568910111213141516171618[[#This Row],[CSOsSP Removed]]</f>
        <v>2</v>
      </c>
    </row>
    <row r="70" spans="1:18" ht="13.5" hidden="1" customHeight="1">
      <c r="A70" s="202" t="s">
        <v>537</v>
      </c>
      <c r="B70" t="s">
        <v>538</v>
      </c>
      <c r="C70" s="375" t="s">
        <v>372</v>
      </c>
      <c r="D70" s="375">
        <v>3</v>
      </c>
      <c r="E70" s="375" t="s">
        <v>278</v>
      </c>
      <c r="F70" s="376">
        <v>5</v>
      </c>
      <c r="G70" s="375" t="s">
        <v>24</v>
      </c>
      <c r="H70" s="380" t="s">
        <v>209</v>
      </c>
      <c r="I70" s="377"/>
      <c r="J70" s="377"/>
      <c r="K70" s="375" t="s">
        <v>127</v>
      </c>
      <c r="L70" s="376"/>
      <c r="M70" s="376"/>
      <c r="N70" s="378">
        <f>IF(OR(Tabelle1324568910111213141516171618[[#This Row],[Pulled after Start]]="yes",Tabelle1324568910111213141516171618[[#This Row],[Jira Story Points]]="-"),0,MIN(Tabelle1324568910111213141516171618[[#This Row],[Jira Story Points]],Tabelle1324568910111213141516171618[[#This Row],[Carry-over]]))</f>
        <v>0</v>
      </c>
      <c r="O70" s="379">
        <f>SUM(IF(ISBLANK(Tabelle1324568910111213141516171618[[#This Row],[Carry-over]]),Tabelle1324568910111213141516171618[[#This Row],[Jira Story Points]],Tabelle1324568910111213141516171618[[#This Row],[Carry-over]]),-Tabelle1324568910111213141516171618[[#This Row],[COsSP Initially Planned]])</f>
        <v>5</v>
      </c>
      <c r="P7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70" s="379">
        <f>IF(Tabelle1324568910111213141516171618[[#This Row],[Status]]=$J$5,Tabelle1324568910111213141516171618[[#This Row],[COsSP Initially Planned]]+Tabelle1324568910111213141516171618[[#This Row],[COsSP Pulled after Start]]-Tabelle1324568910111213141516171618[[#This Row],[CSOsSP Completed]],0)</f>
        <v>0</v>
      </c>
      <c r="R70" s="379">
        <f>Tabelle1324568910111213141516171618[[#This Row],[COsSP Initially Planned]]+Tabelle1324568910111213141516171618[[#This Row],[COsSP Pulled after Start]]-Tabelle1324568910111213141516171618[[#This Row],[CSOsSP Completed]]-Tabelle1324568910111213141516171618[[#This Row],[CSOsSP Removed]]</f>
        <v>5</v>
      </c>
    </row>
    <row r="71" spans="1:18" ht="13.5" hidden="1" customHeight="1">
      <c r="A71" s="202" t="s">
        <v>539</v>
      </c>
      <c r="B71" t="s">
        <v>540</v>
      </c>
      <c r="C71" s="375" t="s">
        <v>382</v>
      </c>
      <c r="D71" s="375">
        <v>3</v>
      </c>
      <c r="E71" s="375" t="s">
        <v>281</v>
      </c>
      <c r="F71" s="376">
        <v>2</v>
      </c>
      <c r="G71" s="375" t="s">
        <v>24</v>
      </c>
      <c r="H71" s="380"/>
      <c r="I71" s="377"/>
      <c r="J71" s="377"/>
      <c r="K71" s="375" t="s">
        <v>127</v>
      </c>
      <c r="L71" s="376">
        <v>3</v>
      </c>
      <c r="M71" s="376">
        <v>1</v>
      </c>
      <c r="N71" s="378">
        <f>IF(OR(Tabelle1324568910111213141516171618[[#This Row],[Pulled after Start]]="yes",Tabelle1324568910111213141516171618[[#This Row],[Jira Story Points]]="-"),0,MIN(Tabelle1324568910111213141516171618[[#This Row],[Jira Story Points]],Tabelle1324568910111213141516171618[[#This Row],[Carry-over]]))</f>
        <v>2</v>
      </c>
      <c r="O71" s="379">
        <f>SUM(IF(ISBLANK(Tabelle1324568910111213141516171618[[#This Row],[Carry-over]]),Tabelle1324568910111213141516171618[[#This Row],[Jira Story Points]],Tabelle1324568910111213141516171618[[#This Row],[Carry-over]]),-Tabelle1324568910111213141516171618[[#This Row],[COsSP Initially Planned]])</f>
        <v>1</v>
      </c>
      <c r="P7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71" s="379">
        <f>IF(Tabelle1324568910111213141516171618[[#This Row],[Status]]=$J$5,Tabelle1324568910111213141516171618[[#This Row],[COsSP Initially Planned]]+Tabelle1324568910111213141516171618[[#This Row],[COsSP Pulled after Start]]-Tabelle1324568910111213141516171618[[#This Row],[CSOsSP Completed]],0)</f>
        <v>0</v>
      </c>
      <c r="R71" s="379">
        <f>Tabelle1324568910111213141516171618[[#This Row],[COsSP Initially Planned]]+Tabelle1324568910111213141516171618[[#This Row],[COsSP Pulled after Start]]-Tabelle1324568910111213141516171618[[#This Row],[CSOsSP Completed]]-Tabelle1324568910111213141516171618[[#This Row],[CSOsSP Removed]]</f>
        <v>1</v>
      </c>
    </row>
    <row r="72" spans="1:18" ht="13.5" hidden="1" customHeight="1">
      <c r="A72" s="202" t="s">
        <v>541</v>
      </c>
      <c r="B72" t="s">
        <v>542</v>
      </c>
      <c r="C72" s="375" t="s">
        <v>382</v>
      </c>
      <c r="D72" s="375">
        <v>3</v>
      </c>
      <c r="E72" s="375" t="s">
        <v>281</v>
      </c>
      <c r="F72" s="376">
        <v>2</v>
      </c>
      <c r="G72" s="375" t="s">
        <v>24</v>
      </c>
      <c r="H72" s="380" t="s">
        <v>209</v>
      </c>
      <c r="I72" s="377"/>
      <c r="J72" s="377"/>
      <c r="K72" s="375" t="s">
        <v>127</v>
      </c>
      <c r="L72" s="376"/>
      <c r="M72" s="376">
        <v>1</v>
      </c>
      <c r="N72" s="378">
        <f>IF(OR(Tabelle1324568910111213141516171618[[#This Row],[Pulled after Start]]="yes",Tabelle1324568910111213141516171618[[#This Row],[Jira Story Points]]="-"),0,MIN(Tabelle1324568910111213141516171618[[#This Row],[Jira Story Points]],Tabelle1324568910111213141516171618[[#This Row],[Carry-over]]))</f>
        <v>0</v>
      </c>
      <c r="O72" s="379">
        <f>SUM(IF(ISBLANK(Tabelle1324568910111213141516171618[[#This Row],[Carry-over]]),Tabelle1324568910111213141516171618[[#This Row],[Jira Story Points]],Tabelle1324568910111213141516171618[[#This Row],[Carry-over]]),-Tabelle1324568910111213141516171618[[#This Row],[COsSP Initially Planned]])</f>
        <v>2</v>
      </c>
      <c r="P7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72" s="379">
        <f>IF(Tabelle1324568910111213141516171618[[#This Row],[Status]]=$J$5,Tabelle1324568910111213141516171618[[#This Row],[COsSP Initially Planned]]+Tabelle1324568910111213141516171618[[#This Row],[COsSP Pulled after Start]]-Tabelle1324568910111213141516171618[[#This Row],[CSOsSP Completed]],0)</f>
        <v>0</v>
      </c>
      <c r="R72" s="379">
        <f>Tabelle1324568910111213141516171618[[#This Row],[COsSP Initially Planned]]+Tabelle1324568910111213141516171618[[#This Row],[COsSP Pulled after Start]]-Tabelle1324568910111213141516171618[[#This Row],[CSOsSP Completed]]-Tabelle1324568910111213141516171618[[#This Row],[CSOsSP Removed]]</f>
        <v>1</v>
      </c>
    </row>
    <row r="73" spans="1:18" ht="13.5" hidden="1" customHeight="1">
      <c r="A73" t="s">
        <v>543</v>
      </c>
      <c r="B73" t="s">
        <v>544</v>
      </c>
      <c r="C73" t="s">
        <v>375</v>
      </c>
      <c r="D73" s="375">
        <v>1</v>
      </c>
      <c r="E73" s="36" t="s">
        <v>278</v>
      </c>
      <c r="F73" s="376">
        <v>3</v>
      </c>
      <c r="G73" s="36" t="s">
        <v>17</v>
      </c>
      <c r="H73" t="s">
        <v>209</v>
      </c>
      <c r="I73"/>
      <c r="J73"/>
      <c r="K73" s="375" t="s">
        <v>127</v>
      </c>
      <c r="L73" s="376"/>
      <c r="M73" s="376"/>
      <c r="N73" s="378">
        <f>IF(OR(Tabelle1324568910111213141516171618[[#This Row],[Pulled after Start]]="yes",Tabelle1324568910111213141516171618[[#This Row],[Jira Story Points]]="-"),0,MIN(Tabelle1324568910111213141516171618[[#This Row],[Jira Story Points]],Tabelle1324568910111213141516171618[[#This Row],[Carry-over]]))</f>
        <v>0</v>
      </c>
      <c r="O73" s="379">
        <f>SUM(IF(ISBLANK(Tabelle1324568910111213141516171618[[#This Row],[Carry-over]]),Tabelle1324568910111213141516171618[[#This Row],[Jira Story Points]],Tabelle1324568910111213141516171618[[#This Row],[Carry-over]]),-Tabelle1324568910111213141516171618[[#This Row],[COsSP Initially Planned]])</f>
        <v>3</v>
      </c>
      <c r="P7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73" s="379">
        <f>IF(Tabelle1324568910111213141516171618[[#This Row],[Status]]=$J$5,Tabelle1324568910111213141516171618[[#This Row],[COsSP Initially Planned]]+Tabelle1324568910111213141516171618[[#This Row],[COsSP Pulled after Start]]-Tabelle1324568910111213141516171618[[#This Row],[CSOsSP Completed]],0)</f>
        <v>0</v>
      </c>
      <c r="R73" s="379">
        <f>Tabelle1324568910111213141516171618[[#This Row],[COsSP Initially Planned]]+Tabelle1324568910111213141516171618[[#This Row],[COsSP Pulled after Start]]-Tabelle1324568910111213141516171618[[#This Row],[CSOsSP Completed]]-Tabelle1324568910111213141516171618[[#This Row],[CSOsSP Removed]]</f>
        <v>3</v>
      </c>
    </row>
    <row r="74" spans="1:18" ht="13.5" hidden="1" customHeight="1">
      <c r="A74" t="s">
        <v>545</v>
      </c>
      <c r="B74" t="s">
        <v>546</v>
      </c>
      <c r="C74" t="s">
        <v>375</v>
      </c>
      <c r="D74" s="375">
        <v>3</v>
      </c>
      <c r="E74" s="36" t="s">
        <v>288</v>
      </c>
      <c r="F74" s="376">
        <v>3</v>
      </c>
      <c r="G74" s="36" t="s">
        <v>17</v>
      </c>
      <c r="H74" t="s">
        <v>209</v>
      </c>
      <c r="I74"/>
      <c r="J74"/>
      <c r="K74" s="375" t="s">
        <v>125</v>
      </c>
      <c r="L74" s="376"/>
      <c r="M74" s="376"/>
      <c r="N74" s="378">
        <f>IF(OR(Tabelle1324568910111213141516171618[[#This Row],[Pulled after Start]]="yes",Tabelle1324568910111213141516171618[[#This Row],[Jira Story Points]]="-"),0,MIN(Tabelle1324568910111213141516171618[[#This Row],[Jira Story Points]],Tabelle1324568910111213141516171618[[#This Row],[Carry-over]]))</f>
        <v>0</v>
      </c>
      <c r="O74" s="379">
        <f>SUM(IF(ISBLANK(Tabelle1324568910111213141516171618[[#This Row],[Carry-over]]),Tabelle1324568910111213141516171618[[#This Row],[Jira Story Points]],Tabelle1324568910111213141516171618[[#This Row],[Carry-over]]),-Tabelle1324568910111213141516171618[[#This Row],[COsSP Initially Planned]])</f>
        <v>3</v>
      </c>
      <c r="P7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74" s="379">
        <f>IF(Tabelle1324568910111213141516171618[[#This Row],[Status]]=$J$5,Tabelle1324568910111213141516171618[[#This Row],[COsSP Initially Planned]]+Tabelle1324568910111213141516171618[[#This Row],[COsSP Pulled after Start]]-Tabelle1324568910111213141516171618[[#This Row],[CSOsSP Completed]],0)</f>
        <v>0</v>
      </c>
      <c r="R74" s="379">
        <f>Tabelle1324568910111213141516171618[[#This Row],[COsSP Initially Planned]]+Tabelle1324568910111213141516171618[[#This Row],[COsSP Pulled after Start]]-Tabelle1324568910111213141516171618[[#This Row],[CSOsSP Completed]]-Tabelle1324568910111213141516171618[[#This Row],[CSOsSP Removed]]</f>
        <v>0</v>
      </c>
    </row>
    <row r="75" spans="1:18" ht="13.5" hidden="1" customHeight="1">
      <c r="A75" t="s">
        <v>547</v>
      </c>
      <c r="B75" t="s">
        <v>548</v>
      </c>
      <c r="C75" t="s">
        <v>372</v>
      </c>
      <c r="D75" s="375">
        <v>3</v>
      </c>
      <c r="E75" s="36" t="s">
        <v>278</v>
      </c>
      <c r="F75" s="376">
        <v>5</v>
      </c>
      <c r="G75" s="36" t="s">
        <v>17</v>
      </c>
      <c r="H75"/>
      <c r="I75"/>
      <c r="J75"/>
      <c r="K75" s="375" t="s">
        <v>125</v>
      </c>
      <c r="L75" s="376"/>
      <c r="M75" s="376"/>
      <c r="N75" s="378">
        <f>IF(OR(Tabelle1324568910111213141516171618[[#This Row],[Pulled after Start]]="yes",Tabelle1324568910111213141516171618[[#This Row],[Jira Story Points]]="-"),0,MIN(Tabelle1324568910111213141516171618[[#This Row],[Jira Story Points]],Tabelle1324568910111213141516171618[[#This Row],[Carry-over]]))</f>
        <v>5</v>
      </c>
      <c r="O75" s="379">
        <f>SUM(IF(ISBLANK(Tabelle1324568910111213141516171618[[#This Row],[Carry-over]]),Tabelle1324568910111213141516171618[[#This Row],[Jira Story Points]],Tabelle1324568910111213141516171618[[#This Row],[Carry-over]]),-Tabelle1324568910111213141516171618[[#This Row],[COsSP Initially Planned]])</f>
        <v>0</v>
      </c>
      <c r="P7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75" s="379">
        <f>IF(Tabelle1324568910111213141516171618[[#This Row],[Status]]=$J$5,Tabelle1324568910111213141516171618[[#This Row],[COsSP Initially Planned]]+Tabelle1324568910111213141516171618[[#This Row],[COsSP Pulled after Start]]-Tabelle1324568910111213141516171618[[#This Row],[CSOsSP Completed]],0)</f>
        <v>0</v>
      </c>
      <c r="R75" s="379">
        <f>Tabelle1324568910111213141516171618[[#This Row],[COsSP Initially Planned]]+Tabelle1324568910111213141516171618[[#This Row],[COsSP Pulled after Start]]-Tabelle1324568910111213141516171618[[#This Row],[CSOsSP Completed]]-Tabelle1324568910111213141516171618[[#This Row],[CSOsSP Removed]]</f>
        <v>0</v>
      </c>
    </row>
    <row r="76" spans="1:18" ht="13.5" hidden="1" customHeight="1">
      <c r="A76" t="s">
        <v>549</v>
      </c>
      <c r="B76" t="s">
        <v>550</v>
      </c>
      <c r="C76" t="s">
        <v>382</v>
      </c>
      <c r="D76" s="375">
        <v>3</v>
      </c>
      <c r="E76" s="36" t="s">
        <v>278</v>
      </c>
      <c r="F76" s="376">
        <v>1</v>
      </c>
      <c r="G76" s="36" t="s">
        <v>17</v>
      </c>
      <c r="H76"/>
      <c r="I76"/>
      <c r="J76"/>
      <c r="K76" s="375" t="s">
        <v>125</v>
      </c>
      <c r="L76" s="376"/>
      <c r="M76" s="376"/>
      <c r="N76" s="378">
        <f>IF(OR(Tabelle1324568910111213141516171618[[#This Row],[Pulled after Start]]="yes",Tabelle1324568910111213141516171618[[#This Row],[Jira Story Points]]="-"),0,MIN(Tabelle1324568910111213141516171618[[#This Row],[Jira Story Points]],Tabelle1324568910111213141516171618[[#This Row],[Carry-over]]))</f>
        <v>1</v>
      </c>
      <c r="O76" s="379">
        <f>SUM(IF(ISBLANK(Tabelle1324568910111213141516171618[[#This Row],[Carry-over]]),Tabelle1324568910111213141516171618[[#This Row],[Jira Story Points]],Tabelle1324568910111213141516171618[[#This Row],[Carry-over]]),-Tabelle1324568910111213141516171618[[#This Row],[COsSP Initially Planned]])</f>
        <v>0</v>
      </c>
      <c r="P7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76" s="379">
        <f>IF(Tabelle1324568910111213141516171618[[#This Row],[Status]]=$J$5,Tabelle1324568910111213141516171618[[#This Row],[COsSP Initially Planned]]+Tabelle1324568910111213141516171618[[#This Row],[COsSP Pulled after Start]]-Tabelle1324568910111213141516171618[[#This Row],[CSOsSP Completed]],0)</f>
        <v>0</v>
      </c>
      <c r="R76" s="379">
        <f>Tabelle1324568910111213141516171618[[#This Row],[COsSP Initially Planned]]+Tabelle1324568910111213141516171618[[#This Row],[COsSP Pulled after Start]]-Tabelle1324568910111213141516171618[[#This Row],[CSOsSP Completed]]-Tabelle1324568910111213141516171618[[#This Row],[CSOsSP Removed]]</f>
        <v>0</v>
      </c>
    </row>
    <row r="77" spans="1:18" ht="13.5" hidden="1" customHeight="1">
      <c r="A77" t="s">
        <v>551</v>
      </c>
      <c r="B77" t="s">
        <v>552</v>
      </c>
      <c r="C77" t="s">
        <v>372</v>
      </c>
      <c r="D77" s="375">
        <v>3</v>
      </c>
      <c r="E77" s="36" t="s">
        <v>278</v>
      </c>
      <c r="F77" s="376">
        <v>3</v>
      </c>
      <c r="G77" s="36" t="s">
        <v>17</v>
      </c>
      <c r="H77"/>
      <c r="I77"/>
      <c r="J77"/>
      <c r="K77" s="375" t="s">
        <v>125</v>
      </c>
      <c r="L77" s="376"/>
      <c r="M77" s="376"/>
      <c r="N77" s="378">
        <f>IF(OR(Tabelle1324568910111213141516171618[[#This Row],[Pulled after Start]]="yes",Tabelle1324568910111213141516171618[[#This Row],[Jira Story Points]]="-"),0,MIN(Tabelle1324568910111213141516171618[[#This Row],[Jira Story Points]],Tabelle1324568910111213141516171618[[#This Row],[Carry-over]]))</f>
        <v>3</v>
      </c>
      <c r="O77" s="379">
        <f>SUM(IF(ISBLANK(Tabelle1324568910111213141516171618[[#This Row],[Carry-over]]),Tabelle1324568910111213141516171618[[#This Row],[Jira Story Points]],Tabelle1324568910111213141516171618[[#This Row],[Carry-over]]),-Tabelle1324568910111213141516171618[[#This Row],[COsSP Initially Planned]])</f>
        <v>0</v>
      </c>
      <c r="P7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77" s="379">
        <f>IF(Tabelle1324568910111213141516171618[[#This Row],[Status]]=$J$5,Tabelle1324568910111213141516171618[[#This Row],[COsSP Initially Planned]]+Tabelle1324568910111213141516171618[[#This Row],[COsSP Pulled after Start]]-Tabelle1324568910111213141516171618[[#This Row],[CSOsSP Completed]],0)</f>
        <v>0</v>
      </c>
      <c r="R77" s="379">
        <f>Tabelle1324568910111213141516171618[[#This Row],[COsSP Initially Planned]]+Tabelle1324568910111213141516171618[[#This Row],[COsSP Pulled after Start]]-Tabelle1324568910111213141516171618[[#This Row],[CSOsSP Completed]]-Tabelle1324568910111213141516171618[[#This Row],[CSOsSP Removed]]</f>
        <v>0</v>
      </c>
    </row>
    <row r="78" spans="1:18" ht="13.5" hidden="1" customHeight="1">
      <c r="A78" t="s">
        <v>553</v>
      </c>
      <c r="B78" t="s">
        <v>554</v>
      </c>
      <c r="C78" t="s">
        <v>375</v>
      </c>
      <c r="D78" s="375">
        <v>2</v>
      </c>
      <c r="E78" s="36" t="s">
        <v>278</v>
      </c>
      <c r="F78" s="376">
        <v>2</v>
      </c>
      <c r="G78" s="36" t="s">
        <v>17</v>
      </c>
      <c r="H78" t="s">
        <v>209</v>
      </c>
      <c r="I78"/>
      <c r="J78"/>
      <c r="K78" s="375" t="s">
        <v>125</v>
      </c>
      <c r="L78" s="376"/>
      <c r="M78" s="376"/>
      <c r="N78" s="378">
        <f>IF(OR(Tabelle1324568910111213141516171618[[#This Row],[Pulled after Start]]="yes",Tabelle1324568910111213141516171618[[#This Row],[Jira Story Points]]="-"),0,MIN(Tabelle1324568910111213141516171618[[#This Row],[Jira Story Points]],Tabelle1324568910111213141516171618[[#This Row],[Carry-over]]))</f>
        <v>0</v>
      </c>
      <c r="O78" s="379">
        <f>SUM(IF(ISBLANK(Tabelle1324568910111213141516171618[[#This Row],[Carry-over]]),Tabelle1324568910111213141516171618[[#This Row],[Jira Story Points]],Tabelle1324568910111213141516171618[[#This Row],[Carry-over]]),-Tabelle1324568910111213141516171618[[#This Row],[COsSP Initially Planned]])</f>
        <v>2</v>
      </c>
      <c r="P7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78" s="379">
        <f>IF(Tabelle1324568910111213141516171618[[#This Row],[Status]]=$J$5,Tabelle1324568910111213141516171618[[#This Row],[COsSP Initially Planned]]+Tabelle1324568910111213141516171618[[#This Row],[COsSP Pulled after Start]]-Tabelle1324568910111213141516171618[[#This Row],[CSOsSP Completed]],0)</f>
        <v>0</v>
      </c>
      <c r="R78" s="379">
        <f>Tabelle1324568910111213141516171618[[#This Row],[COsSP Initially Planned]]+Tabelle1324568910111213141516171618[[#This Row],[COsSP Pulled after Start]]-Tabelle1324568910111213141516171618[[#This Row],[CSOsSP Completed]]-Tabelle1324568910111213141516171618[[#This Row],[CSOsSP Removed]]</f>
        <v>0</v>
      </c>
    </row>
    <row r="79" spans="1:18" ht="13.5" hidden="1" customHeight="1">
      <c r="A79" t="s">
        <v>279</v>
      </c>
      <c r="B79" t="s">
        <v>280</v>
      </c>
      <c r="C79" t="s">
        <v>382</v>
      </c>
      <c r="D79" s="375">
        <v>3</v>
      </c>
      <c r="E79" s="36" t="s">
        <v>281</v>
      </c>
      <c r="F79" s="376">
        <v>13</v>
      </c>
      <c r="G79" s="36" t="s">
        <v>17</v>
      </c>
      <c r="H79"/>
      <c r="I79"/>
      <c r="J79"/>
      <c r="K79" s="375" t="s">
        <v>127</v>
      </c>
      <c r="L79" s="204"/>
      <c r="M79" s="376">
        <v>3</v>
      </c>
      <c r="N79" s="378">
        <f>IF(OR(Tabelle1324568910111213141516171618[[#This Row],[Pulled after Start]]="yes",Tabelle1324568910111213141516171618[[#This Row],[Jira Story Points]]="-"),0,MIN(Tabelle1324568910111213141516171618[[#This Row],[Jira Story Points]],Tabelle1324568910111213141516171618[[#This Row],[Carry-over]]))</f>
        <v>13</v>
      </c>
      <c r="O79" s="379">
        <f>SUM(IF(ISBLANK(Tabelle1324568910111213141516171618[[#This Row],[Carry-over]]),Tabelle1324568910111213141516171618[[#This Row],[Jira Story Points]],Tabelle1324568910111213141516171618[[#This Row],[Carry-over]]),-Tabelle1324568910111213141516171618[[#This Row],[COsSP Initially Planned]])</f>
        <v>0</v>
      </c>
      <c r="P7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10</v>
      </c>
      <c r="Q79" s="379">
        <f>IF(Tabelle1324568910111213141516171618[[#This Row],[Status]]=$J$5,Tabelle1324568910111213141516171618[[#This Row],[COsSP Initially Planned]]+Tabelle1324568910111213141516171618[[#This Row],[COsSP Pulled after Start]]-Tabelle1324568910111213141516171618[[#This Row],[CSOsSP Completed]],0)</f>
        <v>0</v>
      </c>
      <c r="R79" s="379">
        <f>Tabelle1324568910111213141516171618[[#This Row],[COsSP Initially Planned]]+Tabelle1324568910111213141516171618[[#This Row],[COsSP Pulled after Start]]-Tabelle1324568910111213141516171618[[#This Row],[CSOsSP Completed]]-Tabelle1324568910111213141516171618[[#This Row],[CSOsSP Removed]]</f>
        <v>3</v>
      </c>
    </row>
    <row r="80" spans="1:18" ht="13.5" hidden="1" customHeight="1">
      <c r="A80" t="s">
        <v>555</v>
      </c>
      <c r="B80" t="s">
        <v>556</v>
      </c>
      <c r="C80" t="s">
        <v>372</v>
      </c>
      <c r="D80" s="375">
        <v>3</v>
      </c>
      <c r="E80" s="36" t="s">
        <v>278</v>
      </c>
      <c r="F80" s="376">
        <v>3</v>
      </c>
      <c r="G80" s="36" t="s">
        <v>17</v>
      </c>
      <c r="H80" t="s">
        <v>209</v>
      </c>
      <c r="I80"/>
      <c r="J80"/>
      <c r="K80" s="375" t="s">
        <v>125</v>
      </c>
      <c r="L80" s="376"/>
      <c r="M80" s="376"/>
      <c r="N80" s="378">
        <f>IF(OR(Tabelle1324568910111213141516171618[[#This Row],[Pulled after Start]]="yes",Tabelle1324568910111213141516171618[[#This Row],[Jira Story Points]]="-"),0,MIN(Tabelle1324568910111213141516171618[[#This Row],[Jira Story Points]],Tabelle1324568910111213141516171618[[#This Row],[Carry-over]]))</f>
        <v>0</v>
      </c>
      <c r="O80" s="379">
        <f>SUM(IF(ISBLANK(Tabelle1324568910111213141516171618[[#This Row],[Carry-over]]),Tabelle1324568910111213141516171618[[#This Row],[Jira Story Points]],Tabelle1324568910111213141516171618[[#This Row],[Carry-over]]),-Tabelle1324568910111213141516171618[[#This Row],[COsSP Initially Planned]])</f>
        <v>3</v>
      </c>
      <c r="P8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80" s="379">
        <f>IF(Tabelle1324568910111213141516171618[[#This Row],[Status]]=$J$5,Tabelle1324568910111213141516171618[[#This Row],[COsSP Initially Planned]]+Tabelle1324568910111213141516171618[[#This Row],[COsSP Pulled after Start]]-Tabelle1324568910111213141516171618[[#This Row],[CSOsSP Completed]],0)</f>
        <v>0</v>
      </c>
      <c r="R80" s="379">
        <f>Tabelle1324568910111213141516171618[[#This Row],[COsSP Initially Planned]]+Tabelle1324568910111213141516171618[[#This Row],[COsSP Pulled after Start]]-Tabelle1324568910111213141516171618[[#This Row],[CSOsSP Completed]]-Tabelle1324568910111213141516171618[[#This Row],[CSOsSP Removed]]</f>
        <v>0</v>
      </c>
    </row>
    <row r="81" spans="1:18" ht="13.5" hidden="1" customHeight="1">
      <c r="A81" t="s">
        <v>557</v>
      </c>
      <c r="B81" t="s">
        <v>558</v>
      </c>
      <c r="C81" t="s">
        <v>382</v>
      </c>
      <c r="D81" s="375">
        <v>3</v>
      </c>
      <c r="E81" s="36" t="s">
        <v>278</v>
      </c>
      <c r="F81" s="376" t="s">
        <v>210</v>
      </c>
      <c r="G81" s="36" t="s">
        <v>17</v>
      </c>
      <c r="H81"/>
      <c r="I81"/>
      <c r="J81"/>
      <c r="K81" s="375" t="s">
        <v>125</v>
      </c>
      <c r="L81" s="376"/>
      <c r="M81" s="376"/>
      <c r="N81" s="378">
        <f>IF(OR(Tabelle1324568910111213141516171618[[#This Row],[Pulled after Start]]="yes",Tabelle1324568910111213141516171618[[#This Row],[Jira Story Points]]="-"),0,MIN(Tabelle1324568910111213141516171618[[#This Row],[Jira Story Points]],Tabelle1324568910111213141516171618[[#This Row],[Carry-over]]))</f>
        <v>0</v>
      </c>
      <c r="O81" s="379">
        <f>SUM(IF(ISBLANK(Tabelle1324568910111213141516171618[[#This Row],[Carry-over]]),Tabelle1324568910111213141516171618[[#This Row],[Jira Story Points]],Tabelle1324568910111213141516171618[[#This Row],[Carry-over]]),-Tabelle1324568910111213141516171618[[#This Row],[COsSP Initially Planned]])</f>
        <v>0</v>
      </c>
      <c r="P8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81" s="379">
        <f>IF(Tabelle1324568910111213141516171618[[#This Row],[Status]]=$J$5,Tabelle1324568910111213141516171618[[#This Row],[COsSP Initially Planned]]+Tabelle1324568910111213141516171618[[#This Row],[COsSP Pulled after Start]]-Tabelle1324568910111213141516171618[[#This Row],[CSOsSP Completed]],0)</f>
        <v>0</v>
      </c>
      <c r="R81" s="379">
        <f>Tabelle1324568910111213141516171618[[#This Row],[COsSP Initially Planned]]+Tabelle1324568910111213141516171618[[#This Row],[COsSP Pulled after Start]]-Tabelle1324568910111213141516171618[[#This Row],[CSOsSP Completed]]-Tabelle1324568910111213141516171618[[#This Row],[CSOsSP Removed]]</f>
        <v>0</v>
      </c>
    </row>
    <row r="82" spans="1:18" ht="13.5" hidden="1" customHeight="1">
      <c r="A82" t="s">
        <v>559</v>
      </c>
      <c r="B82" t="s">
        <v>560</v>
      </c>
      <c r="C82" t="s">
        <v>382</v>
      </c>
      <c r="D82" s="375">
        <v>3</v>
      </c>
      <c r="E82" s="36" t="s">
        <v>278</v>
      </c>
      <c r="F82" s="376">
        <v>2</v>
      </c>
      <c r="G82" s="36" t="s">
        <v>17</v>
      </c>
      <c r="H82"/>
      <c r="I82"/>
      <c r="J82"/>
      <c r="K82" s="375" t="s">
        <v>125</v>
      </c>
      <c r="L82" s="376"/>
      <c r="M82" s="376"/>
      <c r="N82" s="378">
        <f>IF(OR(Tabelle1324568910111213141516171618[[#This Row],[Pulled after Start]]="yes",Tabelle1324568910111213141516171618[[#This Row],[Jira Story Points]]="-"),0,MIN(Tabelle1324568910111213141516171618[[#This Row],[Jira Story Points]],Tabelle1324568910111213141516171618[[#This Row],[Carry-over]]))</f>
        <v>2</v>
      </c>
      <c r="O82" s="379">
        <f>SUM(IF(ISBLANK(Tabelle1324568910111213141516171618[[#This Row],[Carry-over]]),Tabelle1324568910111213141516171618[[#This Row],[Jira Story Points]],Tabelle1324568910111213141516171618[[#This Row],[Carry-over]]),-Tabelle1324568910111213141516171618[[#This Row],[COsSP Initially Planned]])</f>
        <v>0</v>
      </c>
      <c r="P8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82" s="379">
        <f>IF(Tabelle1324568910111213141516171618[[#This Row],[Status]]=$J$5,Tabelle1324568910111213141516171618[[#This Row],[COsSP Initially Planned]]+Tabelle1324568910111213141516171618[[#This Row],[COsSP Pulled after Start]]-Tabelle1324568910111213141516171618[[#This Row],[CSOsSP Completed]],0)</f>
        <v>0</v>
      </c>
      <c r="R82" s="379">
        <f>Tabelle1324568910111213141516171618[[#This Row],[COsSP Initially Planned]]+Tabelle1324568910111213141516171618[[#This Row],[COsSP Pulled after Start]]-Tabelle1324568910111213141516171618[[#This Row],[CSOsSP Completed]]-Tabelle1324568910111213141516171618[[#This Row],[CSOsSP Removed]]</f>
        <v>0</v>
      </c>
    </row>
    <row r="83" spans="1:18" ht="13.5" hidden="1" customHeight="1">
      <c r="A83" t="s">
        <v>561</v>
      </c>
      <c r="B83" t="s">
        <v>562</v>
      </c>
      <c r="C83" t="s">
        <v>382</v>
      </c>
      <c r="D83" s="375">
        <v>3</v>
      </c>
      <c r="E83" s="36" t="s">
        <v>278</v>
      </c>
      <c r="F83" s="376">
        <v>3</v>
      </c>
      <c r="G83" s="36" t="s">
        <v>17</v>
      </c>
      <c r="H83"/>
      <c r="I83"/>
      <c r="J83"/>
      <c r="K83" s="375" t="s">
        <v>125</v>
      </c>
      <c r="L83" s="376"/>
      <c r="M83" s="376"/>
      <c r="N83" s="378">
        <f>IF(OR(Tabelle1324568910111213141516171618[[#This Row],[Pulled after Start]]="yes",Tabelle1324568910111213141516171618[[#This Row],[Jira Story Points]]="-"),0,MIN(Tabelle1324568910111213141516171618[[#This Row],[Jira Story Points]],Tabelle1324568910111213141516171618[[#This Row],[Carry-over]]))</f>
        <v>3</v>
      </c>
      <c r="O83" s="379">
        <f>SUM(IF(ISBLANK(Tabelle1324568910111213141516171618[[#This Row],[Carry-over]]),Tabelle1324568910111213141516171618[[#This Row],[Jira Story Points]],Tabelle1324568910111213141516171618[[#This Row],[Carry-over]]),-Tabelle1324568910111213141516171618[[#This Row],[COsSP Initially Planned]])</f>
        <v>0</v>
      </c>
      <c r="P8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83" s="379">
        <f>IF(Tabelle1324568910111213141516171618[[#This Row],[Status]]=$J$5,Tabelle1324568910111213141516171618[[#This Row],[COsSP Initially Planned]]+Tabelle1324568910111213141516171618[[#This Row],[COsSP Pulled after Start]]-Tabelle1324568910111213141516171618[[#This Row],[CSOsSP Completed]],0)</f>
        <v>0</v>
      </c>
      <c r="R83" s="379">
        <f>Tabelle1324568910111213141516171618[[#This Row],[COsSP Initially Planned]]+Tabelle1324568910111213141516171618[[#This Row],[COsSP Pulled after Start]]-Tabelle1324568910111213141516171618[[#This Row],[CSOsSP Completed]]-Tabelle1324568910111213141516171618[[#This Row],[CSOsSP Removed]]</f>
        <v>0</v>
      </c>
    </row>
    <row r="84" spans="1:18" ht="13.5" hidden="1" customHeight="1">
      <c r="A84" t="s">
        <v>563</v>
      </c>
      <c r="B84" t="s">
        <v>467</v>
      </c>
      <c r="C84" t="s">
        <v>375</v>
      </c>
      <c r="D84" s="375">
        <v>2</v>
      </c>
      <c r="E84" s="36" t="s">
        <v>278</v>
      </c>
      <c r="F84" s="376">
        <v>2</v>
      </c>
      <c r="G84" s="36" t="s">
        <v>17</v>
      </c>
      <c r="H84"/>
      <c r="I84"/>
      <c r="J84"/>
      <c r="K84" s="375" t="s">
        <v>125</v>
      </c>
      <c r="L84" s="376"/>
      <c r="M84" s="376"/>
      <c r="N84" s="378">
        <f>IF(OR(Tabelle1324568910111213141516171618[[#This Row],[Pulled after Start]]="yes",Tabelle1324568910111213141516171618[[#This Row],[Jira Story Points]]="-"),0,MIN(Tabelle1324568910111213141516171618[[#This Row],[Jira Story Points]],Tabelle1324568910111213141516171618[[#This Row],[Carry-over]]))</f>
        <v>2</v>
      </c>
      <c r="O84" s="379">
        <f>SUM(IF(ISBLANK(Tabelle1324568910111213141516171618[[#This Row],[Carry-over]]),Tabelle1324568910111213141516171618[[#This Row],[Jira Story Points]],Tabelle1324568910111213141516171618[[#This Row],[Carry-over]]),-Tabelle1324568910111213141516171618[[#This Row],[COsSP Initially Planned]])</f>
        <v>0</v>
      </c>
      <c r="P8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84" s="379">
        <f>IF(Tabelle1324568910111213141516171618[[#This Row],[Status]]=$J$5,Tabelle1324568910111213141516171618[[#This Row],[COsSP Initially Planned]]+Tabelle1324568910111213141516171618[[#This Row],[COsSP Pulled after Start]]-Tabelle1324568910111213141516171618[[#This Row],[CSOsSP Completed]],0)</f>
        <v>0</v>
      </c>
      <c r="R84" s="379">
        <f>Tabelle1324568910111213141516171618[[#This Row],[COsSP Initially Planned]]+Tabelle1324568910111213141516171618[[#This Row],[COsSP Pulled after Start]]-Tabelle1324568910111213141516171618[[#This Row],[CSOsSP Completed]]-Tabelle1324568910111213141516171618[[#This Row],[CSOsSP Removed]]</f>
        <v>0</v>
      </c>
    </row>
    <row r="85" spans="1:18" ht="13.5" hidden="1" customHeight="1">
      <c r="A85" t="s">
        <v>564</v>
      </c>
      <c r="B85" t="s">
        <v>565</v>
      </c>
      <c r="C85" t="s">
        <v>375</v>
      </c>
      <c r="D85" s="375">
        <v>2</v>
      </c>
      <c r="E85" s="36" t="s">
        <v>278</v>
      </c>
      <c r="F85" s="376">
        <v>1</v>
      </c>
      <c r="G85" s="36" t="s">
        <v>17</v>
      </c>
      <c r="H85"/>
      <c r="I85"/>
      <c r="J85"/>
      <c r="K85" s="375" t="s">
        <v>125</v>
      </c>
      <c r="L85" s="376"/>
      <c r="M85" s="376"/>
      <c r="N85" s="378">
        <f>IF(OR(Tabelle1324568910111213141516171618[[#This Row],[Pulled after Start]]="yes",Tabelle1324568910111213141516171618[[#This Row],[Jira Story Points]]="-"),0,MIN(Tabelle1324568910111213141516171618[[#This Row],[Jira Story Points]],Tabelle1324568910111213141516171618[[#This Row],[Carry-over]]))</f>
        <v>1</v>
      </c>
      <c r="O85" s="379">
        <f>SUM(IF(ISBLANK(Tabelle1324568910111213141516171618[[#This Row],[Carry-over]]),Tabelle1324568910111213141516171618[[#This Row],[Jira Story Points]],Tabelle1324568910111213141516171618[[#This Row],[Carry-over]]),-Tabelle1324568910111213141516171618[[#This Row],[COsSP Initially Planned]])</f>
        <v>0</v>
      </c>
      <c r="P8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85" s="379">
        <f>IF(Tabelle1324568910111213141516171618[[#This Row],[Status]]=$J$5,Tabelle1324568910111213141516171618[[#This Row],[COsSP Initially Planned]]+Tabelle1324568910111213141516171618[[#This Row],[COsSP Pulled after Start]]-Tabelle1324568910111213141516171618[[#This Row],[CSOsSP Completed]],0)</f>
        <v>0</v>
      </c>
      <c r="R85" s="379">
        <f>Tabelle1324568910111213141516171618[[#This Row],[COsSP Initially Planned]]+Tabelle1324568910111213141516171618[[#This Row],[COsSP Pulled after Start]]-Tabelle1324568910111213141516171618[[#This Row],[CSOsSP Completed]]-Tabelle1324568910111213141516171618[[#This Row],[CSOsSP Removed]]</f>
        <v>0</v>
      </c>
    </row>
    <row r="86" spans="1:18" ht="13.5" hidden="1" customHeight="1">
      <c r="A86" t="s">
        <v>566</v>
      </c>
      <c r="B86" t="s">
        <v>567</v>
      </c>
      <c r="C86" t="s">
        <v>375</v>
      </c>
      <c r="D86" s="375">
        <v>3</v>
      </c>
      <c r="E86" s="36" t="s">
        <v>278</v>
      </c>
      <c r="F86" s="376">
        <v>1</v>
      </c>
      <c r="G86" s="36" t="s">
        <v>17</v>
      </c>
      <c r="H86"/>
      <c r="I86"/>
      <c r="J86"/>
      <c r="K86" s="375" t="s">
        <v>125</v>
      </c>
      <c r="L86" s="376"/>
      <c r="M86" s="376"/>
      <c r="N86" s="378">
        <f>IF(OR(Tabelle1324568910111213141516171618[[#This Row],[Pulled after Start]]="yes",Tabelle1324568910111213141516171618[[#This Row],[Jira Story Points]]="-"),0,MIN(Tabelle1324568910111213141516171618[[#This Row],[Jira Story Points]],Tabelle1324568910111213141516171618[[#This Row],[Carry-over]]))</f>
        <v>1</v>
      </c>
      <c r="O86" s="379">
        <f>SUM(IF(ISBLANK(Tabelle1324568910111213141516171618[[#This Row],[Carry-over]]),Tabelle1324568910111213141516171618[[#This Row],[Jira Story Points]],Tabelle1324568910111213141516171618[[#This Row],[Carry-over]]),-Tabelle1324568910111213141516171618[[#This Row],[COsSP Initially Planned]])</f>
        <v>0</v>
      </c>
      <c r="P8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86" s="379">
        <f>IF(Tabelle1324568910111213141516171618[[#This Row],[Status]]=$J$5,Tabelle1324568910111213141516171618[[#This Row],[COsSP Initially Planned]]+Tabelle1324568910111213141516171618[[#This Row],[COsSP Pulled after Start]]-Tabelle1324568910111213141516171618[[#This Row],[CSOsSP Completed]],0)</f>
        <v>0</v>
      </c>
      <c r="R86" s="379">
        <f>Tabelle1324568910111213141516171618[[#This Row],[COsSP Initially Planned]]+Tabelle1324568910111213141516171618[[#This Row],[COsSP Pulled after Start]]-Tabelle1324568910111213141516171618[[#This Row],[CSOsSP Completed]]-Tabelle1324568910111213141516171618[[#This Row],[CSOsSP Removed]]</f>
        <v>0</v>
      </c>
    </row>
    <row r="87" spans="1:18" ht="13.5" hidden="1" customHeight="1">
      <c r="A87" t="s">
        <v>568</v>
      </c>
      <c r="B87" t="s">
        <v>569</v>
      </c>
      <c r="C87" t="s">
        <v>382</v>
      </c>
      <c r="D87" s="375">
        <v>3</v>
      </c>
      <c r="E87" s="36" t="s">
        <v>278</v>
      </c>
      <c r="F87" s="376">
        <v>3</v>
      </c>
      <c r="G87" s="36" t="s">
        <v>17</v>
      </c>
      <c r="H87"/>
      <c r="I87"/>
      <c r="J87"/>
      <c r="K87" s="375" t="s">
        <v>125</v>
      </c>
      <c r="L87" s="376"/>
      <c r="M87" s="376"/>
      <c r="N87" s="378">
        <f>IF(OR(Tabelle1324568910111213141516171618[[#This Row],[Pulled after Start]]="yes",Tabelle1324568910111213141516171618[[#This Row],[Jira Story Points]]="-"),0,MIN(Tabelle1324568910111213141516171618[[#This Row],[Jira Story Points]],Tabelle1324568910111213141516171618[[#This Row],[Carry-over]]))</f>
        <v>3</v>
      </c>
      <c r="O87" s="379">
        <f>SUM(IF(ISBLANK(Tabelle1324568910111213141516171618[[#This Row],[Carry-over]]),Tabelle1324568910111213141516171618[[#This Row],[Jira Story Points]],Tabelle1324568910111213141516171618[[#This Row],[Carry-over]]),-Tabelle1324568910111213141516171618[[#This Row],[COsSP Initially Planned]])</f>
        <v>0</v>
      </c>
      <c r="P8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87" s="379">
        <f>IF(Tabelle1324568910111213141516171618[[#This Row],[Status]]=$J$5,Tabelle1324568910111213141516171618[[#This Row],[COsSP Initially Planned]]+Tabelle1324568910111213141516171618[[#This Row],[COsSP Pulled after Start]]-Tabelle1324568910111213141516171618[[#This Row],[CSOsSP Completed]],0)</f>
        <v>0</v>
      </c>
      <c r="R87" s="379">
        <f>Tabelle1324568910111213141516171618[[#This Row],[COsSP Initially Planned]]+Tabelle1324568910111213141516171618[[#This Row],[COsSP Pulled after Start]]-Tabelle1324568910111213141516171618[[#This Row],[CSOsSP Completed]]-Tabelle1324568910111213141516171618[[#This Row],[CSOsSP Removed]]</f>
        <v>0</v>
      </c>
    </row>
    <row r="88" spans="1:18" ht="13.5" hidden="1" customHeight="1">
      <c r="A88" t="s">
        <v>570</v>
      </c>
      <c r="B88" t="s">
        <v>571</v>
      </c>
      <c r="C88" t="s">
        <v>382</v>
      </c>
      <c r="D88" s="375">
        <v>3</v>
      </c>
      <c r="E88" s="36" t="s">
        <v>278</v>
      </c>
      <c r="F88" s="376" t="s">
        <v>210</v>
      </c>
      <c r="G88" s="36" t="s">
        <v>17</v>
      </c>
      <c r="H88"/>
      <c r="I88"/>
      <c r="J88"/>
      <c r="K88" s="375" t="s">
        <v>125</v>
      </c>
      <c r="L88" s="376"/>
      <c r="M88" s="376"/>
      <c r="N88" s="378">
        <f>IF(OR(Tabelle1324568910111213141516171618[[#This Row],[Pulled after Start]]="yes",Tabelle1324568910111213141516171618[[#This Row],[Jira Story Points]]="-"),0,MIN(Tabelle1324568910111213141516171618[[#This Row],[Jira Story Points]],Tabelle1324568910111213141516171618[[#This Row],[Carry-over]]))</f>
        <v>0</v>
      </c>
      <c r="O88" s="379">
        <f>SUM(IF(ISBLANK(Tabelle1324568910111213141516171618[[#This Row],[Carry-over]]),Tabelle1324568910111213141516171618[[#This Row],[Jira Story Points]],Tabelle1324568910111213141516171618[[#This Row],[Carry-over]]),-Tabelle1324568910111213141516171618[[#This Row],[COsSP Initially Planned]])</f>
        <v>0</v>
      </c>
      <c r="P8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88" s="379">
        <f>IF(Tabelle1324568910111213141516171618[[#This Row],[Status]]=$J$5,Tabelle1324568910111213141516171618[[#This Row],[COsSP Initially Planned]]+Tabelle1324568910111213141516171618[[#This Row],[COsSP Pulled after Start]]-Tabelle1324568910111213141516171618[[#This Row],[CSOsSP Completed]],0)</f>
        <v>0</v>
      </c>
      <c r="R88" s="379">
        <f>Tabelle1324568910111213141516171618[[#This Row],[COsSP Initially Planned]]+Tabelle1324568910111213141516171618[[#This Row],[COsSP Pulled after Start]]-Tabelle1324568910111213141516171618[[#This Row],[CSOsSP Completed]]-Tabelle1324568910111213141516171618[[#This Row],[CSOsSP Removed]]</f>
        <v>0</v>
      </c>
    </row>
    <row r="89" spans="1:18" ht="13.5" hidden="1" customHeight="1">
      <c r="A89" t="s">
        <v>572</v>
      </c>
      <c r="B89" t="s">
        <v>573</v>
      </c>
      <c r="C89" t="s">
        <v>382</v>
      </c>
      <c r="D89" s="375">
        <v>3</v>
      </c>
      <c r="E89" s="36" t="s">
        <v>278</v>
      </c>
      <c r="F89" s="376">
        <v>3</v>
      </c>
      <c r="G89" s="36" t="s">
        <v>17</v>
      </c>
      <c r="H89"/>
      <c r="I89"/>
      <c r="J89"/>
      <c r="K89" s="375" t="s">
        <v>125</v>
      </c>
      <c r="L89" s="376"/>
      <c r="M89" s="376"/>
      <c r="N89" s="378">
        <f>IF(OR(Tabelle1324568910111213141516171618[[#This Row],[Pulled after Start]]="yes",Tabelle1324568910111213141516171618[[#This Row],[Jira Story Points]]="-"),0,MIN(Tabelle1324568910111213141516171618[[#This Row],[Jira Story Points]],Tabelle1324568910111213141516171618[[#This Row],[Carry-over]]))</f>
        <v>3</v>
      </c>
      <c r="O89" s="379">
        <f>SUM(IF(ISBLANK(Tabelle1324568910111213141516171618[[#This Row],[Carry-over]]),Tabelle1324568910111213141516171618[[#This Row],[Jira Story Points]],Tabelle1324568910111213141516171618[[#This Row],[Carry-over]]),-Tabelle1324568910111213141516171618[[#This Row],[COsSP Initially Planned]])</f>
        <v>0</v>
      </c>
      <c r="P8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89" s="379">
        <f>IF(Tabelle1324568910111213141516171618[[#This Row],[Status]]=$J$5,Tabelle1324568910111213141516171618[[#This Row],[COsSP Initially Planned]]+Tabelle1324568910111213141516171618[[#This Row],[COsSP Pulled after Start]]-Tabelle1324568910111213141516171618[[#This Row],[CSOsSP Completed]],0)</f>
        <v>0</v>
      </c>
      <c r="R89" s="379">
        <f>Tabelle1324568910111213141516171618[[#This Row],[COsSP Initially Planned]]+Tabelle1324568910111213141516171618[[#This Row],[COsSP Pulled after Start]]-Tabelle1324568910111213141516171618[[#This Row],[CSOsSP Completed]]-Tabelle1324568910111213141516171618[[#This Row],[CSOsSP Removed]]</f>
        <v>0</v>
      </c>
    </row>
    <row r="90" spans="1:18" ht="13.5" hidden="1" customHeight="1">
      <c r="A90" t="s">
        <v>305</v>
      </c>
      <c r="B90" t="s">
        <v>574</v>
      </c>
      <c r="C90" t="s">
        <v>382</v>
      </c>
      <c r="D90" s="375">
        <v>3</v>
      </c>
      <c r="E90" s="36" t="s">
        <v>307</v>
      </c>
      <c r="F90" s="376">
        <v>3</v>
      </c>
      <c r="G90" s="36" t="s">
        <v>17</v>
      </c>
      <c r="H90"/>
      <c r="I90"/>
      <c r="J90"/>
      <c r="K90" s="375" t="s">
        <v>127</v>
      </c>
      <c r="L90" s="376"/>
      <c r="M90" s="376">
        <v>3</v>
      </c>
      <c r="N90" s="378">
        <f>IF(OR(Tabelle1324568910111213141516171618[[#This Row],[Pulled after Start]]="yes",Tabelle1324568910111213141516171618[[#This Row],[Jira Story Points]]="-"),0,MIN(Tabelle1324568910111213141516171618[[#This Row],[Jira Story Points]],Tabelle1324568910111213141516171618[[#This Row],[Carry-over]]))</f>
        <v>3</v>
      </c>
      <c r="O90" s="379">
        <f>SUM(IF(ISBLANK(Tabelle1324568910111213141516171618[[#This Row],[Carry-over]]),Tabelle1324568910111213141516171618[[#This Row],[Jira Story Points]],Tabelle1324568910111213141516171618[[#This Row],[Carry-over]]),-Tabelle1324568910111213141516171618[[#This Row],[COsSP Initially Planned]])</f>
        <v>0</v>
      </c>
      <c r="P9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90" s="379">
        <f>IF(Tabelle1324568910111213141516171618[[#This Row],[Status]]=$J$5,Tabelle1324568910111213141516171618[[#This Row],[COsSP Initially Planned]]+Tabelle1324568910111213141516171618[[#This Row],[COsSP Pulled after Start]]-Tabelle1324568910111213141516171618[[#This Row],[CSOsSP Completed]],0)</f>
        <v>0</v>
      </c>
      <c r="R90" s="379">
        <f>Tabelle1324568910111213141516171618[[#This Row],[COsSP Initially Planned]]+Tabelle1324568910111213141516171618[[#This Row],[COsSP Pulled after Start]]-Tabelle1324568910111213141516171618[[#This Row],[CSOsSP Completed]]-Tabelle1324568910111213141516171618[[#This Row],[CSOsSP Removed]]</f>
        <v>3</v>
      </c>
    </row>
    <row r="91" spans="1:18" ht="13.5" hidden="1" customHeight="1">
      <c r="A91" t="s">
        <v>575</v>
      </c>
      <c r="B91" t="s">
        <v>576</v>
      </c>
      <c r="C91" t="s">
        <v>382</v>
      </c>
      <c r="D91" s="375">
        <v>3</v>
      </c>
      <c r="E91" s="36" t="s">
        <v>278</v>
      </c>
      <c r="F91" s="376">
        <v>3</v>
      </c>
      <c r="G91" s="36" t="s">
        <v>17</v>
      </c>
      <c r="H91"/>
      <c r="I91"/>
      <c r="J91"/>
      <c r="K91" s="375" t="s">
        <v>125</v>
      </c>
      <c r="L91" s="376"/>
      <c r="M91" s="376"/>
      <c r="N91" s="378">
        <f>IF(OR(Tabelle1324568910111213141516171618[[#This Row],[Pulled after Start]]="yes",Tabelle1324568910111213141516171618[[#This Row],[Jira Story Points]]="-"),0,MIN(Tabelle1324568910111213141516171618[[#This Row],[Jira Story Points]],Tabelle1324568910111213141516171618[[#This Row],[Carry-over]]))</f>
        <v>3</v>
      </c>
      <c r="O91" s="379">
        <f>SUM(IF(ISBLANK(Tabelle1324568910111213141516171618[[#This Row],[Carry-over]]),Tabelle1324568910111213141516171618[[#This Row],[Jira Story Points]],Tabelle1324568910111213141516171618[[#This Row],[Carry-over]]),-Tabelle1324568910111213141516171618[[#This Row],[COsSP Initially Planned]])</f>
        <v>0</v>
      </c>
      <c r="P9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91" s="379">
        <f>IF(Tabelle1324568910111213141516171618[[#This Row],[Status]]=$J$5,Tabelle1324568910111213141516171618[[#This Row],[COsSP Initially Planned]]+Tabelle1324568910111213141516171618[[#This Row],[COsSP Pulled after Start]]-Tabelle1324568910111213141516171618[[#This Row],[CSOsSP Completed]],0)</f>
        <v>0</v>
      </c>
      <c r="R91" s="379">
        <f>Tabelle1324568910111213141516171618[[#This Row],[COsSP Initially Planned]]+Tabelle1324568910111213141516171618[[#This Row],[COsSP Pulled after Start]]-Tabelle1324568910111213141516171618[[#This Row],[CSOsSP Completed]]-Tabelle1324568910111213141516171618[[#This Row],[CSOsSP Removed]]</f>
        <v>0</v>
      </c>
    </row>
    <row r="92" spans="1:18" ht="13.5" hidden="1" customHeight="1">
      <c r="A92" t="s">
        <v>577</v>
      </c>
      <c r="B92" t="s">
        <v>578</v>
      </c>
      <c r="C92" t="s">
        <v>382</v>
      </c>
      <c r="D92" s="375">
        <v>3</v>
      </c>
      <c r="E92" s="36" t="s">
        <v>278</v>
      </c>
      <c r="F92" s="376">
        <v>2</v>
      </c>
      <c r="G92" s="36" t="s">
        <v>17</v>
      </c>
      <c r="H92" t="s">
        <v>209</v>
      </c>
      <c r="I92"/>
      <c r="J92"/>
      <c r="K92" s="375" t="s">
        <v>125</v>
      </c>
      <c r="L92" s="376"/>
      <c r="M92" s="376"/>
      <c r="N92" s="378">
        <f>IF(OR(Tabelle1324568910111213141516171618[[#This Row],[Pulled after Start]]="yes",Tabelle1324568910111213141516171618[[#This Row],[Jira Story Points]]="-"),0,MIN(Tabelle1324568910111213141516171618[[#This Row],[Jira Story Points]],Tabelle1324568910111213141516171618[[#This Row],[Carry-over]]))</f>
        <v>0</v>
      </c>
      <c r="O92" s="379">
        <f>SUM(IF(ISBLANK(Tabelle1324568910111213141516171618[[#This Row],[Carry-over]]),Tabelle1324568910111213141516171618[[#This Row],[Jira Story Points]],Tabelle1324568910111213141516171618[[#This Row],[Carry-over]]),-Tabelle1324568910111213141516171618[[#This Row],[COsSP Initially Planned]])</f>
        <v>2</v>
      </c>
      <c r="P9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92" s="379">
        <f>IF(Tabelle1324568910111213141516171618[[#This Row],[Status]]=$J$5,Tabelle1324568910111213141516171618[[#This Row],[COsSP Initially Planned]]+Tabelle1324568910111213141516171618[[#This Row],[COsSP Pulled after Start]]-Tabelle1324568910111213141516171618[[#This Row],[CSOsSP Completed]],0)</f>
        <v>0</v>
      </c>
      <c r="R92" s="379">
        <f>Tabelle1324568910111213141516171618[[#This Row],[COsSP Initially Planned]]+Tabelle1324568910111213141516171618[[#This Row],[COsSP Pulled after Start]]-Tabelle1324568910111213141516171618[[#This Row],[CSOsSP Completed]]-Tabelle1324568910111213141516171618[[#This Row],[CSOsSP Removed]]</f>
        <v>0</v>
      </c>
    </row>
    <row r="93" spans="1:18" ht="13.5" hidden="1" customHeight="1">
      <c r="A93" t="s">
        <v>579</v>
      </c>
      <c r="B93" t="s">
        <v>309</v>
      </c>
      <c r="C93" t="s">
        <v>382</v>
      </c>
      <c r="D93" s="375">
        <v>3</v>
      </c>
      <c r="E93" s="36" t="s">
        <v>278</v>
      </c>
      <c r="F93" s="376">
        <v>2</v>
      </c>
      <c r="G93" s="36" t="s">
        <v>17</v>
      </c>
      <c r="H93" t="s">
        <v>209</v>
      </c>
      <c r="I93"/>
      <c r="J93"/>
      <c r="K93" s="375" t="s">
        <v>125</v>
      </c>
      <c r="L93" s="376"/>
      <c r="M93" s="376"/>
      <c r="N93" s="378">
        <f>IF(OR(Tabelle1324568910111213141516171618[[#This Row],[Pulled after Start]]="yes",Tabelle1324568910111213141516171618[[#This Row],[Jira Story Points]]="-"),0,MIN(Tabelle1324568910111213141516171618[[#This Row],[Jira Story Points]],Tabelle1324568910111213141516171618[[#This Row],[Carry-over]]))</f>
        <v>0</v>
      </c>
      <c r="O93" s="379">
        <f>SUM(IF(ISBLANK(Tabelle1324568910111213141516171618[[#This Row],[Carry-over]]),Tabelle1324568910111213141516171618[[#This Row],[Jira Story Points]],Tabelle1324568910111213141516171618[[#This Row],[Carry-over]]),-Tabelle1324568910111213141516171618[[#This Row],[COsSP Initially Planned]])</f>
        <v>2</v>
      </c>
      <c r="P9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93" s="379">
        <f>IF(Tabelle1324568910111213141516171618[[#This Row],[Status]]=$J$5,Tabelle1324568910111213141516171618[[#This Row],[COsSP Initially Planned]]+Tabelle1324568910111213141516171618[[#This Row],[COsSP Pulled after Start]]-Tabelle1324568910111213141516171618[[#This Row],[CSOsSP Completed]],0)</f>
        <v>0</v>
      </c>
      <c r="R93" s="379">
        <f>Tabelle1324568910111213141516171618[[#This Row],[COsSP Initially Planned]]+Tabelle1324568910111213141516171618[[#This Row],[COsSP Pulled after Start]]-Tabelle1324568910111213141516171618[[#This Row],[CSOsSP Completed]]-Tabelle1324568910111213141516171618[[#This Row],[CSOsSP Removed]]</f>
        <v>0</v>
      </c>
    </row>
    <row r="94" spans="1:18" ht="13.5" hidden="1" customHeight="1">
      <c r="A94" t="s">
        <v>580</v>
      </c>
      <c r="B94" t="s">
        <v>311</v>
      </c>
      <c r="C94" t="s">
        <v>382</v>
      </c>
      <c r="D94" s="375">
        <v>3</v>
      </c>
      <c r="E94" s="36" t="s">
        <v>278</v>
      </c>
      <c r="F94" s="376">
        <v>2</v>
      </c>
      <c r="G94" s="36" t="s">
        <v>17</v>
      </c>
      <c r="H94" t="s">
        <v>209</v>
      </c>
      <c r="I94"/>
      <c r="J94"/>
      <c r="K94" s="375" t="s">
        <v>125</v>
      </c>
      <c r="L94" s="376"/>
      <c r="M94" s="376"/>
      <c r="N94" s="378">
        <f>IF(OR(Tabelle1324568910111213141516171618[[#This Row],[Pulled after Start]]="yes",Tabelle1324568910111213141516171618[[#This Row],[Jira Story Points]]="-"),0,MIN(Tabelle1324568910111213141516171618[[#This Row],[Jira Story Points]],Tabelle1324568910111213141516171618[[#This Row],[Carry-over]]))</f>
        <v>0</v>
      </c>
      <c r="O94" s="379">
        <f>SUM(IF(ISBLANK(Tabelle1324568910111213141516171618[[#This Row],[Carry-over]]),Tabelle1324568910111213141516171618[[#This Row],[Jira Story Points]],Tabelle1324568910111213141516171618[[#This Row],[Carry-over]]),-Tabelle1324568910111213141516171618[[#This Row],[COsSP Initially Planned]])</f>
        <v>2</v>
      </c>
      <c r="P9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94" s="379">
        <f>IF(Tabelle1324568910111213141516171618[[#This Row],[Status]]=$J$5,Tabelle1324568910111213141516171618[[#This Row],[COsSP Initially Planned]]+Tabelle1324568910111213141516171618[[#This Row],[COsSP Pulled after Start]]-Tabelle1324568910111213141516171618[[#This Row],[CSOsSP Completed]],0)</f>
        <v>0</v>
      </c>
      <c r="R94" s="379">
        <f>Tabelle1324568910111213141516171618[[#This Row],[COsSP Initially Planned]]+Tabelle1324568910111213141516171618[[#This Row],[COsSP Pulled after Start]]-Tabelle1324568910111213141516171618[[#This Row],[CSOsSP Completed]]-Tabelle1324568910111213141516171618[[#This Row],[CSOsSP Removed]]</f>
        <v>0</v>
      </c>
    </row>
    <row r="95" spans="1:18" ht="13.5" hidden="1" customHeight="1">
      <c r="A95" t="s">
        <v>581</v>
      </c>
      <c r="B95" t="s">
        <v>313</v>
      </c>
      <c r="C95" t="s">
        <v>382</v>
      </c>
      <c r="D95" s="375">
        <v>3</v>
      </c>
      <c r="E95" s="36" t="s">
        <v>278</v>
      </c>
      <c r="F95" s="376">
        <v>2</v>
      </c>
      <c r="G95" s="36" t="s">
        <v>17</v>
      </c>
      <c r="H95" t="s">
        <v>209</v>
      </c>
      <c r="I95"/>
      <c r="J95"/>
      <c r="K95" s="375" t="s">
        <v>125</v>
      </c>
      <c r="L95" s="376"/>
      <c r="M95" s="376"/>
      <c r="N95" s="378">
        <f>IF(OR(Tabelle1324568910111213141516171618[[#This Row],[Pulled after Start]]="yes",Tabelle1324568910111213141516171618[[#This Row],[Jira Story Points]]="-"),0,MIN(Tabelle1324568910111213141516171618[[#This Row],[Jira Story Points]],Tabelle1324568910111213141516171618[[#This Row],[Carry-over]]))</f>
        <v>0</v>
      </c>
      <c r="O95" s="379">
        <f>SUM(IF(ISBLANK(Tabelle1324568910111213141516171618[[#This Row],[Carry-over]]),Tabelle1324568910111213141516171618[[#This Row],[Jira Story Points]],Tabelle1324568910111213141516171618[[#This Row],[Carry-over]]),-Tabelle1324568910111213141516171618[[#This Row],[COsSP Initially Planned]])</f>
        <v>2</v>
      </c>
      <c r="P9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95" s="379">
        <f>IF(Tabelle1324568910111213141516171618[[#This Row],[Status]]=$J$5,Tabelle1324568910111213141516171618[[#This Row],[COsSP Initially Planned]]+Tabelle1324568910111213141516171618[[#This Row],[COsSP Pulled after Start]]-Tabelle1324568910111213141516171618[[#This Row],[CSOsSP Completed]],0)</f>
        <v>0</v>
      </c>
      <c r="R95" s="379">
        <f>Tabelle1324568910111213141516171618[[#This Row],[COsSP Initially Planned]]+Tabelle1324568910111213141516171618[[#This Row],[COsSP Pulled after Start]]-Tabelle1324568910111213141516171618[[#This Row],[CSOsSP Completed]]-Tabelle1324568910111213141516171618[[#This Row],[CSOsSP Removed]]</f>
        <v>0</v>
      </c>
    </row>
    <row r="96" spans="1:18" ht="13.5" hidden="1" customHeight="1">
      <c r="A96" s="381" t="s">
        <v>582</v>
      </c>
      <c r="B96" s="47" t="s">
        <v>583</v>
      </c>
      <c r="C96" s="375" t="s">
        <v>375</v>
      </c>
      <c r="D96" s="375">
        <v>2</v>
      </c>
      <c r="E96" s="375" t="s">
        <v>324</v>
      </c>
      <c r="F96" s="376">
        <v>8</v>
      </c>
      <c r="G96" s="375" t="s">
        <v>35</v>
      </c>
      <c r="H96" s="318"/>
      <c r="I96" s="377"/>
      <c r="J96" s="377"/>
      <c r="K96" s="375" t="s">
        <v>125</v>
      </c>
      <c r="L96" s="376"/>
      <c r="M96" s="376"/>
      <c r="N96" s="378">
        <f>IF(OR(Tabelle1324568910111213141516171618[[#This Row],[Pulled after Start]]="yes",Tabelle1324568910111213141516171618[[#This Row],[Jira Story Points]]="-"),0,MIN(Tabelle1324568910111213141516171618[[#This Row],[Jira Story Points]],Tabelle1324568910111213141516171618[[#This Row],[Carry-over]]))</f>
        <v>8</v>
      </c>
      <c r="O96" s="379">
        <f>SUM(IF(ISBLANK(Tabelle1324568910111213141516171618[[#This Row],[Carry-over]]),Tabelle1324568910111213141516171618[[#This Row],[Jira Story Points]],Tabelle1324568910111213141516171618[[#This Row],[Carry-over]]),-Tabelle1324568910111213141516171618[[#This Row],[COsSP Initially Planned]])</f>
        <v>0</v>
      </c>
      <c r="P9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8</v>
      </c>
      <c r="Q96" s="379">
        <f>IF(Tabelle1324568910111213141516171618[[#This Row],[Status]]=$J$5,Tabelle1324568910111213141516171618[[#This Row],[COsSP Initially Planned]]+Tabelle1324568910111213141516171618[[#This Row],[COsSP Pulled after Start]]-Tabelle1324568910111213141516171618[[#This Row],[CSOsSP Completed]],0)</f>
        <v>0</v>
      </c>
      <c r="R96" s="379">
        <f>Tabelle1324568910111213141516171618[[#This Row],[COsSP Initially Planned]]+Tabelle1324568910111213141516171618[[#This Row],[COsSP Pulled after Start]]-Tabelle1324568910111213141516171618[[#This Row],[CSOsSP Completed]]-Tabelle1324568910111213141516171618[[#This Row],[CSOsSP Removed]]</f>
        <v>0</v>
      </c>
    </row>
    <row r="97" spans="1:18" ht="13.5" hidden="1" customHeight="1">
      <c r="A97" s="381" t="s">
        <v>584</v>
      </c>
      <c r="B97" s="47" t="s">
        <v>585</v>
      </c>
      <c r="C97" s="375" t="s">
        <v>372</v>
      </c>
      <c r="D97" s="375">
        <v>3</v>
      </c>
      <c r="E97" s="375" t="s">
        <v>324</v>
      </c>
      <c r="F97" s="376">
        <v>8</v>
      </c>
      <c r="G97" s="375" t="s">
        <v>35</v>
      </c>
      <c r="H97" s="318"/>
      <c r="I97" s="377"/>
      <c r="J97" s="377"/>
      <c r="K97" s="375" t="s">
        <v>125</v>
      </c>
      <c r="L97" s="376"/>
      <c r="M97" s="376"/>
      <c r="N97" s="378">
        <f>IF(OR(Tabelle1324568910111213141516171618[[#This Row],[Pulled after Start]]="yes",Tabelle1324568910111213141516171618[[#This Row],[Jira Story Points]]="-"),0,MIN(Tabelle1324568910111213141516171618[[#This Row],[Jira Story Points]],Tabelle1324568910111213141516171618[[#This Row],[Carry-over]]))</f>
        <v>8</v>
      </c>
      <c r="O97" s="379">
        <f>SUM(IF(ISBLANK(Tabelle1324568910111213141516171618[[#This Row],[Carry-over]]),Tabelle1324568910111213141516171618[[#This Row],[Jira Story Points]],Tabelle1324568910111213141516171618[[#This Row],[Carry-over]]),-Tabelle1324568910111213141516171618[[#This Row],[COsSP Initially Planned]])</f>
        <v>0</v>
      </c>
      <c r="P9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8</v>
      </c>
      <c r="Q97" s="379">
        <f>IF(Tabelle1324568910111213141516171618[[#This Row],[Status]]=$J$5,Tabelle1324568910111213141516171618[[#This Row],[COsSP Initially Planned]]+Tabelle1324568910111213141516171618[[#This Row],[COsSP Pulled after Start]]-Tabelle1324568910111213141516171618[[#This Row],[CSOsSP Completed]],0)</f>
        <v>0</v>
      </c>
      <c r="R97" s="379">
        <f>Tabelle1324568910111213141516171618[[#This Row],[COsSP Initially Planned]]+Tabelle1324568910111213141516171618[[#This Row],[COsSP Pulled after Start]]-Tabelle1324568910111213141516171618[[#This Row],[CSOsSP Completed]]-Tabelle1324568910111213141516171618[[#This Row],[CSOsSP Removed]]</f>
        <v>0</v>
      </c>
    </row>
    <row r="98" spans="1:18" ht="13.5" hidden="1" customHeight="1">
      <c r="A98" s="381" t="s">
        <v>586</v>
      </c>
      <c r="B98" s="47" t="s">
        <v>587</v>
      </c>
      <c r="C98" s="375" t="s">
        <v>372</v>
      </c>
      <c r="D98" s="375">
        <v>3</v>
      </c>
      <c r="E98" s="375" t="s">
        <v>324</v>
      </c>
      <c r="F98" s="376">
        <v>1</v>
      </c>
      <c r="G98" s="375" t="s">
        <v>35</v>
      </c>
      <c r="H98" s="318"/>
      <c r="I98" s="377"/>
      <c r="J98" s="377"/>
      <c r="K98" s="375" t="s">
        <v>125</v>
      </c>
      <c r="L98" s="376"/>
      <c r="M98" s="376"/>
      <c r="N98" s="378">
        <f>IF(OR(Tabelle1324568910111213141516171618[[#This Row],[Pulled after Start]]="yes",Tabelle1324568910111213141516171618[[#This Row],[Jira Story Points]]="-"),0,MIN(Tabelle1324568910111213141516171618[[#This Row],[Jira Story Points]],Tabelle1324568910111213141516171618[[#This Row],[Carry-over]]))</f>
        <v>1</v>
      </c>
      <c r="O98" s="379">
        <f>SUM(IF(ISBLANK(Tabelle1324568910111213141516171618[[#This Row],[Carry-over]]),Tabelle1324568910111213141516171618[[#This Row],[Jira Story Points]],Tabelle1324568910111213141516171618[[#This Row],[Carry-over]]),-Tabelle1324568910111213141516171618[[#This Row],[COsSP Initially Planned]])</f>
        <v>0</v>
      </c>
      <c r="P9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98" s="379">
        <f>IF(Tabelle1324568910111213141516171618[[#This Row],[Status]]=$J$5,Tabelle1324568910111213141516171618[[#This Row],[COsSP Initially Planned]]+Tabelle1324568910111213141516171618[[#This Row],[COsSP Pulled after Start]]-Tabelle1324568910111213141516171618[[#This Row],[CSOsSP Completed]],0)</f>
        <v>0</v>
      </c>
      <c r="R98" s="379">
        <f>Tabelle1324568910111213141516171618[[#This Row],[COsSP Initially Planned]]+Tabelle1324568910111213141516171618[[#This Row],[COsSP Pulled after Start]]-Tabelle1324568910111213141516171618[[#This Row],[CSOsSP Completed]]-Tabelle1324568910111213141516171618[[#This Row],[CSOsSP Removed]]</f>
        <v>0</v>
      </c>
    </row>
    <row r="99" spans="1:18" ht="13.5" hidden="1" customHeight="1">
      <c r="A99" s="381" t="s">
        <v>588</v>
      </c>
      <c r="B99" s="47" t="s">
        <v>589</v>
      </c>
      <c r="C99" s="375" t="s">
        <v>382</v>
      </c>
      <c r="D99" s="375">
        <v>3</v>
      </c>
      <c r="E99" s="375" t="s">
        <v>324</v>
      </c>
      <c r="F99" s="376">
        <v>1</v>
      </c>
      <c r="G99" s="375" t="s">
        <v>35</v>
      </c>
      <c r="H99" s="318" t="s">
        <v>209</v>
      </c>
      <c r="I99" s="377"/>
      <c r="J99" s="377"/>
      <c r="K99" s="375" t="s">
        <v>125</v>
      </c>
      <c r="L99" s="376"/>
      <c r="M99" s="376"/>
      <c r="N99" s="378">
        <f>IF(OR(Tabelle1324568910111213141516171618[[#This Row],[Pulled after Start]]="yes",Tabelle1324568910111213141516171618[[#This Row],[Jira Story Points]]="-"),0,MIN(Tabelle1324568910111213141516171618[[#This Row],[Jira Story Points]],Tabelle1324568910111213141516171618[[#This Row],[Carry-over]]))</f>
        <v>0</v>
      </c>
      <c r="O99" s="379">
        <f>SUM(IF(ISBLANK(Tabelle1324568910111213141516171618[[#This Row],[Carry-over]]),Tabelle1324568910111213141516171618[[#This Row],[Jira Story Points]],Tabelle1324568910111213141516171618[[#This Row],[Carry-over]]),-Tabelle1324568910111213141516171618[[#This Row],[COsSP Initially Planned]])</f>
        <v>1</v>
      </c>
      <c r="P9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99" s="379">
        <f>IF(Tabelle1324568910111213141516171618[[#This Row],[Status]]=$J$5,Tabelle1324568910111213141516171618[[#This Row],[COsSP Initially Planned]]+Tabelle1324568910111213141516171618[[#This Row],[COsSP Pulled after Start]]-Tabelle1324568910111213141516171618[[#This Row],[CSOsSP Completed]],0)</f>
        <v>0</v>
      </c>
      <c r="R99" s="379">
        <f>Tabelle1324568910111213141516171618[[#This Row],[COsSP Initially Planned]]+Tabelle1324568910111213141516171618[[#This Row],[COsSP Pulled after Start]]-Tabelle1324568910111213141516171618[[#This Row],[CSOsSP Completed]]-Tabelle1324568910111213141516171618[[#This Row],[CSOsSP Removed]]</f>
        <v>0</v>
      </c>
    </row>
    <row r="100" spans="1:18" ht="13.5" hidden="1" customHeight="1">
      <c r="A100" s="381" t="s">
        <v>590</v>
      </c>
      <c r="B100" s="47" t="s">
        <v>591</v>
      </c>
      <c r="C100" s="375" t="s">
        <v>372</v>
      </c>
      <c r="D100" s="375">
        <v>3</v>
      </c>
      <c r="E100" s="375" t="s">
        <v>324</v>
      </c>
      <c r="F100" s="376">
        <v>1</v>
      </c>
      <c r="G100" s="375" t="s">
        <v>35</v>
      </c>
      <c r="H100" s="318" t="s">
        <v>209</v>
      </c>
      <c r="I100" s="377"/>
      <c r="J100" s="377"/>
      <c r="K100" s="375" t="s">
        <v>125</v>
      </c>
      <c r="L100" s="376"/>
      <c r="M100" s="376"/>
      <c r="N100" s="378">
        <f>IF(OR(Tabelle1324568910111213141516171618[[#This Row],[Pulled after Start]]="yes",Tabelle1324568910111213141516171618[[#This Row],[Jira Story Points]]="-"),0,MIN(Tabelle1324568910111213141516171618[[#This Row],[Jira Story Points]],Tabelle1324568910111213141516171618[[#This Row],[Carry-over]]))</f>
        <v>0</v>
      </c>
      <c r="O100" s="379">
        <f>SUM(IF(ISBLANK(Tabelle1324568910111213141516171618[[#This Row],[Carry-over]]),Tabelle1324568910111213141516171618[[#This Row],[Jira Story Points]],Tabelle1324568910111213141516171618[[#This Row],[Carry-over]]),-Tabelle1324568910111213141516171618[[#This Row],[COsSP Initially Planned]])</f>
        <v>1</v>
      </c>
      <c r="P10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100" s="379">
        <f>IF(Tabelle1324568910111213141516171618[[#This Row],[Status]]=$J$5,Tabelle1324568910111213141516171618[[#This Row],[COsSP Initially Planned]]+Tabelle1324568910111213141516171618[[#This Row],[COsSP Pulled after Start]]-Tabelle1324568910111213141516171618[[#This Row],[CSOsSP Completed]],0)</f>
        <v>0</v>
      </c>
      <c r="R100" s="379">
        <f>Tabelle1324568910111213141516171618[[#This Row],[COsSP Initially Planned]]+Tabelle1324568910111213141516171618[[#This Row],[COsSP Pulled after Start]]-Tabelle1324568910111213141516171618[[#This Row],[CSOsSP Completed]]-Tabelle1324568910111213141516171618[[#This Row],[CSOsSP Removed]]</f>
        <v>0</v>
      </c>
    </row>
    <row r="101" spans="1:18" ht="13.5" hidden="1" customHeight="1">
      <c r="A101" s="381" t="s">
        <v>592</v>
      </c>
      <c r="B101" s="47" t="s">
        <v>593</v>
      </c>
      <c r="C101" s="375" t="s">
        <v>372</v>
      </c>
      <c r="D101" s="375">
        <v>3</v>
      </c>
      <c r="E101" s="375" t="s">
        <v>324</v>
      </c>
      <c r="F101" s="376">
        <v>3</v>
      </c>
      <c r="G101" s="375" t="s">
        <v>35</v>
      </c>
      <c r="H101" s="318"/>
      <c r="I101" s="377"/>
      <c r="J101" s="377"/>
      <c r="K101" s="375" t="s">
        <v>125</v>
      </c>
      <c r="L101" s="376"/>
      <c r="M101" s="376"/>
      <c r="N101" s="378">
        <f>IF(OR(Tabelle1324568910111213141516171618[[#This Row],[Pulled after Start]]="yes",Tabelle1324568910111213141516171618[[#This Row],[Jira Story Points]]="-"),0,MIN(Tabelle1324568910111213141516171618[[#This Row],[Jira Story Points]],Tabelle1324568910111213141516171618[[#This Row],[Carry-over]]))</f>
        <v>3</v>
      </c>
      <c r="O101" s="379">
        <f>SUM(IF(ISBLANK(Tabelle1324568910111213141516171618[[#This Row],[Carry-over]]),Tabelle1324568910111213141516171618[[#This Row],[Jira Story Points]],Tabelle1324568910111213141516171618[[#This Row],[Carry-over]]),-Tabelle1324568910111213141516171618[[#This Row],[COsSP Initially Planned]])</f>
        <v>0</v>
      </c>
      <c r="P10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01" s="379">
        <f>IF(Tabelle1324568910111213141516171618[[#This Row],[Status]]=$J$5,Tabelle1324568910111213141516171618[[#This Row],[COsSP Initially Planned]]+Tabelle1324568910111213141516171618[[#This Row],[COsSP Pulled after Start]]-Tabelle1324568910111213141516171618[[#This Row],[CSOsSP Completed]],0)</f>
        <v>0</v>
      </c>
      <c r="R101" s="379">
        <f>Tabelle1324568910111213141516171618[[#This Row],[COsSP Initially Planned]]+Tabelle1324568910111213141516171618[[#This Row],[COsSP Pulled after Start]]-Tabelle1324568910111213141516171618[[#This Row],[CSOsSP Completed]]-Tabelle1324568910111213141516171618[[#This Row],[CSOsSP Removed]]</f>
        <v>0</v>
      </c>
    </row>
    <row r="102" spans="1:18" ht="13.5" hidden="1" customHeight="1">
      <c r="A102" s="381" t="s">
        <v>594</v>
      </c>
      <c r="B102" s="47" t="s">
        <v>595</v>
      </c>
      <c r="C102" s="375" t="s">
        <v>372</v>
      </c>
      <c r="D102" s="375">
        <v>3</v>
      </c>
      <c r="E102" s="375" t="s">
        <v>324</v>
      </c>
      <c r="F102" s="376">
        <v>2</v>
      </c>
      <c r="G102" s="375" t="s">
        <v>35</v>
      </c>
      <c r="H102" s="318"/>
      <c r="I102" s="377"/>
      <c r="J102" s="377"/>
      <c r="K102" s="375" t="s">
        <v>125</v>
      </c>
      <c r="L102" s="376"/>
      <c r="M102" s="376"/>
      <c r="N102" s="378">
        <f>IF(OR(Tabelle1324568910111213141516171618[[#This Row],[Pulled after Start]]="yes",Tabelle1324568910111213141516171618[[#This Row],[Jira Story Points]]="-"),0,MIN(Tabelle1324568910111213141516171618[[#This Row],[Jira Story Points]],Tabelle1324568910111213141516171618[[#This Row],[Carry-over]]))</f>
        <v>2</v>
      </c>
      <c r="O102" s="379">
        <f>SUM(IF(ISBLANK(Tabelle1324568910111213141516171618[[#This Row],[Carry-over]]),Tabelle1324568910111213141516171618[[#This Row],[Jira Story Points]],Tabelle1324568910111213141516171618[[#This Row],[Carry-over]]),-Tabelle1324568910111213141516171618[[#This Row],[COsSP Initially Planned]])</f>
        <v>0</v>
      </c>
      <c r="P10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02" s="379">
        <f>IF(Tabelle1324568910111213141516171618[[#This Row],[Status]]=$J$5,Tabelle1324568910111213141516171618[[#This Row],[COsSP Initially Planned]]+Tabelle1324568910111213141516171618[[#This Row],[COsSP Pulled after Start]]-Tabelle1324568910111213141516171618[[#This Row],[CSOsSP Completed]],0)</f>
        <v>0</v>
      </c>
      <c r="R102" s="379">
        <f>Tabelle1324568910111213141516171618[[#This Row],[COsSP Initially Planned]]+Tabelle1324568910111213141516171618[[#This Row],[COsSP Pulled after Start]]-Tabelle1324568910111213141516171618[[#This Row],[CSOsSP Completed]]-Tabelle1324568910111213141516171618[[#This Row],[CSOsSP Removed]]</f>
        <v>0</v>
      </c>
    </row>
    <row r="103" spans="1:18" ht="13.5" hidden="1" customHeight="1">
      <c r="A103" s="381" t="s">
        <v>596</v>
      </c>
      <c r="B103" s="47" t="s">
        <v>597</v>
      </c>
      <c r="C103" s="375" t="s">
        <v>372</v>
      </c>
      <c r="D103" s="375">
        <v>3</v>
      </c>
      <c r="E103" s="375" t="s">
        <v>324</v>
      </c>
      <c r="F103" s="376">
        <v>5</v>
      </c>
      <c r="G103" s="375" t="s">
        <v>35</v>
      </c>
      <c r="H103" s="318"/>
      <c r="I103" s="377"/>
      <c r="J103" s="377"/>
      <c r="K103" s="375" t="s">
        <v>125</v>
      </c>
      <c r="L103" s="376"/>
      <c r="M103" s="376"/>
      <c r="N103" s="378">
        <f>IF(OR(Tabelle1324568910111213141516171618[[#This Row],[Pulled after Start]]="yes",Tabelle1324568910111213141516171618[[#This Row],[Jira Story Points]]="-"),0,MIN(Tabelle1324568910111213141516171618[[#This Row],[Jira Story Points]],Tabelle1324568910111213141516171618[[#This Row],[Carry-over]]))</f>
        <v>5</v>
      </c>
      <c r="O103" s="379">
        <f>SUM(IF(ISBLANK(Tabelle1324568910111213141516171618[[#This Row],[Carry-over]]),Tabelle1324568910111213141516171618[[#This Row],[Jira Story Points]],Tabelle1324568910111213141516171618[[#This Row],[Carry-over]]),-Tabelle1324568910111213141516171618[[#This Row],[COsSP Initially Planned]])</f>
        <v>0</v>
      </c>
      <c r="P10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103" s="379">
        <f>IF(Tabelle1324568910111213141516171618[[#This Row],[Status]]=$J$5,Tabelle1324568910111213141516171618[[#This Row],[COsSP Initially Planned]]+Tabelle1324568910111213141516171618[[#This Row],[COsSP Pulled after Start]]-Tabelle1324568910111213141516171618[[#This Row],[CSOsSP Completed]],0)</f>
        <v>0</v>
      </c>
      <c r="R103" s="379">
        <f>Tabelle1324568910111213141516171618[[#This Row],[COsSP Initially Planned]]+Tabelle1324568910111213141516171618[[#This Row],[COsSP Pulled after Start]]-Tabelle1324568910111213141516171618[[#This Row],[CSOsSP Completed]]-Tabelle1324568910111213141516171618[[#This Row],[CSOsSP Removed]]</f>
        <v>0</v>
      </c>
    </row>
    <row r="104" spans="1:18" ht="13.5" hidden="1" customHeight="1">
      <c r="A104" s="381" t="s">
        <v>598</v>
      </c>
      <c r="B104" s="47" t="s">
        <v>599</v>
      </c>
      <c r="C104" s="375" t="s">
        <v>372</v>
      </c>
      <c r="D104" s="375">
        <v>3</v>
      </c>
      <c r="E104" s="375" t="s">
        <v>324</v>
      </c>
      <c r="F104" s="376">
        <v>5</v>
      </c>
      <c r="G104" s="375" t="s">
        <v>35</v>
      </c>
      <c r="H104" s="318" t="s">
        <v>209</v>
      </c>
      <c r="I104" s="377"/>
      <c r="J104" s="377"/>
      <c r="K104" s="375" t="s">
        <v>125</v>
      </c>
      <c r="L104" s="376"/>
      <c r="M104" s="376"/>
      <c r="N104" s="378">
        <f>IF(OR(Tabelle1324568910111213141516171618[[#This Row],[Pulled after Start]]="yes",Tabelle1324568910111213141516171618[[#This Row],[Jira Story Points]]="-"),0,MIN(Tabelle1324568910111213141516171618[[#This Row],[Jira Story Points]],Tabelle1324568910111213141516171618[[#This Row],[Carry-over]]))</f>
        <v>0</v>
      </c>
      <c r="O104" s="379">
        <f>SUM(IF(ISBLANK(Tabelle1324568910111213141516171618[[#This Row],[Carry-over]]),Tabelle1324568910111213141516171618[[#This Row],[Jira Story Points]],Tabelle1324568910111213141516171618[[#This Row],[Carry-over]]),-Tabelle1324568910111213141516171618[[#This Row],[COsSP Initially Planned]])</f>
        <v>5</v>
      </c>
      <c r="P10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104" s="379">
        <f>IF(Tabelle1324568910111213141516171618[[#This Row],[Status]]=$J$5,Tabelle1324568910111213141516171618[[#This Row],[COsSP Initially Planned]]+Tabelle1324568910111213141516171618[[#This Row],[COsSP Pulled after Start]]-Tabelle1324568910111213141516171618[[#This Row],[CSOsSP Completed]],0)</f>
        <v>0</v>
      </c>
      <c r="R104" s="379">
        <f>Tabelle1324568910111213141516171618[[#This Row],[COsSP Initially Planned]]+Tabelle1324568910111213141516171618[[#This Row],[COsSP Pulled after Start]]-Tabelle1324568910111213141516171618[[#This Row],[CSOsSP Completed]]-Tabelle1324568910111213141516171618[[#This Row],[CSOsSP Removed]]</f>
        <v>0</v>
      </c>
    </row>
    <row r="105" spans="1:18" ht="13.5" hidden="1" customHeight="1">
      <c r="A105" s="381" t="s">
        <v>600</v>
      </c>
      <c r="B105" s="47" t="s">
        <v>601</v>
      </c>
      <c r="C105" s="375" t="s">
        <v>372</v>
      </c>
      <c r="D105" s="375">
        <v>3</v>
      </c>
      <c r="E105" s="375" t="s">
        <v>324</v>
      </c>
      <c r="F105" s="376">
        <v>3</v>
      </c>
      <c r="G105" s="375" t="s">
        <v>35</v>
      </c>
      <c r="H105" s="318"/>
      <c r="I105" s="377"/>
      <c r="J105" s="377"/>
      <c r="K105" s="375" t="s">
        <v>125</v>
      </c>
      <c r="L105" s="376"/>
      <c r="M105" s="376"/>
      <c r="N105" s="378">
        <f>IF(OR(Tabelle1324568910111213141516171618[[#This Row],[Pulled after Start]]="yes",Tabelle1324568910111213141516171618[[#This Row],[Jira Story Points]]="-"),0,MIN(Tabelle1324568910111213141516171618[[#This Row],[Jira Story Points]],Tabelle1324568910111213141516171618[[#This Row],[Carry-over]]))</f>
        <v>3</v>
      </c>
      <c r="O105" s="379">
        <f>SUM(IF(ISBLANK(Tabelle1324568910111213141516171618[[#This Row],[Carry-over]]),Tabelle1324568910111213141516171618[[#This Row],[Jira Story Points]],Tabelle1324568910111213141516171618[[#This Row],[Carry-over]]),-Tabelle1324568910111213141516171618[[#This Row],[COsSP Initially Planned]])</f>
        <v>0</v>
      </c>
      <c r="P10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05" s="379">
        <f>IF(Tabelle1324568910111213141516171618[[#This Row],[Status]]=$J$5,Tabelle1324568910111213141516171618[[#This Row],[COsSP Initially Planned]]+Tabelle1324568910111213141516171618[[#This Row],[COsSP Pulled after Start]]-Tabelle1324568910111213141516171618[[#This Row],[CSOsSP Completed]],0)</f>
        <v>0</v>
      </c>
      <c r="R105" s="379">
        <f>Tabelle1324568910111213141516171618[[#This Row],[COsSP Initially Planned]]+Tabelle1324568910111213141516171618[[#This Row],[COsSP Pulled after Start]]-Tabelle1324568910111213141516171618[[#This Row],[CSOsSP Completed]]-Tabelle1324568910111213141516171618[[#This Row],[CSOsSP Removed]]</f>
        <v>0</v>
      </c>
    </row>
    <row r="106" spans="1:18" ht="13.5" hidden="1" customHeight="1">
      <c r="A106" s="381" t="s">
        <v>602</v>
      </c>
      <c r="B106" s="47" t="s">
        <v>603</v>
      </c>
      <c r="C106" s="375" t="s">
        <v>372</v>
      </c>
      <c r="D106" s="375">
        <v>3</v>
      </c>
      <c r="E106" s="375" t="s">
        <v>324</v>
      </c>
      <c r="F106" s="376">
        <v>3</v>
      </c>
      <c r="G106" s="375" t="s">
        <v>35</v>
      </c>
      <c r="H106" s="318"/>
      <c r="I106" s="377"/>
      <c r="J106" s="377"/>
      <c r="K106" s="375" t="s">
        <v>125</v>
      </c>
      <c r="L106" s="376"/>
      <c r="M106" s="376"/>
      <c r="N106" s="378">
        <f>IF(OR(Tabelle1324568910111213141516171618[[#This Row],[Pulled after Start]]="yes",Tabelle1324568910111213141516171618[[#This Row],[Jira Story Points]]="-"),0,MIN(Tabelle1324568910111213141516171618[[#This Row],[Jira Story Points]],Tabelle1324568910111213141516171618[[#This Row],[Carry-over]]))</f>
        <v>3</v>
      </c>
      <c r="O106" s="379">
        <f>SUM(IF(ISBLANK(Tabelle1324568910111213141516171618[[#This Row],[Carry-over]]),Tabelle1324568910111213141516171618[[#This Row],[Jira Story Points]],Tabelle1324568910111213141516171618[[#This Row],[Carry-over]]),-Tabelle1324568910111213141516171618[[#This Row],[COsSP Initially Planned]])</f>
        <v>0</v>
      </c>
      <c r="P10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06" s="379">
        <f>IF(Tabelle1324568910111213141516171618[[#This Row],[Status]]=$J$5,Tabelle1324568910111213141516171618[[#This Row],[COsSP Initially Planned]]+Tabelle1324568910111213141516171618[[#This Row],[COsSP Pulled after Start]]-Tabelle1324568910111213141516171618[[#This Row],[CSOsSP Completed]],0)</f>
        <v>0</v>
      </c>
      <c r="R106" s="379">
        <f>Tabelle1324568910111213141516171618[[#This Row],[COsSP Initially Planned]]+Tabelle1324568910111213141516171618[[#This Row],[COsSP Pulled after Start]]-Tabelle1324568910111213141516171618[[#This Row],[CSOsSP Completed]]-Tabelle1324568910111213141516171618[[#This Row],[CSOsSP Removed]]</f>
        <v>0</v>
      </c>
    </row>
    <row r="107" spans="1:18" ht="13.5" hidden="1" customHeight="1">
      <c r="A107" s="381" t="s">
        <v>604</v>
      </c>
      <c r="B107" s="47" t="s">
        <v>605</v>
      </c>
      <c r="C107" s="375" t="s">
        <v>375</v>
      </c>
      <c r="D107" s="375">
        <v>1</v>
      </c>
      <c r="E107" s="375" t="s">
        <v>324</v>
      </c>
      <c r="F107" s="376">
        <v>5</v>
      </c>
      <c r="G107" s="375" t="s">
        <v>35</v>
      </c>
      <c r="H107" s="318"/>
      <c r="I107" s="377"/>
      <c r="J107" s="377"/>
      <c r="K107" s="375" t="s">
        <v>125</v>
      </c>
      <c r="L107" s="376"/>
      <c r="M107" s="376"/>
      <c r="N107" s="378">
        <f>IF(OR(Tabelle1324568910111213141516171618[[#This Row],[Pulled after Start]]="yes",Tabelle1324568910111213141516171618[[#This Row],[Jira Story Points]]="-"),0,MIN(Tabelle1324568910111213141516171618[[#This Row],[Jira Story Points]],Tabelle1324568910111213141516171618[[#This Row],[Carry-over]]))</f>
        <v>5</v>
      </c>
      <c r="O107" s="379">
        <f>SUM(IF(ISBLANK(Tabelle1324568910111213141516171618[[#This Row],[Carry-over]]),Tabelle1324568910111213141516171618[[#This Row],[Jira Story Points]],Tabelle1324568910111213141516171618[[#This Row],[Carry-over]]),-Tabelle1324568910111213141516171618[[#This Row],[COsSP Initially Planned]])</f>
        <v>0</v>
      </c>
      <c r="P10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107" s="379">
        <f>IF(Tabelle1324568910111213141516171618[[#This Row],[Status]]=$J$5,Tabelle1324568910111213141516171618[[#This Row],[COsSP Initially Planned]]+Tabelle1324568910111213141516171618[[#This Row],[COsSP Pulled after Start]]-Tabelle1324568910111213141516171618[[#This Row],[CSOsSP Completed]],0)</f>
        <v>0</v>
      </c>
      <c r="R107" s="379">
        <f>Tabelle1324568910111213141516171618[[#This Row],[COsSP Initially Planned]]+Tabelle1324568910111213141516171618[[#This Row],[COsSP Pulled after Start]]-Tabelle1324568910111213141516171618[[#This Row],[CSOsSP Completed]]-Tabelle1324568910111213141516171618[[#This Row],[CSOsSP Removed]]</f>
        <v>0</v>
      </c>
    </row>
    <row r="108" spans="1:18" ht="13.5" hidden="1" customHeight="1">
      <c r="A108" s="381" t="s">
        <v>606</v>
      </c>
      <c r="B108" s="47" t="s">
        <v>607</v>
      </c>
      <c r="C108" s="375" t="s">
        <v>375</v>
      </c>
      <c r="D108" s="375">
        <v>2</v>
      </c>
      <c r="E108" s="375" t="s">
        <v>324</v>
      </c>
      <c r="F108" s="376">
        <v>8</v>
      </c>
      <c r="G108" s="375" t="s">
        <v>35</v>
      </c>
      <c r="H108" s="318"/>
      <c r="I108" s="377"/>
      <c r="J108" s="377"/>
      <c r="K108" s="375" t="s">
        <v>125</v>
      </c>
      <c r="L108" s="376"/>
      <c r="M108" s="376"/>
      <c r="N108" s="378">
        <f>IF(OR(Tabelle1324568910111213141516171618[[#This Row],[Pulled after Start]]="yes",Tabelle1324568910111213141516171618[[#This Row],[Jira Story Points]]="-"),0,MIN(Tabelle1324568910111213141516171618[[#This Row],[Jira Story Points]],Tabelle1324568910111213141516171618[[#This Row],[Carry-over]]))</f>
        <v>8</v>
      </c>
      <c r="O108" s="379">
        <f>SUM(IF(ISBLANK(Tabelle1324568910111213141516171618[[#This Row],[Carry-over]]),Tabelle1324568910111213141516171618[[#This Row],[Jira Story Points]],Tabelle1324568910111213141516171618[[#This Row],[Carry-over]]),-Tabelle1324568910111213141516171618[[#This Row],[COsSP Initially Planned]])</f>
        <v>0</v>
      </c>
      <c r="P10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8</v>
      </c>
      <c r="Q108" s="379">
        <f>IF(Tabelle1324568910111213141516171618[[#This Row],[Status]]=$J$5,Tabelle1324568910111213141516171618[[#This Row],[COsSP Initially Planned]]+Tabelle1324568910111213141516171618[[#This Row],[COsSP Pulled after Start]]-Tabelle1324568910111213141516171618[[#This Row],[CSOsSP Completed]],0)</f>
        <v>0</v>
      </c>
      <c r="R108" s="379">
        <f>Tabelle1324568910111213141516171618[[#This Row],[COsSP Initially Planned]]+Tabelle1324568910111213141516171618[[#This Row],[COsSP Pulled after Start]]-Tabelle1324568910111213141516171618[[#This Row],[CSOsSP Completed]]-Tabelle1324568910111213141516171618[[#This Row],[CSOsSP Removed]]</f>
        <v>0</v>
      </c>
    </row>
    <row r="109" spans="1:18" ht="13.5" hidden="1" customHeight="1">
      <c r="A109" s="381" t="s">
        <v>608</v>
      </c>
      <c r="B109" s="47" t="s">
        <v>609</v>
      </c>
      <c r="C109" s="375" t="s">
        <v>375</v>
      </c>
      <c r="D109" s="375">
        <v>2</v>
      </c>
      <c r="E109" s="375" t="s">
        <v>324</v>
      </c>
      <c r="F109" s="376">
        <v>5</v>
      </c>
      <c r="G109" s="375" t="s">
        <v>35</v>
      </c>
      <c r="H109" s="318"/>
      <c r="I109" s="377"/>
      <c r="J109" s="377"/>
      <c r="K109" s="375" t="s">
        <v>125</v>
      </c>
      <c r="L109" s="376"/>
      <c r="M109" s="376"/>
      <c r="N109" s="378">
        <f>IF(OR(Tabelle1324568910111213141516171618[[#This Row],[Pulled after Start]]="yes",Tabelle1324568910111213141516171618[[#This Row],[Jira Story Points]]="-"),0,MIN(Tabelle1324568910111213141516171618[[#This Row],[Jira Story Points]],Tabelle1324568910111213141516171618[[#This Row],[Carry-over]]))</f>
        <v>5</v>
      </c>
      <c r="O109" s="379">
        <f>SUM(IF(ISBLANK(Tabelle1324568910111213141516171618[[#This Row],[Carry-over]]),Tabelle1324568910111213141516171618[[#This Row],[Jira Story Points]],Tabelle1324568910111213141516171618[[#This Row],[Carry-over]]),-Tabelle1324568910111213141516171618[[#This Row],[COsSP Initially Planned]])</f>
        <v>0</v>
      </c>
      <c r="P10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109" s="379">
        <f>IF(Tabelle1324568910111213141516171618[[#This Row],[Status]]=$J$5,Tabelle1324568910111213141516171618[[#This Row],[COsSP Initially Planned]]+Tabelle1324568910111213141516171618[[#This Row],[COsSP Pulled after Start]]-Tabelle1324568910111213141516171618[[#This Row],[CSOsSP Completed]],0)</f>
        <v>0</v>
      </c>
      <c r="R109" s="379">
        <f>Tabelle1324568910111213141516171618[[#This Row],[COsSP Initially Planned]]+Tabelle1324568910111213141516171618[[#This Row],[COsSP Pulled after Start]]-Tabelle1324568910111213141516171618[[#This Row],[CSOsSP Completed]]-Tabelle1324568910111213141516171618[[#This Row],[CSOsSP Removed]]</f>
        <v>0</v>
      </c>
    </row>
    <row r="110" spans="1:18" ht="13.5" hidden="1" customHeight="1">
      <c r="A110" s="381" t="s">
        <v>610</v>
      </c>
      <c r="B110" s="47" t="s">
        <v>611</v>
      </c>
      <c r="C110" s="375" t="s">
        <v>372</v>
      </c>
      <c r="D110" s="375">
        <v>1</v>
      </c>
      <c r="E110" s="375" t="s">
        <v>324</v>
      </c>
      <c r="F110" s="376">
        <v>5</v>
      </c>
      <c r="G110" s="375" t="s">
        <v>35</v>
      </c>
      <c r="H110" s="318"/>
      <c r="I110" s="377"/>
      <c r="J110" s="377"/>
      <c r="K110" s="375" t="s">
        <v>125</v>
      </c>
      <c r="L110" s="376"/>
      <c r="M110" s="376"/>
      <c r="N110" s="378">
        <f>IF(OR(Tabelle1324568910111213141516171618[[#This Row],[Pulled after Start]]="yes",Tabelle1324568910111213141516171618[[#This Row],[Jira Story Points]]="-"),0,MIN(Tabelle1324568910111213141516171618[[#This Row],[Jira Story Points]],Tabelle1324568910111213141516171618[[#This Row],[Carry-over]]))</f>
        <v>5</v>
      </c>
      <c r="O110" s="379">
        <f>SUM(IF(ISBLANK(Tabelle1324568910111213141516171618[[#This Row],[Carry-over]]),Tabelle1324568910111213141516171618[[#This Row],[Jira Story Points]],Tabelle1324568910111213141516171618[[#This Row],[Carry-over]]),-Tabelle1324568910111213141516171618[[#This Row],[COsSP Initially Planned]])</f>
        <v>0</v>
      </c>
      <c r="P11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110" s="379">
        <f>IF(Tabelle1324568910111213141516171618[[#This Row],[Status]]=$J$5,Tabelle1324568910111213141516171618[[#This Row],[COsSP Initially Planned]]+Tabelle1324568910111213141516171618[[#This Row],[COsSP Pulled after Start]]-Tabelle1324568910111213141516171618[[#This Row],[CSOsSP Completed]],0)</f>
        <v>0</v>
      </c>
      <c r="R110" s="379">
        <f>Tabelle1324568910111213141516171618[[#This Row],[COsSP Initially Planned]]+Tabelle1324568910111213141516171618[[#This Row],[COsSP Pulled after Start]]-Tabelle1324568910111213141516171618[[#This Row],[CSOsSP Completed]]-Tabelle1324568910111213141516171618[[#This Row],[CSOsSP Removed]]</f>
        <v>0</v>
      </c>
    </row>
    <row r="111" spans="1:18" ht="13.5" hidden="1" customHeight="1">
      <c r="A111" s="381" t="s">
        <v>612</v>
      </c>
      <c r="B111" s="47" t="s">
        <v>613</v>
      </c>
      <c r="C111" s="375" t="s">
        <v>372</v>
      </c>
      <c r="D111" s="375">
        <v>3</v>
      </c>
      <c r="E111" s="375" t="s">
        <v>324</v>
      </c>
      <c r="F111" s="376">
        <v>2</v>
      </c>
      <c r="G111" s="375" t="s">
        <v>35</v>
      </c>
      <c r="H111" s="318"/>
      <c r="I111" s="377"/>
      <c r="J111" s="377"/>
      <c r="K111" s="375" t="s">
        <v>125</v>
      </c>
      <c r="L111" s="376"/>
      <c r="M111" s="376"/>
      <c r="N111" s="378">
        <f>IF(OR(Tabelle1324568910111213141516171618[[#This Row],[Pulled after Start]]="yes",Tabelle1324568910111213141516171618[[#This Row],[Jira Story Points]]="-"),0,MIN(Tabelle1324568910111213141516171618[[#This Row],[Jira Story Points]],Tabelle1324568910111213141516171618[[#This Row],[Carry-over]]))</f>
        <v>2</v>
      </c>
      <c r="O111" s="379">
        <f>SUM(IF(ISBLANK(Tabelle1324568910111213141516171618[[#This Row],[Carry-over]]),Tabelle1324568910111213141516171618[[#This Row],[Jira Story Points]],Tabelle1324568910111213141516171618[[#This Row],[Carry-over]]),-Tabelle1324568910111213141516171618[[#This Row],[COsSP Initially Planned]])</f>
        <v>0</v>
      </c>
      <c r="P11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11" s="379">
        <f>IF(Tabelle1324568910111213141516171618[[#This Row],[Status]]=$J$5,Tabelle1324568910111213141516171618[[#This Row],[COsSP Initially Planned]]+Tabelle1324568910111213141516171618[[#This Row],[COsSP Pulled after Start]]-Tabelle1324568910111213141516171618[[#This Row],[CSOsSP Completed]],0)</f>
        <v>0</v>
      </c>
      <c r="R111" s="379">
        <f>Tabelle1324568910111213141516171618[[#This Row],[COsSP Initially Planned]]+Tabelle1324568910111213141516171618[[#This Row],[COsSP Pulled after Start]]-Tabelle1324568910111213141516171618[[#This Row],[CSOsSP Completed]]-Tabelle1324568910111213141516171618[[#This Row],[CSOsSP Removed]]</f>
        <v>0</v>
      </c>
    </row>
    <row r="112" spans="1:18" ht="13.5" hidden="1" customHeight="1">
      <c r="A112" s="381" t="s">
        <v>614</v>
      </c>
      <c r="B112" s="47" t="s">
        <v>615</v>
      </c>
      <c r="C112" s="375" t="s">
        <v>372</v>
      </c>
      <c r="D112" s="375">
        <v>3</v>
      </c>
      <c r="E112" s="375" t="s">
        <v>324</v>
      </c>
      <c r="F112" s="376">
        <v>2</v>
      </c>
      <c r="G112" s="375" t="s">
        <v>35</v>
      </c>
      <c r="H112" s="318"/>
      <c r="I112" s="377"/>
      <c r="J112" s="377"/>
      <c r="K112" s="375" t="s">
        <v>125</v>
      </c>
      <c r="L112" s="376"/>
      <c r="M112" s="376"/>
      <c r="N112" s="378">
        <f>IF(OR(Tabelle1324568910111213141516171618[[#This Row],[Pulled after Start]]="yes",Tabelle1324568910111213141516171618[[#This Row],[Jira Story Points]]="-"),0,MIN(Tabelle1324568910111213141516171618[[#This Row],[Jira Story Points]],Tabelle1324568910111213141516171618[[#This Row],[Carry-over]]))</f>
        <v>2</v>
      </c>
      <c r="O112" s="379">
        <f>SUM(IF(ISBLANK(Tabelle1324568910111213141516171618[[#This Row],[Carry-over]]),Tabelle1324568910111213141516171618[[#This Row],[Jira Story Points]],Tabelle1324568910111213141516171618[[#This Row],[Carry-over]]),-Tabelle1324568910111213141516171618[[#This Row],[COsSP Initially Planned]])</f>
        <v>0</v>
      </c>
      <c r="P11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12" s="379">
        <f>IF(Tabelle1324568910111213141516171618[[#This Row],[Status]]=$J$5,Tabelle1324568910111213141516171618[[#This Row],[COsSP Initially Planned]]+Tabelle1324568910111213141516171618[[#This Row],[COsSP Pulled after Start]]-Tabelle1324568910111213141516171618[[#This Row],[CSOsSP Completed]],0)</f>
        <v>0</v>
      </c>
      <c r="R112" s="379">
        <f>Tabelle1324568910111213141516171618[[#This Row],[COsSP Initially Planned]]+Tabelle1324568910111213141516171618[[#This Row],[COsSP Pulled after Start]]-Tabelle1324568910111213141516171618[[#This Row],[CSOsSP Completed]]-Tabelle1324568910111213141516171618[[#This Row],[CSOsSP Removed]]</f>
        <v>0</v>
      </c>
    </row>
    <row r="113" spans="1:18" ht="13.5" hidden="1" customHeight="1">
      <c r="A113" s="381" t="s">
        <v>616</v>
      </c>
      <c r="B113" s="47" t="s">
        <v>617</v>
      </c>
      <c r="C113" s="375" t="s">
        <v>372</v>
      </c>
      <c r="D113" s="375">
        <v>3</v>
      </c>
      <c r="E113" s="375" t="s">
        <v>324</v>
      </c>
      <c r="F113" s="376">
        <v>1</v>
      </c>
      <c r="G113" s="375" t="s">
        <v>35</v>
      </c>
      <c r="H113" s="318" t="s">
        <v>209</v>
      </c>
      <c r="I113" s="377"/>
      <c r="J113" s="377"/>
      <c r="K113" s="375" t="s">
        <v>125</v>
      </c>
      <c r="L113" s="376"/>
      <c r="M113" s="376"/>
      <c r="N113" s="378">
        <f>IF(OR(Tabelle1324568910111213141516171618[[#This Row],[Pulled after Start]]="yes",Tabelle1324568910111213141516171618[[#This Row],[Jira Story Points]]="-"),0,MIN(Tabelle1324568910111213141516171618[[#This Row],[Jira Story Points]],Tabelle1324568910111213141516171618[[#This Row],[Carry-over]]))</f>
        <v>0</v>
      </c>
      <c r="O113" s="379">
        <f>SUM(IF(ISBLANK(Tabelle1324568910111213141516171618[[#This Row],[Carry-over]]),Tabelle1324568910111213141516171618[[#This Row],[Jira Story Points]],Tabelle1324568910111213141516171618[[#This Row],[Carry-over]]),-Tabelle1324568910111213141516171618[[#This Row],[COsSP Initially Planned]])</f>
        <v>1</v>
      </c>
      <c r="P11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113" s="379">
        <f>IF(Tabelle1324568910111213141516171618[[#This Row],[Status]]=$J$5,Tabelle1324568910111213141516171618[[#This Row],[COsSP Initially Planned]]+Tabelle1324568910111213141516171618[[#This Row],[COsSP Pulled after Start]]-Tabelle1324568910111213141516171618[[#This Row],[CSOsSP Completed]],0)</f>
        <v>0</v>
      </c>
      <c r="R113" s="379">
        <f>Tabelle1324568910111213141516171618[[#This Row],[COsSP Initially Planned]]+Tabelle1324568910111213141516171618[[#This Row],[COsSP Pulled after Start]]-Tabelle1324568910111213141516171618[[#This Row],[CSOsSP Completed]]-Tabelle1324568910111213141516171618[[#This Row],[CSOsSP Removed]]</f>
        <v>0</v>
      </c>
    </row>
    <row r="114" spans="1:18" ht="13.5" hidden="1" customHeight="1">
      <c r="A114" s="381" t="s">
        <v>618</v>
      </c>
      <c r="B114" s="47" t="s">
        <v>619</v>
      </c>
      <c r="C114" s="375" t="s">
        <v>372</v>
      </c>
      <c r="D114" s="375">
        <v>3</v>
      </c>
      <c r="E114" s="375" t="s">
        <v>351</v>
      </c>
      <c r="F114" s="376">
        <v>13</v>
      </c>
      <c r="G114" s="375" t="s">
        <v>35</v>
      </c>
      <c r="H114" s="318"/>
      <c r="I114" s="377"/>
      <c r="J114" s="377"/>
      <c r="K114" s="375" t="s">
        <v>127</v>
      </c>
      <c r="L114" s="376"/>
      <c r="M114" s="376"/>
      <c r="N114" s="378">
        <f>IF(OR(Tabelle1324568910111213141516171618[[#This Row],[Pulled after Start]]="yes",Tabelle1324568910111213141516171618[[#This Row],[Jira Story Points]]="-"),0,MIN(Tabelle1324568910111213141516171618[[#This Row],[Jira Story Points]],Tabelle1324568910111213141516171618[[#This Row],[Carry-over]]))</f>
        <v>13</v>
      </c>
      <c r="O114" s="379">
        <f>SUM(IF(ISBLANK(Tabelle1324568910111213141516171618[[#This Row],[Carry-over]]),Tabelle1324568910111213141516171618[[#This Row],[Jira Story Points]],Tabelle1324568910111213141516171618[[#This Row],[Carry-over]]),-Tabelle1324568910111213141516171618[[#This Row],[COsSP Initially Planned]])</f>
        <v>0</v>
      </c>
      <c r="P11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114" s="379">
        <f>IF(Tabelle1324568910111213141516171618[[#This Row],[Status]]=$J$5,Tabelle1324568910111213141516171618[[#This Row],[COsSP Initially Planned]]+Tabelle1324568910111213141516171618[[#This Row],[COsSP Pulled after Start]]-Tabelle1324568910111213141516171618[[#This Row],[CSOsSP Completed]],0)</f>
        <v>0</v>
      </c>
      <c r="R114" s="379">
        <f>Tabelle1324568910111213141516171618[[#This Row],[COsSP Initially Planned]]+Tabelle1324568910111213141516171618[[#This Row],[COsSP Pulled after Start]]-Tabelle1324568910111213141516171618[[#This Row],[CSOsSP Completed]]-Tabelle1324568910111213141516171618[[#This Row],[CSOsSP Removed]]</f>
        <v>13</v>
      </c>
    </row>
    <row r="115" spans="1:18" ht="13.5" hidden="1" customHeight="1">
      <c r="A115" s="381" t="s">
        <v>620</v>
      </c>
      <c r="B115" s="47" t="s">
        <v>621</v>
      </c>
      <c r="C115" s="375" t="s">
        <v>375</v>
      </c>
      <c r="D115" s="375">
        <v>1</v>
      </c>
      <c r="E115" s="375" t="s">
        <v>324</v>
      </c>
      <c r="F115" s="376">
        <v>3</v>
      </c>
      <c r="G115" s="375" t="s">
        <v>35</v>
      </c>
      <c r="H115" s="318"/>
      <c r="I115" s="377"/>
      <c r="J115" s="377"/>
      <c r="K115" s="375" t="s">
        <v>125</v>
      </c>
      <c r="L115" s="376"/>
      <c r="M115" s="376"/>
      <c r="N115" s="378">
        <f>IF(OR(Tabelle1324568910111213141516171618[[#This Row],[Pulled after Start]]="yes",Tabelle1324568910111213141516171618[[#This Row],[Jira Story Points]]="-"),0,MIN(Tabelle1324568910111213141516171618[[#This Row],[Jira Story Points]],Tabelle1324568910111213141516171618[[#This Row],[Carry-over]]))</f>
        <v>3</v>
      </c>
      <c r="O115" s="379">
        <f>SUM(IF(ISBLANK(Tabelle1324568910111213141516171618[[#This Row],[Carry-over]]),Tabelle1324568910111213141516171618[[#This Row],[Jira Story Points]],Tabelle1324568910111213141516171618[[#This Row],[Carry-over]]),-Tabelle1324568910111213141516171618[[#This Row],[COsSP Initially Planned]])</f>
        <v>0</v>
      </c>
      <c r="P11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15" s="379">
        <f>IF(Tabelle1324568910111213141516171618[[#This Row],[Status]]=$J$5,Tabelle1324568910111213141516171618[[#This Row],[COsSP Initially Planned]]+Tabelle1324568910111213141516171618[[#This Row],[COsSP Pulled after Start]]-Tabelle1324568910111213141516171618[[#This Row],[CSOsSP Completed]],0)</f>
        <v>0</v>
      </c>
      <c r="R115" s="379">
        <f>Tabelle1324568910111213141516171618[[#This Row],[COsSP Initially Planned]]+Tabelle1324568910111213141516171618[[#This Row],[COsSP Pulled after Start]]-Tabelle1324568910111213141516171618[[#This Row],[CSOsSP Completed]]-Tabelle1324568910111213141516171618[[#This Row],[CSOsSP Removed]]</f>
        <v>0</v>
      </c>
    </row>
    <row r="116" spans="1:18" ht="13.5" hidden="1" customHeight="1">
      <c r="A116" s="381" t="s">
        <v>622</v>
      </c>
      <c r="B116" s="47" t="s">
        <v>623</v>
      </c>
      <c r="C116" s="375" t="s">
        <v>375</v>
      </c>
      <c r="D116" s="375">
        <v>1</v>
      </c>
      <c r="E116" s="375" t="s">
        <v>327</v>
      </c>
      <c r="F116" s="376">
        <v>3</v>
      </c>
      <c r="G116" s="375" t="s">
        <v>35</v>
      </c>
      <c r="H116" s="318"/>
      <c r="I116" s="377"/>
      <c r="J116" s="377"/>
      <c r="K116" s="375" t="s">
        <v>127</v>
      </c>
      <c r="L116" s="376"/>
      <c r="M116" s="376"/>
      <c r="N116" s="378">
        <f>IF(OR(Tabelle1324568910111213141516171618[[#This Row],[Pulled after Start]]="yes",Tabelle1324568910111213141516171618[[#This Row],[Jira Story Points]]="-"),0,MIN(Tabelle1324568910111213141516171618[[#This Row],[Jira Story Points]],Tabelle1324568910111213141516171618[[#This Row],[Carry-over]]))</f>
        <v>3</v>
      </c>
      <c r="O116" s="379">
        <f>SUM(IF(ISBLANK(Tabelle1324568910111213141516171618[[#This Row],[Carry-over]]),Tabelle1324568910111213141516171618[[#This Row],[Jira Story Points]],Tabelle1324568910111213141516171618[[#This Row],[Carry-over]]),-Tabelle1324568910111213141516171618[[#This Row],[COsSP Initially Planned]])</f>
        <v>0</v>
      </c>
      <c r="P11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116" s="379">
        <f>IF(Tabelle1324568910111213141516171618[[#This Row],[Status]]=$J$5,Tabelle1324568910111213141516171618[[#This Row],[COsSP Initially Planned]]+Tabelle1324568910111213141516171618[[#This Row],[COsSP Pulled after Start]]-Tabelle1324568910111213141516171618[[#This Row],[CSOsSP Completed]],0)</f>
        <v>0</v>
      </c>
      <c r="R116" s="379">
        <f>Tabelle1324568910111213141516171618[[#This Row],[COsSP Initially Planned]]+Tabelle1324568910111213141516171618[[#This Row],[COsSP Pulled after Start]]-Tabelle1324568910111213141516171618[[#This Row],[CSOsSP Completed]]-Tabelle1324568910111213141516171618[[#This Row],[CSOsSP Removed]]</f>
        <v>3</v>
      </c>
    </row>
    <row r="117" spans="1:18" ht="13.5" hidden="1" customHeight="1">
      <c r="A117" s="381" t="s">
        <v>624</v>
      </c>
      <c r="B117" s="47" t="s">
        <v>625</v>
      </c>
      <c r="C117" s="375" t="s">
        <v>375</v>
      </c>
      <c r="D117" s="375">
        <v>2</v>
      </c>
      <c r="E117" s="375" t="s">
        <v>324</v>
      </c>
      <c r="F117" s="376">
        <v>3</v>
      </c>
      <c r="G117" s="375" t="s">
        <v>35</v>
      </c>
      <c r="H117" s="318" t="s">
        <v>209</v>
      </c>
      <c r="I117" s="377"/>
      <c r="J117" s="377"/>
      <c r="K117" s="375" t="s">
        <v>125</v>
      </c>
      <c r="L117" s="376"/>
      <c r="M117" s="376"/>
      <c r="N117" s="378">
        <f>IF(OR(Tabelle1324568910111213141516171618[[#This Row],[Pulled after Start]]="yes",Tabelle1324568910111213141516171618[[#This Row],[Jira Story Points]]="-"),0,MIN(Tabelle1324568910111213141516171618[[#This Row],[Jira Story Points]],Tabelle1324568910111213141516171618[[#This Row],[Carry-over]]))</f>
        <v>0</v>
      </c>
      <c r="O117" s="379">
        <f>SUM(IF(ISBLANK(Tabelle1324568910111213141516171618[[#This Row],[Carry-over]]),Tabelle1324568910111213141516171618[[#This Row],[Jira Story Points]],Tabelle1324568910111213141516171618[[#This Row],[Carry-over]]),-Tabelle1324568910111213141516171618[[#This Row],[COsSP Initially Planned]])</f>
        <v>3</v>
      </c>
      <c r="P11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17" s="379">
        <f>IF(Tabelle1324568910111213141516171618[[#This Row],[Status]]=$J$5,Tabelle1324568910111213141516171618[[#This Row],[COsSP Initially Planned]]+Tabelle1324568910111213141516171618[[#This Row],[COsSP Pulled after Start]]-Tabelle1324568910111213141516171618[[#This Row],[CSOsSP Completed]],0)</f>
        <v>0</v>
      </c>
      <c r="R117" s="379">
        <f>Tabelle1324568910111213141516171618[[#This Row],[COsSP Initially Planned]]+Tabelle1324568910111213141516171618[[#This Row],[COsSP Pulled after Start]]-Tabelle1324568910111213141516171618[[#This Row],[CSOsSP Completed]]-Tabelle1324568910111213141516171618[[#This Row],[CSOsSP Removed]]</f>
        <v>0</v>
      </c>
    </row>
    <row r="118" spans="1:18" ht="13.5" hidden="1" customHeight="1">
      <c r="A118" s="381" t="s">
        <v>626</v>
      </c>
      <c r="B118" s="47" t="s">
        <v>627</v>
      </c>
      <c r="C118" s="375" t="s">
        <v>375</v>
      </c>
      <c r="D118" s="375">
        <v>1</v>
      </c>
      <c r="E118" s="375" t="s">
        <v>628</v>
      </c>
      <c r="F118" s="376">
        <v>5</v>
      </c>
      <c r="G118" s="375" t="s">
        <v>35</v>
      </c>
      <c r="H118" s="380" t="s">
        <v>209</v>
      </c>
      <c r="I118" s="377"/>
      <c r="J118" s="377"/>
      <c r="K118" s="375" t="s">
        <v>127</v>
      </c>
      <c r="L118" s="376"/>
      <c r="M118" s="376"/>
      <c r="N118" s="378">
        <f>IF(OR(Tabelle1324568910111213141516171618[[#This Row],[Pulled after Start]]="yes",Tabelle1324568910111213141516171618[[#This Row],[Jira Story Points]]="-"),0,MIN(Tabelle1324568910111213141516171618[[#This Row],[Jira Story Points]],Tabelle1324568910111213141516171618[[#This Row],[Carry-over]]))</f>
        <v>0</v>
      </c>
      <c r="O118" s="379">
        <f>SUM(IF(ISBLANK(Tabelle1324568910111213141516171618[[#This Row],[Carry-over]]),Tabelle1324568910111213141516171618[[#This Row],[Jira Story Points]],Tabelle1324568910111213141516171618[[#This Row],[Carry-over]]),-Tabelle1324568910111213141516171618[[#This Row],[COsSP Initially Planned]])</f>
        <v>5</v>
      </c>
      <c r="P11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118" s="379">
        <f>IF(Tabelle1324568910111213141516171618[[#This Row],[Status]]=$J$5,Tabelle1324568910111213141516171618[[#This Row],[COsSP Initially Planned]]+Tabelle1324568910111213141516171618[[#This Row],[COsSP Pulled after Start]]-Tabelle1324568910111213141516171618[[#This Row],[CSOsSP Completed]],0)</f>
        <v>0</v>
      </c>
      <c r="R118" s="379">
        <f>Tabelle1324568910111213141516171618[[#This Row],[COsSP Initially Planned]]+Tabelle1324568910111213141516171618[[#This Row],[COsSP Pulled after Start]]-Tabelle1324568910111213141516171618[[#This Row],[CSOsSP Completed]]-Tabelle1324568910111213141516171618[[#This Row],[CSOsSP Removed]]</f>
        <v>5</v>
      </c>
    </row>
    <row r="119" spans="1:18" ht="13.5" hidden="1" customHeight="1">
      <c r="A119" s="381" t="s">
        <v>629</v>
      </c>
      <c r="B119" s="47" t="s">
        <v>630</v>
      </c>
      <c r="C119" s="375" t="s">
        <v>372</v>
      </c>
      <c r="D119" s="375">
        <v>3</v>
      </c>
      <c r="E119" s="375" t="s">
        <v>327</v>
      </c>
      <c r="F119" s="376">
        <v>1</v>
      </c>
      <c r="G119" s="375" t="s">
        <v>35</v>
      </c>
      <c r="H119" s="380"/>
      <c r="I119" s="377"/>
      <c r="J119" s="377"/>
      <c r="K119" s="375" t="s">
        <v>127</v>
      </c>
      <c r="L119" s="376"/>
      <c r="M119" s="376"/>
      <c r="N119" s="378">
        <f>IF(OR(Tabelle1324568910111213141516171618[[#This Row],[Pulled after Start]]="yes",Tabelle1324568910111213141516171618[[#This Row],[Jira Story Points]]="-"),0,MIN(Tabelle1324568910111213141516171618[[#This Row],[Jira Story Points]],Tabelle1324568910111213141516171618[[#This Row],[Carry-over]]))</f>
        <v>1</v>
      </c>
      <c r="O119" s="379">
        <f>SUM(IF(ISBLANK(Tabelle1324568910111213141516171618[[#This Row],[Carry-over]]),Tabelle1324568910111213141516171618[[#This Row],[Jira Story Points]],Tabelle1324568910111213141516171618[[#This Row],[Carry-over]]),-Tabelle1324568910111213141516171618[[#This Row],[COsSP Initially Planned]])</f>
        <v>0</v>
      </c>
      <c r="P11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119" s="379">
        <f>IF(Tabelle1324568910111213141516171618[[#This Row],[Status]]=$J$5,Tabelle1324568910111213141516171618[[#This Row],[COsSP Initially Planned]]+Tabelle1324568910111213141516171618[[#This Row],[COsSP Pulled after Start]]-Tabelle1324568910111213141516171618[[#This Row],[CSOsSP Completed]],0)</f>
        <v>0</v>
      </c>
      <c r="R119" s="379">
        <f>Tabelle1324568910111213141516171618[[#This Row],[COsSP Initially Planned]]+Tabelle1324568910111213141516171618[[#This Row],[COsSP Pulled after Start]]-Tabelle1324568910111213141516171618[[#This Row],[CSOsSP Completed]]-Tabelle1324568910111213141516171618[[#This Row],[CSOsSP Removed]]</f>
        <v>1</v>
      </c>
    </row>
    <row r="120" spans="1:18" ht="13.5" hidden="1" customHeight="1">
      <c r="A120" s="383" t="s">
        <v>631</v>
      </c>
      <c r="B120" s="47" t="s">
        <v>632</v>
      </c>
      <c r="C120" s="203" t="s">
        <v>372</v>
      </c>
      <c r="D120" s="203">
        <v>3</v>
      </c>
      <c r="E120" s="203" t="s">
        <v>327</v>
      </c>
      <c r="F120" s="204">
        <v>2</v>
      </c>
      <c r="G120" s="203" t="s">
        <v>35</v>
      </c>
      <c r="H120" s="205"/>
      <c r="I120" s="206"/>
      <c r="J120" s="206"/>
      <c r="K120" s="375" t="s">
        <v>127</v>
      </c>
      <c r="L120" s="204"/>
      <c r="M120" s="204"/>
      <c r="N120" s="378">
        <f>IF(OR(Tabelle1324568910111213141516171618[[#This Row],[Pulled after Start]]="yes",Tabelle1324568910111213141516171618[[#This Row],[Jira Story Points]]="-"),0,MIN(Tabelle1324568910111213141516171618[[#This Row],[Jira Story Points]],Tabelle1324568910111213141516171618[[#This Row],[Carry-over]]))</f>
        <v>2</v>
      </c>
      <c r="O120" s="379">
        <f>SUM(IF(ISBLANK(Tabelle1324568910111213141516171618[[#This Row],[Carry-over]]),Tabelle1324568910111213141516171618[[#This Row],[Jira Story Points]],Tabelle1324568910111213141516171618[[#This Row],[Carry-over]]),-Tabelle1324568910111213141516171618[[#This Row],[COsSP Initially Planned]])</f>
        <v>0</v>
      </c>
      <c r="P12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120" s="379">
        <f>IF(Tabelle1324568910111213141516171618[[#This Row],[Status]]=$J$5,Tabelle1324568910111213141516171618[[#This Row],[COsSP Initially Planned]]+Tabelle1324568910111213141516171618[[#This Row],[COsSP Pulled after Start]]-Tabelle1324568910111213141516171618[[#This Row],[CSOsSP Completed]],0)</f>
        <v>0</v>
      </c>
      <c r="R120" s="379">
        <f>Tabelle1324568910111213141516171618[[#This Row],[COsSP Initially Planned]]+Tabelle1324568910111213141516171618[[#This Row],[COsSP Pulled after Start]]-Tabelle1324568910111213141516171618[[#This Row],[CSOsSP Completed]]-Tabelle1324568910111213141516171618[[#This Row],[CSOsSP Removed]]</f>
        <v>2</v>
      </c>
    </row>
    <row r="121" spans="1:18" ht="13.5" hidden="1" customHeight="1">
      <c r="A121" s="383" t="s">
        <v>633</v>
      </c>
      <c r="B121" s="47" t="s">
        <v>634</v>
      </c>
      <c r="C121" s="203" t="s">
        <v>372</v>
      </c>
      <c r="D121" s="203">
        <v>3</v>
      </c>
      <c r="E121" s="203" t="s">
        <v>327</v>
      </c>
      <c r="F121" s="204">
        <v>5</v>
      </c>
      <c r="G121" s="203" t="s">
        <v>35</v>
      </c>
      <c r="H121" s="205"/>
      <c r="I121" s="206"/>
      <c r="J121" s="206"/>
      <c r="K121" s="375" t="s">
        <v>127</v>
      </c>
      <c r="L121" s="204"/>
      <c r="M121" s="204"/>
      <c r="N121" s="378">
        <f>IF(OR(Tabelle1324568910111213141516171618[[#This Row],[Pulled after Start]]="yes",Tabelle1324568910111213141516171618[[#This Row],[Jira Story Points]]="-"),0,MIN(Tabelle1324568910111213141516171618[[#This Row],[Jira Story Points]],Tabelle1324568910111213141516171618[[#This Row],[Carry-over]]))</f>
        <v>5</v>
      </c>
      <c r="O121" s="379">
        <f>SUM(IF(ISBLANK(Tabelle1324568910111213141516171618[[#This Row],[Carry-over]]),Tabelle1324568910111213141516171618[[#This Row],[Jira Story Points]],Tabelle1324568910111213141516171618[[#This Row],[Carry-over]]),-Tabelle1324568910111213141516171618[[#This Row],[COsSP Initially Planned]])</f>
        <v>0</v>
      </c>
      <c r="P12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121" s="379">
        <f>IF(Tabelle1324568910111213141516171618[[#This Row],[Status]]=$J$5,Tabelle1324568910111213141516171618[[#This Row],[COsSP Initially Planned]]+Tabelle1324568910111213141516171618[[#This Row],[COsSP Pulled after Start]]-Tabelle1324568910111213141516171618[[#This Row],[CSOsSP Completed]],0)</f>
        <v>0</v>
      </c>
      <c r="R121" s="379">
        <f>Tabelle1324568910111213141516171618[[#This Row],[COsSP Initially Planned]]+Tabelle1324568910111213141516171618[[#This Row],[COsSP Pulled after Start]]-Tabelle1324568910111213141516171618[[#This Row],[CSOsSP Completed]]-Tabelle1324568910111213141516171618[[#This Row],[CSOsSP Removed]]</f>
        <v>5</v>
      </c>
    </row>
    <row r="122" spans="1:18" ht="13.5" hidden="1" customHeight="1">
      <c r="A122" s="383" t="s">
        <v>635</v>
      </c>
      <c r="B122" s="47" t="s">
        <v>636</v>
      </c>
      <c r="C122" s="203" t="s">
        <v>372</v>
      </c>
      <c r="D122" s="203">
        <v>3</v>
      </c>
      <c r="E122" s="203" t="s">
        <v>637</v>
      </c>
      <c r="F122" s="204">
        <v>2</v>
      </c>
      <c r="G122" s="203" t="s">
        <v>35</v>
      </c>
      <c r="H122" s="205"/>
      <c r="I122" s="206"/>
      <c r="J122" s="206"/>
      <c r="K122" s="375" t="s">
        <v>127</v>
      </c>
      <c r="L122" s="204"/>
      <c r="M122" s="204"/>
      <c r="N122" s="378">
        <f>IF(OR(Tabelle1324568910111213141516171618[[#This Row],[Pulled after Start]]="yes",Tabelle1324568910111213141516171618[[#This Row],[Jira Story Points]]="-"),0,MIN(Tabelle1324568910111213141516171618[[#This Row],[Jira Story Points]],Tabelle1324568910111213141516171618[[#This Row],[Carry-over]]))</f>
        <v>2</v>
      </c>
      <c r="O122" s="379">
        <f>SUM(IF(ISBLANK(Tabelle1324568910111213141516171618[[#This Row],[Carry-over]]),Tabelle1324568910111213141516171618[[#This Row],[Jira Story Points]],Tabelle1324568910111213141516171618[[#This Row],[Carry-over]]),-Tabelle1324568910111213141516171618[[#This Row],[COsSP Initially Planned]])</f>
        <v>0</v>
      </c>
      <c r="P12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122" s="379">
        <f>IF(Tabelle1324568910111213141516171618[[#This Row],[Status]]=$J$5,Tabelle1324568910111213141516171618[[#This Row],[COsSP Initially Planned]]+Tabelle1324568910111213141516171618[[#This Row],[COsSP Pulled after Start]]-Tabelle1324568910111213141516171618[[#This Row],[CSOsSP Completed]],0)</f>
        <v>0</v>
      </c>
      <c r="R122" s="379">
        <f>Tabelle1324568910111213141516171618[[#This Row],[COsSP Initially Planned]]+Tabelle1324568910111213141516171618[[#This Row],[COsSP Pulled after Start]]-Tabelle1324568910111213141516171618[[#This Row],[CSOsSP Completed]]-Tabelle1324568910111213141516171618[[#This Row],[CSOsSP Removed]]</f>
        <v>2</v>
      </c>
    </row>
    <row r="123" spans="1:18" ht="13.5" hidden="1" customHeight="1">
      <c r="A123" s="383" t="s">
        <v>638</v>
      </c>
      <c r="B123" s="47" t="s">
        <v>639</v>
      </c>
      <c r="C123" s="203" t="s">
        <v>375</v>
      </c>
      <c r="D123" s="203">
        <v>3</v>
      </c>
      <c r="E123" s="203" t="s">
        <v>448</v>
      </c>
      <c r="F123" s="204">
        <v>3</v>
      </c>
      <c r="G123" s="203" t="s">
        <v>35</v>
      </c>
      <c r="H123" s="205"/>
      <c r="I123" s="206"/>
      <c r="J123" s="206"/>
      <c r="K123" s="375" t="s">
        <v>127</v>
      </c>
      <c r="L123" s="204"/>
      <c r="M123" s="204"/>
      <c r="N123" s="378">
        <f>IF(OR(Tabelle1324568910111213141516171618[[#This Row],[Pulled after Start]]="yes",Tabelle1324568910111213141516171618[[#This Row],[Jira Story Points]]="-"),0,MIN(Tabelle1324568910111213141516171618[[#This Row],[Jira Story Points]],Tabelle1324568910111213141516171618[[#This Row],[Carry-over]]))</f>
        <v>3</v>
      </c>
      <c r="O123" s="379">
        <f>SUM(IF(ISBLANK(Tabelle1324568910111213141516171618[[#This Row],[Carry-over]]),Tabelle1324568910111213141516171618[[#This Row],[Jira Story Points]],Tabelle1324568910111213141516171618[[#This Row],[Carry-over]]),-Tabelle1324568910111213141516171618[[#This Row],[COsSP Initially Planned]])</f>
        <v>0</v>
      </c>
      <c r="P12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123" s="379">
        <f>IF(Tabelle1324568910111213141516171618[[#This Row],[Status]]=$J$5,Tabelle1324568910111213141516171618[[#This Row],[COsSP Initially Planned]]+Tabelle1324568910111213141516171618[[#This Row],[COsSP Pulled after Start]]-Tabelle1324568910111213141516171618[[#This Row],[CSOsSP Completed]],0)</f>
        <v>0</v>
      </c>
      <c r="R123" s="379">
        <f>Tabelle1324568910111213141516171618[[#This Row],[COsSP Initially Planned]]+Tabelle1324568910111213141516171618[[#This Row],[COsSP Pulled after Start]]-Tabelle1324568910111213141516171618[[#This Row],[CSOsSP Completed]]-Tabelle1324568910111213141516171618[[#This Row],[CSOsSP Removed]]</f>
        <v>3</v>
      </c>
    </row>
    <row r="124" spans="1:18" ht="13.5" hidden="1" customHeight="1">
      <c r="A124" s="383" t="s">
        <v>640</v>
      </c>
      <c r="B124" s="47" t="s">
        <v>641</v>
      </c>
      <c r="C124" s="203" t="s">
        <v>372</v>
      </c>
      <c r="D124" s="203">
        <v>3</v>
      </c>
      <c r="E124" s="203" t="s">
        <v>642</v>
      </c>
      <c r="F124" s="204">
        <v>5</v>
      </c>
      <c r="G124" s="203" t="s">
        <v>35</v>
      </c>
      <c r="H124" s="205"/>
      <c r="I124" s="206"/>
      <c r="J124" s="206"/>
      <c r="K124" s="375" t="s">
        <v>127</v>
      </c>
      <c r="L124" s="204"/>
      <c r="M124" s="204"/>
      <c r="N124" s="378">
        <f>IF(OR(Tabelle1324568910111213141516171618[[#This Row],[Pulled after Start]]="yes",Tabelle1324568910111213141516171618[[#This Row],[Jira Story Points]]="-"),0,MIN(Tabelle1324568910111213141516171618[[#This Row],[Jira Story Points]],Tabelle1324568910111213141516171618[[#This Row],[Carry-over]]))</f>
        <v>5</v>
      </c>
      <c r="O124" s="379">
        <f>SUM(IF(ISBLANK(Tabelle1324568910111213141516171618[[#This Row],[Carry-over]]),Tabelle1324568910111213141516171618[[#This Row],[Jira Story Points]],Tabelle1324568910111213141516171618[[#This Row],[Carry-over]]),-Tabelle1324568910111213141516171618[[#This Row],[COsSP Initially Planned]])</f>
        <v>0</v>
      </c>
      <c r="P12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124" s="379">
        <f>IF(Tabelle1324568910111213141516171618[[#This Row],[Status]]=$J$5,Tabelle1324568910111213141516171618[[#This Row],[COsSP Initially Planned]]+Tabelle1324568910111213141516171618[[#This Row],[COsSP Pulled after Start]]-Tabelle1324568910111213141516171618[[#This Row],[CSOsSP Completed]],0)</f>
        <v>0</v>
      </c>
      <c r="R124" s="379">
        <f>Tabelle1324568910111213141516171618[[#This Row],[COsSP Initially Planned]]+Tabelle1324568910111213141516171618[[#This Row],[COsSP Pulled after Start]]-Tabelle1324568910111213141516171618[[#This Row],[CSOsSP Completed]]-Tabelle1324568910111213141516171618[[#This Row],[CSOsSP Removed]]</f>
        <v>5</v>
      </c>
    </row>
    <row r="125" spans="1:18" ht="13.5" hidden="1" customHeight="1">
      <c r="A125" s="383" t="s">
        <v>643</v>
      </c>
      <c r="B125" s="47" t="s">
        <v>644</v>
      </c>
      <c r="C125" s="203" t="s">
        <v>382</v>
      </c>
      <c r="D125" s="203">
        <v>3</v>
      </c>
      <c r="E125" s="203" t="s">
        <v>448</v>
      </c>
      <c r="F125" s="204">
        <v>2</v>
      </c>
      <c r="G125" s="203" t="s">
        <v>35</v>
      </c>
      <c r="H125" s="205"/>
      <c r="I125" s="206"/>
      <c r="J125" s="206"/>
      <c r="K125" s="375" t="s">
        <v>127</v>
      </c>
      <c r="L125" s="204"/>
      <c r="M125" s="204"/>
      <c r="N125" s="378">
        <f>IF(OR(Tabelle1324568910111213141516171618[[#This Row],[Pulled after Start]]="yes",Tabelle1324568910111213141516171618[[#This Row],[Jira Story Points]]="-"),0,MIN(Tabelle1324568910111213141516171618[[#This Row],[Jira Story Points]],Tabelle1324568910111213141516171618[[#This Row],[Carry-over]]))</f>
        <v>2</v>
      </c>
      <c r="O125" s="379">
        <f>SUM(IF(ISBLANK(Tabelle1324568910111213141516171618[[#This Row],[Carry-over]]),Tabelle1324568910111213141516171618[[#This Row],[Jira Story Points]],Tabelle1324568910111213141516171618[[#This Row],[Carry-over]]),-Tabelle1324568910111213141516171618[[#This Row],[COsSP Initially Planned]])</f>
        <v>0</v>
      </c>
      <c r="P12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125" s="379">
        <f>IF(Tabelle1324568910111213141516171618[[#This Row],[Status]]=$J$5,Tabelle1324568910111213141516171618[[#This Row],[COsSP Initially Planned]]+Tabelle1324568910111213141516171618[[#This Row],[COsSP Pulled after Start]]-Tabelle1324568910111213141516171618[[#This Row],[CSOsSP Completed]],0)</f>
        <v>0</v>
      </c>
      <c r="R125" s="379">
        <f>Tabelle1324568910111213141516171618[[#This Row],[COsSP Initially Planned]]+Tabelle1324568910111213141516171618[[#This Row],[COsSP Pulled after Start]]-Tabelle1324568910111213141516171618[[#This Row],[CSOsSP Completed]]-Tabelle1324568910111213141516171618[[#This Row],[CSOsSP Removed]]</f>
        <v>2</v>
      </c>
    </row>
    <row r="126" spans="1:18" ht="13.5" hidden="1" customHeight="1">
      <c r="A126" s="383" t="s">
        <v>645</v>
      </c>
      <c r="B126" s="47" t="s">
        <v>646</v>
      </c>
      <c r="C126" s="203" t="s">
        <v>382</v>
      </c>
      <c r="D126" s="203">
        <v>3</v>
      </c>
      <c r="E126" s="375" t="s">
        <v>324</v>
      </c>
      <c r="F126" s="204">
        <v>5</v>
      </c>
      <c r="G126" s="203" t="s">
        <v>35</v>
      </c>
      <c r="H126" s="205"/>
      <c r="I126" s="206"/>
      <c r="J126" s="206"/>
      <c r="K126" s="375" t="s">
        <v>125</v>
      </c>
      <c r="L126" s="204"/>
      <c r="M126" s="204"/>
      <c r="N126" s="378">
        <f>IF(OR(Tabelle1324568910111213141516171618[[#This Row],[Pulled after Start]]="yes",Tabelle1324568910111213141516171618[[#This Row],[Jira Story Points]]="-"),0,MIN(Tabelle1324568910111213141516171618[[#This Row],[Jira Story Points]],Tabelle1324568910111213141516171618[[#This Row],[Carry-over]]))</f>
        <v>5</v>
      </c>
      <c r="O126" s="379">
        <f>SUM(IF(ISBLANK(Tabelle1324568910111213141516171618[[#This Row],[Carry-over]]),Tabelle1324568910111213141516171618[[#This Row],[Jira Story Points]],Tabelle1324568910111213141516171618[[#This Row],[Carry-over]]),-Tabelle1324568910111213141516171618[[#This Row],[COsSP Initially Planned]])</f>
        <v>0</v>
      </c>
      <c r="P12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126" s="379">
        <f>IF(Tabelle1324568910111213141516171618[[#This Row],[Status]]=$J$5,Tabelle1324568910111213141516171618[[#This Row],[COsSP Initially Planned]]+Tabelle1324568910111213141516171618[[#This Row],[COsSP Pulled after Start]]-Tabelle1324568910111213141516171618[[#This Row],[CSOsSP Completed]],0)</f>
        <v>0</v>
      </c>
      <c r="R126" s="379">
        <f>Tabelle1324568910111213141516171618[[#This Row],[COsSP Initially Planned]]+Tabelle1324568910111213141516171618[[#This Row],[COsSP Pulled after Start]]-Tabelle1324568910111213141516171618[[#This Row],[CSOsSP Completed]]-Tabelle1324568910111213141516171618[[#This Row],[CSOsSP Removed]]</f>
        <v>0</v>
      </c>
    </row>
    <row r="127" spans="1:18" ht="13.5" hidden="1" customHeight="1">
      <c r="A127" s="383" t="s">
        <v>647</v>
      </c>
      <c r="B127" s="47" t="s">
        <v>648</v>
      </c>
      <c r="C127" s="203" t="s">
        <v>382</v>
      </c>
      <c r="D127" s="203">
        <v>3</v>
      </c>
      <c r="E127" s="375" t="s">
        <v>324</v>
      </c>
      <c r="F127" s="204">
        <v>1</v>
      </c>
      <c r="G127" s="203" t="s">
        <v>35</v>
      </c>
      <c r="H127" s="205" t="s">
        <v>209</v>
      </c>
      <c r="I127" s="206"/>
      <c r="J127" s="206"/>
      <c r="K127" s="375" t="s">
        <v>125</v>
      </c>
      <c r="L127" s="204"/>
      <c r="M127" s="204"/>
      <c r="N127" s="378">
        <f>IF(OR(Tabelle1324568910111213141516171618[[#This Row],[Pulled after Start]]="yes",Tabelle1324568910111213141516171618[[#This Row],[Jira Story Points]]="-"),0,MIN(Tabelle1324568910111213141516171618[[#This Row],[Jira Story Points]],Tabelle1324568910111213141516171618[[#This Row],[Carry-over]]))</f>
        <v>0</v>
      </c>
      <c r="O127" s="379">
        <f>SUM(IF(ISBLANK(Tabelle1324568910111213141516171618[[#This Row],[Carry-over]]),Tabelle1324568910111213141516171618[[#This Row],[Jira Story Points]],Tabelle1324568910111213141516171618[[#This Row],[Carry-over]]),-Tabelle1324568910111213141516171618[[#This Row],[COsSP Initially Planned]])</f>
        <v>1</v>
      </c>
      <c r="P12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127" s="379">
        <f>IF(Tabelle1324568910111213141516171618[[#This Row],[Status]]=$J$5,Tabelle1324568910111213141516171618[[#This Row],[COsSP Initially Planned]]+Tabelle1324568910111213141516171618[[#This Row],[COsSP Pulled after Start]]-Tabelle1324568910111213141516171618[[#This Row],[CSOsSP Completed]],0)</f>
        <v>0</v>
      </c>
      <c r="R127" s="379">
        <f>Tabelle1324568910111213141516171618[[#This Row],[COsSP Initially Planned]]+Tabelle1324568910111213141516171618[[#This Row],[COsSP Pulled after Start]]-Tabelle1324568910111213141516171618[[#This Row],[CSOsSP Completed]]-Tabelle1324568910111213141516171618[[#This Row],[CSOsSP Removed]]</f>
        <v>0</v>
      </c>
    </row>
    <row r="128" spans="1:18" ht="13.5" hidden="1" customHeight="1">
      <c r="A128" s="383" t="s">
        <v>649</v>
      </c>
      <c r="B128" s="47" t="s">
        <v>650</v>
      </c>
      <c r="C128" s="203" t="s">
        <v>382</v>
      </c>
      <c r="D128" s="203">
        <v>3</v>
      </c>
      <c r="E128" s="375" t="s">
        <v>324</v>
      </c>
      <c r="F128" s="204">
        <v>3</v>
      </c>
      <c r="G128" s="203" t="s">
        <v>35</v>
      </c>
      <c r="H128" s="205" t="s">
        <v>209</v>
      </c>
      <c r="I128" s="206"/>
      <c r="J128" s="206"/>
      <c r="K128" s="375" t="s">
        <v>125</v>
      </c>
      <c r="L128" s="204"/>
      <c r="M128" s="204"/>
      <c r="N128" s="378">
        <f>IF(OR(Tabelle1324568910111213141516171618[[#This Row],[Pulled after Start]]="yes",Tabelle1324568910111213141516171618[[#This Row],[Jira Story Points]]="-"),0,MIN(Tabelle1324568910111213141516171618[[#This Row],[Jira Story Points]],Tabelle1324568910111213141516171618[[#This Row],[Carry-over]]))</f>
        <v>0</v>
      </c>
      <c r="O128" s="379">
        <f>SUM(IF(ISBLANK(Tabelle1324568910111213141516171618[[#This Row],[Carry-over]]),Tabelle1324568910111213141516171618[[#This Row],[Jira Story Points]],Tabelle1324568910111213141516171618[[#This Row],[Carry-over]]),-Tabelle1324568910111213141516171618[[#This Row],[COsSP Initially Planned]])</f>
        <v>3</v>
      </c>
      <c r="P12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28" s="379">
        <f>IF(Tabelle1324568910111213141516171618[[#This Row],[Status]]=$J$5,Tabelle1324568910111213141516171618[[#This Row],[COsSP Initially Planned]]+Tabelle1324568910111213141516171618[[#This Row],[COsSP Pulled after Start]]-Tabelle1324568910111213141516171618[[#This Row],[CSOsSP Completed]],0)</f>
        <v>0</v>
      </c>
      <c r="R128" s="379">
        <f>Tabelle1324568910111213141516171618[[#This Row],[COsSP Initially Planned]]+Tabelle1324568910111213141516171618[[#This Row],[COsSP Pulled after Start]]-Tabelle1324568910111213141516171618[[#This Row],[CSOsSP Completed]]-Tabelle1324568910111213141516171618[[#This Row],[CSOsSP Removed]]</f>
        <v>0</v>
      </c>
    </row>
    <row r="129" spans="1:18" ht="13.5" hidden="1" customHeight="1">
      <c r="A129" s="383" t="s">
        <v>651</v>
      </c>
      <c r="B129" s="47" t="s">
        <v>652</v>
      </c>
      <c r="C129" s="203" t="s">
        <v>372</v>
      </c>
      <c r="D129" s="203">
        <v>3</v>
      </c>
      <c r="E129" s="203" t="s">
        <v>324</v>
      </c>
      <c r="F129" s="204">
        <v>5</v>
      </c>
      <c r="G129" s="203" t="s">
        <v>32</v>
      </c>
      <c r="H129" s="205"/>
      <c r="I129" s="206"/>
      <c r="J129" s="206"/>
      <c r="K129" s="375" t="s">
        <v>125</v>
      </c>
      <c r="L129" s="204">
        <v>2</v>
      </c>
      <c r="M129" s="204"/>
      <c r="N129" s="378">
        <f>IF(OR(Tabelle1324568910111213141516171618[[#This Row],[Pulled after Start]]="yes",Tabelle1324568910111213141516171618[[#This Row],[Jira Story Points]]="-"),0,MIN(Tabelle1324568910111213141516171618[[#This Row],[Jira Story Points]],Tabelle1324568910111213141516171618[[#This Row],[Carry-over]]))</f>
        <v>2</v>
      </c>
      <c r="O129" s="379">
        <f>SUM(IF(ISBLANK(Tabelle1324568910111213141516171618[[#This Row],[Carry-over]]),Tabelle1324568910111213141516171618[[#This Row],[Jira Story Points]],Tabelle1324568910111213141516171618[[#This Row],[Carry-over]]),-Tabelle1324568910111213141516171618[[#This Row],[COsSP Initially Planned]])</f>
        <v>0</v>
      </c>
      <c r="P12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29" s="379">
        <f>IF(Tabelle1324568910111213141516171618[[#This Row],[Status]]=$J$5,Tabelle1324568910111213141516171618[[#This Row],[COsSP Initially Planned]]+Tabelle1324568910111213141516171618[[#This Row],[COsSP Pulled after Start]]-Tabelle1324568910111213141516171618[[#This Row],[CSOsSP Completed]],0)</f>
        <v>0</v>
      </c>
      <c r="R129" s="379">
        <f>Tabelle1324568910111213141516171618[[#This Row],[COsSP Initially Planned]]+Tabelle1324568910111213141516171618[[#This Row],[COsSP Pulled after Start]]-Tabelle1324568910111213141516171618[[#This Row],[CSOsSP Completed]]-Tabelle1324568910111213141516171618[[#This Row],[CSOsSP Removed]]</f>
        <v>0</v>
      </c>
    </row>
    <row r="130" spans="1:18" ht="13.5" hidden="1" customHeight="1">
      <c r="A130" s="383" t="s">
        <v>653</v>
      </c>
      <c r="B130" s="47" t="s">
        <v>654</v>
      </c>
      <c r="C130" s="203" t="s">
        <v>372</v>
      </c>
      <c r="D130" s="203">
        <v>3</v>
      </c>
      <c r="E130" s="203" t="s">
        <v>324</v>
      </c>
      <c r="F130" s="204">
        <v>3</v>
      </c>
      <c r="G130" s="203" t="s">
        <v>32</v>
      </c>
      <c r="H130" s="205"/>
      <c r="I130" s="206"/>
      <c r="J130" s="206"/>
      <c r="K130" s="375" t="s">
        <v>125</v>
      </c>
      <c r="L130" s="204">
        <v>1</v>
      </c>
      <c r="M130" s="204"/>
      <c r="N130" s="378">
        <f>IF(OR(Tabelle1324568910111213141516171618[[#This Row],[Pulled after Start]]="yes",Tabelle1324568910111213141516171618[[#This Row],[Jira Story Points]]="-"),0,MIN(Tabelle1324568910111213141516171618[[#This Row],[Jira Story Points]],Tabelle1324568910111213141516171618[[#This Row],[Carry-over]]))</f>
        <v>1</v>
      </c>
      <c r="O130" s="379">
        <f>SUM(IF(ISBLANK(Tabelle1324568910111213141516171618[[#This Row],[Carry-over]]),Tabelle1324568910111213141516171618[[#This Row],[Jira Story Points]],Tabelle1324568910111213141516171618[[#This Row],[Carry-over]]),-Tabelle1324568910111213141516171618[[#This Row],[COsSP Initially Planned]])</f>
        <v>0</v>
      </c>
      <c r="P13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130" s="379">
        <f>IF(Tabelle1324568910111213141516171618[[#This Row],[Status]]=$J$5,Tabelle1324568910111213141516171618[[#This Row],[COsSP Initially Planned]]+Tabelle1324568910111213141516171618[[#This Row],[COsSP Pulled after Start]]-Tabelle1324568910111213141516171618[[#This Row],[CSOsSP Completed]],0)</f>
        <v>0</v>
      </c>
      <c r="R130" s="379">
        <f>Tabelle1324568910111213141516171618[[#This Row],[COsSP Initially Planned]]+Tabelle1324568910111213141516171618[[#This Row],[COsSP Pulled after Start]]-Tabelle1324568910111213141516171618[[#This Row],[CSOsSP Completed]]-Tabelle1324568910111213141516171618[[#This Row],[CSOsSP Removed]]</f>
        <v>0</v>
      </c>
    </row>
    <row r="131" spans="1:18" ht="13.5" hidden="1" customHeight="1">
      <c r="A131" s="383" t="s">
        <v>655</v>
      </c>
      <c r="B131" s="47" t="s">
        <v>656</v>
      </c>
      <c r="C131" s="203" t="s">
        <v>372</v>
      </c>
      <c r="D131" s="203">
        <v>3</v>
      </c>
      <c r="E131" s="203" t="s">
        <v>324</v>
      </c>
      <c r="F131" s="204">
        <v>2</v>
      </c>
      <c r="G131" s="203" t="s">
        <v>32</v>
      </c>
      <c r="H131" s="205"/>
      <c r="I131" s="206"/>
      <c r="J131" s="206"/>
      <c r="K131" s="375" t="s">
        <v>125</v>
      </c>
      <c r="L131" s="204"/>
      <c r="M131" s="204"/>
      <c r="N131" s="378">
        <f>IF(OR(Tabelle1324568910111213141516171618[[#This Row],[Pulled after Start]]="yes",Tabelle1324568910111213141516171618[[#This Row],[Jira Story Points]]="-"),0,MIN(Tabelle1324568910111213141516171618[[#This Row],[Jira Story Points]],Tabelle1324568910111213141516171618[[#This Row],[Carry-over]]))</f>
        <v>2</v>
      </c>
      <c r="O131" s="379">
        <f>SUM(IF(ISBLANK(Tabelle1324568910111213141516171618[[#This Row],[Carry-over]]),Tabelle1324568910111213141516171618[[#This Row],[Jira Story Points]],Tabelle1324568910111213141516171618[[#This Row],[Carry-over]]),-Tabelle1324568910111213141516171618[[#This Row],[COsSP Initially Planned]])</f>
        <v>0</v>
      </c>
      <c r="P13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31" s="379">
        <f>IF(Tabelle1324568910111213141516171618[[#This Row],[Status]]=$J$5,Tabelle1324568910111213141516171618[[#This Row],[COsSP Initially Planned]]+Tabelle1324568910111213141516171618[[#This Row],[COsSP Pulled after Start]]-Tabelle1324568910111213141516171618[[#This Row],[CSOsSP Completed]],0)</f>
        <v>0</v>
      </c>
      <c r="R131" s="379">
        <f>Tabelle1324568910111213141516171618[[#This Row],[COsSP Initially Planned]]+Tabelle1324568910111213141516171618[[#This Row],[COsSP Pulled after Start]]-Tabelle1324568910111213141516171618[[#This Row],[CSOsSP Completed]]-Tabelle1324568910111213141516171618[[#This Row],[CSOsSP Removed]]</f>
        <v>0</v>
      </c>
    </row>
    <row r="132" spans="1:18" ht="13.5" hidden="1" customHeight="1">
      <c r="A132" s="383" t="s">
        <v>657</v>
      </c>
      <c r="B132" s="47" t="s">
        <v>658</v>
      </c>
      <c r="C132" s="203" t="s">
        <v>382</v>
      </c>
      <c r="D132" s="203">
        <v>3</v>
      </c>
      <c r="E132" s="203" t="s">
        <v>324</v>
      </c>
      <c r="F132" s="204">
        <v>3</v>
      </c>
      <c r="G132" s="203" t="s">
        <v>32</v>
      </c>
      <c r="H132" s="205"/>
      <c r="I132" s="206"/>
      <c r="J132" s="206"/>
      <c r="K132" s="375" t="s">
        <v>125</v>
      </c>
      <c r="L132" s="204">
        <v>1</v>
      </c>
      <c r="M132" s="204"/>
      <c r="N132" s="378">
        <f>IF(OR(Tabelle1324568910111213141516171618[[#This Row],[Pulled after Start]]="yes",Tabelle1324568910111213141516171618[[#This Row],[Jira Story Points]]="-"),0,MIN(Tabelle1324568910111213141516171618[[#This Row],[Jira Story Points]],Tabelle1324568910111213141516171618[[#This Row],[Carry-over]]))</f>
        <v>1</v>
      </c>
      <c r="O132" s="379">
        <f>SUM(IF(ISBLANK(Tabelle1324568910111213141516171618[[#This Row],[Carry-over]]),Tabelle1324568910111213141516171618[[#This Row],[Jira Story Points]],Tabelle1324568910111213141516171618[[#This Row],[Carry-over]]),-Tabelle1324568910111213141516171618[[#This Row],[COsSP Initially Planned]])</f>
        <v>0</v>
      </c>
      <c r="P13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132" s="379">
        <f>IF(Tabelle1324568910111213141516171618[[#This Row],[Status]]=$J$5,Tabelle1324568910111213141516171618[[#This Row],[COsSP Initially Planned]]+Tabelle1324568910111213141516171618[[#This Row],[COsSP Pulled after Start]]-Tabelle1324568910111213141516171618[[#This Row],[CSOsSP Completed]],0)</f>
        <v>0</v>
      </c>
      <c r="R132" s="379">
        <f>Tabelle1324568910111213141516171618[[#This Row],[COsSP Initially Planned]]+Tabelle1324568910111213141516171618[[#This Row],[COsSP Pulled after Start]]-Tabelle1324568910111213141516171618[[#This Row],[CSOsSP Completed]]-Tabelle1324568910111213141516171618[[#This Row],[CSOsSP Removed]]</f>
        <v>0</v>
      </c>
    </row>
    <row r="133" spans="1:18" ht="13.5" hidden="1" customHeight="1">
      <c r="A133" s="383" t="s">
        <v>659</v>
      </c>
      <c r="B133" s="47" t="s">
        <v>660</v>
      </c>
      <c r="C133" s="203" t="s">
        <v>382</v>
      </c>
      <c r="D133" s="203">
        <v>3</v>
      </c>
      <c r="E133" s="203" t="s">
        <v>324</v>
      </c>
      <c r="F133" s="204">
        <v>3</v>
      </c>
      <c r="G133" s="203" t="s">
        <v>32</v>
      </c>
      <c r="H133" s="205"/>
      <c r="I133" s="206"/>
      <c r="J133" s="206"/>
      <c r="K133" s="375" t="s">
        <v>125</v>
      </c>
      <c r="L133" s="204"/>
      <c r="M133" s="204"/>
      <c r="N133" s="286">
        <f>IF(OR(Tabelle1324568910111213141516171618[[#This Row],[Pulled after Start]]="yes",Tabelle1324568910111213141516171618[[#This Row],[Jira Story Points]]="-"),0,MIN(Tabelle1324568910111213141516171618[[#This Row],[Jira Story Points]],Tabelle1324568910111213141516171618[[#This Row],[Carry-over]]))</f>
        <v>3</v>
      </c>
      <c r="O133" s="210">
        <f>SUM(IF(ISBLANK(Tabelle1324568910111213141516171618[[#This Row],[Carry-over]]),Tabelle1324568910111213141516171618[[#This Row],[Jira Story Points]],Tabelle1324568910111213141516171618[[#This Row],[Carry-over]]),-Tabelle1324568910111213141516171618[[#This Row],[COsSP Initially Planned]])</f>
        <v>0</v>
      </c>
      <c r="P133"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33" s="210">
        <f>IF(Tabelle1324568910111213141516171618[[#This Row],[Status]]=$J$5,Tabelle1324568910111213141516171618[[#This Row],[COsSP Initially Planned]]+Tabelle1324568910111213141516171618[[#This Row],[COsSP Pulled after Start]]-Tabelle1324568910111213141516171618[[#This Row],[CSOsSP Completed]],0)</f>
        <v>0</v>
      </c>
      <c r="R133" s="210">
        <f>Tabelle1324568910111213141516171618[[#This Row],[COsSP Initially Planned]]+Tabelle1324568910111213141516171618[[#This Row],[COsSP Pulled after Start]]-Tabelle1324568910111213141516171618[[#This Row],[CSOsSP Completed]]-Tabelle1324568910111213141516171618[[#This Row],[CSOsSP Removed]]</f>
        <v>0</v>
      </c>
    </row>
    <row r="134" spans="1:18" ht="13.5" hidden="1" customHeight="1">
      <c r="A134" s="383" t="s">
        <v>661</v>
      </c>
      <c r="B134" s="47" t="s">
        <v>662</v>
      </c>
      <c r="C134" s="203" t="s">
        <v>382</v>
      </c>
      <c r="D134" s="203">
        <v>3</v>
      </c>
      <c r="E134" s="203" t="s">
        <v>324</v>
      </c>
      <c r="F134" s="204">
        <v>3</v>
      </c>
      <c r="G134" s="203" t="s">
        <v>32</v>
      </c>
      <c r="H134" s="205"/>
      <c r="I134" s="206"/>
      <c r="J134" s="206"/>
      <c r="K134" s="375" t="s">
        <v>125</v>
      </c>
      <c r="L134" s="204"/>
      <c r="M134" s="204"/>
      <c r="N134" s="286">
        <f>IF(OR(Tabelle1324568910111213141516171618[[#This Row],[Pulled after Start]]="yes",Tabelle1324568910111213141516171618[[#This Row],[Jira Story Points]]="-"),0,MIN(Tabelle1324568910111213141516171618[[#This Row],[Jira Story Points]],Tabelle1324568910111213141516171618[[#This Row],[Carry-over]]))</f>
        <v>3</v>
      </c>
      <c r="O134" s="210">
        <f>SUM(IF(ISBLANK(Tabelle1324568910111213141516171618[[#This Row],[Carry-over]]),Tabelle1324568910111213141516171618[[#This Row],[Jira Story Points]],Tabelle1324568910111213141516171618[[#This Row],[Carry-over]]),-Tabelle1324568910111213141516171618[[#This Row],[COsSP Initially Planned]])</f>
        <v>0</v>
      </c>
      <c r="P134"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34" s="210">
        <f>IF(Tabelle1324568910111213141516171618[[#This Row],[Status]]=$J$5,Tabelle1324568910111213141516171618[[#This Row],[COsSP Initially Planned]]+Tabelle1324568910111213141516171618[[#This Row],[COsSP Pulled after Start]]-Tabelle1324568910111213141516171618[[#This Row],[CSOsSP Completed]],0)</f>
        <v>0</v>
      </c>
      <c r="R134" s="210">
        <f>Tabelle1324568910111213141516171618[[#This Row],[COsSP Initially Planned]]+Tabelle1324568910111213141516171618[[#This Row],[COsSP Pulled after Start]]-Tabelle1324568910111213141516171618[[#This Row],[CSOsSP Completed]]-Tabelle1324568910111213141516171618[[#This Row],[CSOsSP Removed]]</f>
        <v>0</v>
      </c>
    </row>
    <row r="135" spans="1:18" ht="13.5" hidden="1" customHeight="1">
      <c r="A135" s="383" t="s">
        <v>663</v>
      </c>
      <c r="B135" s="47" t="s">
        <v>664</v>
      </c>
      <c r="C135" s="203" t="s">
        <v>375</v>
      </c>
      <c r="D135" s="203">
        <v>3</v>
      </c>
      <c r="E135" s="203" t="s">
        <v>324</v>
      </c>
      <c r="F135" s="204">
        <v>3</v>
      </c>
      <c r="G135" s="203" t="s">
        <v>32</v>
      </c>
      <c r="H135" s="205"/>
      <c r="I135" s="206"/>
      <c r="J135" s="206"/>
      <c r="K135" s="375" t="s">
        <v>125</v>
      </c>
      <c r="L135" s="204"/>
      <c r="M135" s="204"/>
      <c r="N135" s="286">
        <f>IF(OR(Tabelle1324568910111213141516171618[[#This Row],[Pulled after Start]]="yes",Tabelle1324568910111213141516171618[[#This Row],[Jira Story Points]]="-"),0,MIN(Tabelle1324568910111213141516171618[[#This Row],[Jira Story Points]],Tabelle1324568910111213141516171618[[#This Row],[Carry-over]]))</f>
        <v>3</v>
      </c>
      <c r="O135" s="210">
        <f>SUM(IF(ISBLANK(Tabelle1324568910111213141516171618[[#This Row],[Carry-over]]),Tabelle1324568910111213141516171618[[#This Row],[Jira Story Points]],Tabelle1324568910111213141516171618[[#This Row],[Carry-over]]),-Tabelle1324568910111213141516171618[[#This Row],[COsSP Initially Planned]])</f>
        <v>0</v>
      </c>
      <c r="P135"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35" s="210">
        <f>IF(Tabelle1324568910111213141516171618[[#This Row],[Status]]=$J$5,Tabelle1324568910111213141516171618[[#This Row],[COsSP Initially Planned]]+Tabelle1324568910111213141516171618[[#This Row],[COsSP Pulled after Start]]-Tabelle1324568910111213141516171618[[#This Row],[CSOsSP Completed]],0)</f>
        <v>0</v>
      </c>
      <c r="R135" s="210">
        <f>Tabelle1324568910111213141516171618[[#This Row],[COsSP Initially Planned]]+Tabelle1324568910111213141516171618[[#This Row],[COsSP Pulled after Start]]-Tabelle1324568910111213141516171618[[#This Row],[CSOsSP Completed]]-Tabelle1324568910111213141516171618[[#This Row],[CSOsSP Removed]]</f>
        <v>0</v>
      </c>
    </row>
    <row r="136" spans="1:18" ht="13.5" hidden="1" customHeight="1">
      <c r="A136" s="383" t="s">
        <v>665</v>
      </c>
      <c r="B136" s="47" t="s">
        <v>666</v>
      </c>
      <c r="C136" s="203" t="s">
        <v>382</v>
      </c>
      <c r="D136" s="203">
        <v>3</v>
      </c>
      <c r="E136" s="203" t="s">
        <v>324</v>
      </c>
      <c r="F136" s="204">
        <v>3</v>
      </c>
      <c r="G136" s="203" t="s">
        <v>32</v>
      </c>
      <c r="H136" s="205"/>
      <c r="I136" s="206"/>
      <c r="J136" s="206"/>
      <c r="K136" s="375" t="s">
        <v>125</v>
      </c>
      <c r="L136" s="204"/>
      <c r="M136" s="204"/>
      <c r="N136" s="286">
        <f>IF(OR(Tabelle1324568910111213141516171618[[#This Row],[Pulled after Start]]="yes",Tabelle1324568910111213141516171618[[#This Row],[Jira Story Points]]="-"),0,MIN(Tabelle1324568910111213141516171618[[#This Row],[Jira Story Points]],Tabelle1324568910111213141516171618[[#This Row],[Carry-over]]))</f>
        <v>3</v>
      </c>
      <c r="O136" s="210">
        <f>SUM(IF(ISBLANK(Tabelle1324568910111213141516171618[[#This Row],[Carry-over]]),Tabelle1324568910111213141516171618[[#This Row],[Jira Story Points]],Tabelle1324568910111213141516171618[[#This Row],[Carry-over]]),-Tabelle1324568910111213141516171618[[#This Row],[COsSP Initially Planned]])</f>
        <v>0</v>
      </c>
      <c r="P136"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36" s="210">
        <f>IF(Tabelle1324568910111213141516171618[[#This Row],[Status]]=$J$5,Tabelle1324568910111213141516171618[[#This Row],[COsSP Initially Planned]]+Tabelle1324568910111213141516171618[[#This Row],[COsSP Pulled after Start]]-Tabelle1324568910111213141516171618[[#This Row],[CSOsSP Completed]],0)</f>
        <v>0</v>
      </c>
      <c r="R136" s="210">
        <f>Tabelle1324568910111213141516171618[[#This Row],[COsSP Initially Planned]]+Tabelle1324568910111213141516171618[[#This Row],[COsSP Pulled after Start]]-Tabelle1324568910111213141516171618[[#This Row],[CSOsSP Completed]]-Tabelle1324568910111213141516171618[[#This Row],[CSOsSP Removed]]</f>
        <v>0</v>
      </c>
    </row>
    <row r="137" spans="1:18" ht="13.5" hidden="1" customHeight="1">
      <c r="A137" s="383" t="s">
        <v>325</v>
      </c>
      <c r="B137" s="47" t="s">
        <v>326</v>
      </c>
      <c r="C137" s="203" t="s">
        <v>372</v>
      </c>
      <c r="D137" s="203">
        <v>3</v>
      </c>
      <c r="E137" s="203" t="s">
        <v>327</v>
      </c>
      <c r="F137" s="204">
        <v>8</v>
      </c>
      <c r="G137" s="203" t="s">
        <v>32</v>
      </c>
      <c r="H137" s="205"/>
      <c r="I137" s="206"/>
      <c r="J137" s="206"/>
      <c r="K137" s="375" t="s">
        <v>127</v>
      </c>
      <c r="L137" s="204"/>
      <c r="M137" s="204">
        <v>3</v>
      </c>
      <c r="N137" s="286">
        <f>IF(OR(Tabelle1324568910111213141516171618[[#This Row],[Pulled after Start]]="yes",Tabelle1324568910111213141516171618[[#This Row],[Jira Story Points]]="-"),0,MIN(Tabelle1324568910111213141516171618[[#This Row],[Jira Story Points]],Tabelle1324568910111213141516171618[[#This Row],[Carry-over]]))</f>
        <v>8</v>
      </c>
      <c r="O137" s="210">
        <f>SUM(IF(ISBLANK(Tabelle1324568910111213141516171618[[#This Row],[Carry-over]]),Tabelle1324568910111213141516171618[[#This Row],[Jira Story Points]],Tabelle1324568910111213141516171618[[#This Row],[Carry-over]]),-Tabelle1324568910111213141516171618[[#This Row],[COsSP Initially Planned]])</f>
        <v>0</v>
      </c>
      <c r="P137"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137" s="210">
        <f>IF(Tabelle1324568910111213141516171618[[#This Row],[Status]]=$J$5,Tabelle1324568910111213141516171618[[#This Row],[COsSP Initially Planned]]+Tabelle1324568910111213141516171618[[#This Row],[COsSP Pulled after Start]]-Tabelle1324568910111213141516171618[[#This Row],[CSOsSP Completed]],0)</f>
        <v>0</v>
      </c>
      <c r="R137" s="210">
        <f>Tabelle1324568910111213141516171618[[#This Row],[COsSP Initially Planned]]+Tabelle1324568910111213141516171618[[#This Row],[COsSP Pulled after Start]]-Tabelle1324568910111213141516171618[[#This Row],[CSOsSP Completed]]-Tabelle1324568910111213141516171618[[#This Row],[CSOsSP Removed]]</f>
        <v>3</v>
      </c>
    </row>
    <row r="138" spans="1:18" ht="13.5" hidden="1" customHeight="1">
      <c r="A138" s="383" t="s">
        <v>667</v>
      </c>
      <c r="B138" s="47" t="s">
        <v>668</v>
      </c>
      <c r="C138" s="203" t="s">
        <v>375</v>
      </c>
      <c r="D138" s="203">
        <v>3</v>
      </c>
      <c r="E138" s="203" t="s">
        <v>324</v>
      </c>
      <c r="F138" s="204">
        <v>3</v>
      </c>
      <c r="G138" s="203" t="s">
        <v>32</v>
      </c>
      <c r="H138" s="205"/>
      <c r="I138" s="206"/>
      <c r="J138" s="206"/>
      <c r="K138" s="375" t="s">
        <v>125</v>
      </c>
      <c r="L138" s="204"/>
      <c r="M138" s="204"/>
      <c r="N138" s="286">
        <f>IF(OR(Tabelle1324568910111213141516171618[[#This Row],[Pulled after Start]]="yes",Tabelle1324568910111213141516171618[[#This Row],[Jira Story Points]]="-"),0,MIN(Tabelle1324568910111213141516171618[[#This Row],[Jira Story Points]],Tabelle1324568910111213141516171618[[#This Row],[Carry-over]]))</f>
        <v>3</v>
      </c>
      <c r="O138" s="210">
        <f>SUM(IF(ISBLANK(Tabelle1324568910111213141516171618[[#This Row],[Carry-over]]),Tabelle1324568910111213141516171618[[#This Row],[Jira Story Points]],Tabelle1324568910111213141516171618[[#This Row],[Carry-over]]),-Tabelle1324568910111213141516171618[[#This Row],[COsSP Initially Planned]])</f>
        <v>0</v>
      </c>
      <c r="P138"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38" s="210">
        <f>IF(Tabelle1324568910111213141516171618[[#This Row],[Status]]=$J$5,Tabelle1324568910111213141516171618[[#This Row],[COsSP Initially Planned]]+Tabelle1324568910111213141516171618[[#This Row],[COsSP Pulled after Start]]-Tabelle1324568910111213141516171618[[#This Row],[CSOsSP Completed]],0)</f>
        <v>0</v>
      </c>
      <c r="R138" s="210">
        <f>Tabelle1324568910111213141516171618[[#This Row],[COsSP Initially Planned]]+Tabelle1324568910111213141516171618[[#This Row],[COsSP Pulled after Start]]-Tabelle1324568910111213141516171618[[#This Row],[CSOsSP Completed]]-Tabelle1324568910111213141516171618[[#This Row],[CSOsSP Removed]]</f>
        <v>0</v>
      </c>
    </row>
    <row r="139" spans="1:18" ht="13.5" hidden="1" customHeight="1">
      <c r="A139" s="383" t="s">
        <v>669</v>
      </c>
      <c r="B139" s="47" t="s">
        <v>670</v>
      </c>
      <c r="C139" s="203" t="s">
        <v>375</v>
      </c>
      <c r="D139" s="203">
        <v>3</v>
      </c>
      <c r="E139" s="203" t="s">
        <v>324</v>
      </c>
      <c r="F139" s="204">
        <v>3</v>
      </c>
      <c r="G139" s="203" t="s">
        <v>32</v>
      </c>
      <c r="H139" s="205"/>
      <c r="I139" s="206"/>
      <c r="J139" s="206"/>
      <c r="K139" s="375" t="s">
        <v>125</v>
      </c>
      <c r="L139" s="204"/>
      <c r="M139" s="204"/>
      <c r="N139" s="286">
        <f>IF(OR(Tabelle1324568910111213141516171618[[#This Row],[Pulled after Start]]="yes",Tabelle1324568910111213141516171618[[#This Row],[Jira Story Points]]="-"),0,MIN(Tabelle1324568910111213141516171618[[#This Row],[Jira Story Points]],Tabelle1324568910111213141516171618[[#This Row],[Carry-over]]))</f>
        <v>3</v>
      </c>
      <c r="O139" s="210">
        <f>SUM(IF(ISBLANK(Tabelle1324568910111213141516171618[[#This Row],[Carry-over]]),Tabelle1324568910111213141516171618[[#This Row],[Jira Story Points]],Tabelle1324568910111213141516171618[[#This Row],[Carry-over]]),-Tabelle1324568910111213141516171618[[#This Row],[COsSP Initially Planned]])</f>
        <v>0</v>
      </c>
      <c r="P139"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39" s="210">
        <f>IF(Tabelle1324568910111213141516171618[[#This Row],[Status]]=$J$5,Tabelle1324568910111213141516171618[[#This Row],[COsSP Initially Planned]]+Tabelle1324568910111213141516171618[[#This Row],[COsSP Pulled after Start]]-Tabelle1324568910111213141516171618[[#This Row],[CSOsSP Completed]],0)</f>
        <v>0</v>
      </c>
      <c r="R139" s="210">
        <f>Tabelle1324568910111213141516171618[[#This Row],[COsSP Initially Planned]]+Tabelle1324568910111213141516171618[[#This Row],[COsSP Pulled after Start]]-Tabelle1324568910111213141516171618[[#This Row],[CSOsSP Completed]]-Tabelle1324568910111213141516171618[[#This Row],[CSOsSP Removed]]</f>
        <v>0</v>
      </c>
    </row>
    <row r="140" spans="1:18" ht="13.5" hidden="1" customHeight="1">
      <c r="A140" s="383" t="s">
        <v>671</v>
      </c>
      <c r="B140" s="47" t="s">
        <v>672</v>
      </c>
      <c r="C140" s="203" t="s">
        <v>375</v>
      </c>
      <c r="D140" s="203">
        <v>3</v>
      </c>
      <c r="E140" s="203" t="s">
        <v>324</v>
      </c>
      <c r="F140" s="204">
        <v>3</v>
      </c>
      <c r="G140" s="203" t="s">
        <v>32</v>
      </c>
      <c r="H140" s="205" t="s">
        <v>209</v>
      </c>
      <c r="I140" s="206"/>
      <c r="J140" s="206"/>
      <c r="K140" s="375" t="s">
        <v>125</v>
      </c>
      <c r="L140" s="204"/>
      <c r="M140" s="204"/>
      <c r="N140" s="286">
        <f>IF(OR(Tabelle1324568910111213141516171618[[#This Row],[Pulled after Start]]="yes",Tabelle1324568910111213141516171618[[#This Row],[Jira Story Points]]="-"),0,MIN(Tabelle1324568910111213141516171618[[#This Row],[Jira Story Points]],Tabelle1324568910111213141516171618[[#This Row],[Carry-over]]))</f>
        <v>0</v>
      </c>
      <c r="O140" s="210">
        <f>SUM(IF(ISBLANK(Tabelle1324568910111213141516171618[[#This Row],[Carry-over]]),Tabelle1324568910111213141516171618[[#This Row],[Jira Story Points]],Tabelle1324568910111213141516171618[[#This Row],[Carry-over]]),-Tabelle1324568910111213141516171618[[#This Row],[COsSP Initially Planned]])</f>
        <v>3</v>
      </c>
      <c r="P140"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40" s="210">
        <f>IF(Tabelle1324568910111213141516171618[[#This Row],[Status]]=$J$5,Tabelle1324568910111213141516171618[[#This Row],[COsSP Initially Planned]]+Tabelle1324568910111213141516171618[[#This Row],[COsSP Pulled after Start]]-Tabelle1324568910111213141516171618[[#This Row],[CSOsSP Completed]],0)</f>
        <v>0</v>
      </c>
      <c r="R140" s="210">
        <f>Tabelle1324568910111213141516171618[[#This Row],[COsSP Initially Planned]]+Tabelle1324568910111213141516171618[[#This Row],[COsSP Pulled after Start]]-Tabelle1324568910111213141516171618[[#This Row],[CSOsSP Completed]]-Tabelle1324568910111213141516171618[[#This Row],[CSOsSP Removed]]</f>
        <v>0</v>
      </c>
    </row>
    <row r="141" spans="1:18" ht="13.5" hidden="1" customHeight="1">
      <c r="A141" s="383" t="s">
        <v>328</v>
      </c>
      <c r="B141" s="47" t="s">
        <v>329</v>
      </c>
      <c r="C141" s="203" t="s">
        <v>382</v>
      </c>
      <c r="D141" s="203">
        <v>3</v>
      </c>
      <c r="E141" s="203" t="s">
        <v>642</v>
      </c>
      <c r="F141" s="204">
        <v>8</v>
      </c>
      <c r="G141" s="203" t="s">
        <v>32</v>
      </c>
      <c r="H141" s="205"/>
      <c r="I141" s="206"/>
      <c r="J141" s="206"/>
      <c r="K141" s="375" t="s">
        <v>127</v>
      </c>
      <c r="L141" s="204"/>
      <c r="M141" s="204">
        <v>8</v>
      </c>
      <c r="N141" s="286">
        <f>IF(OR(Tabelle1324568910111213141516171618[[#This Row],[Pulled after Start]]="yes",Tabelle1324568910111213141516171618[[#This Row],[Jira Story Points]]="-"),0,MIN(Tabelle1324568910111213141516171618[[#This Row],[Jira Story Points]],Tabelle1324568910111213141516171618[[#This Row],[Carry-over]]))</f>
        <v>8</v>
      </c>
      <c r="O141" s="210">
        <f>SUM(IF(ISBLANK(Tabelle1324568910111213141516171618[[#This Row],[Carry-over]]),Tabelle1324568910111213141516171618[[#This Row],[Jira Story Points]],Tabelle1324568910111213141516171618[[#This Row],[Carry-over]]),-Tabelle1324568910111213141516171618[[#This Row],[COsSP Initially Planned]])</f>
        <v>0</v>
      </c>
      <c r="P141"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141" s="210">
        <f>IF(Tabelle1324568910111213141516171618[[#This Row],[Status]]=$J$5,Tabelle1324568910111213141516171618[[#This Row],[COsSP Initially Planned]]+Tabelle1324568910111213141516171618[[#This Row],[COsSP Pulled after Start]]-Tabelle1324568910111213141516171618[[#This Row],[CSOsSP Completed]],0)</f>
        <v>0</v>
      </c>
      <c r="R141" s="210">
        <f>Tabelle1324568910111213141516171618[[#This Row],[COsSP Initially Planned]]+Tabelle1324568910111213141516171618[[#This Row],[COsSP Pulled after Start]]-Tabelle1324568910111213141516171618[[#This Row],[CSOsSP Completed]]-Tabelle1324568910111213141516171618[[#This Row],[CSOsSP Removed]]</f>
        <v>8</v>
      </c>
    </row>
    <row r="142" spans="1:18" ht="13.5" hidden="1" customHeight="1">
      <c r="A142" s="383" t="s">
        <v>673</v>
      </c>
      <c r="B142" s="47" t="s">
        <v>674</v>
      </c>
      <c r="C142" s="203" t="s">
        <v>382</v>
      </c>
      <c r="D142" s="203">
        <v>3</v>
      </c>
      <c r="E142" s="203" t="s">
        <v>324</v>
      </c>
      <c r="F142" s="204">
        <v>2</v>
      </c>
      <c r="G142" s="203" t="s">
        <v>32</v>
      </c>
      <c r="H142" s="205"/>
      <c r="I142" s="206"/>
      <c r="J142" s="206"/>
      <c r="K142" s="375" t="s">
        <v>125</v>
      </c>
      <c r="L142" s="204"/>
      <c r="M142" s="204"/>
      <c r="N142" s="286">
        <f>IF(OR(Tabelle1324568910111213141516171618[[#This Row],[Pulled after Start]]="yes",Tabelle1324568910111213141516171618[[#This Row],[Jira Story Points]]="-"),0,MIN(Tabelle1324568910111213141516171618[[#This Row],[Jira Story Points]],Tabelle1324568910111213141516171618[[#This Row],[Carry-over]]))</f>
        <v>2</v>
      </c>
      <c r="O142" s="210">
        <f>SUM(IF(ISBLANK(Tabelle1324568910111213141516171618[[#This Row],[Carry-over]]),Tabelle1324568910111213141516171618[[#This Row],[Jira Story Points]],Tabelle1324568910111213141516171618[[#This Row],[Carry-over]]),-Tabelle1324568910111213141516171618[[#This Row],[COsSP Initially Planned]])</f>
        <v>0</v>
      </c>
      <c r="P142"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42" s="210">
        <f>IF(Tabelle1324568910111213141516171618[[#This Row],[Status]]=$J$5,Tabelle1324568910111213141516171618[[#This Row],[COsSP Initially Planned]]+Tabelle1324568910111213141516171618[[#This Row],[COsSP Pulled after Start]]-Tabelle1324568910111213141516171618[[#This Row],[CSOsSP Completed]],0)</f>
        <v>0</v>
      </c>
      <c r="R142" s="210">
        <f>Tabelle1324568910111213141516171618[[#This Row],[COsSP Initially Planned]]+Tabelle1324568910111213141516171618[[#This Row],[COsSP Pulled after Start]]-Tabelle1324568910111213141516171618[[#This Row],[CSOsSP Completed]]-Tabelle1324568910111213141516171618[[#This Row],[CSOsSP Removed]]</f>
        <v>0</v>
      </c>
    </row>
    <row r="143" spans="1:18" ht="13.5" hidden="1" customHeight="1">
      <c r="A143" s="383" t="s">
        <v>675</v>
      </c>
      <c r="B143" s="47" t="s">
        <v>676</v>
      </c>
      <c r="C143" s="203" t="s">
        <v>382</v>
      </c>
      <c r="D143" s="203">
        <v>3</v>
      </c>
      <c r="E143" s="203" t="s">
        <v>324</v>
      </c>
      <c r="F143" s="204">
        <v>3</v>
      </c>
      <c r="G143" s="203" t="s">
        <v>32</v>
      </c>
      <c r="H143" s="205"/>
      <c r="I143" s="206"/>
      <c r="J143" s="206"/>
      <c r="K143" s="375" t="s">
        <v>125</v>
      </c>
      <c r="L143" s="204"/>
      <c r="M143" s="204"/>
      <c r="N143" s="286">
        <f>IF(OR(Tabelle1324568910111213141516171618[[#This Row],[Pulled after Start]]="yes",Tabelle1324568910111213141516171618[[#This Row],[Jira Story Points]]="-"),0,MIN(Tabelle1324568910111213141516171618[[#This Row],[Jira Story Points]],Tabelle1324568910111213141516171618[[#This Row],[Carry-over]]))</f>
        <v>3</v>
      </c>
      <c r="O143" s="210">
        <f>SUM(IF(ISBLANK(Tabelle1324568910111213141516171618[[#This Row],[Carry-over]]),Tabelle1324568910111213141516171618[[#This Row],[Jira Story Points]],Tabelle1324568910111213141516171618[[#This Row],[Carry-over]]),-Tabelle1324568910111213141516171618[[#This Row],[COsSP Initially Planned]])</f>
        <v>0</v>
      </c>
      <c r="P143"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43" s="210">
        <f>IF(Tabelle1324568910111213141516171618[[#This Row],[Status]]=$J$5,Tabelle1324568910111213141516171618[[#This Row],[COsSP Initially Planned]]+Tabelle1324568910111213141516171618[[#This Row],[COsSP Pulled after Start]]-Tabelle1324568910111213141516171618[[#This Row],[CSOsSP Completed]],0)</f>
        <v>0</v>
      </c>
      <c r="R143" s="210">
        <f>Tabelle1324568910111213141516171618[[#This Row],[COsSP Initially Planned]]+Tabelle1324568910111213141516171618[[#This Row],[COsSP Pulled after Start]]-Tabelle1324568910111213141516171618[[#This Row],[CSOsSP Completed]]-Tabelle1324568910111213141516171618[[#This Row],[CSOsSP Removed]]</f>
        <v>0</v>
      </c>
    </row>
    <row r="144" spans="1:18" ht="13.5" hidden="1" customHeight="1">
      <c r="A144" s="383" t="s">
        <v>331</v>
      </c>
      <c r="B144" s="47" t="s">
        <v>332</v>
      </c>
      <c r="C144" s="203" t="s">
        <v>372</v>
      </c>
      <c r="D144" s="203">
        <v>3</v>
      </c>
      <c r="E144" s="203" t="s">
        <v>327</v>
      </c>
      <c r="F144" s="204">
        <v>5</v>
      </c>
      <c r="G144" s="203" t="s">
        <v>32</v>
      </c>
      <c r="H144" s="205" t="s">
        <v>209</v>
      </c>
      <c r="I144" s="206"/>
      <c r="J144" s="206"/>
      <c r="K144" s="375" t="s">
        <v>127</v>
      </c>
      <c r="L144" s="204"/>
      <c r="M144" s="204">
        <v>2</v>
      </c>
      <c r="N144" s="286">
        <f>IF(OR(Tabelle1324568910111213141516171618[[#This Row],[Pulled after Start]]="yes",Tabelle1324568910111213141516171618[[#This Row],[Jira Story Points]]="-"),0,MIN(Tabelle1324568910111213141516171618[[#This Row],[Jira Story Points]],Tabelle1324568910111213141516171618[[#This Row],[Carry-over]]))</f>
        <v>0</v>
      </c>
      <c r="O144" s="210">
        <f>SUM(IF(ISBLANK(Tabelle1324568910111213141516171618[[#This Row],[Carry-over]]),Tabelle1324568910111213141516171618[[#This Row],[Jira Story Points]],Tabelle1324568910111213141516171618[[#This Row],[Carry-over]]),-Tabelle1324568910111213141516171618[[#This Row],[COsSP Initially Planned]])</f>
        <v>5</v>
      </c>
      <c r="P144"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44" s="210">
        <f>IF(Tabelle1324568910111213141516171618[[#This Row],[Status]]=$J$5,Tabelle1324568910111213141516171618[[#This Row],[COsSP Initially Planned]]+Tabelle1324568910111213141516171618[[#This Row],[COsSP Pulled after Start]]-Tabelle1324568910111213141516171618[[#This Row],[CSOsSP Completed]],0)</f>
        <v>0</v>
      </c>
      <c r="R144" s="210">
        <f>Tabelle1324568910111213141516171618[[#This Row],[COsSP Initially Planned]]+Tabelle1324568910111213141516171618[[#This Row],[COsSP Pulled after Start]]-Tabelle1324568910111213141516171618[[#This Row],[CSOsSP Completed]]-Tabelle1324568910111213141516171618[[#This Row],[CSOsSP Removed]]</f>
        <v>2</v>
      </c>
    </row>
    <row r="145" spans="1:18" ht="13.5" hidden="1" customHeight="1">
      <c r="A145" s="383" t="s">
        <v>677</v>
      </c>
      <c r="B145" s="47" t="s">
        <v>678</v>
      </c>
      <c r="C145" s="203" t="s">
        <v>372</v>
      </c>
      <c r="D145" s="203">
        <v>3</v>
      </c>
      <c r="E145" s="203" t="s">
        <v>324</v>
      </c>
      <c r="F145" s="204">
        <v>2</v>
      </c>
      <c r="G145" s="203" t="s">
        <v>32</v>
      </c>
      <c r="H145" s="205" t="s">
        <v>209</v>
      </c>
      <c r="I145" s="206"/>
      <c r="J145" s="206"/>
      <c r="K145" s="375" t="s">
        <v>125</v>
      </c>
      <c r="L145" s="204"/>
      <c r="M145" s="204"/>
      <c r="N145" s="286">
        <f>IF(OR(Tabelle1324568910111213141516171618[[#This Row],[Pulled after Start]]="yes",Tabelle1324568910111213141516171618[[#This Row],[Jira Story Points]]="-"),0,MIN(Tabelle1324568910111213141516171618[[#This Row],[Jira Story Points]],Tabelle1324568910111213141516171618[[#This Row],[Carry-over]]))</f>
        <v>0</v>
      </c>
      <c r="O145" s="210">
        <f>SUM(IF(ISBLANK(Tabelle1324568910111213141516171618[[#This Row],[Carry-over]]),Tabelle1324568910111213141516171618[[#This Row],[Jira Story Points]],Tabelle1324568910111213141516171618[[#This Row],[Carry-over]]),-Tabelle1324568910111213141516171618[[#This Row],[COsSP Initially Planned]])</f>
        <v>2</v>
      </c>
      <c r="P145"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45" s="210">
        <f>IF(Tabelle1324568910111213141516171618[[#This Row],[Status]]=$J$5,Tabelle1324568910111213141516171618[[#This Row],[COsSP Initially Planned]]+Tabelle1324568910111213141516171618[[#This Row],[COsSP Pulled after Start]]-Tabelle1324568910111213141516171618[[#This Row],[CSOsSP Completed]],0)</f>
        <v>0</v>
      </c>
      <c r="R145" s="210">
        <f>Tabelle1324568910111213141516171618[[#This Row],[COsSP Initially Planned]]+Tabelle1324568910111213141516171618[[#This Row],[COsSP Pulled after Start]]-Tabelle1324568910111213141516171618[[#This Row],[CSOsSP Completed]]-Tabelle1324568910111213141516171618[[#This Row],[CSOsSP Removed]]</f>
        <v>0</v>
      </c>
    </row>
    <row r="146" spans="1:18" ht="13.5" hidden="1" customHeight="1">
      <c r="A146" s="383" t="s">
        <v>679</v>
      </c>
      <c r="B146" s="47" t="s">
        <v>680</v>
      </c>
      <c r="C146" s="203" t="s">
        <v>382</v>
      </c>
      <c r="D146" s="203">
        <v>3</v>
      </c>
      <c r="E146" s="203" t="s">
        <v>330</v>
      </c>
      <c r="F146" s="204">
        <v>1</v>
      </c>
      <c r="G146" s="203" t="s">
        <v>32</v>
      </c>
      <c r="H146" s="205" t="s">
        <v>209</v>
      </c>
      <c r="I146" s="206"/>
      <c r="J146" s="206"/>
      <c r="K146" s="375" t="s">
        <v>125</v>
      </c>
      <c r="L146" s="204"/>
      <c r="M146" s="204"/>
      <c r="N146" s="286">
        <f>IF(OR(Tabelle1324568910111213141516171618[[#This Row],[Pulled after Start]]="yes",Tabelle1324568910111213141516171618[[#This Row],[Jira Story Points]]="-"),0,MIN(Tabelle1324568910111213141516171618[[#This Row],[Jira Story Points]],Tabelle1324568910111213141516171618[[#This Row],[Carry-over]]))</f>
        <v>0</v>
      </c>
      <c r="O146" s="210">
        <f>SUM(IF(ISBLANK(Tabelle1324568910111213141516171618[[#This Row],[Carry-over]]),Tabelle1324568910111213141516171618[[#This Row],[Jira Story Points]],Tabelle1324568910111213141516171618[[#This Row],[Carry-over]]),-Tabelle1324568910111213141516171618[[#This Row],[COsSP Initially Planned]])</f>
        <v>1</v>
      </c>
      <c r="P146"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146" s="210">
        <f>IF(Tabelle1324568910111213141516171618[[#This Row],[Status]]=$J$5,Tabelle1324568910111213141516171618[[#This Row],[COsSP Initially Planned]]+Tabelle1324568910111213141516171618[[#This Row],[COsSP Pulled after Start]]-Tabelle1324568910111213141516171618[[#This Row],[CSOsSP Completed]],0)</f>
        <v>0</v>
      </c>
      <c r="R146" s="210">
        <f>Tabelle1324568910111213141516171618[[#This Row],[COsSP Initially Planned]]+Tabelle1324568910111213141516171618[[#This Row],[COsSP Pulled after Start]]-Tabelle1324568910111213141516171618[[#This Row],[CSOsSP Completed]]-Tabelle1324568910111213141516171618[[#This Row],[CSOsSP Removed]]</f>
        <v>0</v>
      </c>
    </row>
    <row r="147" spans="1:18" ht="13.5" hidden="1" customHeight="1">
      <c r="A147" s="383" t="s">
        <v>681</v>
      </c>
      <c r="B147" s="47" t="s">
        <v>682</v>
      </c>
      <c r="C147" s="203" t="s">
        <v>372</v>
      </c>
      <c r="D147" s="203">
        <v>3</v>
      </c>
      <c r="E147" s="203" t="s">
        <v>327</v>
      </c>
      <c r="F147" s="204">
        <v>2</v>
      </c>
      <c r="G147" s="203" t="s">
        <v>32</v>
      </c>
      <c r="H147" s="205" t="s">
        <v>209</v>
      </c>
      <c r="I147" s="206"/>
      <c r="J147" s="206"/>
      <c r="K147" s="375" t="s">
        <v>125</v>
      </c>
      <c r="L147" s="204"/>
      <c r="M147" s="204"/>
      <c r="N147" s="286">
        <f>IF(OR(Tabelle1324568910111213141516171618[[#This Row],[Pulled after Start]]="yes",Tabelle1324568910111213141516171618[[#This Row],[Jira Story Points]]="-"),0,MIN(Tabelle1324568910111213141516171618[[#This Row],[Jira Story Points]],Tabelle1324568910111213141516171618[[#This Row],[Carry-over]]))</f>
        <v>0</v>
      </c>
      <c r="O147" s="210">
        <f>SUM(IF(ISBLANK(Tabelle1324568910111213141516171618[[#This Row],[Carry-over]]),Tabelle1324568910111213141516171618[[#This Row],[Jira Story Points]],Tabelle1324568910111213141516171618[[#This Row],[Carry-over]]),-Tabelle1324568910111213141516171618[[#This Row],[COsSP Initially Planned]])</f>
        <v>2</v>
      </c>
      <c r="P147"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47" s="210">
        <f>IF(Tabelle1324568910111213141516171618[[#This Row],[Status]]=$J$5,Tabelle1324568910111213141516171618[[#This Row],[COsSP Initially Planned]]+Tabelle1324568910111213141516171618[[#This Row],[COsSP Pulled after Start]]-Tabelle1324568910111213141516171618[[#This Row],[CSOsSP Completed]],0)</f>
        <v>0</v>
      </c>
      <c r="R147" s="210">
        <f>Tabelle1324568910111213141516171618[[#This Row],[COsSP Initially Planned]]+Tabelle1324568910111213141516171618[[#This Row],[COsSP Pulled after Start]]-Tabelle1324568910111213141516171618[[#This Row],[CSOsSP Completed]]-Tabelle1324568910111213141516171618[[#This Row],[CSOsSP Removed]]</f>
        <v>0</v>
      </c>
    </row>
    <row r="148" spans="1:18" ht="13.5" hidden="1" customHeight="1">
      <c r="A148" s="383" t="s">
        <v>683</v>
      </c>
      <c r="B148" s="47" t="s">
        <v>684</v>
      </c>
      <c r="C148" s="203" t="s">
        <v>375</v>
      </c>
      <c r="D148" s="203">
        <v>3</v>
      </c>
      <c r="E148" s="203" t="s">
        <v>324</v>
      </c>
      <c r="F148" s="204">
        <v>3</v>
      </c>
      <c r="G148" s="203" t="s">
        <v>32</v>
      </c>
      <c r="H148" s="205" t="s">
        <v>209</v>
      </c>
      <c r="I148" s="206"/>
      <c r="J148" s="206"/>
      <c r="K148" s="375" t="s">
        <v>125</v>
      </c>
      <c r="L148" s="204"/>
      <c r="M148" s="204"/>
      <c r="N148" s="286">
        <f>IF(OR(Tabelle1324568910111213141516171618[[#This Row],[Pulled after Start]]="yes",Tabelle1324568910111213141516171618[[#This Row],[Jira Story Points]]="-"),0,MIN(Tabelle1324568910111213141516171618[[#This Row],[Jira Story Points]],Tabelle1324568910111213141516171618[[#This Row],[Carry-over]]))</f>
        <v>0</v>
      </c>
      <c r="O148" s="210">
        <f>SUM(IF(ISBLANK(Tabelle1324568910111213141516171618[[#This Row],[Carry-over]]),Tabelle1324568910111213141516171618[[#This Row],[Jira Story Points]],Tabelle1324568910111213141516171618[[#This Row],[Carry-over]]),-Tabelle1324568910111213141516171618[[#This Row],[COsSP Initially Planned]])</f>
        <v>3</v>
      </c>
      <c r="P148"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48" s="210">
        <f>IF(Tabelle1324568910111213141516171618[[#This Row],[Status]]=$J$5,Tabelle1324568910111213141516171618[[#This Row],[COsSP Initially Planned]]+Tabelle1324568910111213141516171618[[#This Row],[COsSP Pulled after Start]]-Tabelle1324568910111213141516171618[[#This Row],[CSOsSP Completed]],0)</f>
        <v>0</v>
      </c>
      <c r="R148" s="210">
        <f>Tabelle1324568910111213141516171618[[#This Row],[COsSP Initially Planned]]+Tabelle1324568910111213141516171618[[#This Row],[COsSP Pulled after Start]]-Tabelle1324568910111213141516171618[[#This Row],[CSOsSP Completed]]-Tabelle1324568910111213141516171618[[#This Row],[CSOsSP Removed]]</f>
        <v>0</v>
      </c>
    </row>
    <row r="149" spans="1:18" ht="13.5" hidden="1" customHeight="1">
      <c r="A149" s="383" t="s">
        <v>333</v>
      </c>
      <c r="B149" s="47" t="s">
        <v>334</v>
      </c>
      <c r="C149" s="203" t="s">
        <v>375</v>
      </c>
      <c r="D149" s="203">
        <v>3</v>
      </c>
      <c r="E149" s="203" t="s">
        <v>327</v>
      </c>
      <c r="F149" s="204">
        <v>3</v>
      </c>
      <c r="G149" s="203" t="s">
        <v>32</v>
      </c>
      <c r="H149" s="205" t="s">
        <v>209</v>
      </c>
      <c r="I149" s="206"/>
      <c r="J149" s="206"/>
      <c r="K149" s="375" t="s">
        <v>127</v>
      </c>
      <c r="L149" s="204"/>
      <c r="M149" s="204">
        <v>1</v>
      </c>
      <c r="N149" s="286">
        <f>IF(OR(Tabelle1324568910111213141516171618[[#This Row],[Pulled after Start]]="yes",Tabelle1324568910111213141516171618[[#This Row],[Jira Story Points]]="-"),0,MIN(Tabelle1324568910111213141516171618[[#This Row],[Jira Story Points]],Tabelle1324568910111213141516171618[[#This Row],[Carry-over]]))</f>
        <v>0</v>
      </c>
      <c r="O149" s="210">
        <f>SUM(IF(ISBLANK(Tabelle1324568910111213141516171618[[#This Row],[Carry-over]]),Tabelle1324568910111213141516171618[[#This Row],[Jira Story Points]],Tabelle1324568910111213141516171618[[#This Row],[Carry-over]]),-Tabelle1324568910111213141516171618[[#This Row],[COsSP Initially Planned]])</f>
        <v>3</v>
      </c>
      <c r="P149"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49" s="210">
        <f>IF(Tabelle1324568910111213141516171618[[#This Row],[Status]]=$J$5,Tabelle1324568910111213141516171618[[#This Row],[COsSP Initially Planned]]+Tabelle1324568910111213141516171618[[#This Row],[COsSP Pulled after Start]]-Tabelle1324568910111213141516171618[[#This Row],[CSOsSP Completed]],0)</f>
        <v>0</v>
      </c>
      <c r="R149" s="210">
        <f>Tabelle1324568910111213141516171618[[#This Row],[COsSP Initially Planned]]+Tabelle1324568910111213141516171618[[#This Row],[COsSP Pulled after Start]]-Tabelle1324568910111213141516171618[[#This Row],[CSOsSP Completed]]-Tabelle1324568910111213141516171618[[#This Row],[CSOsSP Removed]]</f>
        <v>1</v>
      </c>
    </row>
    <row r="150" spans="1:18" ht="13.5" hidden="1" customHeight="1">
      <c r="A150" s="383" t="s">
        <v>422</v>
      </c>
      <c r="B150" s="47" t="s">
        <v>423</v>
      </c>
      <c r="C150" s="203" t="s">
        <v>375</v>
      </c>
      <c r="D150" s="203">
        <v>2</v>
      </c>
      <c r="E150" s="203" t="s">
        <v>324</v>
      </c>
      <c r="F150" s="204">
        <v>3</v>
      </c>
      <c r="G150" s="203" t="s">
        <v>27</v>
      </c>
      <c r="H150" s="205" t="s">
        <v>209</v>
      </c>
      <c r="I150" s="206"/>
      <c r="J150" s="206"/>
      <c r="K150" s="375" t="s">
        <v>125</v>
      </c>
      <c r="L150" s="204"/>
      <c r="M150" s="204"/>
      <c r="N150" s="286">
        <f>IF(OR(Tabelle1324568910111213141516171618[[#This Row],[Pulled after Start]]="yes",Tabelle1324568910111213141516171618[[#This Row],[Jira Story Points]]="-"),0,MIN(Tabelle1324568910111213141516171618[[#This Row],[Jira Story Points]],Tabelle1324568910111213141516171618[[#This Row],[Carry-over]]))</f>
        <v>0</v>
      </c>
      <c r="O150" s="210">
        <f>SUM(IF(ISBLANK(Tabelle1324568910111213141516171618[[#This Row],[Carry-over]]),Tabelle1324568910111213141516171618[[#This Row],[Jira Story Points]],Tabelle1324568910111213141516171618[[#This Row],[Carry-over]]),-Tabelle1324568910111213141516171618[[#This Row],[COsSP Initially Planned]])</f>
        <v>3</v>
      </c>
      <c r="P150"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50" s="210">
        <f>IF(Tabelle1324568910111213141516171618[[#This Row],[Status]]=$J$5,Tabelle1324568910111213141516171618[[#This Row],[COsSP Initially Planned]]+Tabelle1324568910111213141516171618[[#This Row],[COsSP Pulled after Start]]-Tabelle1324568910111213141516171618[[#This Row],[CSOsSP Completed]],0)</f>
        <v>0</v>
      </c>
      <c r="R150" s="210">
        <f>Tabelle1324568910111213141516171618[[#This Row],[COsSP Initially Planned]]+Tabelle1324568910111213141516171618[[#This Row],[COsSP Pulled after Start]]-Tabelle1324568910111213141516171618[[#This Row],[CSOsSP Completed]]-Tabelle1324568910111213141516171618[[#This Row],[CSOsSP Removed]]</f>
        <v>0</v>
      </c>
    </row>
    <row r="151" spans="1:18" ht="13.5" hidden="1" customHeight="1">
      <c r="A151" s="383" t="s">
        <v>408</v>
      </c>
      <c r="B151" s="47" t="s">
        <v>409</v>
      </c>
      <c r="C151" s="203" t="s">
        <v>375</v>
      </c>
      <c r="D151" s="203">
        <v>1</v>
      </c>
      <c r="E151" s="203" t="s">
        <v>324</v>
      </c>
      <c r="F151" s="204">
        <v>3</v>
      </c>
      <c r="G151" s="203" t="s">
        <v>27</v>
      </c>
      <c r="H151" s="205" t="s">
        <v>209</v>
      </c>
      <c r="I151" s="206"/>
      <c r="J151" s="206"/>
      <c r="K151" s="375" t="s">
        <v>125</v>
      </c>
      <c r="L151" s="204"/>
      <c r="M151" s="204"/>
      <c r="N151" s="286">
        <f>IF(OR(Tabelle1324568910111213141516171618[[#This Row],[Pulled after Start]]="yes",Tabelle1324568910111213141516171618[[#This Row],[Jira Story Points]]="-"),0,MIN(Tabelle1324568910111213141516171618[[#This Row],[Jira Story Points]],Tabelle1324568910111213141516171618[[#This Row],[Carry-over]]))</f>
        <v>0</v>
      </c>
      <c r="O151" s="210">
        <f>SUM(IF(ISBLANK(Tabelle1324568910111213141516171618[[#This Row],[Carry-over]]),Tabelle1324568910111213141516171618[[#This Row],[Jira Story Points]],Tabelle1324568910111213141516171618[[#This Row],[Carry-over]]),-Tabelle1324568910111213141516171618[[#This Row],[COsSP Initially Planned]])</f>
        <v>3</v>
      </c>
      <c r="P151"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51" s="210">
        <f>IF(Tabelle1324568910111213141516171618[[#This Row],[Status]]=$J$5,Tabelle1324568910111213141516171618[[#This Row],[COsSP Initially Planned]]+Tabelle1324568910111213141516171618[[#This Row],[COsSP Pulled after Start]]-Tabelle1324568910111213141516171618[[#This Row],[CSOsSP Completed]],0)</f>
        <v>0</v>
      </c>
      <c r="R151" s="210">
        <f>Tabelle1324568910111213141516171618[[#This Row],[COsSP Initially Planned]]+Tabelle1324568910111213141516171618[[#This Row],[COsSP Pulled after Start]]-Tabelle1324568910111213141516171618[[#This Row],[CSOsSP Completed]]-Tabelle1324568910111213141516171618[[#This Row],[CSOsSP Removed]]</f>
        <v>0</v>
      </c>
    </row>
    <row r="152" spans="1:18" ht="13.5" hidden="1" customHeight="1">
      <c r="A152" s="383" t="s">
        <v>378</v>
      </c>
      <c r="B152" s="47" t="s">
        <v>379</v>
      </c>
      <c r="C152" s="203" t="s">
        <v>372</v>
      </c>
      <c r="D152" s="203">
        <v>3</v>
      </c>
      <c r="E152" s="203" t="s">
        <v>327</v>
      </c>
      <c r="F152" s="204">
        <v>8</v>
      </c>
      <c r="G152" s="203" t="s">
        <v>27</v>
      </c>
      <c r="H152" s="205"/>
      <c r="I152" s="206"/>
      <c r="J152" s="206"/>
      <c r="K152" s="375" t="s">
        <v>125</v>
      </c>
      <c r="L152" s="204">
        <v>3</v>
      </c>
      <c r="M152" s="204"/>
      <c r="N152" s="286">
        <f>IF(OR(Tabelle1324568910111213141516171618[[#This Row],[Pulled after Start]]="yes",Tabelle1324568910111213141516171618[[#This Row],[Jira Story Points]]="-"),0,MIN(Tabelle1324568910111213141516171618[[#This Row],[Jira Story Points]],Tabelle1324568910111213141516171618[[#This Row],[Carry-over]]))</f>
        <v>3</v>
      </c>
      <c r="O152" s="210">
        <f>SUM(IF(ISBLANK(Tabelle1324568910111213141516171618[[#This Row],[Carry-over]]),Tabelle1324568910111213141516171618[[#This Row],[Jira Story Points]],Tabelle1324568910111213141516171618[[#This Row],[Carry-over]]),-Tabelle1324568910111213141516171618[[#This Row],[COsSP Initially Planned]])</f>
        <v>0</v>
      </c>
      <c r="P152"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52" s="210">
        <f>IF(Tabelle1324568910111213141516171618[[#This Row],[Status]]=$J$5,Tabelle1324568910111213141516171618[[#This Row],[COsSP Initially Planned]]+Tabelle1324568910111213141516171618[[#This Row],[COsSP Pulled after Start]]-Tabelle1324568910111213141516171618[[#This Row],[CSOsSP Completed]],0)</f>
        <v>0</v>
      </c>
      <c r="R152" s="210">
        <f>Tabelle1324568910111213141516171618[[#This Row],[COsSP Initially Planned]]+Tabelle1324568910111213141516171618[[#This Row],[COsSP Pulled after Start]]-Tabelle1324568910111213141516171618[[#This Row],[CSOsSP Completed]]-Tabelle1324568910111213141516171618[[#This Row],[CSOsSP Removed]]</f>
        <v>0</v>
      </c>
    </row>
    <row r="153" spans="1:18" ht="13.5" hidden="1" customHeight="1">
      <c r="A153" s="383" t="s">
        <v>410</v>
      </c>
      <c r="B153" s="47" t="s">
        <v>411</v>
      </c>
      <c r="C153" s="203" t="s">
        <v>375</v>
      </c>
      <c r="D153" s="203">
        <v>1</v>
      </c>
      <c r="E153" s="203" t="s">
        <v>324</v>
      </c>
      <c r="F153" s="204">
        <v>3</v>
      </c>
      <c r="G153" s="203" t="s">
        <v>27</v>
      </c>
      <c r="H153" s="205" t="s">
        <v>209</v>
      </c>
      <c r="I153" s="206"/>
      <c r="J153" s="206"/>
      <c r="K153" s="375" t="s">
        <v>125</v>
      </c>
      <c r="L153" s="204"/>
      <c r="M153" s="204"/>
      <c r="N153" s="286">
        <f>IF(OR(Tabelle1324568910111213141516171618[[#This Row],[Pulled after Start]]="yes",Tabelle1324568910111213141516171618[[#This Row],[Jira Story Points]]="-"),0,MIN(Tabelle1324568910111213141516171618[[#This Row],[Jira Story Points]],Tabelle1324568910111213141516171618[[#This Row],[Carry-over]]))</f>
        <v>0</v>
      </c>
      <c r="O153" s="210">
        <f>SUM(IF(ISBLANK(Tabelle1324568910111213141516171618[[#This Row],[Carry-over]]),Tabelle1324568910111213141516171618[[#This Row],[Jira Story Points]],Tabelle1324568910111213141516171618[[#This Row],[Carry-over]]),-Tabelle1324568910111213141516171618[[#This Row],[COsSP Initially Planned]])</f>
        <v>3</v>
      </c>
      <c r="P153"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53" s="210">
        <f>IF(Tabelle1324568910111213141516171618[[#This Row],[Status]]=$J$5,Tabelle1324568910111213141516171618[[#This Row],[COsSP Initially Planned]]+Tabelle1324568910111213141516171618[[#This Row],[COsSP Pulled after Start]]-Tabelle1324568910111213141516171618[[#This Row],[CSOsSP Completed]],0)</f>
        <v>0</v>
      </c>
      <c r="R153" s="210">
        <f>Tabelle1324568910111213141516171618[[#This Row],[COsSP Initially Planned]]+Tabelle1324568910111213141516171618[[#This Row],[COsSP Pulled after Start]]-Tabelle1324568910111213141516171618[[#This Row],[CSOsSP Completed]]-Tabelle1324568910111213141516171618[[#This Row],[CSOsSP Removed]]</f>
        <v>0</v>
      </c>
    </row>
    <row r="154" spans="1:18" ht="13.5" hidden="1" customHeight="1">
      <c r="A154" s="383" t="s">
        <v>406</v>
      </c>
      <c r="B154" s="47" t="s">
        <v>407</v>
      </c>
      <c r="C154" s="203" t="s">
        <v>375</v>
      </c>
      <c r="D154" s="203">
        <v>1</v>
      </c>
      <c r="E154" s="203" t="s">
        <v>324</v>
      </c>
      <c r="F154" s="204">
        <v>3</v>
      </c>
      <c r="G154" s="203" t="s">
        <v>27</v>
      </c>
      <c r="H154" s="205" t="s">
        <v>209</v>
      </c>
      <c r="I154" s="206"/>
      <c r="J154" s="206"/>
      <c r="K154" s="375" t="s">
        <v>125</v>
      </c>
      <c r="L154" s="204"/>
      <c r="M154" s="204"/>
      <c r="N154" s="286">
        <f>IF(OR(Tabelle1324568910111213141516171618[[#This Row],[Pulled after Start]]="yes",Tabelle1324568910111213141516171618[[#This Row],[Jira Story Points]]="-"),0,MIN(Tabelle1324568910111213141516171618[[#This Row],[Jira Story Points]],Tabelle1324568910111213141516171618[[#This Row],[Carry-over]]))</f>
        <v>0</v>
      </c>
      <c r="O154" s="210">
        <f>SUM(IF(ISBLANK(Tabelle1324568910111213141516171618[[#This Row],[Carry-over]]),Tabelle1324568910111213141516171618[[#This Row],[Jira Story Points]],Tabelle1324568910111213141516171618[[#This Row],[Carry-over]]),-Tabelle1324568910111213141516171618[[#This Row],[COsSP Initially Planned]])</f>
        <v>3</v>
      </c>
      <c r="P154"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54" s="210">
        <f>IF(Tabelle1324568910111213141516171618[[#This Row],[Status]]=$J$5,Tabelle1324568910111213141516171618[[#This Row],[COsSP Initially Planned]]+Tabelle1324568910111213141516171618[[#This Row],[COsSP Pulled after Start]]-Tabelle1324568910111213141516171618[[#This Row],[CSOsSP Completed]],0)</f>
        <v>0</v>
      </c>
      <c r="R154" s="210">
        <f>Tabelle1324568910111213141516171618[[#This Row],[COsSP Initially Planned]]+Tabelle1324568910111213141516171618[[#This Row],[COsSP Pulled after Start]]-Tabelle1324568910111213141516171618[[#This Row],[CSOsSP Completed]]-Tabelle1324568910111213141516171618[[#This Row],[CSOsSP Removed]]</f>
        <v>0</v>
      </c>
    </row>
    <row r="155" spans="1:18" ht="13.5" hidden="1" customHeight="1">
      <c r="A155" s="383" t="s">
        <v>380</v>
      </c>
      <c r="B155" s="47" t="s">
        <v>381</v>
      </c>
      <c r="C155" s="203" t="s">
        <v>382</v>
      </c>
      <c r="D155" s="203">
        <v>1</v>
      </c>
      <c r="E155" s="203" t="s">
        <v>324</v>
      </c>
      <c r="F155" s="204">
        <v>8</v>
      </c>
      <c r="G155" s="203" t="s">
        <v>27</v>
      </c>
      <c r="H155" s="205"/>
      <c r="I155" s="206"/>
      <c r="J155" s="206"/>
      <c r="K155" s="375" t="s">
        <v>125</v>
      </c>
      <c r="L155" s="204">
        <v>2</v>
      </c>
      <c r="M155" s="204"/>
      <c r="N155" s="286">
        <f>IF(OR(Tabelle1324568910111213141516171618[[#This Row],[Pulled after Start]]="yes",Tabelle1324568910111213141516171618[[#This Row],[Jira Story Points]]="-"),0,MIN(Tabelle1324568910111213141516171618[[#This Row],[Jira Story Points]],Tabelle1324568910111213141516171618[[#This Row],[Carry-over]]))</f>
        <v>2</v>
      </c>
      <c r="O155" s="210">
        <f>SUM(IF(ISBLANK(Tabelle1324568910111213141516171618[[#This Row],[Carry-over]]),Tabelle1324568910111213141516171618[[#This Row],[Jira Story Points]],Tabelle1324568910111213141516171618[[#This Row],[Carry-over]]),-Tabelle1324568910111213141516171618[[#This Row],[COsSP Initially Planned]])</f>
        <v>0</v>
      </c>
      <c r="P155"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55" s="210">
        <f>IF(Tabelle1324568910111213141516171618[[#This Row],[Status]]=$J$5,Tabelle1324568910111213141516171618[[#This Row],[COsSP Initially Planned]]+Tabelle1324568910111213141516171618[[#This Row],[COsSP Pulled after Start]]-Tabelle1324568910111213141516171618[[#This Row],[CSOsSP Completed]],0)</f>
        <v>0</v>
      </c>
      <c r="R155" s="210">
        <f>Tabelle1324568910111213141516171618[[#This Row],[COsSP Initially Planned]]+Tabelle1324568910111213141516171618[[#This Row],[COsSP Pulled after Start]]-Tabelle1324568910111213141516171618[[#This Row],[CSOsSP Completed]]-Tabelle1324568910111213141516171618[[#This Row],[CSOsSP Removed]]</f>
        <v>0</v>
      </c>
    </row>
    <row r="156" spans="1:18" ht="13.5" hidden="1" customHeight="1">
      <c r="A156" s="383" t="s">
        <v>420</v>
      </c>
      <c r="B156" s="47" t="s">
        <v>421</v>
      </c>
      <c r="C156" s="203" t="s">
        <v>372</v>
      </c>
      <c r="D156" s="203">
        <v>3</v>
      </c>
      <c r="E156" s="203" t="s">
        <v>324</v>
      </c>
      <c r="F156" s="204">
        <v>2</v>
      </c>
      <c r="G156" s="203" t="s">
        <v>27</v>
      </c>
      <c r="H156" s="205" t="s">
        <v>209</v>
      </c>
      <c r="I156" s="206"/>
      <c r="J156" s="206"/>
      <c r="K156" s="375" t="s">
        <v>125</v>
      </c>
      <c r="L156" s="204"/>
      <c r="M156" s="204"/>
      <c r="N156" s="286">
        <f>IF(OR(Tabelle1324568910111213141516171618[[#This Row],[Pulled after Start]]="yes",Tabelle1324568910111213141516171618[[#This Row],[Jira Story Points]]="-"),0,MIN(Tabelle1324568910111213141516171618[[#This Row],[Jira Story Points]],Tabelle1324568910111213141516171618[[#This Row],[Carry-over]]))</f>
        <v>0</v>
      </c>
      <c r="O156" s="210">
        <f>SUM(IF(ISBLANK(Tabelle1324568910111213141516171618[[#This Row],[Carry-over]]),Tabelle1324568910111213141516171618[[#This Row],[Jira Story Points]],Tabelle1324568910111213141516171618[[#This Row],[Carry-over]]),-Tabelle1324568910111213141516171618[[#This Row],[COsSP Initially Planned]])</f>
        <v>2</v>
      </c>
      <c r="P156"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56" s="210">
        <f>IF(Tabelle1324568910111213141516171618[[#This Row],[Status]]=$J$5,Tabelle1324568910111213141516171618[[#This Row],[COsSP Initially Planned]]+Tabelle1324568910111213141516171618[[#This Row],[COsSP Pulled after Start]]-Tabelle1324568910111213141516171618[[#This Row],[CSOsSP Completed]],0)</f>
        <v>0</v>
      </c>
      <c r="R156" s="210">
        <f>Tabelle1324568910111213141516171618[[#This Row],[COsSP Initially Planned]]+Tabelle1324568910111213141516171618[[#This Row],[COsSP Pulled after Start]]-Tabelle1324568910111213141516171618[[#This Row],[CSOsSP Completed]]-Tabelle1324568910111213141516171618[[#This Row],[CSOsSP Removed]]</f>
        <v>0</v>
      </c>
    </row>
    <row r="157" spans="1:18" ht="13.5" hidden="1" customHeight="1">
      <c r="A157" s="383" t="s">
        <v>438</v>
      </c>
      <c r="B157" s="47" t="s">
        <v>439</v>
      </c>
      <c r="C157" s="203" t="s">
        <v>382</v>
      </c>
      <c r="D157" s="203">
        <v>1</v>
      </c>
      <c r="E157" s="203" t="s">
        <v>330</v>
      </c>
      <c r="F157" s="204">
        <v>5</v>
      </c>
      <c r="G157" s="203" t="s">
        <v>27</v>
      </c>
      <c r="H157" s="205" t="s">
        <v>209</v>
      </c>
      <c r="I157" s="206"/>
      <c r="J157" s="206"/>
      <c r="K157" s="375" t="s">
        <v>127</v>
      </c>
      <c r="L157" s="204"/>
      <c r="M157" s="204">
        <v>5</v>
      </c>
      <c r="N157" s="286">
        <f>IF(OR(Tabelle1324568910111213141516171618[[#This Row],[Pulled after Start]]="yes",Tabelle1324568910111213141516171618[[#This Row],[Jira Story Points]]="-"),0,MIN(Tabelle1324568910111213141516171618[[#This Row],[Jira Story Points]],Tabelle1324568910111213141516171618[[#This Row],[Carry-over]]))</f>
        <v>0</v>
      </c>
      <c r="O157" s="210">
        <f>SUM(IF(ISBLANK(Tabelle1324568910111213141516171618[[#This Row],[Carry-over]]),Tabelle1324568910111213141516171618[[#This Row],[Jira Story Points]],Tabelle1324568910111213141516171618[[#This Row],[Carry-over]]),-Tabelle1324568910111213141516171618[[#This Row],[COsSP Initially Planned]])</f>
        <v>5</v>
      </c>
      <c r="P157"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157" s="210">
        <f>IF(Tabelle1324568910111213141516171618[[#This Row],[Status]]=$J$5,Tabelle1324568910111213141516171618[[#This Row],[COsSP Initially Planned]]+Tabelle1324568910111213141516171618[[#This Row],[COsSP Pulled after Start]]-Tabelle1324568910111213141516171618[[#This Row],[CSOsSP Completed]],0)</f>
        <v>0</v>
      </c>
      <c r="R157" s="210">
        <f>Tabelle1324568910111213141516171618[[#This Row],[COsSP Initially Planned]]+Tabelle1324568910111213141516171618[[#This Row],[COsSP Pulled after Start]]-Tabelle1324568910111213141516171618[[#This Row],[CSOsSP Completed]]-Tabelle1324568910111213141516171618[[#This Row],[CSOsSP Removed]]</f>
        <v>5</v>
      </c>
    </row>
    <row r="158" spans="1:18" ht="13.5" hidden="1" customHeight="1">
      <c r="A158" s="383" t="s">
        <v>404</v>
      </c>
      <c r="B158" s="47" t="s">
        <v>405</v>
      </c>
      <c r="C158" s="203" t="s">
        <v>372</v>
      </c>
      <c r="D158" s="203">
        <v>3</v>
      </c>
      <c r="E158" s="203" t="s">
        <v>324</v>
      </c>
      <c r="F158" s="204">
        <v>5</v>
      </c>
      <c r="G158" s="203" t="s">
        <v>27</v>
      </c>
      <c r="H158" s="205"/>
      <c r="I158" s="206"/>
      <c r="J158" s="206"/>
      <c r="K158" s="375" t="s">
        <v>125</v>
      </c>
      <c r="L158" s="204"/>
      <c r="M158" s="204"/>
      <c r="N158" s="286">
        <f>IF(OR(Tabelle1324568910111213141516171618[[#This Row],[Pulled after Start]]="yes",Tabelle1324568910111213141516171618[[#This Row],[Jira Story Points]]="-"),0,MIN(Tabelle1324568910111213141516171618[[#This Row],[Jira Story Points]],Tabelle1324568910111213141516171618[[#This Row],[Carry-over]]))</f>
        <v>5</v>
      </c>
      <c r="O158" s="210">
        <f>SUM(IF(ISBLANK(Tabelle1324568910111213141516171618[[#This Row],[Carry-over]]),Tabelle1324568910111213141516171618[[#This Row],[Jira Story Points]],Tabelle1324568910111213141516171618[[#This Row],[Carry-over]]),-Tabelle1324568910111213141516171618[[#This Row],[COsSP Initially Planned]])</f>
        <v>0</v>
      </c>
      <c r="P158"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158" s="210">
        <f>IF(Tabelle1324568910111213141516171618[[#This Row],[Status]]=$J$5,Tabelle1324568910111213141516171618[[#This Row],[COsSP Initially Planned]]+Tabelle1324568910111213141516171618[[#This Row],[COsSP Pulled after Start]]-Tabelle1324568910111213141516171618[[#This Row],[CSOsSP Completed]],0)</f>
        <v>0</v>
      </c>
      <c r="R158" s="210">
        <f>Tabelle1324568910111213141516171618[[#This Row],[COsSP Initially Planned]]+Tabelle1324568910111213141516171618[[#This Row],[COsSP Pulled after Start]]-Tabelle1324568910111213141516171618[[#This Row],[CSOsSP Completed]]-Tabelle1324568910111213141516171618[[#This Row],[CSOsSP Removed]]</f>
        <v>0</v>
      </c>
    </row>
    <row r="159" spans="1:18" ht="13.5" hidden="1" customHeight="1">
      <c r="A159" s="383" t="s">
        <v>402</v>
      </c>
      <c r="B159" s="47" t="s">
        <v>403</v>
      </c>
      <c r="C159" s="203" t="s">
        <v>372</v>
      </c>
      <c r="D159" s="203">
        <v>3</v>
      </c>
      <c r="E159" s="203" t="s">
        <v>327</v>
      </c>
      <c r="F159" s="204">
        <v>8</v>
      </c>
      <c r="G159" s="203" t="s">
        <v>27</v>
      </c>
      <c r="H159" s="205" t="s">
        <v>209</v>
      </c>
      <c r="I159" s="206"/>
      <c r="J159" s="206"/>
      <c r="K159" s="375" t="s">
        <v>125</v>
      </c>
      <c r="L159" s="204"/>
      <c r="M159" s="204"/>
      <c r="N159" s="286">
        <f>IF(OR(Tabelle1324568910111213141516171618[[#This Row],[Pulled after Start]]="yes",Tabelle1324568910111213141516171618[[#This Row],[Jira Story Points]]="-"),0,MIN(Tabelle1324568910111213141516171618[[#This Row],[Jira Story Points]],Tabelle1324568910111213141516171618[[#This Row],[Carry-over]]))</f>
        <v>0</v>
      </c>
      <c r="O159" s="210">
        <f>SUM(IF(ISBLANK(Tabelle1324568910111213141516171618[[#This Row],[Carry-over]]),Tabelle1324568910111213141516171618[[#This Row],[Jira Story Points]],Tabelle1324568910111213141516171618[[#This Row],[Carry-over]]),-Tabelle1324568910111213141516171618[[#This Row],[COsSP Initially Planned]])</f>
        <v>8</v>
      </c>
      <c r="P159"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8</v>
      </c>
      <c r="Q159" s="210">
        <f>IF(Tabelle1324568910111213141516171618[[#This Row],[Status]]=$J$5,Tabelle1324568910111213141516171618[[#This Row],[COsSP Initially Planned]]+Tabelle1324568910111213141516171618[[#This Row],[COsSP Pulled after Start]]-Tabelle1324568910111213141516171618[[#This Row],[CSOsSP Completed]],0)</f>
        <v>0</v>
      </c>
      <c r="R159" s="210">
        <f>Tabelle1324568910111213141516171618[[#This Row],[COsSP Initially Planned]]+Tabelle1324568910111213141516171618[[#This Row],[COsSP Pulled after Start]]-Tabelle1324568910111213141516171618[[#This Row],[CSOsSP Completed]]-Tabelle1324568910111213141516171618[[#This Row],[CSOsSP Removed]]</f>
        <v>0</v>
      </c>
    </row>
    <row r="160" spans="1:18" ht="13.5" hidden="1" customHeight="1">
      <c r="A160" s="383" t="s">
        <v>370</v>
      </c>
      <c r="B160" s="47" t="s">
        <v>371</v>
      </c>
      <c r="C160" s="203" t="s">
        <v>372</v>
      </c>
      <c r="D160" s="203">
        <v>3</v>
      </c>
      <c r="E160" s="203" t="s">
        <v>327</v>
      </c>
      <c r="F160" s="204">
        <v>3</v>
      </c>
      <c r="G160" s="203" t="s">
        <v>27</v>
      </c>
      <c r="H160" s="205" t="s">
        <v>209</v>
      </c>
      <c r="I160" s="206"/>
      <c r="J160" s="206"/>
      <c r="K160" s="375" t="s">
        <v>125</v>
      </c>
      <c r="L160" s="204"/>
      <c r="M160" s="204"/>
      <c r="N160" s="286">
        <f>IF(OR(Tabelle1324568910111213141516171618[[#This Row],[Pulled after Start]]="yes",Tabelle1324568910111213141516171618[[#This Row],[Jira Story Points]]="-"),0,MIN(Tabelle1324568910111213141516171618[[#This Row],[Jira Story Points]],Tabelle1324568910111213141516171618[[#This Row],[Carry-over]]))</f>
        <v>0</v>
      </c>
      <c r="O160" s="210">
        <f>SUM(IF(ISBLANK(Tabelle1324568910111213141516171618[[#This Row],[Carry-over]]),Tabelle1324568910111213141516171618[[#This Row],[Jira Story Points]],Tabelle1324568910111213141516171618[[#This Row],[Carry-over]]),-Tabelle1324568910111213141516171618[[#This Row],[COsSP Initially Planned]])</f>
        <v>3</v>
      </c>
      <c r="P160"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60" s="210">
        <f>IF(Tabelle1324568910111213141516171618[[#This Row],[Status]]=$J$5,Tabelle1324568910111213141516171618[[#This Row],[COsSP Initially Planned]]+Tabelle1324568910111213141516171618[[#This Row],[COsSP Pulled after Start]]-Tabelle1324568910111213141516171618[[#This Row],[CSOsSP Completed]],0)</f>
        <v>0</v>
      </c>
      <c r="R160" s="210">
        <f>Tabelle1324568910111213141516171618[[#This Row],[COsSP Initially Planned]]+Tabelle1324568910111213141516171618[[#This Row],[COsSP Pulled after Start]]-Tabelle1324568910111213141516171618[[#This Row],[CSOsSP Completed]]-Tabelle1324568910111213141516171618[[#This Row],[CSOsSP Removed]]</f>
        <v>0</v>
      </c>
    </row>
    <row r="161" spans="1:18" ht="13.5" hidden="1" customHeight="1">
      <c r="A161" s="383" t="s">
        <v>401</v>
      </c>
      <c r="B161" s="47" t="s">
        <v>338</v>
      </c>
      <c r="C161" s="203" t="s">
        <v>372</v>
      </c>
      <c r="D161" s="203">
        <v>3</v>
      </c>
      <c r="E161" s="203" t="s">
        <v>324</v>
      </c>
      <c r="F161" s="204">
        <v>3</v>
      </c>
      <c r="G161" s="203" t="s">
        <v>27</v>
      </c>
      <c r="H161" s="205" t="s">
        <v>209</v>
      </c>
      <c r="I161" s="206"/>
      <c r="J161" s="206"/>
      <c r="K161" s="375" t="s">
        <v>125</v>
      </c>
      <c r="L161" s="204"/>
      <c r="M161" s="204"/>
      <c r="N161" s="286">
        <f>IF(OR(Tabelle1324568910111213141516171618[[#This Row],[Pulled after Start]]="yes",Tabelle1324568910111213141516171618[[#This Row],[Jira Story Points]]="-"),0,MIN(Tabelle1324568910111213141516171618[[#This Row],[Jira Story Points]],Tabelle1324568910111213141516171618[[#This Row],[Carry-over]]))</f>
        <v>0</v>
      </c>
      <c r="O161" s="210">
        <f>SUM(IF(ISBLANK(Tabelle1324568910111213141516171618[[#This Row],[Carry-over]]),Tabelle1324568910111213141516171618[[#This Row],[Jira Story Points]],Tabelle1324568910111213141516171618[[#This Row],[Carry-over]]),-Tabelle1324568910111213141516171618[[#This Row],[COsSP Initially Planned]])</f>
        <v>3</v>
      </c>
      <c r="P161"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61" s="210">
        <f>IF(Tabelle1324568910111213141516171618[[#This Row],[Status]]=$J$5,Tabelle1324568910111213141516171618[[#This Row],[COsSP Initially Planned]]+Tabelle1324568910111213141516171618[[#This Row],[COsSP Pulled after Start]]-Tabelle1324568910111213141516171618[[#This Row],[CSOsSP Completed]],0)</f>
        <v>0</v>
      </c>
      <c r="R161" s="210">
        <f>Tabelle1324568910111213141516171618[[#This Row],[COsSP Initially Planned]]+Tabelle1324568910111213141516171618[[#This Row],[COsSP Pulled after Start]]-Tabelle1324568910111213141516171618[[#This Row],[CSOsSP Completed]]-Tabelle1324568910111213141516171618[[#This Row],[CSOsSP Removed]]</f>
        <v>0</v>
      </c>
    </row>
    <row r="162" spans="1:18" ht="13.5" hidden="1" customHeight="1">
      <c r="A162" s="383" t="s">
        <v>383</v>
      </c>
      <c r="B162" s="47" t="s">
        <v>384</v>
      </c>
      <c r="C162" s="203" t="s">
        <v>375</v>
      </c>
      <c r="D162" s="203">
        <v>3</v>
      </c>
      <c r="E162" s="203" t="s">
        <v>324</v>
      </c>
      <c r="F162" s="204">
        <v>2</v>
      </c>
      <c r="G162" s="203" t="s">
        <v>27</v>
      </c>
      <c r="H162" s="205"/>
      <c r="I162" s="206"/>
      <c r="J162" s="206"/>
      <c r="K162" s="375" t="s">
        <v>125</v>
      </c>
      <c r="L162" s="204"/>
      <c r="M162" s="204"/>
      <c r="N162" s="286">
        <f>IF(OR(Tabelle1324568910111213141516171618[[#This Row],[Pulled after Start]]="yes",Tabelle1324568910111213141516171618[[#This Row],[Jira Story Points]]="-"),0,MIN(Tabelle1324568910111213141516171618[[#This Row],[Jira Story Points]],Tabelle1324568910111213141516171618[[#This Row],[Carry-over]]))</f>
        <v>2</v>
      </c>
      <c r="O162" s="210">
        <f>SUM(IF(ISBLANK(Tabelle1324568910111213141516171618[[#This Row],[Carry-over]]),Tabelle1324568910111213141516171618[[#This Row],[Jira Story Points]],Tabelle1324568910111213141516171618[[#This Row],[Carry-over]]),-Tabelle1324568910111213141516171618[[#This Row],[COsSP Initially Planned]])</f>
        <v>0</v>
      </c>
      <c r="P162"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62" s="210">
        <f>IF(Tabelle1324568910111213141516171618[[#This Row],[Status]]=$J$5,Tabelle1324568910111213141516171618[[#This Row],[COsSP Initially Planned]]+Tabelle1324568910111213141516171618[[#This Row],[COsSP Pulled after Start]]-Tabelle1324568910111213141516171618[[#This Row],[CSOsSP Completed]],0)</f>
        <v>0</v>
      </c>
      <c r="R162" s="210">
        <f>Tabelle1324568910111213141516171618[[#This Row],[COsSP Initially Planned]]+Tabelle1324568910111213141516171618[[#This Row],[COsSP Pulled after Start]]-Tabelle1324568910111213141516171618[[#This Row],[CSOsSP Completed]]-Tabelle1324568910111213141516171618[[#This Row],[CSOsSP Removed]]</f>
        <v>0</v>
      </c>
    </row>
    <row r="163" spans="1:18" ht="13.5" hidden="1" customHeight="1">
      <c r="A163" s="383" t="s">
        <v>387</v>
      </c>
      <c r="B163" s="47" t="s">
        <v>388</v>
      </c>
      <c r="C163" s="203" t="s">
        <v>372</v>
      </c>
      <c r="D163" s="203">
        <v>3</v>
      </c>
      <c r="E163" s="203" t="s">
        <v>324</v>
      </c>
      <c r="F163" s="204">
        <v>3</v>
      </c>
      <c r="G163" s="203" t="s">
        <v>27</v>
      </c>
      <c r="H163" s="205"/>
      <c r="I163" s="206"/>
      <c r="J163" s="206"/>
      <c r="K163" s="375" t="s">
        <v>125</v>
      </c>
      <c r="L163" s="204"/>
      <c r="M163" s="204"/>
      <c r="N163" s="286">
        <f>IF(OR(Tabelle1324568910111213141516171618[[#This Row],[Pulled after Start]]="yes",Tabelle1324568910111213141516171618[[#This Row],[Jira Story Points]]="-"),0,MIN(Tabelle1324568910111213141516171618[[#This Row],[Jira Story Points]],Tabelle1324568910111213141516171618[[#This Row],[Carry-over]]))</f>
        <v>3</v>
      </c>
      <c r="O163" s="210">
        <f>SUM(IF(ISBLANK(Tabelle1324568910111213141516171618[[#This Row],[Carry-over]]),Tabelle1324568910111213141516171618[[#This Row],[Jira Story Points]],Tabelle1324568910111213141516171618[[#This Row],[Carry-over]]),-Tabelle1324568910111213141516171618[[#This Row],[COsSP Initially Planned]])</f>
        <v>0</v>
      </c>
      <c r="P163"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63" s="210">
        <f>IF(Tabelle1324568910111213141516171618[[#This Row],[Status]]=$J$5,Tabelle1324568910111213141516171618[[#This Row],[COsSP Initially Planned]]+Tabelle1324568910111213141516171618[[#This Row],[COsSP Pulled after Start]]-Tabelle1324568910111213141516171618[[#This Row],[CSOsSP Completed]],0)</f>
        <v>0</v>
      </c>
      <c r="R163" s="210">
        <f>Tabelle1324568910111213141516171618[[#This Row],[COsSP Initially Planned]]+Tabelle1324568910111213141516171618[[#This Row],[COsSP Pulled after Start]]-Tabelle1324568910111213141516171618[[#This Row],[CSOsSP Completed]]-Tabelle1324568910111213141516171618[[#This Row],[CSOsSP Removed]]</f>
        <v>0</v>
      </c>
    </row>
    <row r="164" spans="1:18" ht="13.5" hidden="1" customHeight="1">
      <c r="A164" s="383" t="s">
        <v>393</v>
      </c>
      <c r="B164" s="47" t="s">
        <v>394</v>
      </c>
      <c r="C164" s="203" t="s">
        <v>372</v>
      </c>
      <c r="D164" s="203">
        <v>1</v>
      </c>
      <c r="E164" s="203" t="s">
        <v>324</v>
      </c>
      <c r="F164" s="204">
        <v>3</v>
      </c>
      <c r="G164" s="203" t="s">
        <v>27</v>
      </c>
      <c r="H164" s="205"/>
      <c r="I164" s="206"/>
      <c r="J164" s="206"/>
      <c r="K164" s="375" t="s">
        <v>125</v>
      </c>
      <c r="L164" s="204"/>
      <c r="M164" s="204"/>
      <c r="N164" s="286">
        <f>IF(OR(Tabelle1324568910111213141516171618[[#This Row],[Pulled after Start]]="yes",Tabelle1324568910111213141516171618[[#This Row],[Jira Story Points]]="-"),0,MIN(Tabelle1324568910111213141516171618[[#This Row],[Jira Story Points]],Tabelle1324568910111213141516171618[[#This Row],[Carry-over]]))</f>
        <v>3</v>
      </c>
      <c r="O164" s="210">
        <f>SUM(IF(ISBLANK(Tabelle1324568910111213141516171618[[#This Row],[Carry-over]]),Tabelle1324568910111213141516171618[[#This Row],[Jira Story Points]],Tabelle1324568910111213141516171618[[#This Row],[Carry-over]]),-Tabelle1324568910111213141516171618[[#This Row],[COsSP Initially Planned]])</f>
        <v>0</v>
      </c>
      <c r="P164"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64" s="210">
        <f>IF(Tabelle1324568910111213141516171618[[#This Row],[Status]]=$J$5,Tabelle1324568910111213141516171618[[#This Row],[COsSP Initially Planned]]+Tabelle1324568910111213141516171618[[#This Row],[COsSP Pulled after Start]]-Tabelle1324568910111213141516171618[[#This Row],[CSOsSP Completed]],0)</f>
        <v>0</v>
      </c>
      <c r="R164" s="210">
        <f>Tabelle1324568910111213141516171618[[#This Row],[COsSP Initially Planned]]+Tabelle1324568910111213141516171618[[#This Row],[COsSP Pulled after Start]]-Tabelle1324568910111213141516171618[[#This Row],[CSOsSP Completed]]-Tabelle1324568910111213141516171618[[#This Row],[CSOsSP Removed]]</f>
        <v>0</v>
      </c>
    </row>
    <row r="165" spans="1:18" ht="13.5" hidden="1" customHeight="1">
      <c r="A165" s="383" t="s">
        <v>428</v>
      </c>
      <c r="B165" s="47" t="s">
        <v>429</v>
      </c>
      <c r="C165" s="203" t="s">
        <v>372</v>
      </c>
      <c r="D165" s="203">
        <v>3</v>
      </c>
      <c r="E165" s="203" t="s">
        <v>327</v>
      </c>
      <c r="F165" s="204">
        <v>8</v>
      </c>
      <c r="G165" s="203" t="s">
        <v>27</v>
      </c>
      <c r="H165" s="205"/>
      <c r="I165" s="206"/>
      <c r="J165" s="206"/>
      <c r="K165" s="375" t="s">
        <v>127</v>
      </c>
      <c r="L165" s="204"/>
      <c r="M165" s="204">
        <v>1</v>
      </c>
      <c r="N165" s="286">
        <f>IF(OR(Tabelle1324568910111213141516171618[[#This Row],[Pulled after Start]]="yes",Tabelle1324568910111213141516171618[[#This Row],[Jira Story Points]]="-"),0,MIN(Tabelle1324568910111213141516171618[[#This Row],[Jira Story Points]],Tabelle1324568910111213141516171618[[#This Row],[Carry-over]]))</f>
        <v>8</v>
      </c>
      <c r="O165" s="210">
        <f>SUM(IF(ISBLANK(Tabelle1324568910111213141516171618[[#This Row],[Carry-over]]),Tabelle1324568910111213141516171618[[#This Row],[Jira Story Points]],Tabelle1324568910111213141516171618[[#This Row],[Carry-over]]),-Tabelle1324568910111213141516171618[[#This Row],[COsSP Initially Planned]])</f>
        <v>0</v>
      </c>
      <c r="P165"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7</v>
      </c>
      <c r="Q165" s="210">
        <f>IF(Tabelle1324568910111213141516171618[[#This Row],[Status]]=$J$5,Tabelle1324568910111213141516171618[[#This Row],[COsSP Initially Planned]]+Tabelle1324568910111213141516171618[[#This Row],[COsSP Pulled after Start]]-Tabelle1324568910111213141516171618[[#This Row],[CSOsSP Completed]],0)</f>
        <v>0</v>
      </c>
      <c r="R165" s="210">
        <f>Tabelle1324568910111213141516171618[[#This Row],[COsSP Initially Planned]]+Tabelle1324568910111213141516171618[[#This Row],[COsSP Pulled after Start]]-Tabelle1324568910111213141516171618[[#This Row],[CSOsSP Completed]]-Tabelle1324568910111213141516171618[[#This Row],[CSOsSP Removed]]</f>
        <v>1</v>
      </c>
    </row>
    <row r="166" spans="1:18" ht="13.5" hidden="1" customHeight="1">
      <c r="A166" s="383" t="s">
        <v>424</v>
      </c>
      <c r="B166" s="47" t="s">
        <v>425</v>
      </c>
      <c r="C166" s="203" t="s">
        <v>372</v>
      </c>
      <c r="D166" s="203">
        <v>3</v>
      </c>
      <c r="E166" s="203" t="s">
        <v>327</v>
      </c>
      <c r="F166" s="204">
        <v>8</v>
      </c>
      <c r="G166" s="203" t="s">
        <v>27</v>
      </c>
      <c r="H166" s="205"/>
      <c r="I166" s="206"/>
      <c r="J166" s="206"/>
      <c r="K166" s="375" t="s">
        <v>127</v>
      </c>
      <c r="L166" s="204"/>
      <c r="M166" s="204"/>
      <c r="N166" s="286">
        <f>IF(OR(Tabelle1324568910111213141516171618[[#This Row],[Pulled after Start]]="yes",Tabelle1324568910111213141516171618[[#This Row],[Jira Story Points]]="-"),0,MIN(Tabelle1324568910111213141516171618[[#This Row],[Jira Story Points]],Tabelle1324568910111213141516171618[[#This Row],[Carry-over]]))</f>
        <v>8</v>
      </c>
      <c r="O166" s="210">
        <f>SUM(IF(ISBLANK(Tabelle1324568910111213141516171618[[#This Row],[Carry-over]]),Tabelle1324568910111213141516171618[[#This Row],[Jira Story Points]],Tabelle1324568910111213141516171618[[#This Row],[Carry-over]]),-Tabelle1324568910111213141516171618[[#This Row],[COsSP Initially Planned]])</f>
        <v>0</v>
      </c>
      <c r="P166"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166" s="210">
        <f>IF(Tabelle1324568910111213141516171618[[#This Row],[Status]]=$J$5,Tabelle1324568910111213141516171618[[#This Row],[COsSP Initially Planned]]+Tabelle1324568910111213141516171618[[#This Row],[COsSP Pulled after Start]]-Tabelle1324568910111213141516171618[[#This Row],[CSOsSP Completed]],0)</f>
        <v>0</v>
      </c>
      <c r="R166" s="210">
        <f>Tabelle1324568910111213141516171618[[#This Row],[COsSP Initially Planned]]+Tabelle1324568910111213141516171618[[#This Row],[COsSP Pulled after Start]]-Tabelle1324568910111213141516171618[[#This Row],[CSOsSP Completed]]-Tabelle1324568910111213141516171618[[#This Row],[CSOsSP Removed]]</f>
        <v>8</v>
      </c>
    </row>
    <row r="167" spans="1:18" ht="13.5" hidden="1" customHeight="1">
      <c r="A167" s="383" t="s">
        <v>399</v>
      </c>
      <c r="B167" s="47" t="s">
        <v>400</v>
      </c>
      <c r="C167" s="203" t="s">
        <v>372</v>
      </c>
      <c r="D167" s="203">
        <v>3</v>
      </c>
      <c r="E167" s="203" t="s">
        <v>324</v>
      </c>
      <c r="F167" s="204">
        <v>1</v>
      </c>
      <c r="G167" s="203" t="s">
        <v>27</v>
      </c>
      <c r="H167" s="205"/>
      <c r="I167" s="206"/>
      <c r="J167" s="206"/>
      <c r="K167" s="375" t="s">
        <v>125</v>
      </c>
      <c r="L167" s="204"/>
      <c r="M167" s="204"/>
      <c r="N167" s="286">
        <f>IF(OR(Tabelle1324568910111213141516171618[[#This Row],[Pulled after Start]]="yes",Tabelle1324568910111213141516171618[[#This Row],[Jira Story Points]]="-"),0,MIN(Tabelle1324568910111213141516171618[[#This Row],[Jira Story Points]],Tabelle1324568910111213141516171618[[#This Row],[Carry-over]]))</f>
        <v>1</v>
      </c>
      <c r="O167" s="210">
        <f>SUM(IF(ISBLANK(Tabelle1324568910111213141516171618[[#This Row],[Carry-over]]),Tabelle1324568910111213141516171618[[#This Row],[Jira Story Points]],Tabelle1324568910111213141516171618[[#This Row],[Carry-over]]),-Tabelle1324568910111213141516171618[[#This Row],[COsSP Initially Planned]])</f>
        <v>0</v>
      </c>
      <c r="P167"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167" s="210">
        <f>IF(Tabelle1324568910111213141516171618[[#This Row],[Status]]=$J$5,Tabelle1324568910111213141516171618[[#This Row],[COsSP Initially Planned]]+Tabelle1324568910111213141516171618[[#This Row],[COsSP Pulled after Start]]-Tabelle1324568910111213141516171618[[#This Row],[CSOsSP Completed]],0)</f>
        <v>0</v>
      </c>
      <c r="R167" s="210">
        <f>Tabelle1324568910111213141516171618[[#This Row],[COsSP Initially Planned]]+Tabelle1324568910111213141516171618[[#This Row],[COsSP Pulled after Start]]-Tabelle1324568910111213141516171618[[#This Row],[CSOsSP Completed]]-Tabelle1324568910111213141516171618[[#This Row],[CSOsSP Removed]]</f>
        <v>0</v>
      </c>
    </row>
    <row r="168" spans="1:18" ht="13.5" hidden="1" customHeight="1">
      <c r="A168" s="383" t="s">
        <v>385</v>
      </c>
      <c r="B168" s="47" t="s">
        <v>386</v>
      </c>
      <c r="C168" s="203" t="s">
        <v>382</v>
      </c>
      <c r="D168" s="203">
        <v>3</v>
      </c>
      <c r="E168" s="203" t="s">
        <v>330</v>
      </c>
      <c r="F168" s="204">
        <v>1</v>
      </c>
      <c r="G168" s="203" t="s">
        <v>27</v>
      </c>
      <c r="H168" s="205"/>
      <c r="I168" s="206"/>
      <c r="J168" s="206"/>
      <c r="K168" s="375" t="s">
        <v>125</v>
      </c>
      <c r="L168" s="204"/>
      <c r="M168" s="204"/>
      <c r="N168" s="286">
        <f>IF(OR(Tabelle1324568910111213141516171618[[#This Row],[Pulled after Start]]="yes",Tabelle1324568910111213141516171618[[#This Row],[Jira Story Points]]="-"),0,MIN(Tabelle1324568910111213141516171618[[#This Row],[Jira Story Points]],Tabelle1324568910111213141516171618[[#This Row],[Carry-over]]))</f>
        <v>1</v>
      </c>
      <c r="O168" s="210">
        <f>SUM(IF(ISBLANK(Tabelle1324568910111213141516171618[[#This Row],[Carry-over]]),Tabelle1324568910111213141516171618[[#This Row],[Jira Story Points]],Tabelle1324568910111213141516171618[[#This Row],[Carry-over]]),-Tabelle1324568910111213141516171618[[#This Row],[COsSP Initially Planned]])</f>
        <v>0</v>
      </c>
      <c r="P168"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168" s="210">
        <f>IF(Tabelle1324568910111213141516171618[[#This Row],[Status]]=$J$5,Tabelle1324568910111213141516171618[[#This Row],[COsSP Initially Planned]]+Tabelle1324568910111213141516171618[[#This Row],[COsSP Pulled after Start]]-Tabelle1324568910111213141516171618[[#This Row],[CSOsSP Completed]],0)</f>
        <v>0</v>
      </c>
      <c r="R168" s="210">
        <f>Tabelle1324568910111213141516171618[[#This Row],[COsSP Initially Planned]]+Tabelle1324568910111213141516171618[[#This Row],[COsSP Pulled after Start]]-Tabelle1324568910111213141516171618[[#This Row],[CSOsSP Completed]]-Tabelle1324568910111213141516171618[[#This Row],[CSOsSP Removed]]</f>
        <v>0</v>
      </c>
    </row>
    <row r="169" spans="1:18" ht="13.5" hidden="1" customHeight="1">
      <c r="A169" s="383" t="s">
        <v>685</v>
      </c>
      <c r="B169" s="47" t="s">
        <v>686</v>
      </c>
      <c r="C169" s="203" t="s">
        <v>382</v>
      </c>
      <c r="D169" s="203">
        <v>3</v>
      </c>
      <c r="E169" s="203" t="s">
        <v>324</v>
      </c>
      <c r="F169" s="204">
        <v>0</v>
      </c>
      <c r="G169" s="203" t="s">
        <v>27</v>
      </c>
      <c r="H169" s="205"/>
      <c r="I169" s="206"/>
      <c r="J169" s="206"/>
      <c r="K169" s="375" t="s">
        <v>125</v>
      </c>
      <c r="L169" s="204"/>
      <c r="M169" s="204"/>
      <c r="N169" s="286">
        <f>IF(OR(Tabelle1324568910111213141516171618[[#This Row],[Pulled after Start]]="yes",Tabelle1324568910111213141516171618[[#This Row],[Jira Story Points]]="-"),0,MIN(Tabelle1324568910111213141516171618[[#This Row],[Jira Story Points]],Tabelle1324568910111213141516171618[[#This Row],[Carry-over]]))</f>
        <v>0</v>
      </c>
      <c r="O169" s="210">
        <f>SUM(IF(ISBLANK(Tabelle1324568910111213141516171618[[#This Row],[Carry-over]]),Tabelle1324568910111213141516171618[[#This Row],[Jira Story Points]],Tabelle1324568910111213141516171618[[#This Row],[Carry-over]]),-Tabelle1324568910111213141516171618[[#This Row],[COsSP Initially Planned]])</f>
        <v>0</v>
      </c>
      <c r="P169"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169" s="210">
        <f>IF(Tabelle1324568910111213141516171618[[#This Row],[Status]]=$J$5,Tabelle1324568910111213141516171618[[#This Row],[COsSP Initially Planned]]+Tabelle1324568910111213141516171618[[#This Row],[COsSP Pulled after Start]]-Tabelle1324568910111213141516171618[[#This Row],[CSOsSP Completed]],0)</f>
        <v>0</v>
      </c>
      <c r="R169" s="210">
        <f>Tabelle1324568910111213141516171618[[#This Row],[COsSP Initially Planned]]+Tabelle1324568910111213141516171618[[#This Row],[COsSP Pulled after Start]]-Tabelle1324568910111213141516171618[[#This Row],[CSOsSP Completed]]-Tabelle1324568910111213141516171618[[#This Row],[CSOsSP Removed]]</f>
        <v>0</v>
      </c>
    </row>
    <row r="170" spans="1:18" ht="13.5" hidden="1" customHeight="1">
      <c r="A170" s="383" t="s">
        <v>391</v>
      </c>
      <c r="B170" s="47" t="s">
        <v>392</v>
      </c>
      <c r="C170" s="203" t="s">
        <v>372</v>
      </c>
      <c r="D170" s="203">
        <v>3</v>
      </c>
      <c r="E170" s="203" t="s">
        <v>324</v>
      </c>
      <c r="F170" s="204">
        <v>2</v>
      </c>
      <c r="G170" s="203" t="s">
        <v>27</v>
      </c>
      <c r="H170" s="205"/>
      <c r="I170" s="206"/>
      <c r="J170" s="206"/>
      <c r="K170" s="375" t="s">
        <v>125</v>
      </c>
      <c r="L170" s="204"/>
      <c r="M170" s="204"/>
      <c r="N170" s="286">
        <f>IF(OR(Tabelle1324568910111213141516171618[[#This Row],[Pulled after Start]]="yes",Tabelle1324568910111213141516171618[[#This Row],[Jira Story Points]]="-"),0,MIN(Tabelle1324568910111213141516171618[[#This Row],[Jira Story Points]],Tabelle1324568910111213141516171618[[#This Row],[Carry-over]]))</f>
        <v>2</v>
      </c>
      <c r="O170" s="210">
        <f>SUM(IF(ISBLANK(Tabelle1324568910111213141516171618[[#This Row],[Carry-over]]),Tabelle1324568910111213141516171618[[#This Row],[Jira Story Points]],Tabelle1324568910111213141516171618[[#This Row],[Carry-over]]),-Tabelle1324568910111213141516171618[[#This Row],[COsSP Initially Planned]])</f>
        <v>0</v>
      </c>
      <c r="P170"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70" s="210">
        <f>IF(Tabelle1324568910111213141516171618[[#This Row],[Status]]=$J$5,Tabelle1324568910111213141516171618[[#This Row],[COsSP Initially Planned]]+Tabelle1324568910111213141516171618[[#This Row],[COsSP Pulled after Start]]-Tabelle1324568910111213141516171618[[#This Row],[CSOsSP Completed]],0)</f>
        <v>0</v>
      </c>
      <c r="R170" s="210">
        <f>Tabelle1324568910111213141516171618[[#This Row],[COsSP Initially Planned]]+Tabelle1324568910111213141516171618[[#This Row],[COsSP Pulled after Start]]-Tabelle1324568910111213141516171618[[#This Row],[CSOsSP Completed]]-Tabelle1324568910111213141516171618[[#This Row],[CSOsSP Removed]]</f>
        <v>0</v>
      </c>
    </row>
    <row r="171" spans="1:18" ht="13.5" hidden="1" customHeight="1">
      <c r="A171" s="383" t="s">
        <v>395</v>
      </c>
      <c r="B171" s="47" t="s">
        <v>396</v>
      </c>
      <c r="C171" s="203" t="s">
        <v>382</v>
      </c>
      <c r="D171" s="203">
        <v>3</v>
      </c>
      <c r="E171" s="203" t="s">
        <v>324</v>
      </c>
      <c r="F171" s="204">
        <v>1</v>
      </c>
      <c r="G171" s="203" t="s">
        <v>27</v>
      </c>
      <c r="H171" s="205"/>
      <c r="I171" s="206"/>
      <c r="J171" s="206"/>
      <c r="K171" s="375" t="s">
        <v>125</v>
      </c>
      <c r="L171" s="204"/>
      <c r="M171" s="204"/>
      <c r="N171" s="286">
        <f>IF(OR(Tabelle1324568910111213141516171618[[#This Row],[Pulled after Start]]="yes",Tabelle1324568910111213141516171618[[#This Row],[Jira Story Points]]="-"),0,MIN(Tabelle1324568910111213141516171618[[#This Row],[Jira Story Points]],Tabelle1324568910111213141516171618[[#This Row],[Carry-over]]))</f>
        <v>1</v>
      </c>
      <c r="O171" s="210">
        <f>SUM(IF(ISBLANK(Tabelle1324568910111213141516171618[[#This Row],[Carry-over]]),Tabelle1324568910111213141516171618[[#This Row],[Jira Story Points]],Tabelle1324568910111213141516171618[[#This Row],[Carry-over]]),-Tabelle1324568910111213141516171618[[#This Row],[COsSP Initially Planned]])</f>
        <v>0</v>
      </c>
      <c r="P171"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171" s="210">
        <f>IF(Tabelle1324568910111213141516171618[[#This Row],[Status]]=$J$5,Tabelle1324568910111213141516171618[[#This Row],[COsSP Initially Planned]]+Tabelle1324568910111213141516171618[[#This Row],[COsSP Pulled after Start]]-Tabelle1324568910111213141516171618[[#This Row],[CSOsSP Completed]],0)</f>
        <v>0</v>
      </c>
      <c r="R171" s="210">
        <f>Tabelle1324568910111213141516171618[[#This Row],[COsSP Initially Planned]]+Tabelle1324568910111213141516171618[[#This Row],[COsSP Pulled after Start]]-Tabelle1324568910111213141516171618[[#This Row],[CSOsSP Completed]]-Tabelle1324568910111213141516171618[[#This Row],[CSOsSP Removed]]</f>
        <v>0</v>
      </c>
    </row>
    <row r="172" spans="1:18" ht="13.5" hidden="1" customHeight="1">
      <c r="A172" s="383" t="s">
        <v>397</v>
      </c>
      <c r="B172" s="47" t="s">
        <v>398</v>
      </c>
      <c r="C172" s="203" t="s">
        <v>382</v>
      </c>
      <c r="D172" s="203">
        <v>3</v>
      </c>
      <c r="E172" s="203" t="s">
        <v>351</v>
      </c>
      <c r="F172" s="204">
        <v>3</v>
      </c>
      <c r="G172" s="203" t="s">
        <v>27</v>
      </c>
      <c r="H172" s="205"/>
      <c r="I172" s="206"/>
      <c r="J172" s="206"/>
      <c r="K172" s="375" t="s">
        <v>125</v>
      </c>
      <c r="L172" s="204"/>
      <c r="M172" s="204"/>
      <c r="N172" s="286">
        <f>IF(OR(Tabelle1324568910111213141516171618[[#This Row],[Pulled after Start]]="yes",Tabelle1324568910111213141516171618[[#This Row],[Jira Story Points]]="-"),0,MIN(Tabelle1324568910111213141516171618[[#This Row],[Jira Story Points]],Tabelle1324568910111213141516171618[[#This Row],[Carry-over]]))</f>
        <v>3</v>
      </c>
      <c r="O172" s="210">
        <f>SUM(IF(ISBLANK(Tabelle1324568910111213141516171618[[#This Row],[Carry-over]]),Tabelle1324568910111213141516171618[[#This Row],[Jira Story Points]],Tabelle1324568910111213141516171618[[#This Row],[Carry-over]]),-Tabelle1324568910111213141516171618[[#This Row],[COsSP Initially Planned]])</f>
        <v>0</v>
      </c>
      <c r="P172"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72" s="210">
        <f>IF(Tabelle1324568910111213141516171618[[#This Row],[Status]]=$J$5,Tabelle1324568910111213141516171618[[#This Row],[COsSP Initially Planned]]+Tabelle1324568910111213141516171618[[#This Row],[COsSP Pulled after Start]]-Tabelle1324568910111213141516171618[[#This Row],[CSOsSP Completed]],0)</f>
        <v>0</v>
      </c>
      <c r="R172" s="210">
        <f>Tabelle1324568910111213141516171618[[#This Row],[COsSP Initially Planned]]+Tabelle1324568910111213141516171618[[#This Row],[COsSP Pulled after Start]]-Tabelle1324568910111213141516171618[[#This Row],[CSOsSP Completed]]-Tabelle1324568910111213141516171618[[#This Row],[CSOsSP Removed]]</f>
        <v>0</v>
      </c>
    </row>
    <row r="173" spans="1:18" ht="13.5" hidden="1" customHeight="1">
      <c r="A173" s="383" t="s">
        <v>389</v>
      </c>
      <c r="B173" s="47" t="s">
        <v>390</v>
      </c>
      <c r="C173" s="203" t="s">
        <v>375</v>
      </c>
      <c r="D173" s="203">
        <v>4</v>
      </c>
      <c r="E173" s="203" t="s">
        <v>324</v>
      </c>
      <c r="F173" s="204">
        <v>3</v>
      </c>
      <c r="G173" s="203" t="s">
        <v>27</v>
      </c>
      <c r="H173" s="205" t="s">
        <v>209</v>
      </c>
      <c r="I173" s="206"/>
      <c r="J173" s="206"/>
      <c r="K173" s="375" t="s">
        <v>125</v>
      </c>
      <c r="L173" s="204"/>
      <c r="M173" s="204"/>
      <c r="N173" s="286">
        <f>IF(OR(Tabelle1324568910111213141516171618[[#This Row],[Pulled after Start]]="yes",Tabelle1324568910111213141516171618[[#This Row],[Jira Story Points]]="-"),0,MIN(Tabelle1324568910111213141516171618[[#This Row],[Jira Story Points]],Tabelle1324568910111213141516171618[[#This Row],[Carry-over]]))</f>
        <v>0</v>
      </c>
      <c r="O173" s="210">
        <f>SUM(IF(ISBLANK(Tabelle1324568910111213141516171618[[#This Row],[Carry-over]]),Tabelle1324568910111213141516171618[[#This Row],[Jira Story Points]],Tabelle1324568910111213141516171618[[#This Row],[Carry-over]]),-Tabelle1324568910111213141516171618[[#This Row],[COsSP Initially Planned]])</f>
        <v>3</v>
      </c>
      <c r="P173"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73" s="210">
        <f>IF(Tabelle1324568910111213141516171618[[#This Row],[Status]]=$J$5,Tabelle1324568910111213141516171618[[#This Row],[COsSP Initially Planned]]+Tabelle1324568910111213141516171618[[#This Row],[COsSP Pulled after Start]]-Tabelle1324568910111213141516171618[[#This Row],[CSOsSP Completed]],0)</f>
        <v>0</v>
      </c>
      <c r="R173" s="210">
        <f>Tabelle1324568910111213141516171618[[#This Row],[COsSP Initially Planned]]+Tabelle1324568910111213141516171618[[#This Row],[COsSP Pulled after Start]]-Tabelle1324568910111213141516171618[[#This Row],[CSOsSP Completed]]-Tabelle1324568910111213141516171618[[#This Row],[CSOsSP Removed]]</f>
        <v>0</v>
      </c>
    </row>
    <row r="174" spans="1:18" ht="13.5" hidden="1" customHeight="1">
      <c r="A174" s="383" t="s">
        <v>373</v>
      </c>
      <c r="B174" s="47" t="s">
        <v>374</v>
      </c>
      <c r="C174" s="203" t="s">
        <v>375</v>
      </c>
      <c r="D174" s="203">
        <v>3</v>
      </c>
      <c r="E174" s="203" t="s">
        <v>324</v>
      </c>
      <c r="F174" s="204">
        <v>3</v>
      </c>
      <c r="G174" s="203" t="s">
        <v>27</v>
      </c>
      <c r="H174" s="205"/>
      <c r="I174" s="206"/>
      <c r="J174" s="206"/>
      <c r="K174" s="375" t="s">
        <v>125</v>
      </c>
      <c r="L174" s="204"/>
      <c r="M174" s="204"/>
      <c r="N174" s="286">
        <f>IF(OR(Tabelle1324568910111213141516171618[[#This Row],[Pulled after Start]]="yes",Tabelle1324568910111213141516171618[[#This Row],[Jira Story Points]]="-"),0,MIN(Tabelle1324568910111213141516171618[[#This Row],[Jira Story Points]],Tabelle1324568910111213141516171618[[#This Row],[Carry-over]]))</f>
        <v>3</v>
      </c>
      <c r="O174" s="210">
        <f>SUM(IF(ISBLANK(Tabelle1324568910111213141516171618[[#This Row],[Carry-over]]),Tabelle1324568910111213141516171618[[#This Row],[Jira Story Points]],Tabelle1324568910111213141516171618[[#This Row],[Carry-over]]),-Tabelle1324568910111213141516171618[[#This Row],[COsSP Initially Planned]])</f>
        <v>0</v>
      </c>
      <c r="P174"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74" s="210">
        <f>IF(Tabelle1324568910111213141516171618[[#This Row],[Status]]=$J$5,Tabelle1324568910111213141516171618[[#This Row],[COsSP Initially Planned]]+Tabelle1324568910111213141516171618[[#This Row],[COsSP Pulled after Start]]-Tabelle1324568910111213141516171618[[#This Row],[CSOsSP Completed]],0)</f>
        <v>0</v>
      </c>
      <c r="R174" s="210">
        <f>Tabelle1324568910111213141516171618[[#This Row],[COsSP Initially Planned]]+Tabelle1324568910111213141516171618[[#This Row],[COsSP Pulled after Start]]-Tabelle1324568910111213141516171618[[#This Row],[CSOsSP Completed]]-Tabelle1324568910111213141516171618[[#This Row],[CSOsSP Removed]]</f>
        <v>0</v>
      </c>
    </row>
    <row r="175" spans="1:18" ht="13.5" hidden="1" customHeight="1">
      <c r="A175" s="383" t="s">
        <v>432</v>
      </c>
      <c r="B175" s="47" t="s">
        <v>433</v>
      </c>
      <c r="C175" s="203" t="s">
        <v>375</v>
      </c>
      <c r="D175" s="203">
        <v>3</v>
      </c>
      <c r="E175" s="203" t="s">
        <v>327</v>
      </c>
      <c r="F175" s="204">
        <v>3</v>
      </c>
      <c r="G175" s="203" t="s">
        <v>27</v>
      </c>
      <c r="H175" s="205"/>
      <c r="I175" s="206"/>
      <c r="J175" s="206"/>
      <c r="K175" s="375" t="s">
        <v>127</v>
      </c>
      <c r="L175" s="204"/>
      <c r="M175" s="204">
        <v>3</v>
      </c>
      <c r="N175" s="286">
        <f>IF(OR(Tabelle1324568910111213141516171618[[#This Row],[Pulled after Start]]="yes",Tabelle1324568910111213141516171618[[#This Row],[Jira Story Points]]="-"),0,MIN(Tabelle1324568910111213141516171618[[#This Row],[Jira Story Points]],Tabelle1324568910111213141516171618[[#This Row],[Carry-over]]))</f>
        <v>3</v>
      </c>
      <c r="O175" s="210">
        <f>SUM(IF(ISBLANK(Tabelle1324568910111213141516171618[[#This Row],[Carry-over]]),Tabelle1324568910111213141516171618[[#This Row],[Jira Story Points]],Tabelle1324568910111213141516171618[[#This Row],[Carry-over]]),-Tabelle1324568910111213141516171618[[#This Row],[COsSP Initially Planned]])</f>
        <v>0</v>
      </c>
      <c r="P175"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175" s="210">
        <f>IF(Tabelle1324568910111213141516171618[[#This Row],[Status]]=$J$5,Tabelle1324568910111213141516171618[[#This Row],[COsSP Initially Planned]]+Tabelle1324568910111213141516171618[[#This Row],[COsSP Pulled after Start]]-Tabelle1324568910111213141516171618[[#This Row],[CSOsSP Completed]],0)</f>
        <v>0</v>
      </c>
      <c r="R175" s="210">
        <f>Tabelle1324568910111213141516171618[[#This Row],[COsSP Initially Planned]]+Tabelle1324568910111213141516171618[[#This Row],[COsSP Pulled after Start]]-Tabelle1324568910111213141516171618[[#This Row],[CSOsSP Completed]]-Tabelle1324568910111213141516171618[[#This Row],[CSOsSP Removed]]</f>
        <v>3</v>
      </c>
    </row>
    <row r="176" spans="1:18" ht="13.5" hidden="1" customHeight="1">
      <c r="A176" s="383" t="s">
        <v>426</v>
      </c>
      <c r="B176" s="47" t="s">
        <v>427</v>
      </c>
      <c r="C176" s="203" t="s">
        <v>375</v>
      </c>
      <c r="D176" s="203">
        <v>3</v>
      </c>
      <c r="E176" s="203" t="s">
        <v>327</v>
      </c>
      <c r="F176" s="204">
        <v>5</v>
      </c>
      <c r="G176" s="203" t="s">
        <v>27</v>
      </c>
      <c r="H176" s="205"/>
      <c r="I176" s="206"/>
      <c r="J176" s="206"/>
      <c r="K176" s="375" t="s">
        <v>127</v>
      </c>
      <c r="L176" s="204"/>
      <c r="M176" s="204">
        <v>2</v>
      </c>
      <c r="N176" s="286">
        <f>IF(OR(Tabelle1324568910111213141516171618[[#This Row],[Pulled after Start]]="yes",Tabelle1324568910111213141516171618[[#This Row],[Jira Story Points]]="-"),0,MIN(Tabelle1324568910111213141516171618[[#This Row],[Jira Story Points]],Tabelle1324568910111213141516171618[[#This Row],[Carry-over]]))</f>
        <v>5</v>
      </c>
      <c r="O176" s="210">
        <f>SUM(IF(ISBLANK(Tabelle1324568910111213141516171618[[#This Row],[Carry-over]]),Tabelle1324568910111213141516171618[[#This Row],[Jira Story Points]],Tabelle1324568910111213141516171618[[#This Row],[Carry-over]]),-Tabelle1324568910111213141516171618[[#This Row],[COsSP Initially Planned]])</f>
        <v>0</v>
      </c>
      <c r="P176"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76" s="210">
        <f>IF(Tabelle1324568910111213141516171618[[#This Row],[Status]]=$J$5,Tabelle1324568910111213141516171618[[#This Row],[COsSP Initially Planned]]+Tabelle1324568910111213141516171618[[#This Row],[COsSP Pulled after Start]]-Tabelle1324568910111213141516171618[[#This Row],[CSOsSP Completed]],0)</f>
        <v>0</v>
      </c>
      <c r="R176" s="210">
        <f>Tabelle1324568910111213141516171618[[#This Row],[COsSP Initially Planned]]+Tabelle1324568910111213141516171618[[#This Row],[COsSP Pulled after Start]]-Tabelle1324568910111213141516171618[[#This Row],[CSOsSP Completed]]-Tabelle1324568910111213141516171618[[#This Row],[CSOsSP Removed]]</f>
        <v>2</v>
      </c>
    </row>
    <row r="177" spans="1:18" ht="13.5" hidden="1" customHeight="1">
      <c r="A177" s="383" t="s">
        <v>376</v>
      </c>
      <c r="B177" s="47" t="s">
        <v>377</v>
      </c>
      <c r="C177" s="203" t="s">
        <v>375</v>
      </c>
      <c r="D177" s="203">
        <v>4</v>
      </c>
      <c r="E177" s="203" t="s">
        <v>324</v>
      </c>
      <c r="F177" s="204">
        <v>3</v>
      </c>
      <c r="G177" s="203" t="s">
        <v>27</v>
      </c>
      <c r="H177" s="205"/>
      <c r="I177" s="206"/>
      <c r="J177" s="206"/>
      <c r="K177" s="375" t="s">
        <v>125</v>
      </c>
      <c r="L177" s="204"/>
      <c r="M177" s="204"/>
      <c r="N177" s="286">
        <f>IF(OR(Tabelle1324568910111213141516171618[[#This Row],[Pulled after Start]]="yes",Tabelle1324568910111213141516171618[[#This Row],[Jira Story Points]]="-"),0,MIN(Tabelle1324568910111213141516171618[[#This Row],[Jira Story Points]],Tabelle1324568910111213141516171618[[#This Row],[Carry-over]]))</f>
        <v>3</v>
      </c>
      <c r="O177" s="210">
        <f>SUM(IF(ISBLANK(Tabelle1324568910111213141516171618[[#This Row],[Carry-over]]),Tabelle1324568910111213141516171618[[#This Row],[Jira Story Points]],Tabelle1324568910111213141516171618[[#This Row],[Carry-over]]),-Tabelle1324568910111213141516171618[[#This Row],[COsSP Initially Planned]])</f>
        <v>0</v>
      </c>
      <c r="P177"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77" s="210">
        <f>IF(Tabelle1324568910111213141516171618[[#This Row],[Status]]=$J$5,Tabelle1324568910111213141516171618[[#This Row],[COsSP Initially Planned]]+Tabelle1324568910111213141516171618[[#This Row],[COsSP Pulled after Start]]-Tabelle1324568910111213141516171618[[#This Row],[CSOsSP Completed]],0)</f>
        <v>0</v>
      </c>
      <c r="R177" s="210">
        <f>Tabelle1324568910111213141516171618[[#This Row],[COsSP Initially Planned]]+Tabelle1324568910111213141516171618[[#This Row],[COsSP Pulled after Start]]-Tabelle1324568910111213141516171618[[#This Row],[CSOsSP Completed]]-Tabelle1324568910111213141516171618[[#This Row],[CSOsSP Removed]]</f>
        <v>0</v>
      </c>
    </row>
    <row r="178" spans="1:18" ht="13.5" hidden="1" customHeight="1">
      <c r="A178" s="383" t="s">
        <v>412</v>
      </c>
      <c r="B178" s="47" t="s">
        <v>413</v>
      </c>
      <c r="C178" s="203" t="s">
        <v>372</v>
      </c>
      <c r="D178" s="203">
        <v>3</v>
      </c>
      <c r="E178" s="203" t="s">
        <v>324</v>
      </c>
      <c r="F178" s="204">
        <v>1</v>
      </c>
      <c r="G178" s="203" t="s">
        <v>27</v>
      </c>
      <c r="H178" s="205" t="s">
        <v>209</v>
      </c>
      <c r="I178" s="206"/>
      <c r="J178" s="206"/>
      <c r="K178" s="375" t="s">
        <v>125</v>
      </c>
      <c r="L178" s="204"/>
      <c r="M178" s="204"/>
      <c r="N178" s="286">
        <f>IF(OR(Tabelle1324568910111213141516171618[[#This Row],[Pulled after Start]]="yes",Tabelle1324568910111213141516171618[[#This Row],[Jira Story Points]]="-"),0,MIN(Tabelle1324568910111213141516171618[[#This Row],[Jira Story Points]],Tabelle1324568910111213141516171618[[#This Row],[Carry-over]]))</f>
        <v>0</v>
      </c>
      <c r="O178" s="210">
        <f>SUM(IF(ISBLANK(Tabelle1324568910111213141516171618[[#This Row],[Carry-over]]),Tabelle1324568910111213141516171618[[#This Row],[Jira Story Points]],Tabelle1324568910111213141516171618[[#This Row],[Carry-over]]),-Tabelle1324568910111213141516171618[[#This Row],[COsSP Initially Planned]])</f>
        <v>1</v>
      </c>
      <c r="P178"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178" s="210">
        <f>IF(Tabelle1324568910111213141516171618[[#This Row],[Status]]=$J$5,Tabelle1324568910111213141516171618[[#This Row],[COsSP Initially Planned]]+Tabelle1324568910111213141516171618[[#This Row],[COsSP Pulled after Start]]-Tabelle1324568910111213141516171618[[#This Row],[CSOsSP Completed]],0)</f>
        <v>0</v>
      </c>
      <c r="R178" s="210">
        <f>Tabelle1324568910111213141516171618[[#This Row],[COsSP Initially Planned]]+Tabelle1324568910111213141516171618[[#This Row],[COsSP Pulled after Start]]-Tabelle1324568910111213141516171618[[#This Row],[CSOsSP Completed]]-Tabelle1324568910111213141516171618[[#This Row],[CSOsSP Removed]]</f>
        <v>0</v>
      </c>
    </row>
    <row r="179" spans="1:18" ht="13.5" hidden="1" customHeight="1">
      <c r="A179" s="383" t="s">
        <v>414</v>
      </c>
      <c r="B179" s="47" t="s">
        <v>415</v>
      </c>
      <c r="C179" s="203" t="s">
        <v>372</v>
      </c>
      <c r="D179" s="203">
        <v>3</v>
      </c>
      <c r="E179" s="203" t="s">
        <v>324</v>
      </c>
      <c r="F179" s="204">
        <v>1</v>
      </c>
      <c r="G179" s="203" t="s">
        <v>27</v>
      </c>
      <c r="H179" s="205"/>
      <c r="I179" s="206"/>
      <c r="J179" s="206"/>
      <c r="K179" s="375" t="s">
        <v>125</v>
      </c>
      <c r="L179" s="204"/>
      <c r="M179" s="204"/>
      <c r="N179" s="286">
        <f>IF(OR(Tabelle1324568910111213141516171618[[#This Row],[Pulled after Start]]="yes",Tabelle1324568910111213141516171618[[#This Row],[Jira Story Points]]="-"),0,MIN(Tabelle1324568910111213141516171618[[#This Row],[Jira Story Points]],Tabelle1324568910111213141516171618[[#This Row],[Carry-over]]))</f>
        <v>1</v>
      </c>
      <c r="O179" s="210">
        <f>SUM(IF(ISBLANK(Tabelle1324568910111213141516171618[[#This Row],[Carry-over]]),Tabelle1324568910111213141516171618[[#This Row],[Jira Story Points]],Tabelle1324568910111213141516171618[[#This Row],[Carry-over]]),-Tabelle1324568910111213141516171618[[#This Row],[COsSP Initially Planned]])</f>
        <v>0</v>
      </c>
      <c r="P179"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179" s="210">
        <f>IF(Tabelle1324568910111213141516171618[[#This Row],[Status]]=$J$5,Tabelle1324568910111213141516171618[[#This Row],[COsSP Initially Planned]]+Tabelle1324568910111213141516171618[[#This Row],[COsSP Pulled after Start]]-Tabelle1324568910111213141516171618[[#This Row],[CSOsSP Completed]],0)</f>
        <v>0</v>
      </c>
      <c r="R179" s="210">
        <f>Tabelle1324568910111213141516171618[[#This Row],[COsSP Initially Planned]]+Tabelle1324568910111213141516171618[[#This Row],[COsSP Pulled after Start]]-Tabelle1324568910111213141516171618[[#This Row],[CSOsSP Completed]]-Tabelle1324568910111213141516171618[[#This Row],[CSOsSP Removed]]</f>
        <v>0</v>
      </c>
    </row>
    <row r="180" spans="1:18" ht="13.5" hidden="1" customHeight="1">
      <c r="A180" s="383" t="s">
        <v>418</v>
      </c>
      <c r="B180" s="47" t="s">
        <v>419</v>
      </c>
      <c r="C180" s="203" t="s">
        <v>372</v>
      </c>
      <c r="D180" s="203">
        <v>3</v>
      </c>
      <c r="E180" s="203" t="s">
        <v>324</v>
      </c>
      <c r="F180" s="204">
        <v>2</v>
      </c>
      <c r="G180" s="203" t="s">
        <v>27</v>
      </c>
      <c r="H180" s="205" t="s">
        <v>209</v>
      </c>
      <c r="I180" s="206"/>
      <c r="J180" s="206"/>
      <c r="K180" s="375" t="s">
        <v>125</v>
      </c>
      <c r="L180" s="204"/>
      <c r="M180" s="204"/>
      <c r="N180" s="286">
        <f>IF(OR(Tabelle1324568910111213141516171618[[#This Row],[Pulled after Start]]="yes",Tabelle1324568910111213141516171618[[#This Row],[Jira Story Points]]="-"),0,MIN(Tabelle1324568910111213141516171618[[#This Row],[Jira Story Points]],Tabelle1324568910111213141516171618[[#This Row],[Carry-over]]))</f>
        <v>0</v>
      </c>
      <c r="O180" s="210">
        <f>SUM(IF(ISBLANK(Tabelle1324568910111213141516171618[[#This Row],[Carry-over]]),Tabelle1324568910111213141516171618[[#This Row],[Jira Story Points]],Tabelle1324568910111213141516171618[[#This Row],[Carry-over]]),-Tabelle1324568910111213141516171618[[#This Row],[COsSP Initially Planned]])</f>
        <v>2</v>
      </c>
      <c r="P180"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80" s="210">
        <f>IF(Tabelle1324568910111213141516171618[[#This Row],[Status]]=$J$5,Tabelle1324568910111213141516171618[[#This Row],[COsSP Initially Planned]]+Tabelle1324568910111213141516171618[[#This Row],[COsSP Pulled after Start]]-Tabelle1324568910111213141516171618[[#This Row],[CSOsSP Completed]],0)</f>
        <v>0</v>
      </c>
      <c r="R180" s="210">
        <f>Tabelle1324568910111213141516171618[[#This Row],[COsSP Initially Planned]]+Tabelle1324568910111213141516171618[[#This Row],[COsSP Pulled after Start]]-Tabelle1324568910111213141516171618[[#This Row],[CSOsSP Completed]]-Tabelle1324568910111213141516171618[[#This Row],[CSOsSP Removed]]</f>
        <v>0</v>
      </c>
    </row>
    <row r="181" spans="1:18" ht="13.5" hidden="1" customHeight="1">
      <c r="A181" s="383" t="s">
        <v>416</v>
      </c>
      <c r="B181" s="47" t="s">
        <v>417</v>
      </c>
      <c r="C181" s="203" t="s">
        <v>375</v>
      </c>
      <c r="D181" s="203">
        <v>2</v>
      </c>
      <c r="E181" s="203" t="s">
        <v>637</v>
      </c>
      <c r="F181" s="204">
        <v>3</v>
      </c>
      <c r="G181" s="203" t="s">
        <v>27</v>
      </c>
      <c r="H181" s="205" t="s">
        <v>209</v>
      </c>
      <c r="I181" s="206"/>
      <c r="J181" s="206"/>
      <c r="K181" s="375" t="s">
        <v>125</v>
      </c>
      <c r="L181" s="204"/>
      <c r="M181" s="204"/>
      <c r="N181" s="286">
        <f>IF(OR(Tabelle1324568910111213141516171618[[#This Row],[Pulled after Start]]="yes",Tabelle1324568910111213141516171618[[#This Row],[Jira Story Points]]="-"),0,MIN(Tabelle1324568910111213141516171618[[#This Row],[Jira Story Points]],Tabelle1324568910111213141516171618[[#This Row],[Carry-over]]))</f>
        <v>0</v>
      </c>
      <c r="O181" s="210">
        <f>SUM(IF(ISBLANK(Tabelle1324568910111213141516171618[[#This Row],[Carry-over]]),Tabelle1324568910111213141516171618[[#This Row],[Jira Story Points]],Tabelle1324568910111213141516171618[[#This Row],[Carry-over]]),-Tabelle1324568910111213141516171618[[#This Row],[COsSP Initially Planned]])</f>
        <v>3</v>
      </c>
      <c r="P181"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81" s="210">
        <f>IF(Tabelle1324568910111213141516171618[[#This Row],[Status]]=$J$5,Tabelle1324568910111213141516171618[[#This Row],[COsSP Initially Planned]]+Tabelle1324568910111213141516171618[[#This Row],[COsSP Pulled after Start]]-Tabelle1324568910111213141516171618[[#This Row],[CSOsSP Completed]],0)</f>
        <v>0</v>
      </c>
      <c r="R181" s="210">
        <f>Tabelle1324568910111213141516171618[[#This Row],[COsSP Initially Planned]]+Tabelle1324568910111213141516171618[[#This Row],[COsSP Pulled after Start]]-Tabelle1324568910111213141516171618[[#This Row],[CSOsSP Completed]]-Tabelle1324568910111213141516171618[[#This Row],[CSOsSP Removed]]</f>
        <v>0</v>
      </c>
    </row>
    <row r="182" spans="1:18" ht="13.5" hidden="1" customHeight="1">
      <c r="A182" s="383" t="s">
        <v>434</v>
      </c>
      <c r="B182" s="47" t="s">
        <v>435</v>
      </c>
      <c r="C182" s="203" t="s">
        <v>375</v>
      </c>
      <c r="D182" s="203">
        <v>4</v>
      </c>
      <c r="E182" s="203" t="s">
        <v>637</v>
      </c>
      <c r="F182" s="204">
        <v>3</v>
      </c>
      <c r="G182" s="203" t="s">
        <v>27</v>
      </c>
      <c r="H182" s="205" t="s">
        <v>209</v>
      </c>
      <c r="I182" s="206"/>
      <c r="J182" s="206"/>
      <c r="K182" s="375" t="s">
        <v>127</v>
      </c>
      <c r="L182" s="204"/>
      <c r="M182" s="204"/>
      <c r="N182" s="286">
        <f>IF(OR(Tabelle1324568910111213141516171618[[#This Row],[Pulled after Start]]="yes",Tabelle1324568910111213141516171618[[#This Row],[Jira Story Points]]="-"),0,MIN(Tabelle1324568910111213141516171618[[#This Row],[Jira Story Points]],Tabelle1324568910111213141516171618[[#This Row],[Carry-over]]))</f>
        <v>0</v>
      </c>
      <c r="O182" s="210">
        <f>SUM(IF(ISBLANK(Tabelle1324568910111213141516171618[[#This Row],[Carry-over]]),Tabelle1324568910111213141516171618[[#This Row],[Jira Story Points]],Tabelle1324568910111213141516171618[[#This Row],[Carry-over]]),-Tabelle1324568910111213141516171618[[#This Row],[COsSP Initially Planned]])</f>
        <v>3</v>
      </c>
      <c r="P182"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182" s="210">
        <f>IF(Tabelle1324568910111213141516171618[[#This Row],[Status]]=$J$5,Tabelle1324568910111213141516171618[[#This Row],[COsSP Initially Planned]]+Tabelle1324568910111213141516171618[[#This Row],[COsSP Pulled after Start]]-Tabelle1324568910111213141516171618[[#This Row],[CSOsSP Completed]],0)</f>
        <v>0</v>
      </c>
      <c r="R182" s="210">
        <f>Tabelle1324568910111213141516171618[[#This Row],[COsSP Initially Planned]]+Tabelle1324568910111213141516171618[[#This Row],[COsSP Pulled after Start]]-Tabelle1324568910111213141516171618[[#This Row],[CSOsSP Completed]]-Tabelle1324568910111213141516171618[[#This Row],[CSOsSP Removed]]</f>
        <v>3</v>
      </c>
    </row>
    <row r="183" spans="1:18" ht="13.5" hidden="1" customHeight="1">
      <c r="A183" s="383" t="s">
        <v>440</v>
      </c>
      <c r="B183" s="47" t="s">
        <v>441</v>
      </c>
      <c r="C183" s="203" t="s">
        <v>372</v>
      </c>
      <c r="D183" s="203">
        <v>3</v>
      </c>
      <c r="E183" s="203" t="s">
        <v>327</v>
      </c>
      <c r="F183" s="204">
        <v>5</v>
      </c>
      <c r="G183" s="203" t="s">
        <v>27</v>
      </c>
      <c r="H183" s="205" t="s">
        <v>209</v>
      </c>
      <c r="I183" s="206"/>
      <c r="J183" s="206"/>
      <c r="K183" s="375" t="s">
        <v>127</v>
      </c>
      <c r="L183" s="204"/>
      <c r="M183" s="204">
        <v>5</v>
      </c>
      <c r="N183" s="286">
        <f>IF(OR(Tabelle1324568910111213141516171618[[#This Row],[Pulled after Start]]="yes",Tabelle1324568910111213141516171618[[#This Row],[Jira Story Points]]="-"),0,MIN(Tabelle1324568910111213141516171618[[#This Row],[Jira Story Points]],Tabelle1324568910111213141516171618[[#This Row],[Carry-over]]))</f>
        <v>0</v>
      </c>
      <c r="O183" s="210">
        <f>SUM(IF(ISBLANK(Tabelle1324568910111213141516171618[[#This Row],[Carry-over]]),Tabelle1324568910111213141516171618[[#This Row],[Jira Story Points]],Tabelle1324568910111213141516171618[[#This Row],[Carry-over]]),-Tabelle1324568910111213141516171618[[#This Row],[COsSP Initially Planned]])</f>
        <v>5</v>
      </c>
      <c r="P183"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183" s="210">
        <f>IF(Tabelle1324568910111213141516171618[[#This Row],[Status]]=$J$5,Tabelle1324568910111213141516171618[[#This Row],[COsSP Initially Planned]]+Tabelle1324568910111213141516171618[[#This Row],[COsSP Pulled after Start]]-Tabelle1324568910111213141516171618[[#This Row],[CSOsSP Completed]],0)</f>
        <v>0</v>
      </c>
      <c r="R183" s="210">
        <f>Tabelle1324568910111213141516171618[[#This Row],[COsSP Initially Planned]]+Tabelle1324568910111213141516171618[[#This Row],[COsSP Pulled after Start]]-Tabelle1324568910111213141516171618[[#This Row],[CSOsSP Completed]]-Tabelle1324568910111213141516171618[[#This Row],[CSOsSP Removed]]</f>
        <v>5</v>
      </c>
    </row>
    <row r="184" spans="1:18" ht="13.5" hidden="1" customHeight="1">
      <c r="A184" s="383" t="s">
        <v>430</v>
      </c>
      <c r="B184" s="47" t="s">
        <v>431</v>
      </c>
      <c r="C184" s="203" t="s">
        <v>372</v>
      </c>
      <c r="D184" s="203">
        <v>3</v>
      </c>
      <c r="E184" s="203" t="s">
        <v>327</v>
      </c>
      <c r="F184" s="204">
        <v>3</v>
      </c>
      <c r="G184" s="203" t="s">
        <v>27</v>
      </c>
      <c r="H184" s="205" t="s">
        <v>209</v>
      </c>
      <c r="I184" s="206"/>
      <c r="J184" s="206"/>
      <c r="K184" s="375" t="s">
        <v>127</v>
      </c>
      <c r="L184" s="204"/>
      <c r="M184" s="204">
        <v>3</v>
      </c>
      <c r="N184" s="286">
        <f>IF(OR(Tabelle1324568910111213141516171618[[#This Row],[Pulled after Start]]="yes",Tabelle1324568910111213141516171618[[#This Row],[Jira Story Points]]="-"),0,MIN(Tabelle1324568910111213141516171618[[#This Row],[Jira Story Points]],Tabelle1324568910111213141516171618[[#This Row],[Carry-over]]))</f>
        <v>0</v>
      </c>
      <c r="O184" s="210">
        <f>SUM(IF(ISBLANK(Tabelle1324568910111213141516171618[[#This Row],[Carry-over]]),Tabelle1324568910111213141516171618[[#This Row],[Jira Story Points]],Tabelle1324568910111213141516171618[[#This Row],[Carry-over]]),-Tabelle1324568910111213141516171618[[#This Row],[COsSP Initially Planned]])</f>
        <v>3</v>
      </c>
      <c r="P184"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184" s="210">
        <f>IF(Tabelle1324568910111213141516171618[[#This Row],[Status]]=$J$5,Tabelle1324568910111213141516171618[[#This Row],[COsSP Initially Planned]]+Tabelle1324568910111213141516171618[[#This Row],[COsSP Pulled after Start]]-Tabelle1324568910111213141516171618[[#This Row],[CSOsSP Completed]],0)</f>
        <v>0</v>
      </c>
      <c r="R184" s="210">
        <f>Tabelle1324568910111213141516171618[[#This Row],[COsSP Initially Planned]]+Tabelle1324568910111213141516171618[[#This Row],[COsSP Pulled after Start]]-Tabelle1324568910111213141516171618[[#This Row],[CSOsSP Completed]]-Tabelle1324568910111213141516171618[[#This Row],[CSOsSP Removed]]</f>
        <v>3</v>
      </c>
    </row>
    <row r="185" spans="1:18" ht="13.5" hidden="1" customHeight="1">
      <c r="A185" s="383" t="s">
        <v>436</v>
      </c>
      <c r="B185" s="47" t="s">
        <v>437</v>
      </c>
      <c r="C185" s="203" t="s">
        <v>375</v>
      </c>
      <c r="D185" s="203">
        <v>4</v>
      </c>
      <c r="E185" s="203" t="s">
        <v>327</v>
      </c>
      <c r="F185" s="204">
        <v>3</v>
      </c>
      <c r="G185" s="203" t="s">
        <v>27</v>
      </c>
      <c r="H185" s="205" t="s">
        <v>209</v>
      </c>
      <c r="I185" s="206"/>
      <c r="J185" s="206"/>
      <c r="K185" s="375" t="s">
        <v>127</v>
      </c>
      <c r="L185" s="204"/>
      <c r="M185" s="204">
        <v>3</v>
      </c>
      <c r="N185" s="286">
        <f>IF(OR(Tabelle1324568910111213141516171618[[#This Row],[Pulled after Start]]="yes",Tabelle1324568910111213141516171618[[#This Row],[Jira Story Points]]="-"),0,MIN(Tabelle1324568910111213141516171618[[#This Row],[Jira Story Points]],Tabelle1324568910111213141516171618[[#This Row],[Carry-over]]))</f>
        <v>0</v>
      </c>
      <c r="O185" s="210">
        <f>SUM(IF(ISBLANK(Tabelle1324568910111213141516171618[[#This Row],[Carry-over]]),Tabelle1324568910111213141516171618[[#This Row],[Jira Story Points]],Tabelle1324568910111213141516171618[[#This Row],[Carry-over]]),-Tabelle1324568910111213141516171618[[#This Row],[COsSP Initially Planned]])</f>
        <v>3</v>
      </c>
      <c r="P185"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185" s="210">
        <f>IF(Tabelle1324568910111213141516171618[[#This Row],[Status]]=$J$5,Tabelle1324568910111213141516171618[[#This Row],[COsSP Initially Planned]]+Tabelle1324568910111213141516171618[[#This Row],[COsSP Pulled after Start]]-Tabelle1324568910111213141516171618[[#This Row],[CSOsSP Completed]],0)</f>
        <v>0</v>
      </c>
      <c r="R185" s="210">
        <f>Tabelle1324568910111213141516171618[[#This Row],[COsSP Initially Planned]]+Tabelle1324568910111213141516171618[[#This Row],[COsSP Pulled after Start]]-Tabelle1324568910111213141516171618[[#This Row],[CSOsSP Completed]]-Tabelle1324568910111213141516171618[[#This Row],[CSOsSP Removed]]</f>
        <v>3</v>
      </c>
    </row>
    <row r="186" spans="1:18" ht="13.5" hidden="1" customHeight="1">
      <c r="A186" s="381" t="s">
        <v>687</v>
      </c>
      <c r="B186" s="47" t="s">
        <v>688</v>
      </c>
      <c r="C186" s="375" t="s">
        <v>372</v>
      </c>
      <c r="D186" s="375">
        <v>3</v>
      </c>
      <c r="E186" s="375" t="s">
        <v>324</v>
      </c>
      <c r="F186" s="376">
        <v>3</v>
      </c>
      <c r="G186" s="203" t="s">
        <v>21</v>
      </c>
      <c r="H186" s="205"/>
      <c r="I186" s="206"/>
      <c r="J186" s="206"/>
      <c r="K186" s="375" t="s">
        <v>125</v>
      </c>
      <c r="L186" s="204"/>
      <c r="M186" s="204"/>
      <c r="N186" s="286">
        <f>IF(OR(Tabelle1324568910111213141516171618[[#This Row],[Pulled after Start]]="yes",Tabelle1324568910111213141516171618[[#This Row],[Jira Story Points]]="-"),0,MIN(Tabelle1324568910111213141516171618[[#This Row],[Jira Story Points]],Tabelle1324568910111213141516171618[[#This Row],[Carry-over]]))</f>
        <v>3</v>
      </c>
      <c r="O186" s="210">
        <f>SUM(IF(ISBLANK(Tabelle1324568910111213141516171618[[#This Row],[Carry-over]]),Tabelle1324568910111213141516171618[[#This Row],[Jira Story Points]],Tabelle1324568910111213141516171618[[#This Row],[Carry-over]]),-Tabelle1324568910111213141516171618[[#This Row],[COsSP Initially Planned]])</f>
        <v>0</v>
      </c>
      <c r="P186"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86" s="210">
        <f>IF(Tabelle1324568910111213141516171618[[#This Row],[Status]]=$J$5,Tabelle1324568910111213141516171618[[#This Row],[COsSP Initially Planned]]+Tabelle1324568910111213141516171618[[#This Row],[COsSP Pulled after Start]]-Tabelle1324568910111213141516171618[[#This Row],[CSOsSP Completed]],0)</f>
        <v>0</v>
      </c>
      <c r="R186" s="210">
        <f>Tabelle1324568910111213141516171618[[#This Row],[COsSP Initially Planned]]+Tabelle1324568910111213141516171618[[#This Row],[COsSP Pulled after Start]]-Tabelle1324568910111213141516171618[[#This Row],[CSOsSP Completed]]-Tabelle1324568910111213141516171618[[#This Row],[CSOsSP Removed]]</f>
        <v>0</v>
      </c>
    </row>
    <row r="187" spans="1:18" ht="13.5" hidden="1" customHeight="1">
      <c r="A187" s="381" t="s">
        <v>689</v>
      </c>
      <c r="B187" s="47" t="s">
        <v>690</v>
      </c>
      <c r="C187" s="375" t="s">
        <v>372</v>
      </c>
      <c r="D187" s="375">
        <v>3</v>
      </c>
      <c r="E187" s="375" t="s">
        <v>324</v>
      </c>
      <c r="F187" s="376">
        <v>2</v>
      </c>
      <c r="G187" s="203" t="s">
        <v>21</v>
      </c>
      <c r="H187" s="205"/>
      <c r="I187" s="206"/>
      <c r="J187" s="206"/>
      <c r="K187" s="375" t="s">
        <v>125</v>
      </c>
      <c r="L187" s="204"/>
      <c r="M187" s="204"/>
      <c r="N187" s="286">
        <f>IF(OR(Tabelle1324568910111213141516171618[[#This Row],[Pulled after Start]]="yes",Tabelle1324568910111213141516171618[[#This Row],[Jira Story Points]]="-"),0,MIN(Tabelle1324568910111213141516171618[[#This Row],[Jira Story Points]],Tabelle1324568910111213141516171618[[#This Row],[Carry-over]]))</f>
        <v>2</v>
      </c>
      <c r="O187" s="210">
        <f>SUM(IF(ISBLANK(Tabelle1324568910111213141516171618[[#This Row],[Carry-over]]),Tabelle1324568910111213141516171618[[#This Row],[Jira Story Points]],Tabelle1324568910111213141516171618[[#This Row],[Carry-over]]),-Tabelle1324568910111213141516171618[[#This Row],[COsSP Initially Planned]])</f>
        <v>0</v>
      </c>
      <c r="P187"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87" s="210">
        <f>IF(Tabelle1324568910111213141516171618[[#This Row],[Status]]=$J$5,Tabelle1324568910111213141516171618[[#This Row],[COsSP Initially Planned]]+Tabelle1324568910111213141516171618[[#This Row],[COsSP Pulled after Start]]-Tabelle1324568910111213141516171618[[#This Row],[CSOsSP Completed]],0)</f>
        <v>0</v>
      </c>
      <c r="R187" s="210">
        <f>Tabelle1324568910111213141516171618[[#This Row],[COsSP Initially Planned]]+Tabelle1324568910111213141516171618[[#This Row],[COsSP Pulled after Start]]-Tabelle1324568910111213141516171618[[#This Row],[CSOsSP Completed]]-Tabelle1324568910111213141516171618[[#This Row],[CSOsSP Removed]]</f>
        <v>0</v>
      </c>
    </row>
    <row r="188" spans="1:18" ht="13.5" hidden="1" customHeight="1">
      <c r="A188" s="381" t="s">
        <v>691</v>
      </c>
      <c r="B188" s="47" t="s">
        <v>692</v>
      </c>
      <c r="C188" s="375" t="s">
        <v>372</v>
      </c>
      <c r="D188" s="375">
        <v>3</v>
      </c>
      <c r="E188" s="375" t="s">
        <v>324</v>
      </c>
      <c r="F188" s="376">
        <v>2</v>
      </c>
      <c r="G188" s="203" t="s">
        <v>21</v>
      </c>
      <c r="H188" s="205"/>
      <c r="I188" s="206"/>
      <c r="J188" s="206"/>
      <c r="K188" s="375" t="s">
        <v>125</v>
      </c>
      <c r="L188" s="204"/>
      <c r="M188" s="204"/>
      <c r="N188" s="286">
        <f>IF(OR(Tabelle1324568910111213141516171618[[#This Row],[Pulled after Start]]="yes",Tabelle1324568910111213141516171618[[#This Row],[Jira Story Points]]="-"),0,MIN(Tabelle1324568910111213141516171618[[#This Row],[Jira Story Points]],Tabelle1324568910111213141516171618[[#This Row],[Carry-over]]))</f>
        <v>2</v>
      </c>
      <c r="O188" s="210">
        <f>SUM(IF(ISBLANK(Tabelle1324568910111213141516171618[[#This Row],[Carry-over]]),Tabelle1324568910111213141516171618[[#This Row],[Jira Story Points]],Tabelle1324568910111213141516171618[[#This Row],[Carry-over]]),-Tabelle1324568910111213141516171618[[#This Row],[COsSP Initially Planned]])</f>
        <v>0</v>
      </c>
      <c r="P188"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88" s="210">
        <f>IF(Tabelle1324568910111213141516171618[[#This Row],[Status]]=$J$5,Tabelle1324568910111213141516171618[[#This Row],[COsSP Initially Planned]]+Tabelle1324568910111213141516171618[[#This Row],[COsSP Pulled after Start]]-Tabelle1324568910111213141516171618[[#This Row],[CSOsSP Completed]],0)</f>
        <v>0</v>
      </c>
      <c r="R188" s="210">
        <f>Tabelle1324568910111213141516171618[[#This Row],[COsSP Initially Planned]]+Tabelle1324568910111213141516171618[[#This Row],[COsSP Pulled after Start]]-Tabelle1324568910111213141516171618[[#This Row],[CSOsSP Completed]]-Tabelle1324568910111213141516171618[[#This Row],[CSOsSP Removed]]</f>
        <v>0</v>
      </c>
    </row>
    <row r="189" spans="1:18" ht="13.5" hidden="1" customHeight="1">
      <c r="A189" s="381" t="s">
        <v>693</v>
      </c>
      <c r="B189" s="47" t="s">
        <v>694</v>
      </c>
      <c r="C189" s="375" t="s">
        <v>372</v>
      </c>
      <c r="D189" s="375">
        <v>3</v>
      </c>
      <c r="E189" s="375" t="s">
        <v>324</v>
      </c>
      <c r="F189" s="376">
        <v>5</v>
      </c>
      <c r="G189" s="203" t="s">
        <v>21</v>
      </c>
      <c r="H189" s="205"/>
      <c r="I189" s="206"/>
      <c r="J189" s="206"/>
      <c r="K189" s="375" t="s">
        <v>125</v>
      </c>
      <c r="L189" s="204"/>
      <c r="M189" s="204"/>
      <c r="N189" s="286">
        <f>IF(OR(Tabelle1324568910111213141516171618[[#This Row],[Pulled after Start]]="yes",Tabelle1324568910111213141516171618[[#This Row],[Jira Story Points]]="-"),0,MIN(Tabelle1324568910111213141516171618[[#This Row],[Jira Story Points]],Tabelle1324568910111213141516171618[[#This Row],[Carry-over]]))</f>
        <v>5</v>
      </c>
      <c r="O189" s="210">
        <f>SUM(IF(ISBLANK(Tabelle1324568910111213141516171618[[#This Row],[Carry-over]]),Tabelle1324568910111213141516171618[[#This Row],[Jira Story Points]],Tabelle1324568910111213141516171618[[#This Row],[Carry-over]]),-Tabelle1324568910111213141516171618[[#This Row],[COsSP Initially Planned]])</f>
        <v>0</v>
      </c>
      <c r="P189"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189" s="210">
        <f>IF(Tabelle1324568910111213141516171618[[#This Row],[Status]]=$J$5,Tabelle1324568910111213141516171618[[#This Row],[COsSP Initially Planned]]+Tabelle1324568910111213141516171618[[#This Row],[COsSP Pulled after Start]]-Tabelle1324568910111213141516171618[[#This Row],[CSOsSP Completed]],0)</f>
        <v>0</v>
      </c>
      <c r="R189" s="210">
        <f>Tabelle1324568910111213141516171618[[#This Row],[COsSP Initially Planned]]+Tabelle1324568910111213141516171618[[#This Row],[COsSP Pulled after Start]]-Tabelle1324568910111213141516171618[[#This Row],[CSOsSP Completed]]-Tabelle1324568910111213141516171618[[#This Row],[CSOsSP Removed]]</f>
        <v>0</v>
      </c>
    </row>
    <row r="190" spans="1:18" ht="13.5" hidden="1" customHeight="1">
      <c r="A190" s="381" t="s">
        <v>695</v>
      </c>
      <c r="B190" s="47" t="s">
        <v>696</v>
      </c>
      <c r="C190" s="375" t="s">
        <v>375</v>
      </c>
      <c r="D190" s="375">
        <v>3</v>
      </c>
      <c r="E190" s="375" t="s">
        <v>324</v>
      </c>
      <c r="F190" s="376">
        <v>3</v>
      </c>
      <c r="G190" s="203" t="s">
        <v>21</v>
      </c>
      <c r="H190" s="205"/>
      <c r="I190" s="206"/>
      <c r="J190" s="206"/>
      <c r="K190" s="375" t="s">
        <v>125</v>
      </c>
      <c r="L190" s="204"/>
      <c r="M190" s="204"/>
      <c r="N190" s="286">
        <f>IF(OR(Tabelle1324568910111213141516171618[[#This Row],[Pulled after Start]]="yes",Tabelle1324568910111213141516171618[[#This Row],[Jira Story Points]]="-"),0,MIN(Tabelle1324568910111213141516171618[[#This Row],[Jira Story Points]],Tabelle1324568910111213141516171618[[#This Row],[Carry-over]]))</f>
        <v>3</v>
      </c>
      <c r="O190" s="210">
        <f>SUM(IF(ISBLANK(Tabelle1324568910111213141516171618[[#This Row],[Carry-over]]),Tabelle1324568910111213141516171618[[#This Row],[Jira Story Points]],Tabelle1324568910111213141516171618[[#This Row],[Carry-over]]),-Tabelle1324568910111213141516171618[[#This Row],[COsSP Initially Planned]])</f>
        <v>0</v>
      </c>
      <c r="P190"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90" s="210">
        <f>IF(Tabelle1324568910111213141516171618[[#This Row],[Status]]=$J$5,Tabelle1324568910111213141516171618[[#This Row],[COsSP Initially Planned]]+Tabelle1324568910111213141516171618[[#This Row],[COsSP Pulled after Start]]-Tabelle1324568910111213141516171618[[#This Row],[CSOsSP Completed]],0)</f>
        <v>0</v>
      </c>
      <c r="R190" s="210">
        <f>Tabelle1324568910111213141516171618[[#This Row],[COsSP Initially Planned]]+Tabelle1324568910111213141516171618[[#This Row],[COsSP Pulled after Start]]-Tabelle1324568910111213141516171618[[#This Row],[CSOsSP Completed]]-Tabelle1324568910111213141516171618[[#This Row],[CSOsSP Removed]]</f>
        <v>0</v>
      </c>
    </row>
    <row r="191" spans="1:18" ht="13.5" hidden="1" customHeight="1">
      <c r="A191" s="381" t="s">
        <v>697</v>
      </c>
      <c r="B191" s="47" t="s">
        <v>698</v>
      </c>
      <c r="C191" s="375" t="s">
        <v>375</v>
      </c>
      <c r="D191" s="375">
        <v>3</v>
      </c>
      <c r="E191" s="375" t="s">
        <v>324</v>
      </c>
      <c r="F191" s="376">
        <v>3</v>
      </c>
      <c r="G191" s="203" t="s">
        <v>21</v>
      </c>
      <c r="H191" s="205"/>
      <c r="I191" s="206"/>
      <c r="J191" s="206"/>
      <c r="K191" s="375" t="s">
        <v>125</v>
      </c>
      <c r="L191" s="204"/>
      <c r="M191" s="204"/>
      <c r="N191" s="286">
        <f>IF(OR(Tabelle1324568910111213141516171618[[#This Row],[Pulled after Start]]="yes",Tabelle1324568910111213141516171618[[#This Row],[Jira Story Points]]="-"),0,MIN(Tabelle1324568910111213141516171618[[#This Row],[Jira Story Points]],Tabelle1324568910111213141516171618[[#This Row],[Carry-over]]))</f>
        <v>3</v>
      </c>
      <c r="O191" s="210">
        <f>SUM(IF(ISBLANK(Tabelle1324568910111213141516171618[[#This Row],[Carry-over]]),Tabelle1324568910111213141516171618[[#This Row],[Jira Story Points]],Tabelle1324568910111213141516171618[[#This Row],[Carry-over]]),-Tabelle1324568910111213141516171618[[#This Row],[COsSP Initially Planned]])</f>
        <v>0</v>
      </c>
      <c r="P191"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191" s="210">
        <f>IF(Tabelle1324568910111213141516171618[[#This Row],[Status]]=$J$5,Tabelle1324568910111213141516171618[[#This Row],[COsSP Initially Planned]]+Tabelle1324568910111213141516171618[[#This Row],[COsSP Pulled after Start]]-Tabelle1324568910111213141516171618[[#This Row],[CSOsSP Completed]],0)</f>
        <v>0</v>
      </c>
      <c r="R191" s="210">
        <f>Tabelle1324568910111213141516171618[[#This Row],[COsSP Initially Planned]]+Tabelle1324568910111213141516171618[[#This Row],[COsSP Pulled after Start]]-Tabelle1324568910111213141516171618[[#This Row],[CSOsSP Completed]]-Tabelle1324568910111213141516171618[[#This Row],[CSOsSP Removed]]</f>
        <v>0</v>
      </c>
    </row>
    <row r="192" spans="1:18" ht="13.5" hidden="1" customHeight="1">
      <c r="A192" s="381" t="s">
        <v>699</v>
      </c>
      <c r="B192" s="47" t="s">
        <v>700</v>
      </c>
      <c r="C192" s="375" t="s">
        <v>372</v>
      </c>
      <c r="D192" s="375">
        <v>3</v>
      </c>
      <c r="E192" s="375" t="s">
        <v>324</v>
      </c>
      <c r="F192" s="376">
        <v>2</v>
      </c>
      <c r="G192" s="203" t="s">
        <v>21</v>
      </c>
      <c r="H192" s="205"/>
      <c r="I192" s="206"/>
      <c r="J192" s="206"/>
      <c r="K192" s="375" t="s">
        <v>125</v>
      </c>
      <c r="L192" s="204"/>
      <c r="M192" s="204"/>
      <c r="N192" s="286">
        <f>IF(OR(Tabelle1324568910111213141516171618[[#This Row],[Pulled after Start]]="yes",Tabelle1324568910111213141516171618[[#This Row],[Jira Story Points]]="-"),0,MIN(Tabelle1324568910111213141516171618[[#This Row],[Jira Story Points]],Tabelle1324568910111213141516171618[[#This Row],[Carry-over]]))</f>
        <v>2</v>
      </c>
      <c r="O192" s="210">
        <f>SUM(IF(ISBLANK(Tabelle1324568910111213141516171618[[#This Row],[Carry-over]]),Tabelle1324568910111213141516171618[[#This Row],[Jira Story Points]],Tabelle1324568910111213141516171618[[#This Row],[Carry-over]]),-Tabelle1324568910111213141516171618[[#This Row],[COsSP Initially Planned]])</f>
        <v>0</v>
      </c>
      <c r="P192"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92" s="210">
        <f>IF(Tabelle1324568910111213141516171618[[#This Row],[Status]]=$J$5,Tabelle1324568910111213141516171618[[#This Row],[COsSP Initially Planned]]+Tabelle1324568910111213141516171618[[#This Row],[COsSP Pulled after Start]]-Tabelle1324568910111213141516171618[[#This Row],[CSOsSP Completed]],0)</f>
        <v>0</v>
      </c>
      <c r="R192" s="210">
        <f>Tabelle1324568910111213141516171618[[#This Row],[COsSP Initially Planned]]+Tabelle1324568910111213141516171618[[#This Row],[COsSP Pulled after Start]]-Tabelle1324568910111213141516171618[[#This Row],[CSOsSP Completed]]-Tabelle1324568910111213141516171618[[#This Row],[CSOsSP Removed]]</f>
        <v>0</v>
      </c>
    </row>
    <row r="193" spans="1:18" ht="13.5" hidden="1" customHeight="1">
      <c r="A193" s="381" t="s">
        <v>701</v>
      </c>
      <c r="B193" s="47" t="s">
        <v>702</v>
      </c>
      <c r="C193" s="375" t="s">
        <v>372</v>
      </c>
      <c r="D193" s="375">
        <v>3</v>
      </c>
      <c r="E193" s="375" t="s">
        <v>324</v>
      </c>
      <c r="F193" s="376">
        <v>2</v>
      </c>
      <c r="G193" s="203" t="s">
        <v>21</v>
      </c>
      <c r="H193" s="205"/>
      <c r="I193" s="206"/>
      <c r="J193" s="206"/>
      <c r="K193" s="375" t="s">
        <v>125</v>
      </c>
      <c r="L193" s="204"/>
      <c r="M193" s="204"/>
      <c r="N193" s="286">
        <f>IF(OR(Tabelle1324568910111213141516171618[[#This Row],[Pulled after Start]]="yes",Tabelle1324568910111213141516171618[[#This Row],[Jira Story Points]]="-"),0,MIN(Tabelle1324568910111213141516171618[[#This Row],[Jira Story Points]],Tabelle1324568910111213141516171618[[#This Row],[Carry-over]]))</f>
        <v>2</v>
      </c>
      <c r="O193" s="210">
        <f>SUM(IF(ISBLANK(Tabelle1324568910111213141516171618[[#This Row],[Carry-over]]),Tabelle1324568910111213141516171618[[#This Row],[Jira Story Points]],Tabelle1324568910111213141516171618[[#This Row],[Carry-over]]),-Tabelle1324568910111213141516171618[[#This Row],[COsSP Initially Planned]])</f>
        <v>0</v>
      </c>
      <c r="P193"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93" s="210">
        <f>IF(Tabelle1324568910111213141516171618[[#This Row],[Status]]=$J$5,Tabelle1324568910111213141516171618[[#This Row],[COsSP Initially Planned]]+Tabelle1324568910111213141516171618[[#This Row],[COsSP Pulled after Start]]-Tabelle1324568910111213141516171618[[#This Row],[CSOsSP Completed]],0)</f>
        <v>0</v>
      </c>
      <c r="R193" s="210">
        <f>Tabelle1324568910111213141516171618[[#This Row],[COsSP Initially Planned]]+Tabelle1324568910111213141516171618[[#This Row],[COsSP Pulled after Start]]-Tabelle1324568910111213141516171618[[#This Row],[CSOsSP Completed]]-Tabelle1324568910111213141516171618[[#This Row],[CSOsSP Removed]]</f>
        <v>0</v>
      </c>
    </row>
    <row r="194" spans="1:18" ht="13.5" hidden="1" customHeight="1">
      <c r="A194" s="381" t="s">
        <v>703</v>
      </c>
      <c r="B194" s="47" t="s">
        <v>704</v>
      </c>
      <c r="C194" s="375" t="s">
        <v>372</v>
      </c>
      <c r="D194" s="375">
        <v>3</v>
      </c>
      <c r="E194" s="375" t="s">
        <v>324</v>
      </c>
      <c r="F194" s="376">
        <v>2</v>
      </c>
      <c r="G194" s="203" t="s">
        <v>21</v>
      </c>
      <c r="H194" s="205"/>
      <c r="I194" s="206"/>
      <c r="J194" s="206"/>
      <c r="K194" s="375" t="s">
        <v>125</v>
      </c>
      <c r="L194" s="204"/>
      <c r="M194" s="204"/>
      <c r="N194" s="286">
        <f>IF(OR(Tabelle1324568910111213141516171618[[#This Row],[Pulled after Start]]="yes",Tabelle1324568910111213141516171618[[#This Row],[Jira Story Points]]="-"),0,MIN(Tabelle1324568910111213141516171618[[#This Row],[Jira Story Points]],Tabelle1324568910111213141516171618[[#This Row],[Carry-over]]))</f>
        <v>2</v>
      </c>
      <c r="O194" s="210">
        <f>SUM(IF(ISBLANK(Tabelle1324568910111213141516171618[[#This Row],[Carry-over]]),Tabelle1324568910111213141516171618[[#This Row],[Jira Story Points]],Tabelle1324568910111213141516171618[[#This Row],[Carry-over]]),-Tabelle1324568910111213141516171618[[#This Row],[COsSP Initially Planned]])</f>
        <v>0</v>
      </c>
      <c r="P194"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94" s="210">
        <f>IF(Tabelle1324568910111213141516171618[[#This Row],[Status]]=$J$5,Tabelle1324568910111213141516171618[[#This Row],[COsSP Initially Planned]]+Tabelle1324568910111213141516171618[[#This Row],[COsSP Pulled after Start]]-Tabelle1324568910111213141516171618[[#This Row],[CSOsSP Completed]],0)</f>
        <v>0</v>
      </c>
      <c r="R194" s="210">
        <f>Tabelle1324568910111213141516171618[[#This Row],[COsSP Initially Planned]]+Tabelle1324568910111213141516171618[[#This Row],[COsSP Pulled after Start]]-Tabelle1324568910111213141516171618[[#This Row],[CSOsSP Completed]]-Tabelle1324568910111213141516171618[[#This Row],[CSOsSP Removed]]</f>
        <v>0</v>
      </c>
    </row>
    <row r="195" spans="1:18" ht="13.5" hidden="1" customHeight="1">
      <c r="A195" s="381" t="s">
        <v>705</v>
      </c>
      <c r="B195" s="47" t="s">
        <v>706</v>
      </c>
      <c r="C195" s="375" t="s">
        <v>372</v>
      </c>
      <c r="D195" s="375">
        <v>3</v>
      </c>
      <c r="E195" s="375" t="s">
        <v>324</v>
      </c>
      <c r="F195" s="376">
        <v>2</v>
      </c>
      <c r="G195" s="203" t="s">
        <v>21</v>
      </c>
      <c r="H195" s="205"/>
      <c r="I195" s="206"/>
      <c r="J195" s="206"/>
      <c r="K195" s="375" t="s">
        <v>125</v>
      </c>
      <c r="L195" s="204"/>
      <c r="M195" s="204"/>
      <c r="N195" s="286">
        <f>IF(OR(Tabelle1324568910111213141516171618[[#This Row],[Pulled after Start]]="yes",Tabelle1324568910111213141516171618[[#This Row],[Jira Story Points]]="-"),0,MIN(Tabelle1324568910111213141516171618[[#This Row],[Jira Story Points]],Tabelle1324568910111213141516171618[[#This Row],[Carry-over]]))</f>
        <v>2</v>
      </c>
      <c r="O195" s="210">
        <f>SUM(IF(ISBLANK(Tabelle1324568910111213141516171618[[#This Row],[Carry-over]]),Tabelle1324568910111213141516171618[[#This Row],[Jira Story Points]],Tabelle1324568910111213141516171618[[#This Row],[Carry-over]]),-Tabelle1324568910111213141516171618[[#This Row],[COsSP Initially Planned]])</f>
        <v>0</v>
      </c>
      <c r="P195"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95" s="210">
        <f>IF(Tabelle1324568910111213141516171618[[#This Row],[Status]]=$J$5,Tabelle1324568910111213141516171618[[#This Row],[COsSP Initially Planned]]+Tabelle1324568910111213141516171618[[#This Row],[COsSP Pulled after Start]]-Tabelle1324568910111213141516171618[[#This Row],[CSOsSP Completed]],0)</f>
        <v>0</v>
      </c>
      <c r="R195" s="210">
        <f>Tabelle1324568910111213141516171618[[#This Row],[COsSP Initially Planned]]+Tabelle1324568910111213141516171618[[#This Row],[COsSP Pulled after Start]]-Tabelle1324568910111213141516171618[[#This Row],[CSOsSP Completed]]-Tabelle1324568910111213141516171618[[#This Row],[CSOsSP Removed]]</f>
        <v>0</v>
      </c>
    </row>
    <row r="196" spans="1:18" ht="13.5" hidden="1" customHeight="1">
      <c r="A196" s="381" t="s">
        <v>707</v>
      </c>
      <c r="B196" s="47" t="s">
        <v>708</v>
      </c>
      <c r="C196" s="375" t="s">
        <v>372</v>
      </c>
      <c r="D196" s="375">
        <v>3</v>
      </c>
      <c r="E196" s="375" t="s">
        <v>324</v>
      </c>
      <c r="F196" s="376">
        <v>2</v>
      </c>
      <c r="G196" s="203" t="s">
        <v>21</v>
      </c>
      <c r="H196" s="205"/>
      <c r="I196" s="206"/>
      <c r="J196" s="206"/>
      <c r="K196" s="375" t="s">
        <v>125</v>
      </c>
      <c r="L196" s="204"/>
      <c r="M196" s="204"/>
      <c r="N196" s="286">
        <f>IF(OR(Tabelle1324568910111213141516171618[[#This Row],[Pulled after Start]]="yes",Tabelle1324568910111213141516171618[[#This Row],[Jira Story Points]]="-"),0,MIN(Tabelle1324568910111213141516171618[[#This Row],[Jira Story Points]],Tabelle1324568910111213141516171618[[#This Row],[Carry-over]]))</f>
        <v>2</v>
      </c>
      <c r="O196" s="210">
        <f>SUM(IF(ISBLANK(Tabelle1324568910111213141516171618[[#This Row],[Carry-over]]),Tabelle1324568910111213141516171618[[#This Row],[Jira Story Points]],Tabelle1324568910111213141516171618[[#This Row],[Carry-over]]),-Tabelle1324568910111213141516171618[[#This Row],[COsSP Initially Planned]])</f>
        <v>0</v>
      </c>
      <c r="P196"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96" s="210">
        <f>IF(Tabelle1324568910111213141516171618[[#This Row],[Status]]=$J$5,Tabelle1324568910111213141516171618[[#This Row],[COsSP Initially Planned]]+Tabelle1324568910111213141516171618[[#This Row],[COsSP Pulled after Start]]-Tabelle1324568910111213141516171618[[#This Row],[CSOsSP Completed]],0)</f>
        <v>0</v>
      </c>
      <c r="R196" s="210">
        <f>Tabelle1324568910111213141516171618[[#This Row],[COsSP Initially Planned]]+Tabelle1324568910111213141516171618[[#This Row],[COsSP Pulled after Start]]-Tabelle1324568910111213141516171618[[#This Row],[CSOsSP Completed]]-Tabelle1324568910111213141516171618[[#This Row],[CSOsSP Removed]]</f>
        <v>0</v>
      </c>
    </row>
    <row r="197" spans="1:18" ht="13.5" hidden="1" customHeight="1">
      <c r="A197" s="381" t="s">
        <v>709</v>
      </c>
      <c r="B197" s="47" t="s">
        <v>710</v>
      </c>
      <c r="C197" s="375" t="s">
        <v>372</v>
      </c>
      <c r="D197" s="375">
        <v>3</v>
      </c>
      <c r="E197" s="375" t="s">
        <v>324</v>
      </c>
      <c r="F197" s="376">
        <v>2</v>
      </c>
      <c r="G197" s="203" t="s">
        <v>21</v>
      </c>
      <c r="H197" s="205"/>
      <c r="I197" s="206"/>
      <c r="J197" s="206"/>
      <c r="K197" s="375" t="s">
        <v>125</v>
      </c>
      <c r="L197" s="204"/>
      <c r="M197" s="204"/>
      <c r="N197" s="286">
        <f>IF(OR(Tabelle1324568910111213141516171618[[#This Row],[Pulled after Start]]="yes",Tabelle1324568910111213141516171618[[#This Row],[Jira Story Points]]="-"),0,MIN(Tabelle1324568910111213141516171618[[#This Row],[Jira Story Points]],Tabelle1324568910111213141516171618[[#This Row],[Carry-over]]))</f>
        <v>2</v>
      </c>
      <c r="O197" s="210">
        <f>SUM(IF(ISBLANK(Tabelle1324568910111213141516171618[[#This Row],[Carry-over]]),Tabelle1324568910111213141516171618[[#This Row],[Jira Story Points]],Tabelle1324568910111213141516171618[[#This Row],[Carry-over]]),-Tabelle1324568910111213141516171618[[#This Row],[COsSP Initially Planned]])</f>
        <v>0</v>
      </c>
      <c r="P197"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97" s="210">
        <f>IF(Tabelle1324568910111213141516171618[[#This Row],[Status]]=$J$5,Tabelle1324568910111213141516171618[[#This Row],[COsSP Initially Planned]]+Tabelle1324568910111213141516171618[[#This Row],[COsSP Pulled after Start]]-Tabelle1324568910111213141516171618[[#This Row],[CSOsSP Completed]],0)</f>
        <v>0</v>
      </c>
      <c r="R197" s="210">
        <f>Tabelle1324568910111213141516171618[[#This Row],[COsSP Initially Planned]]+Tabelle1324568910111213141516171618[[#This Row],[COsSP Pulled after Start]]-Tabelle1324568910111213141516171618[[#This Row],[CSOsSP Completed]]-Tabelle1324568910111213141516171618[[#This Row],[CSOsSP Removed]]</f>
        <v>0</v>
      </c>
    </row>
    <row r="198" spans="1:18" ht="13.5" hidden="1" customHeight="1">
      <c r="A198" s="381" t="s">
        <v>711</v>
      </c>
      <c r="B198" s="47" t="s">
        <v>712</v>
      </c>
      <c r="C198" s="375" t="s">
        <v>372</v>
      </c>
      <c r="D198" s="375">
        <v>3</v>
      </c>
      <c r="E198" s="375" t="s">
        <v>324</v>
      </c>
      <c r="F198" s="376">
        <v>2</v>
      </c>
      <c r="G198" s="203" t="s">
        <v>21</v>
      </c>
      <c r="H198" s="205"/>
      <c r="I198" s="206"/>
      <c r="J198" s="206"/>
      <c r="K198" s="375" t="s">
        <v>125</v>
      </c>
      <c r="L198" s="204"/>
      <c r="M198" s="204"/>
      <c r="N198" s="286">
        <f>IF(OR(Tabelle1324568910111213141516171618[[#This Row],[Pulled after Start]]="yes",Tabelle1324568910111213141516171618[[#This Row],[Jira Story Points]]="-"),0,MIN(Tabelle1324568910111213141516171618[[#This Row],[Jira Story Points]],Tabelle1324568910111213141516171618[[#This Row],[Carry-over]]))</f>
        <v>2</v>
      </c>
      <c r="O198" s="210">
        <f>SUM(IF(ISBLANK(Tabelle1324568910111213141516171618[[#This Row],[Carry-over]]),Tabelle1324568910111213141516171618[[#This Row],[Jira Story Points]],Tabelle1324568910111213141516171618[[#This Row],[Carry-over]]),-Tabelle1324568910111213141516171618[[#This Row],[COsSP Initially Planned]])</f>
        <v>0</v>
      </c>
      <c r="P198"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98" s="210">
        <f>IF(Tabelle1324568910111213141516171618[[#This Row],[Status]]=$J$5,Tabelle1324568910111213141516171618[[#This Row],[COsSP Initially Planned]]+Tabelle1324568910111213141516171618[[#This Row],[COsSP Pulled after Start]]-Tabelle1324568910111213141516171618[[#This Row],[CSOsSP Completed]],0)</f>
        <v>0</v>
      </c>
      <c r="R198" s="210">
        <f>Tabelle1324568910111213141516171618[[#This Row],[COsSP Initially Planned]]+Tabelle1324568910111213141516171618[[#This Row],[COsSP Pulled after Start]]-Tabelle1324568910111213141516171618[[#This Row],[CSOsSP Completed]]-Tabelle1324568910111213141516171618[[#This Row],[CSOsSP Removed]]</f>
        <v>0</v>
      </c>
    </row>
    <row r="199" spans="1:18" ht="13.5" hidden="1" customHeight="1">
      <c r="A199" s="381" t="s">
        <v>713</v>
      </c>
      <c r="B199" s="47" t="s">
        <v>714</v>
      </c>
      <c r="C199" s="375" t="s">
        <v>372</v>
      </c>
      <c r="D199" s="375">
        <v>3</v>
      </c>
      <c r="E199" s="375" t="s">
        <v>324</v>
      </c>
      <c r="F199" s="376">
        <v>2</v>
      </c>
      <c r="G199" s="203" t="s">
        <v>21</v>
      </c>
      <c r="H199" s="205"/>
      <c r="I199" s="206"/>
      <c r="J199" s="206"/>
      <c r="K199" s="375" t="s">
        <v>125</v>
      </c>
      <c r="L199" s="204"/>
      <c r="M199" s="204"/>
      <c r="N199" s="286">
        <f>IF(OR(Tabelle1324568910111213141516171618[[#This Row],[Pulled after Start]]="yes",Tabelle1324568910111213141516171618[[#This Row],[Jira Story Points]]="-"),0,MIN(Tabelle1324568910111213141516171618[[#This Row],[Jira Story Points]],Tabelle1324568910111213141516171618[[#This Row],[Carry-over]]))</f>
        <v>2</v>
      </c>
      <c r="O199" s="210">
        <f>SUM(IF(ISBLANK(Tabelle1324568910111213141516171618[[#This Row],[Carry-over]]),Tabelle1324568910111213141516171618[[#This Row],[Jira Story Points]],Tabelle1324568910111213141516171618[[#This Row],[Carry-over]]),-Tabelle1324568910111213141516171618[[#This Row],[COsSP Initially Planned]])</f>
        <v>0</v>
      </c>
      <c r="P199"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199" s="210">
        <f>IF(Tabelle1324568910111213141516171618[[#This Row],[Status]]=$J$5,Tabelle1324568910111213141516171618[[#This Row],[COsSP Initially Planned]]+Tabelle1324568910111213141516171618[[#This Row],[COsSP Pulled after Start]]-Tabelle1324568910111213141516171618[[#This Row],[CSOsSP Completed]],0)</f>
        <v>0</v>
      </c>
      <c r="R199" s="210">
        <f>Tabelle1324568910111213141516171618[[#This Row],[COsSP Initially Planned]]+Tabelle1324568910111213141516171618[[#This Row],[COsSP Pulled after Start]]-Tabelle1324568910111213141516171618[[#This Row],[CSOsSP Completed]]-Tabelle1324568910111213141516171618[[#This Row],[CSOsSP Removed]]</f>
        <v>0</v>
      </c>
    </row>
    <row r="200" spans="1:18" ht="13.5" hidden="1" customHeight="1">
      <c r="A200" s="381" t="s">
        <v>715</v>
      </c>
      <c r="B200" s="47" t="s">
        <v>690</v>
      </c>
      <c r="C200" s="375" t="s">
        <v>372</v>
      </c>
      <c r="D200" s="375">
        <v>3</v>
      </c>
      <c r="E200" s="375" t="s">
        <v>324</v>
      </c>
      <c r="F200" s="376">
        <v>2</v>
      </c>
      <c r="G200" s="203" t="s">
        <v>21</v>
      </c>
      <c r="H200" s="205"/>
      <c r="I200" s="206"/>
      <c r="J200" s="206"/>
      <c r="K200" s="375" t="s">
        <v>125</v>
      </c>
      <c r="L200" s="204"/>
      <c r="M200" s="204"/>
      <c r="N200" s="286">
        <f>IF(OR(Tabelle1324568910111213141516171618[[#This Row],[Pulled after Start]]="yes",Tabelle1324568910111213141516171618[[#This Row],[Jira Story Points]]="-"),0,MIN(Tabelle1324568910111213141516171618[[#This Row],[Jira Story Points]],Tabelle1324568910111213141516171618[[#This Row],[Carry-over]]))</f>
        <v>2</v>
      </c>
      <c r="O200" s="210">
        <f>SUM(IF(ISBLANK(Tabelle1324568910111213141516171618[[#This Row],[Carry-over]]),Tabelle1324568910111213141516171618[[#This Row],[Jira Story Points]],Tabelle1324568910111213141516171618[[#This Row],[Carry-over]]),-Tabelle1324568910111213141516171618[[#This Row],[COsSP Initially Planned]])</f>
        <v>0</v>
      </c>
      <c r="P200"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200" s="210">
        <f>IF(Tabelle1324568910111213141516171618[[#This Row],[Status]]=$J$5,Tabelle1324568910111213141516171618[[#This Row],[COsSP Initially Planned]]+Tabelle1324568910111213141516171618[[#This Row],[COsSP Pulled after Start]]-Tabelle1324568910111213141516171618[[#This Row],[CSOsSP Completed]],0)</f>
        <v>0</v>
      </c>
      <c r="R200" s="210">
        <f>Tabelle1324568910111213141516171618[[#This Row],[COsSP Initially Planned]]+Tabelle1324568910111213141516171618[[#This Row],[COsSP Pulled after Start]]-Tabelle1324568910111213141516171618[[#This Row],[CSOsSP Completed]]-Tabelle1324568910111213141516171618[[#This Row],[CSOsSP Removed]]</f>
        <v>0</v>
      </c>
    </row>
    <row r="201" spans="1:18" ht="13.5" hidden="1" customHeight="1">
      <c r="A201" s="381" t="s">
        <v>716</v>
      </c>
      <c r="B201" s="47" t="s">
        <v>717</v>
      </c>
      <c r="C201" s="375" t="s">
        <v>375</v>
      </c>
      <c r="D201" s="375">
        <v>3</v>
      </c>
      <c r="E201" s="375" t="s">
        <v>324</v>
      </c>
      <c r="F201" s="376">
        <v>1</v>
      </c>
      <c r="G201" s="203" t="s">
        <v>21</v>
      </c>
      <c r="H201" s="205"/>
      <c r="I201" s="206"/>
      <c r="J201" s="206"/>
      <c r="K201" s="375" t="s">
        <v>125</v>
      </c>
      <c r="L201" s="204"/>
      <c r="M201" s="204"/>
      <c r="N201" s="286">
        <f>IF(OR(Tabelle1324568910111213141516171618[[#This Row],[Pulled after Start]]="yes",Tabelle1324568910111213141516171618[[#This Row],[Jira Story Points]]="-"),0,MIN(Tabelle1324568910111213141516171618[[#This Row],[Jira Story Points]],Tabelle1324568910111213141516171618[[#This Row],[Carry-over]]))</f>
        <v>1</v>
      </c>
      <c r="O201" s="210">
        <f>SUM(IF(ISBLANK(Tabelle1324568910111213141516171618[[#This Row],[Carry-over]]),Tabelle1324568910111213141516171618[[#This Row],[Jira Story Points]],Tabelle1324568910111213141516171618[[#This Row],[Carry-over]]),-Tabelle1324568910111213141516171618[[#This Row],[COsSP Initially Planned]])</f>
        <v>0</v>
      </c>
      <c r="P201"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01" s="210">
        <f>IF(Tabelle1324568910111213141516171618[[#This Row],[Status]]=$J$5,Tabelle1324568910111213141516171618[[#This Row],[COsSP Initially Planned]]+Tabelle1324568910111213141516171618[[#This Row],[COsSP Pulled after Start]]-Tabelle1324568910111213141516171618[[#This Row],[CSOsSP Completed]],0)</f>
        <v>0</v>
      </c>
      <c r="R201" s="210">
        <f>Tabelle1324568910111213141516171618[[#This Row],[COsSP Initially Planned]]+Tabelle1324568910111213141516171618[[#This Row],[COsSP Pulled after Start]]-Tabelle1324568910111213141516171618[[#This Row],[CSOsSP Completed]]-Tabelle1324568910111213141516171618[[#This Row],[CSOsSP Removed]]</f>
        <v>0</v>
      </c>
    </row>
    <row r="202" spans="1:18" ht="13.5" hidden="1" customHeight="1">
      <c r="A202" s="381" t="s">
        <v>718</v>
      </c>
      <c r="B202" s="47" t="s">
        <v>719</v>
      </c>
      <c r="C202" s="375" t="s">
        <v>375</v>
      </c>
      <c r="D202" s="375">
        <v>2</v>
      </c>
      <c r="E202" s="375" t="s">
        <v>324</v>
      </c>
      <c r="F202" s="376">
        <v>1</v>
      </c>
      <c r="G202" s="203" t="s">
        <v>21</v>
      </c>
      <c r="H202" s="205"/>
      <c r="I202" s="206"/>
      <c r="J202" s="206"/>
      <c r="K202" s="375" t="s">
        <v>125</v>
      </c>
      <c r="L202" s="204"/>
      <c r="M202" s="204"/>
      <c r="N202" s="286">
        <f>IF(OR(Tabelle1324568910111213141516171618[[#This Row],[Pulled after Start]]="yes",Tabelle1324568910111213141516171618[[#This Row],[Jira Story Points]]="-"),0,MIN(Tabelle1324568910111213141516171618[[#This Row],[Jira Story Points]],Tabelle1324568910111213141516171618[[#This Row],[Carry-over]]))</f>
        <v>1</v>
      </c>
      <c r="O202" s="210">
        <f>SUM(IF(ISBLANK(Tabelle1324568910111213141516171618[[#This Row],[Carry-over]]),Tabelle1324568910111213141516171618[[#This Row],[Jira Story Points]],Tabelle1324568910111213141516171618[[#This Row],[Carry-over]]),-Tabelle1324568910111213141516171618[[#This Row],[COsSP Initially Planned]])</f>
        <v>0</v>
      </c>
      <c r="P202"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02" s="210">
        <f>IF(Tabelle1324568910111213141516171618[[#This Row],[Status]]=$J$5,Tabelle1324568910111213141516171618[[#This Row],[COsSP Initially Planned]]+Tabelle1324568910111213141516171618[[#This Row],[COsSP Pulled after Start]]-Tabelle1324568910111213141516171618[[#This Row],[CSOsSP Completed]],0)</f>
        <v>0</v>
      </c>
      <c r="R202" s="210">
        <f>Tabelle1324568910111213141516171618[[#This Row],[COsSP Initially Planned]]+Tabelle1324568910111213141516171618[[#This Row],[COsSP Pulled after Start]]-Tabelle1324568910111213141516171618[[#This Row],[CSOsSP Completed]]-Tabelle1324568910111213141516171618[[#This Row],[CSOsSP Removed]]</f>
        <v>0</v>
      </c>
    </row>
    <row r="203" spans="1:18" ht="13.5" hidden="1" customHeight="1">
      <c r="A203" s="381" t="s">
        <v>720</v>
      </c>
      <c r="B203" s="47" t="s">
        <v>721</v>
      </c>
      <c r="C203" s="375" t="s">
        <v>375</v>
      </c>
      <c r="D203" s="375">
        <v>3</v>
      </c>
      <c r="E203" s="375" t="s">
        <v>324</v>
      </c>
      <c r="F203" s="376">
        <v>1</v>
      </c>
      <c r="G203" s="203" t="s">
        <v>21</v>
      </c>
      <c r="H203" s="205"/>
      <c r="I203" s="206"/>
      <c r="J203" s="206"/>
      <c r="K203" s="375" t="s">
        <v>125</v>
      </c>
      <c r="L203" s="204"/>
      <c r="M203" s="204"/>
      <c r="N203" s="286">
        <f>IF(OR(Tabelle1324568910111213141516171618[[#This Row],[Pulled after Start]]="yes",Tabelle1324568910111213141516171618[[#This Row],[Jira Story Points]]="-"),0,MIN(Tabelle1324568910111213141516171618[[#This Row],[Jira Story Points]],Tabelle1324568910111213141516171618[[#This Row],[Carry-over]]))</f>
        <v>1</v>
      </c>
      <c r="O203" s="210">
        <f>SUM(IF(ISBLANK(Tabelle1324568910111213141516171618[[#This Row],[Carry-over]]),Tabelle1324568910111213141516171618[[#This Row],[Jira Story Points]],Tabelle1324568910111213141516171618[[#This Row],[Carry-over]]),-Tabelle1324568910111213141516171618[[#This Row],[COsSP Initially Planned]])</f>
        <v>0</v>
      </c>
      <c r="P203"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03" s="210">
        <f>IF(Tabelle1324568910111213141516171618[[#This Row],[Status]]=$J$5,Tabelle1324568910111213141516171618[[#This Row],[COsSP Initially Planned]]+Tabelle1324568910111213141516171618[[#This Row],[COsSP Pulled after Start]]-Tabelle1324568910111213141516171618[[#This Row],[CSOsSP Completed]],0)</f>
        <v>0</v>
      </c>
      <c r="R203" s="210">
        <f>Tabelle1324568910111213141516171618[[#This Row],[COsSP Initially Planned]]+Tabelle1324568910111213141516171618[[#This Row],[COsSP Pulled after Start]]-Tabelle1324568910111213141516171618[[#This Row],[CSOsSP Completed]]-Tabelle1324568910111213141516171618[[#This Row],[CSOsSP Removed]]</f>
        <v>0</v>
      </c>
    </row>
    <row r="204" spans="1:18" ht="13.5" hidden="1" customHeight="1">
      <c r="A204" s="381" t="s">
        <v>722</v>
      </c>
      <c r="B204" s="47" t="s">
        <v>723</v>
      </c>
      <c r="C204" s="375" t="s">
        <v>375</v>
      </c>
      <c r="D204" s="375">
        <v>1</v>
      </c>
      <c r="E204" s="375" t="s">
        <v>324</v>
      </c>
      <c r="F204" s="376">
        <v>1</v>
      </c>
      <c r="G204" s="203" t="s">
        <v>21</v>
      </c>
      <c r="H204" s="205"/>
      <c r="I204" s="206"/>
      <c r="J204" s="206"/>
      <c r="K204" s="375" t="s">
        <v>125</v>
      </c>
      <c r="L204" s="204"/>
      <c r="M204" s="204"/>
      <c r="N204" s="286">
        <f>IF(OR(Tabelle1324568910111213141516171618[[#This Row],[Pulled after Start]]="yes",Tabelle1324568910111213141516171618[[#This Row],[Jira Story Points]]="-"),0,MIN(Tabelle1324568910111213141516171618[[#This Row],[Jira Story Points]],Tabelle1324568910111213141516171618[[#This Row],[Carry-over]]))</f>
        <v>1</v>
      </c>
      <c r="O204" s="210">
        <f>SUM(IF(ISBLANK(Tabelle1324568910111213141516171618[[#This Row],[Carry-over]]),Tabelle1324568910111213141516171618[[#This Row],[Jira Story Points]],Tabelle1324568910111213141516171618[[#This Row],[Carry-over]]),-Tabelle1324568910111213141516171618[[#This Row],[COsSP Initially Planned]])</f>
        <v>0</v>
      </c>
      <c r="P204"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04" s="210">
        <f>IF(Tabelle1324568910111213141516171618[[#This Row],[Status]]=$J$5,Tabelle1324568910111213141516171618[[#This Row],[COsSP Initially Planned]]+Tabelle1324568910111213141516171618[[#This Row],[COsSP Pulled after Start]]-Tabelle1324568910111213141516171618[[#This Row],[CSOsSP Completed]],0)</f>
        <v>0</v>
      </c>
      <c r="R204" s="210">
        <f>Tabelle1324568910111213141516171618[[#This Row],[COsSP Initially Planned]]+Tabelle1324568910111213141516171618[[#This Row],[COsSP Pulled after Start]]-Tabelle1324568910111213141516171618[[#This Row],[CSOsSP Completed]]-Tabelle1324568910111213141516171618[[#This Row],[CSOsSP Removed]]</f>
        <v>0</v>
      </c>
    </row>
    <row r="205" spans="1:18" ht="13.5" hidden="1" customHeight="1">
      <c r="A205" s="381" t="s">
        <v>724</v>
      </c>
      <c r="B205" s="47" t="s">
        <v>725</v>
      </c>
      <c r="C205" s="375" t="s">
        <v>375</v>
      </c>
      <c r="D205" s="375">
        <v>3</v>
      </c>
      <c r="E205" s="375" t="s">
        <v>324</v>
      </c>
      <c r="F205" s="376">
        <v>1</v>
      </c>
      <c r="G205" s="203" t="s">
        <v>21</v>
      </c>
      <c r="H205" s="205"/>
      <c r="I205" s="206"/>
      <c r="J205" s="206"/>
      <c r="K205" s="375" t="s">
        <v>125</v>
      </c>
      <c r="L205" s="204"/>
      <c r="M205" s="204"/>
      <c r="N205" s="286">
        <f>IF(OR(Tabelle1324568910111213141516171618[[#This Row],[Pulled after Start]]="yes",Tabelle1324568910111213141516171618[[#This Row],[Jira Story Points]]="-"),0,MIN(Tabelle1324568910111213141516171618[[#This Row],[Jira Story Points]],Tabelle1324568910111213141516171618[[#This Row],[Carry-over]]))</f>
        <v>1</v>
      </c>
      <c r="O205" s="210">
        <f>SUM(IF(ISBLANK(Tabelle1324568910111213141516171618[[#This Row],[Carry-over]]),Tabelle1324568910111213141516171618[[#This Row],[Jira Story Points]],Tabelle1324568910111213141516171618[[#This Row],[Carry-over]]),-Tabelle1324568910111213141516171618[[#This Row],[COsSP Initially Planned]])</f>
        <v>0</v>
      </c>
      <c r="P205"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05" s="210">
        <f>IF(Tabelle1324568910111213141516171618[[#This Row],[Status]]=$J$5,Tabelle1324568910111213141516171618[[#This Row],[COsSP Initially Planned]]+Tabelle1324568910111213141516171618[[#This Row],[COsSP Pulled after Start]]-Tabelle1324568910111213141516171618[[#This Row],[CSOsSP Completed]],0)</f>
        <v>0</v>
      </c>
      <c r="R205" s="210">
        <f>Tabelle1324568910111213141516171618[[#This Row],[COsSP Initially Planned]]+Tabelle1324568910111213141516171618[[#This Row],[COsSP Pulled after Start]]-Tabelle1324568910111213141516171618[[#This Row],[CSOsSP Completed]]-Tabelle1324568910111213141516171618[[#This Row],[CSOsSP Removed]]</f>
        <v>0</v>
      </c>
    </row>
    <row r="206" spans="1:18" ht="13.5" hidden="1" customHeight="1">
      <c r="A206" s="381" t="s">
        <v>726</v>
      </c>
      <c r="B206" s="47" t="s">
        <v>727</v>
      </c>
      <c r="C206" s="375" t="s">
        <v>375</v>
      </c>
      <c r="D206" s="375">
        <v>3</v>
      </c>
      <c r="E206" s="375" t="s">
        <v>324</v>
      </c>
      <c r="F206" s="376">
        <v>1</v>
      </c>
      <c r="G206" s="203" t="s">
        <v>21</v>
      </c>
      <c r="H206" s="205"/>
      <c r="I206" s="206"/>
      <c r="J206" s="206"/>
      <c r="K206" s="375" t="s">
        <v>125</v>
      </c>
      <c r="L206" s="204"/>
      <c r="M206" s="204"/>
      <c r="N206" s="286">
        <f>IF(OR(Tabelle1324568910111213141516171618[[#This Row],[Pulled after Start]]="yes",Tabelle1324568910111213141516171618[[#This Row],[Jira Story Points]]="-"),0,MIN(Tabelle1324568910111213141516171618[[#This Row],[Jira Story Points]],Tabelle1324568910111213141516171618[[#This Row],[Carry-over]]))</f>
        <v>1</v>
      </c>
      <c r="O206" s="210">
        <f>SUM(IF(ISBLANK(Tabelle1324568910111213141516171618[[#This Row],[Carry-over]]),Tabelle1324568910111213141516171618[[#This Row],[Jira Story Points]],Tabelle1324568910111213141516171618[[#This Row],[Carry-over]]),-Tabelle1324568910111213141516171618[[#This Row],[COsSP Initially Planned]])</f>
        <v>0</v>
      </c>
      <c r="P206"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06" s="210">
        <f>IF(Tabelle1324568910111213141516171618[[#This Row],[Status]]=$J$5,Tabelle1324568910111213141516171618[[#This Row],[COsSP Initially Planned]]+Tabelle1324568910111213141516171618[[#This Row],[COsSP Pulled after Start]]-Tabelle1324568910111213141516171618[[#This Row],[CSOsSP Completed]],0)</f>
        <v>0</v>
      </c>
      <c r="R206" s="210">
        <f>Tabelle1324568910111213141516171618[[#This Row],[COsSP Initially Planned]]+Tabelle1324568910111213141516171618[[#This Row],[COsSP Pulled after Start]]-Tabelle1324568910111213141516171618[[#This Row],[CSOsSP Completed]]-Tabelle1324568910111213141516171618[[#This Row],[CSOsSP Removed]]</f>
        <v>0</v>
      </c>
    </row>
    <row r="207" spans="1:18" ht="13.5" hidden="1" customHeight="1">
      <c r="A207" s="381" t="s">
        <v>728</v>
      </c>
      <c r="B207" s="47" t="s">
        <v>729</v>
      </c>
      <c r="C207" s="375" t="s">
        <v>375</v>
      </c>
      <c r="D207" s="375">
        <v>3</v>
      </c>
      <c r="E207" s="375" t="s">
        <v>324</v>
      </c>
      <c r="F207" s="376">
        <v>1</v>
      </c>
      <c r="G207" s="203" t="s">
        <v>21</v>
      </c>
      <c r="H207" s="205"/>
      <c r="I207" s="206"/>
      <c r="J207" s="206"/>
      <c r="K207" s="375" t="s">
        <v>125</v>
      </c>
      <c r="L207" s="204"/>
      <c r="M207" s="204"/>
      <c r="N207" s="286">
        <f>IF(OR(Tabelle1324568910111213141516171618[[#This Row],[Pulled after Start]]="yes",Tabelle1324568910111213141516171618[[#This Row],[Jira Story Points]]="-"),0,MIN(Tabelle1324568910111213141516171618[[#This Row],[Jira Story Points]],Tabelle1324568910111213141516171618[[#This Row],[Carry-over]]))</f>
        <v>1</v>
      </c>
      <c r="O207" s="210">
        <f>SUM(IF(ISBLANK(Tabelle1324568910111213141516171618[[#This Row],[Carry-over]]),Tabelle1324568910111213141516171618[[#This Row],[Jira Story Points]],Tabelle1324568910111213141516171618[[#This Row],[Carry-over]]),-Tabelle1324568910111213141516171618[[#This Row],[COsSP Initially Planned]])</f>
        <v>0</v>
      </c>
      <c r="P207"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07" s="210">
        <f>IF(Tabelle1324568910111213141516171618[[#This Row],[Status]]=$J$5,Tabelle1324568910111213141516171618[[#This Row],[COsSP Initially Planned]]+Tabelle1324568910111213141516171618[[#This Row],[COsSP Pulled after Start]]-Tabelle1324568910111213141516171618[[#This Row],[CSOsSP Completed]],0)</f>
        <v>0</v>
      </c>
      <c r="R207" s="210">
        <f>Tabelle1324568910111213141516171618[[#This Row],[COsSP Initially Planned]]+Tabelle1324568910111213141516171618[[#This Row],[COsSP Pulled after Start]]-Tabelle1324568910111213141516171618[[#This Row],[CSOsSP Completed]]-Tabelle1324568910111213141516171618[[#This Row],[CSOsSP Removed]]</f>
        <v>0</v>
      </c>
    </row>
    <row r="208" spans="1:18" ht="13.5" hidden="1" customHeight="1">
      <c r="A208" s="381" t="s">
        <v>730</v>
      </c>
      <c r="B208" s="47" t="s">
        <v>731</v>
      </c>
      <c r="C208" s="375" t="s">
        <v>375</v>
      </c>
      <c r="D208" s="375">
        <v>1</v>
      </c>
      <c r="E208" s="375" t="s">
        <v>324</v>
      </c>
      <c r="F208" s="376">
        <v>1</v>
      </c>
      <c r="G208" s="203" t="s">
        <v>21</v>
      </c>
      <c r="H208" s="205"/>
      <c r="I208" s="206"/>
      <c r="J208" s="206"/>
      <c r="K208" s="375" t="s">
        <v>125</v>
      </c>
      <c r="L208" s="204"/>
      <c r="M208" s="204"/>
      <c r="N208" s="286">
        <f>IF(OR(Tabelle1324568910111213141516171618[[#This Row],[Pulled after Start]]="yes",Tabelle1324568910111213141516171618[[#This Row],[Jira Story Points]]="-"),0,MIN(Tabelle1324568910111213141516171618[[#This Row],[Jira Story Points]],Tabelle1324568910111213141516171618[[#This Row],[Carry-over]]))</f>
        <v>1</v>
      </c>
      <c r="O208" s="210">
        <f>SUM(IF(ISBLANK(Tabelle1324568910111213141516171618[[#This Row],[Carry-over]]),Tabelle1324568910111213141516171618[[#This Row],[Jira Story Points]],Tabelle1324568910111213141516171618[[#This Row],[Carry-over]]),-Tabelle1324568910111213141516171618[[#This Row],[COsSP Initially Planned]])</f>
        <v>0</v>
      </c>
      <c r="P208" s="210">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08" s="210">
        <f>IF(Tabelle1324568910111213141516171618[[#This Row],[Status]]=$J$5,Tabelle1324568910111213141516171618[[#This Row],[COsSP Initially Planned]]+Tabelle1324568910111213141516171618[[#This Row],[COsSP Pulled after Start]]-Tabelle1324568910111213141516171618[[#This Row],[CSOsSP Completed]],0)</f>
        <v>0</v>
      </c>
      <c r="R208" s="210">
        <f>Tabelle1324568910111213141516171618[[#This Row],[COsSP Initially Planned]]+Tabelle1324568910111213141516171618[[#This Row],[COsSP Pulled after Start]]-Tabelle1324568910111213141516171618[[#This Row],[CSOsSP Completed]]-Tabelle1324568910111213141516171618[[#This Row],[CSOsSP Removed]]</f>
        <v>0</v>
      </c>
    </row>
    <row r="209" spans="1:18" ht="13.5" hidden="1" customHeight="1">
      <c r="A209" s="383" t="s">
        <v>732</v>
      </c>
      <c r="B209" s="47" t="s">
        <v>733</v>
      </c>
      <c r="C209" s="203" t="s">
        <v>375</v>
      </c>
      <c r="D209" s="203">
        <v>2</v>
      </c>
      <c r="E209" s="203" t="s">
        <v>324</v>
      </c>
      <c r="F209" s="204">
        <v>1</v>
      </c>
      <c r="G209" s="375" t="s">
        <v>21</v>
      </c>
      <c r="H209" s="205"/>
      <c r="I209" s="206"/>
      <c r="J209" s="206"/>
      <c r="K209" s="375" t="s">
        <v>125</v>
      </c>
      <c r="L209" s="204"/>
      <c r="M209" s="204"/>
      <c r="N209" s="378">
        <f>IF(OR(Tabelle1324568910111213141516171618[[#This Row],[Pulled after Start]]="yes",Tabelle1324568910111213141516171618[[#This Row],[Jira Story Points]]="-"),0,MIN(Tabelle1324568910111213141516171618[[#This Row],[Jira Story Points]],Tabelle1324568910111213141516171618[[#This Row],[Carry-over]]))</f>
        <v>1</v>
      </c>
      <c r="O209" s="379">
        <f>SUM(IF(ISBLANK(Tabelle1324568910111213141516171618[[#This Row],[Carry-over]]),Tabelle1324568910111213141516171618[[#This Row],[Jira Story Points]],Tabelle1324568910111213141516171618[[#This Row],[Carry-over]]),-Tabelle1324568910111213141516171618[[#This Row],[COsSP Initially Planned]])</f>
        <v>0</v>
      </c>
      <c r="P20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09" s="379">
        <f>IF(Tabelle1324568910111213141516171618[[#This Row],[Status]]=$J$5,Tabelle1324568910111213141516171618[[#This Row],[COsSP Initially Planned]]+Tabelle1324568910111213141516171618[[#This Row],[COsSP Pulled after Start]]-Tabelle1324568910111213141516171618[[#This Row],[CSOsSP Completed]],0)</f>
        <v>0</v>
      </c>
      <c r="R209" s="379">
        <f>Tabelle1324568910111213141516171618[[#This Row],[COsSP Initially Planned]]+Tabelle1324568910111213141516171618[[#This Row],[COsSP Pulled after Start]]-Tabelle1324568910111213141516171618[[#This Row],[CSOsSP Completed]]-Tabelle1324568910111213141516171618[[#This Row],[CSOsSP Removed]]</f>
        <v>0</v>
      </c>
    </row>
    <row r="210" spans="1:18" ht="13.5" hidden="1" customHeight="1">
      <c r="A210" s="383" t="s">
        <v>734</v>
      </c>
      <c r="B210" s="47" t="s">
        <v>735</v>
      </c>
      <c r="C210" s="203" t="s">
        <v>372</v>
      </c>
      <c r="D210" s="203">
        <v>3</v>
      </c>
      <c r="E210" s="203" t="s">
        <v>324</v>
      </c>
      <c r="F210" s="204">
        <v>3</v>
      </c>
      <c r="G210" s="375" t="s">
        <v>21</v>
      </c>
      <c r="H210" s="205"/>
      <c r="I210" s="206"/>
      <c r="J210" s="206"/>
      <c r="K210" s="375" t="s">
        <v>125</v>
      </c>
      <c r="L210" s="204"/>
      <c r="M210" s="204"/>
      <c r="N210" s="378">
        <f>IF(OR(Tabelle1324568910111213141516171618[[#This Row],[Pulled after Start]]="yes",Tabelle1324568910111213141516171618[[#This Row],[Jira Story Points]]="-"),0,MIN(Tabelle1324568910111213141516171618[[#This Row],[Jira Story Points]],Tabelle1324568910111213141516171618[[#This Row],[Carry-over]]))</f>
        <v>3</v>
      </c>
      <c r="O210" s="379">
        <f>SUM(IF(ISBLANK(Tabelle1324568910111213141516171618[[#This Row],[Carry-over]]),Tabelle1324568910111213141516171618[[#This Row],[Jira Story Points]],Tabelle1324568910111213141516171618[[#This Row],[Carry-over]]),-Tabelle1324568910111213141516171618[[#This Row],[COsSP Initially Planned]])</f>
        <v>0</v>
      </c>
      <c r="P21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10" s="379">
        <f>IF(Tabelle1324568910111213141516171618[[#This Row],[Status]]=$J$5,Tabelle1324568910111213141516171618[[#This Row],[COsSP Initially Planned]]+Tabelle1324568910111213141516171618[[#This Row],[COsSP Pulled after Start]]-Tabelle1324568910111213141516171618[[#This Row],[CSOsSP Completed]],0)</f>
        <v>0</v>
      </c>
      <c r="R210" s="379">
        <f>Tabelle1324568910111213141516171618[[#This Row],[COsSP Initially Planned]]+Tabelle1324568910111213141516171618[[#This Row],[COsSP Pulled after Start]]-Tabelle1324568910111213141516171618[[#This Row],[CSOsSP Completed]]-Tabelle1324568910111213141516171618[[#This Row],[CSOsSP Removed]]</f>
        <v>0</v>
      </c>
    </row>
    <row r="211" spans="1:18" ht="13.5" hidden="1" customHeight="1">
      <c r="A211" s="383" t="s">
        <v>736</v>
      </c>
      <c r="B211" s="47" t="s">
        <v>737</v>
      </c>
      <c r="C211" s="203" t="s">
        <v>375</v>
      </c>
      <c r="D211" s="203">
        <v>3</v>
      </c>
      <c r="E211" s="203" t="s">
        <v>324</v>
      </c>
      <c r="F211" s="204">
        <v>1</v>
      </c>
      <c r="G211" s="375" t="s">
        <v>21</v>
      </c>
      <c r="H211" s="205"/>
      <c r="I211" s="206"/>
      <c r="J211" s="206"/>
      <c r="K211" s="375" t="s">
        <v>125</v>
      </c>
      <c r="L211" s="204"/>
      <c r="M211" s="204"/>
      <c r="N211" s="378">
        <f>IF(OR(Tabelle1324568910111213141516171618[[#This Row],[Pulled after Start]]="yes",Tabelle1324568910111213141516171618[[#This Row],[Jira Story Points]]="-"),0,MIN(Tabelle1324568910111213141516171618[[#This Row],[Jira Story Points]],Tabelle1324568910111213141516171618[[#This Row],[Carry-over]]))</f>
        <v>1</v>
      </c>
      <c r="O211" s="379">
        <f>SUM(IF(ISBLANK(Tabelle1324568910111213141516171618[[#This Row],[Carry-over]]),Tabelle1324568910111213141516171618[[#This Row],[Jira Story Points]],Tabelle1324568910111213141516171618[[#This Row],[Carry-over]]),-Tabelle1324568910111213141516171618[[#This Row],[COsSP Initially Planned]])</f>
        <v>0</v>
      </c>
      <c r="P21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11" s="379">
        <f>IF(Tabelle1324568910111213141516171618[[#This Row],[Status]]=$J$5,Tabelle1324568910111213141516171618[[#This Row],[COsSP Initially Planned]]+Tabelle1324568910111213141516171618[[#This Row],[COsSP Pulled after Start]]-Tabelle1324568910111213141516171618[[#This Row],[CSOsSP Completed]],0)</f>
        <v>0</v>
      </c>
      <c r="R211" s="379">
        <f>Tabelle1324568910111213141516171618[[#This Row],[COsSP Initially Planned]]+Tabelle1324568910111213141516171618[[#This Row],[COsSP Pulled after Start]]-Tabelle1324568910111213141516171618[[#This Row],[CSOsSP Completed]]-Tabelle1324568910111213141516171618[[#This Row],[CSOsSP Removed]]</f>
        <v>0</v>
      </c>
    </row>
    <row r="212" spans="1:18" ht="13.5" hidden="1" customHeight="1">
      <c r="A212" s="383" t="s">
        <v>738</v>
      </c>
      <c r="B212" s="47" t="s">
        <v>739</v>
      </c>
      <c r="C212" s="203" t="s">
        <v>375</v>
      </c>
      <c r="D212" s="203">
        <v>2</v>
      </c>
      <c r="E212" s="203" t="s">
        <v>324</v>
      </c>
      <c r="F212" s="204">
        <v>1</v>
      </c>
      <c r="G212" s="375" t="s">
        <v>21</v>
      </c>
      <c r="H212" s="318" t="s">
        <v>209</v>
      </c>
      <c r="I212" s="206"/>
      <c r="J212" s="206"/>
      <c r="K212" s="375" t="s">
        <v>125</v>
      </c>
      <c r="L212" s="204"/>
      <c r="M212" s="204"/>
      <c r="N212" s="378">
        <f>IF(OR(Tabelle1324568910111213141516171618[[#This Row],[Pulled after Start]]="yes",Tabelle1324568910111213141516171618[[#This Row],[Jira Story Points]]="-"),0,MIN(Tabelle1324568910111213141516171618[[#This Row],[Jira Story Points]],Tabelle1324568910111213141516171618[[#This Row],[Carry-over]]))</f>
        <v>0</v>
      </c>
      <c r="O212" s="379">
        <f>SUM(IF(ISBLANK(Tabelle1324568910111213141516171618[[#This Row],[Carry-over]]),Tabelle1324568910111213141516171618[[#This Row],[Jira Story Points]],Tabelle1324568910111213141516171618[[#This Row],[Carry-over]]),-Tabelle1324568910111213141516171618[[#This Row],[COsSP Initially Planned]])</f>
        <v>1</v>
      </c>
      <c r="P21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12" s="379">
        <f>IF(Tabelle1324568910111213141516171618[[#This Row],[Status]]=$J$5,Tabelle1324568910111213141516171618[[#This Row],[COsSP Initially Planned]]+Tabelle1324568910111213141516171618[[#This Row],[COsSP Pulled after Start]]-Tabelle1324568910111213141516171618[[#This Row],[CSOsSP Completed]],0)</f>
        <v>0</v>
      </c>
      <c r="R212" s="379">
        <f>Tabelle1324568910111213141516171618[[#This Row],[COsSP Initially Planned]]+Tabelle1324568910111213141516171618[[#This Row],[COsSP Pulled after Start]]-Tabelle1324568910111213141516171618[[#This Row],[CSOsSP Completed]]-Tabelle1324568910111213141516171618[[#This Row],[CSOsSP Removed]]</f>
        <v>0</v>
      </c>
    </row>
    <row r="213" spans="1:18" ht="13.5" hidden="1" customHeight="1">
      <c r="A213" s="383" t="s">
        <v>740</v>
      </c>
      <c r="B213" s="47" t="s">
        <v>741</v>
      </c>
      <c r="C213" s="203" t="s">
        <v>375</v>
      </c>
      <c r="D213" s="203">
        <v>1</v>
      </c>
      <c r="E213" s="203" t="s">
        <v>324</v>
      </c>
      <c r="F213" s="204">
        <v>3</v>
      </c>
      <c r="G213" s="375" t="s">
        <v>21</v>
      </c>
      <c r="H213" s="318" t="s">
        <v>209</v>
      </c>
      <c r="I213" s="206"/>
      <c r="J213" s="206"/>
      <c r="K213" s="375" t="s">
        <v>125</v>
      </c>
      <c r="L213" s="204"/>
      <c r="M213" s="204"/>
      <c r="N213" s="378">
        <f>IF(OR(Tabelle1324568910111213141516171618[[#This Row],[Pulled after Start]]="yes",Tabelle1324568910111213141516171618[[#This Row],[Jira Story Points]]="-"),0,MIN(Tabelle1324568910111213141516171618[[#This Row],[Jira Story Points]],Tabelle1324568910111213141516171618[[#This Row],[Carry-over]]))</f>
        <v>0</v>
      </c>
      <c r="O213" s="379">
        <f>SUM(IF(ISBLANK(Tabelle1324568910111213141516171618[[#This Row],[Carry-over]]),Tabelle1324568910111213141516171618[[#This Row],[Jira Story Points]],Tabelle1324568910111213141516171618[[#This Row],[Carry-over]]),-Tabelle1324568910111213141516171618[[#This Row],[COsSP Initially Planned]])</f>
        <v>3</v>
      </c>
      <c r="P21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13" s="379">
        <f>IF(Tabelle1324568910111213141516171618[[#This Row],[Status]]=$J$5,Tabelle1324568910111213141516171618[[#This Row],[COsSP Initially Planned]]+Tabelle1324568910111213141516171618[[#This Row],[COsSP Pulled after Start]]-Tabelle1324568910111213141516171618[[#This Row],[CSOsSP Completed]],0)</f>
        <v>0</v>
      </c>
      <c r="R213" s="379">
        <f>Tabelle1324568910111213141516171618[[#This Row],[COsSP Initially Planned]]+Tabelle1324568910111213141516171618[[#This Row],[COsSP Pulled after Start]]-Tabelle1324568910111213141516171618[[#This Row],[CSOsSP Completed]]-Tabelle1324568910111213141516171618[[#This Row],[CSOsSP Removed]]</f>
        <v>0</v>
      </c>
    </row>
    <row r="214" spans="1:18" ht="13.5" hidden="1" customHeight="1">
      <c r="A214" s="383" t="s">
        <v>742</v>
      </c>
      <c r="B214" s="47" t="s">
        <v>743</v>
      </c>
      <c r="C214" s="203" t="s">
        <v>375</v>
      </c>
      <c r="D214" s="203">
        <v>1</v>
      </c>
      <c r="E214" s="203" t="s">
        <v>324</v>
      </c>
      <c r="F214" s="204">
        <v>3</v>
      </c>
      <c r="G214" s="375" t="s">
        <v>21</v>
      </c>
      <c r="H214" s="318" t="s">
        <v>209</v>
      </c>
      <c r="I214" s="206"/>
      <c r="J214" s="206"/>
      <c r="K214" s="375" t="s">
        <v>125</v>
      </c>
      <c r="L214" s="204"/>
      <c r="M214" s="204"/>
      <c r="N214" s="378">
        <f>IF(OR(Tabelle1324568910111213141516171618[[#This Row],[Pulled after Start]]="yes",Tabelle1324568910111213141516171618[[#This Row],[Jira Story Points]]="-"),0,MIN(Tabelle1324568910111213141516171618[[#This Row],[Jira Story Points]],Tabelle1324568910111213141516171618[[#This Row],[Carry-over]]))</f>
        <v>0</v>
      </c>
      <c r="O214" s="379">
        <f>SUM(IF(ISBLANK(Tabelle1324568910111213141516171618[[#This Row],[Carry-over]]),Tabelle1324568910111213141516171618[[#This Row],[Jira Story Points]],Tabelle1324568910111213141516171618[[#This Row],[Carry-over]]),-Tabelle1324568910111213141516171618[[#This Row],[COsSP Initially Planned]])</f>
        <v>3</v>
      </c>
      <c r="P21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14" s="379">
        <f>IF(Tabelle1324568910111213141516171618[[#This Row],[Status]]=$J$5,Tabelle1324568910111213141516171618[[#This Row],[COsSP Initially Planned]]+Tabelle1324568910111213141516171618[[#This Row],[COsSP Pulled after Start]]-Tabelle1324568910111213141516171618[[#This Row],[CSOsSP Completed]],0)</f>
        <v>0</v>
      </c>
      <c r="R214" s="379">
        <f>Tabelle1324568910111213141516171618[[#This Row],[COsSP Initially Planned]]+Tabelle1324568910111213141516171618[[#This Row],[COsSP Pulled after Start]]-Tabelle1324568910111213141516171618[[#This Row],[CSOsSP Completed]]-Tabelle1324568910111213141516171618[[#This Row],[CSOsSP Removed]]</f>
        <v>0</v>
      </c>
    </row>
    <row r="215" spans="1:18" ht="13.5" hidden="1" customHeight="1">
      <c r="A215" s="383" t="s">
        <v>744</v>
      </c>
      <c r="B215" s="47" t="s">
        <v>745</v>
      </c>
      <c r="C215" s="203" t="s">
        <v>375</v>
      </c>
      <c r="D215" s="203">
        <v>2</v>
      </c>
      <c r="E215" s="203" t="s">
        <v>324</v>
      </c>
      <c r="F215" s="204">
        <v>1</v>
      </c>
      <c r="G215" s="375" t="s">
        <v>21</v>
      </c>
      <c r="H215" s="318" t="s">
        <v>209</v>
      </c>
      <c r="I215" s="206"/>
      <c r="J215" s="206"/>
      <c r="K215" s="375" t="s">
        <v>125</v>
      </c>
      <c r="L215" s="204"/>
      <c r="M215" s="204"/>
      <c r="N215" s="378">
        <f>IF(OR(Tabelle1324568910111213141516171618[[#This Row],[Pulled after Start]]="yes",Tabelle1324568910111213141516171618[[#This Row],[Jira Story Points]]="-"),0,MIN(Tabelle1324568910111213141516171618[[#This Row],[Jira Story Points]],Tabelle1324568910111213141516171618[[#This Row],[Carry-over]]))</f>
        <v>0</v>
      </c>
      <c r="O215" s="379">
        <f>SUM(IF(ISBLANK(Tabelle1324568910111213141516171618[[#This Row],[Carry-over]]),Tabelle1324568910111213141516171618[[#This Row],[Jira Story Points]],Tabelle1324568910111213141516171618[[#This Row],[Carry-over]]),-Tabelle1324568910111213141516171618[[#This Row],[COsSP Initially Planned]])</f>
        <v>1</v>
      </c>
      <c r="P21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15" s="379">
        <f>IF(Tabelle1324568910111213141516171618[[#This Row],[Status]]=$J$5,Tabelle1324568910111213141516171618[[#This Row],[COsSP Initially Planned]]+Tabelle1324568910111213141516171618[[#This Row],[COsSP Pulled after Start]]-Tabelle1324568910111213141516171618[[#This Row],[CSOsSP Completed]],0)</f>
        <v>0</v>
      </c>
      <c r="R215" s="379">
        <f>Tabelle1324568910111213141516171618[[#This Row],[COsSP Initially Planned]]+Tabelle1324568910111213141516171618[[#This Row],[COsSP Pulled after Start]]-Tabelle1324568910111213141516171618[[#This Row],[CSOsSP Completed]]-Tabelle1324568910111213141516171618[[#This Row],[CSOsSP Removed]]</f>
        <v>0</v>
      </c>
    </row>
    <row r="216" spans="1:18" ht="13.5" hidden="1" customHeight="1">
      <c r="A216" s="383" t="s">
        <v>746</v>
      </c>
      <c r="B216" s="47" t="s">
        <v>747</v>
      </c>
      <c r="C216" s="203" t="s">
        <v>375</v>
      </c>
      <c r="D216" s="203">
        <v>2</v>
      </c>
      <c r="E216" s="203" t="s">
        <v>324</v>
      </c>
      <c r="F216" s="204">
        <v>1</v>
      </c>
      <c r="G216" s="375" t="s">
        <v>21</v>
      </c>
      <c r="H216" s="318" t="s">
        <v>209</v>
      </c>
      <c r="I216" s="206"/>
      <c r="J216" s="206"/>
      <c r="K216" s="375" t="s">
        <v>125</v>
      </c>
      <c r="L216" s="204"/>
      <c r="M216" s="204"/>
      <c r="N216" s="378">
        <f>IF(OR(Tabelle1324568910111213141516171618[[#This Row],[Pulled after Start]]="yes",Tabelle1324568910111213141516171618[[#This Row],[Jira Story Points]]="-"),0,MIN(Tabelle1324568910111213141516171618[[#This Row],[Jira Story Points]],Tabelle1324568910111213141516171618[[#This Row],[Carry-over]]))</f>
        <v>0</v>
      </c>
      <c r="O216" s="379">
        <f>SUM(IF(ISBLANK(Tabelle1324568910111213141516171618[[#This Row],[Carry-over]]),Tabelle1324568910111213141516171618[[#This Row],[Jira Story Points]],Tabelle1324568910111213141516171618[[#This Row],[Carry-over]]),-Tabelle1324568910111213141516171618[[#This Row],[COsSP Initially Planned]])</f>
        <v>1</v>
      </c>
      <c r="P21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16" s="379">
        <f>IF(Tabelle1324568910111213141516171618[[#This Row],[Status]]=$J$5,Tabelle1324568910111213141516171618[[#This Row],[COsSP Initially Planned]]+Tabelle1324568910111213141516171618[[#This Row],[COsSP Pulled after Start]]-Tabelle1324568910111213141516171618[[#This Row],[CSOsSP Completed]],0)</f>
        <v>0</v>
      </c>
      <c r="R216" s="379">
        <f>Tabelle1324568910111213141516171618[[#This Row],[COsSP Initially Planned]]+Tabelle1324568910111213141516171618[[#This Row],[COsSP Pulled after Start]]-Tabelle1324568910111213141516171618[[#This Row],[CSOsSP Completed]]-Tabelle1324568910111213141516171618[[#This Row],[CSOsSP Removed]]</f>
        <v>0</v>
      </c>
    </row>
    <row r="217" spans="1:18" ht="13.5" hidden="1" customHeight="1">
      <c r="A217" s="383" t="s">
        <v>748</v>
      </c>
      <c r="B217" s="47" t="s">
        <v>749</v>
      </c>
      <c r="C217" s="203" t="s">
        <v>375</v>
      </c>
      <c r="D217" s="203">
        <v>2</v>
      </c>
      <c r="E217" s="203" t="s">
        <v>324</v>
      </c>
      <c r="F217" s="204">
        <v>1</v>
      </c>
      <c r="G217" s="375" t="s">
        <v>21</v>
      </c>
      <c r="H217" s="318" t="s">
        <v>209</v>
      </c>
      <c r="I217" s="206"/>
      <c r="J217" s="206"/>
      <c r="K217" s="375" t="s">
        <v>125</v>
      </c>
      <c r="L217" s="204"/>
      <c r="M217" s="204"/>
      <c r="N217" s="378">
        <f>IF(OR(Tabelle1324568910111213141516171618[[#This Row],[Pulled after Start]]="yes",Tabelle1324568910111213141516171618[[#This Row],[Jira Story Points]]="-"),0,MIN(Tabelle1324568910111213141516171618[[#This Row],[Jira Story Points]],Tabelle1324568910111213141516171618[[#This Row],[Carry-over]]))</f>
        <v>0</v>
      </c>
      <c r="O217" s="379">
        <f>SUM(IF(ISBLANK(Tabelle1324568910111213141516171618[[#This Row],[Carry-over]]),Tabelle1324568910111213141516171618[[#This Row],[Jira Story Points]],Tabelle1324568910111213141516171618[[#This Row],[Carry-over]]),-Tabelle1324568910111213141516171618[[#This Row],[COsSP Initially Planned]])</f>
        <v>1</v>
      </c>
      <c r="P21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17" s="379">
        <f>IF(Tabelle1324568910111213141516171618[[#This Row],[Status]]=$J$5,Tabelle1324568910111213141516171618[[#This Row],[COsSP Initially Planned]]+Tabelle1324568910111213141516171618[[#This Row],[COsSP Pulled after Start]]-Tabelle1324568910111213141516171618[[#This Row],[CSOsSP Completed]],0)</f>
        <v>0</v>
      </c>
      <c r="R217" s="379">
        <f>Tabelle1324568910111213141516171618[[#This Row],[COsSP Initially Planned]]+Tabelle1324568910111213141516171618[[#This Row],[COsSP Pulled after Start]]-Tabelle1324568910111213141516171618[[#This Row],[CSOsSP Completed]]-Tabelle1324568910111213141516171618[[#This Row],[CSOsSP Removed]]</f>
        <v>0</v>
      </c>
    </row>
    <row r="218" spans="1:18" ht="13.5" hidden="1" customHeight="1">
      <c r="A218" s="383" t="s">
        <v>750</v>
      </c>
      <c r="B218" s="47" t="s">
        <v>751</v>
      </c>
      <c r="C218" s="203" t="s">
        <v>375</v>
      </c>
      <c r="D218" s="203">
        <v>2</v>
      </c>
      <c r="E218" s="203" t="s">
        <v>324</v>
      </c>
      <c r="F218" s="204">
        <v>1</v>
      </c>
      <c r="G218" s="375" t="s">
        <v>21</v>
      </c>
      <c r="H218" s="318" t="s">
        <v>209</v>
      </c>
      <c r="I218" s="206"/>
      <c r="J218" s="206"/>
      <c r="K218" s="375" t="s">
        <v>125</v>
      </c>
      <c r="L218" s="204"/>
      <c r="M218" s="204"/>
      <c r="N218" s="378">
        <f>IF(OR(Tabelle1324568910111213141516171618[[#This Row],[Pulled after Start]]="yes",Tabelle1324568910111213141516171618[[#This Row],[Jira Story Points]]="-"),0,MIN(Tabelle1324568910111213141516171618[[#This Row],[Jira Story Points]],Tabelle1324568910111213141516171618[[#This Row],[Carry-over]]))</f>
        <v>0</v>
      </c>
      <c r="O218" s="379">
        <f>SUM(IF(ISBLANK(Tabelle1324568910111213141516171618[[#This Row],[Carry-over]]),Tabelle1324568910111213141516171618[[#This Row],[Jira Story Points]],Tabelle1324568910111213141516171618[[#This Row],[Carry-over]]),-Tabelle1324568910111213141516171618[[#This Row],[COsSP Initially Planned]])</f>
        <v>1</v>
      </c>
      <c r="P21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18" s="379">
        <f>IF(Tabelle1324568910111213141516171618[[#This Row],[Status]]=$J$5,Tabelle1324568910111213141516171618[[#This Row],[COsSP Initially Planned]]+Tabelle1324568910111213141516171618[[#This Row],[COsSP Pulled after Start]]-Tabelle1324568910111213141516171618[[#This Row],[CSOsSP Completed]],0)</f>
        <v>0</v>
      </c>
      <c r="R218" s="379">
        <f>Tabelle1324568910111213141516171618[[#This Row],[COsSP Initially Planned]]+Tabelle1324568910111213141516171618[[#This Row],[COsSP Pulled after Start]]-Tabelle1324568910111213141516171618[[#This Row],[CSOsSP Completed]]-Tabelle1324568910111213141516171618[[#This Row],[CSOsSP Removed]]</f>
        <v>0</v>
      </c>
    </row>
    <row r="219" spans="1:18" ht="13.5" hidden="1" customHeight="1">
      <c r="A219" s="383" t="s">
        <v>752</v>
      </c>
      <c r="B219" s="47" t="s">
        <v>753</v>
      </c>
      <c r="C219" s="203" t="s">
        <v>375</v>
      </c>
      <c r="D219" s="203">
        <v>3</v>
      </c>
      <c r="E219" s="203" t="s">
        <v>324</v>
      </c>
      <c r="F219" s="204">
        <v>1</v>
      </c>
      <c r="G219" s="375" t="s">
        <v>21</v>
      </c>
      <c r="H219" s="318" t="s">
        <v>209</v>
      </c>
      <c r="I219" s="206"/>
      <c r="J219" s="206"/>
      <c r="K219" s="375" t="s">
        <v>125</v>
      </c>
      <c r="L219" s="204"/>
      <c r="M219" s="204"/>
      <c r="N219" s="378">
        <f>IF(OR(Tabelle1324568910111213141516171618[[#This Row],[Pulled after Start]]="yes",Tabelle1324568910111213141516171618[[#This Row],[Jira Story Points]]="-"),0,MIN(Tabelle1324568910111213141516171618[[#This Row],[Jira Story Points]],Tabelle1324568910111213141516171618[[#This Row],[Carry-over]]))</f>
        <v>0</v>
      </c>
      <c r="O219" s="379">
        <f>SUM(IF(ISBLANK(Tabelle1324568910111213141516171618[[#This Row],[Carry-over]]),Tabelle1324568910111213141516171618[[#This Row],[Jira Story Points]],Tabelle1324568910111213141516171618[[#This Row],[Carry-over]]),-Tabelle1324568910111213141516171618[[#This Row],[COsSP Initially Planned]])</f>
        <v>1</v>
      </c>
      <c r="P21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19" s="379">
        <f>IF(Tabelle1324568910111213141516171618[[#This Row],[Status]]=$J$5,Tabelle1324568910111213141516171618[[#This Row],[COsSP Initially Planned]]+Tabelle1324568910111213141516171618[[#This Row],[COsSP Pulled after Start]]-Tabelle1324568910111213141516171618[[#This Row],[CSOsSP Completed]],0)</f>
        <v>0</v>
      </c>
      <c r="R219" s="379">
        <f>Tabelle1324568910111213141516171618[[#This Row],[COsSP Initially Planned]]+Tabelle1324568910111213141516171618[[#This Row],[COsSP Pulled after Start]]-Tabelle1324568910111213141516171618[[#This Row],[CSOsSP Completed]]-Tabelle1324568910111213141516171618[[#This Row],[CSOsSP Removed]]</f>
        <v>0</v>
      </c>
    </row>
    <row r="220" spans="1:18" ht="13.5" hidden="1" customHeight="1">
      <c r="A220" s="383" t="s">
        <v>754</v>
      </c>
      <c r="B220" s="47" t="s">
        <v>755</v>
      </c>
      <c r="C220" s="203" t="s">
        <v>375</v>
      </c>
      <c r="D220" s="203">
        <v>3</v>
      </c>
      <c r="E220" s="203" t="s">
        <v>324</v>
      </c>
      <c r="F220" s="204">
        <v>1</v>
      </c>
      <c r="G220" s="375" t="s">
        <v>21</v>
      </c>
      <c r="H220" s="318" t="s">
        <v>209</v>
      </c>
      <c r="I220" s="206"/>
      <c r="J220" s="206"/>
      <c r="K220" s="375" t="s">
        <v>125</v>
      </c>
      <c r="L220" s="204"/>
      <c r="M220" s="204"/>
      <c r="N220" s="378">
        <f>IF(OR(Tabelle1324568910111213141516171618[[#This Row],[Pulled after Start]]="yes",Tabelle1324568910111213141516171618[[#This Row],[Jira Story Points]]="-"),0,MIN(Tabelle1324568910111213141516171618[[#This Row],[Jira Story Points]],Tabelle1324568910111213141516171618[[#This Row],[Carry-over]]))</f>
        <v>0</v>
      </c>
      <c r="O220" s="379">
        <f>SUM(IF(ISBLANK(Tabelle1324568910111213141516171618[[#This Row],[Carry-over]]),Tabelle1324568910111213141516171618[[#This Row],[Jira Story Points]],Tabelle1324568910111213141516171618[[#This Row],[Carry-over]]),-Tabelle1324568910111213141516171618[[#This Row],[COsSP Initially Planned]])</f>
        <v>1</v>
      </c>
      <c r="P22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20" s="379">
        <f>IF(Tabelle1324568910111213141516171618[[#This Row],[Status]]=$J$5,Tabelle1324568910111213141516171618[[#This Row],[COsSP Initially Planned]]+Tabelle1324568910111213141516171618[[#This Row],[COsSP Pulled after Start]]-Tabelle1324568910111213141516171618[[#This Row],[CSOsSP Completed]],0)</f>
        <v>0</v>
      </c>
      <c r="R220" s="379">
        <f>Tabelle1324568910111213141516171618[[#This Row],[COsSP Initially Planned]]+Tabelle1324568910111213141516171618[[#This Row],[COsSP Pulled after Start]]-Tabelle1324568910111213141516171618[[#This Row],[CSOsSP Completed]]-Tabelle1324568910111213141516171618[[#This Row],[CSOsSP Removed]]</f>
        <v>0</v>
      </c>
    </row>
    <row r="221" spans="1:18" ht="13.5" hidden="1" customHeight="1">
      <c r="A221" s="383" t="s">
        <v>756</v>
      </c>
      <c r="B221" s="47" t="s">
        <v>757</v>
      </c>
      <c r="C221" s="203" t="s">
        <v>375</v>
      </c>
      <c r="D221" s="203">
        <v>3</v>
      </c>
      <c r="E221" s="203" t="s">
        <v>324</v>
      </c>
      <c r="F221" s="204">
        <v>1</v>
      </c>
      <c r="G221" s="375" t="s">
        <v>21</v>
      </c>
      <c r="H221" s="318" t="s">
        <v>209</v>
      </c>
      <c r="I221" s="206"/>
      <c r="J221" s="206"/>
      <c r="K221" s="375" t="s">
        <v>125</v>
      </c>
      <c r="L221" s="204"/>
      <c r="M221" s="204"/>
      <c r="N221" s="378">
        <f>IF(OR(Tabelle1324568910111213141516171618[[#This Row],[Pulled after Start]]="yes",Tabelle1324568910111213141516171618[[#This Row],[Jira Story Points]]="-"),0,MIN(Tabelle1324568910111213141516171618[[#This Row],[Jira Story Points]],Tabelle1324568910111213141516171618[[#This Row],[Carry-over]]))</f>
        <v>0</v>
      </c>
      <c r="O221" s="379">
        <f>SUM(IF(ISBLANK(Tabelle1324568910111213141516171618[[#This Row],[Carry-over]]),Tabelle1324568910111213141516171618[[#This Row],[Jira Story Points]],Tabelle1324568910111213141516171618[[#This Row],[Carry-over]]),-Tabelle1324568910111213141516171618[[#This Row],[COsSP Initially Planned]])</f>
        <v>1</v>
      </c>
      <c r="P22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21" s="379">
        <f>IF(Tabelle1324568910111213141516171618[[#This Row],[Status]]=$J$5,Tabelle1324568910111213141516171618[[#This Row],[COsSP Initially Planned]]+Tabelle1324568910111213141516171618[[#This Row],[COsSP Pulled after Start]]-Tabelle1324568910111213141516171618[[#This Row],[CSOsSP Completed]],0)</f>
        <v>0</v>
      </c>
      <c r="R221" s="379">
        <f>Tabelle1324568910111213141516171618[[#This Row],[COsSP Initially Planned]]+Tabelle1324568910111213141516171618[[#This Row],[COsSP Pulled after Start]]-Tabelle1324568910111213141516171618[[#This Row],[CSOsSP Completed]]-Tabelle1324568910111213141516171618[[#This Row],[CSOsSP Removed]]</f>
        <v>0</v>
      </c>
    </row>
    <row r="222" spans="1:18" ht="13.5" hidden="1" customHeight="1">
      <c r="A222" s="383" t="s">
        <v>758</v>
      </c>
      <c r="B222" s="47" t="s">
        <v>759</v>
      </c>
      <c r="C222" s="203" t="s">
        <v>375</v>
      </c>
      <c r="D222" s="203">
        <v>2</v>
      </c>
      <c r="E222" s="203" t="s">
        <v>324</v>
      </c>
      <c r="F222" s="204">
        <v>1</v>
      </c>
      <c r="G222" s="375" t="s">
        <v>21</v>
      </c>
      <c r="H222" s="318" t="s">
        <v>209</v>
      </c>
      <c r="I222" s="206"/>
      <c r="J222" s="206"/>
      <c r="K222" s="375" t="s">
        <v>125</v>
      </c>
      <c r="L222" s="204"/>
      <c r="M222" s="204"/>
      <c r="N222" s="378">
        <f>IF(OR(Tabelle1324568910111213141516171618[[#This Row],[Pulled after Start]]="yes",Tabelle1324568910111213141516171618[[#This Row],[Jira Story Points]]="-"),0,MIN(Tabelle1324568910111213141516171618[[#This Row],[Jira Story Points]],Tabelle1324568910111213141516171618[[#This Row],[Carry-over]]))</f>
        <v>0</v>
      </c>
      <c r="O222" s="379">
        <f>SUM(IF(ISBLANK(Tabelle1324568910111213141516171618[[#This Row],[Carry-over]]),Tabelle1324568910111213141516171618[[#This Row],[Jira Story Points]],Tabelle1324568910111213141516171618[[#This Row],[Carry-over]]),-Tabelle1324568910111213141516171618[[#This Row],[COsSP Initially Planned]])</f>
        <v>1</v>
      </c>
      <c r="P22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22" s="379">
        <f>IF(Tabelle1324568910111213141516171618[[#This Row],[Status]]=$J$5,Tabelle1324568910111213141516171618[[#This Row],[COsSP Initially Planned]]+Tabelle1324568910111213141516171618[[#This Row],[COsSP Pulled after Start]]-Tabelle1324568910111213141516171618[[#This Row],[CSOsSP Completed]],0)</f>
        <v>0</v>
      </c>
      <c r="R222" s="379">
        <f>Tabelle1324568910111213141516171618[[#This Row],[COsSP Initially Planned]]+Tabelle1324568910111213141516171618[[#This Row],[COsSP Pulled after Start]]-Tabelle1324568910111213141516171618[[#This Row],[CSOsSP Completed]]-Tabelle1324568910111213141516171618[[#This Row],[CSOsSP Removed]]</f>
        <v>0</v>
      </c>
    </row>
    <row r="223" spans="1:18" ht="13.5" hidden="1" customHeight="1">
      <c r="A223" s="383" t="s">
        <v>760</v>
      </c>
      <c r="B223" s="47" t="s">
        <v>761</v>
      </c>
      <c r="C223" s="203" t="s">
        <v>375</v>
      </c>
      <c r="D223" s="203">
        <v>2</v>
      </c>
      <c r="E223" s="203" t="s">
        <v>324</v>
      </c>
      <c r="F223" s="204">
        <v>1</v>
      </c>
      <c r="G223" s="375" t="s">
        <v>21</v>
      </c>
      <c r="H223" s="318" t="s">
        <v>209</v>
      </c>
      <c r="I223" s="206"/>
      <c r="J223" s="206"/>
      <c r="K223" s="375" t="s">
        <v>125</v>
      </c>
      <c r="L223" s="204"/>
      <c r="M223" s="204"/>
      <c r="N223" s="378">
        <f>IF(OR(Tabelle1324568910111213141516171618[[#This Row],[Pulled after Start]]="yes",Tabelle1324568910111213141516171618[[#This Row],[Jira Story Points]]="-"),0,MIN(Tabelle1324568910111213141516171618[[#This Row],[Jira Story Points]],Tabelle1324568910111213141516171618[[#This Row],[Carry-over]]))</f>
        <v>0</v>
      </c>
      <c r="O223" s="379">
        <f>SUM(IF(ISBLANK(Tabelle1324568910111213141516171618[[#This Row],[Carry-over]]),Tabelle1324568910111213141516171618[[#This Row],[Jira Story Points]],Tabelle1324568910111213141516171618[[#This Row],[Carry-over]]),-Tabelle1324568910111213141516171618[[#This Row],[COsSP Initially Planned]])</f>
        <v>1</v>
      </c>
      <c r="P22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23" s="379">
        <f>IF(Tabelle1324568910111213141516171618[[#This Row],[Status]]=$J$5,Tabelle1324568910111213141516171618[[#This Row],[COsSP Initially Planned]]+Tabelle1324568910111213141516171618[[#This Row],[COsSP Pulled after Start]]-Tabelle1324568910111213141516171618[[#This Row],[CSOsSP Completed]],0)</f>
        <v>0</v>
      </c>
      <c r="R223" s="379">
        <f>Tabelle1324568910111213141516171618[[#This Row],[COsSP Initially Planned]]+Tabelle1324568910111213141516171618[[#This Row],[COsSP Pulled after Start]]-Tabelle1324568910111213141516171618[[#This Row],[CSOsSP Completed]]-Tabelle1324568910111213141516171618[[#This Row],[CSOsSP Removed]]</f>
        <v>0</v>
      </c>
    </row>
    <row r="224" spans="1:18" ht="13.5" hidden="1" customHeight="1">
      <c r="A224" s="383" t="s">
        <v>762</v>
      </c>
      <c r="B224" s="47" t="s">
        <v>763</v>
      </c>
      <c r="C224" s="203" t="s">
        <v>375</v>
      </c>
      <c r="D224" s="203">
        <v>2</v>
      </c>
      <c r="E224" s="203" t="s">
        <v>324</v>
      </c>
      <c r="F224" s="204">
        <v>1</v>
      </c>
      <c r="G224" s="375" t="s">
        <v>21</v>
      </c>
      <c r="H224" s="318" t="s">
        <v>209</v>
      </c>
      <c r="I224" s="206"/>
      <c r="J224" s="206"/>
      <c r="K224" s="375" t="s">
        <v>125</v>
      </c>
      <c r="L224" s="204"/>
      <c r="M224" s="204"/>
      <c r="N224" s="378">
        <f>IF(OR(Tabelle1324568910111213141516171618[[#This Row],[Pulled after Start]]="yes",Tabelle1324568910111213141516171618[[#This Row],[Jira Story Points]]="-"),0,MIN(Tabelle1324568910111213141516171618[[#This Row],[Jira Story Points]],Tabelle1324568910111213141516171618[[#This Row],[Carry-over]]))</f>
        <v>0</v>
      </c>
      <c r="O224" s="379">
        <f>SUM(IF(ISBLANK(Tabelle1324568910111213141516171618[[#This Row],[Carry-over]]),Tabelle1324568910111213141516171618[[#This Row],[Jira Story Points]],Tabelle1324568910111213141516171618[[#This Row],[Carry-over]]),-Tabelle1324568910111213141516171618[[#This Row],[COsSP Initially Planned]])</f>
        <v>1</v>
      </c>
      <c r="P22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24" s="379">
        <f>IF(Tabelle1324568910111213141516171618[[#This Row],[Status]]=$J$5,Tabelle1324568910111213141516171618[[#This Row],[COsSP Initially Planned]]+Tabelle1324568910111213141516171618[[#This Row],[COsSP Pulled after Start]]-Tabelle1324568910111213141516171618[[#This Row],[CSOsSP Completed]],0)</f>
        <v>0</v>
      </c>
      <c r="R224" s="379">
        <f>Tabelle1324568910111213141516171618[[#This Row],[COsSP Initially Planned]]+Tabelle1324568910111213141516171618[[#This Row],[COsSP Pulled after Start]]-Tabelle1324568910111213141516171618[[#This Row],[CSOsSP Completed]]-Tabelle1324568910111213141516171618[[#This Row],[CSOsSP Removed]]</f>
        <v>0</v>
      </c>
    </row>
    <row r="225" spans="1:18" ht="13.5" hidden="1" customHeight="1">
      <c r="A225" s="383" t="s">
        <v>764</v>
      </c>
      <c r="B225" s="47" t="s">
        <v>765</v>
      </c>
      <c r="C225" s="203" t="s">
        <v>375</v>
      </c>
      <c r="D225" s="203">
        <v>2</v>
      </c>
      <c r="E225" s="203" t="s">
        <v>324</v>
      </c>
      <c r="F225" s="204">
        <v>1</v>
      </c>
      <c r="G225" s="375" t="s">
        <v>21</v>
      </c>
      <c r="H225" s="318" t="s">
        <v>209</v>
      </c>
      <c r="I225" s="206"/>
      <c r="J225" s="206"/>
      <c r="K225" s="375" t="s">
        <v>125</v>
      </c>
      <c r="L225" s="204"/>
      <c r="M225" s="204"/>
      <c r="N225" s="378">
        <f>IF(OR(Tabelle1324568910111213141516171618[[#This Row],[Pulled after Start]]="yes",Tabelle1324568910111213141516171618[[#This Row],[Jira Story Points]]="-"),0,MIN(Tabelle1324568910111213141516171618[[#This Row],[Jira Story Points]],Tabelle1324568910111213141516171618[[#This Row],[Carry-over]]))</f>
        <v>0</v>
      </c>
      <c r="O225" s="379">
        <f>SUM(IF(ISBLANK(Tabelle1324568910111213141516171618[[#This Row],[Carry-over]]),Tabelle1324568910111213141516171618[[#This Row],[Jira Story Points]],Tabelle1324568910111213141516171618[[#This Row],[Carry-over]]),-Tabelle1324568910111213141516171618[[#This Row],[COsSP Initially Planned]])</f>
        <v>1</v>
      </c>
      <c r="P22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25" s="379">
        <f>IF(Tabelle1324568910111213141516171618[[#This Row],[Status]]=$J$5,Tabelle1324568910111213141516171618[[#This Row],[COsSP Initially Planned]]+Tabelle1324568910111213141516171618[[#This Row],[COsSP Pulled after Start]]-Tabelle1324568910111213141516171618[[#This Row],[CSOsSP Completed]],0)</f>
        <v>0</v>
      </c>
      <c r="R225" s="379">
        <f>Tabelle1324568910111213141516171618[[#This Row],[COsSP Initially Planned]]+Tabelle1324568910111213141516171618[[#This Row],[COsSP Pulled after Start]]-Tabelle1324568910111213141516171618[[#This Row],[CSOsSP Completed]]-Tabelle1324568910111213141516171618[[#This Row],[CSOsSP Removed]]</f>
        <v>0</v>
      </c>
    </row>
    <row r="226" spans="1:18" ht="13.5" hidden="1" customHeight="1">
      <c r="A226" s="383" t="s">
        <v>766</v>
      </c>
      <c r="B226" s="47" t="s">
        <v>767</v>
      </c>
      <c r="C226" s="203" t="s">
        <v>375</v>
      </c>
      <c r="D226" s="203">
        <v>3</v>
      </c>
      <c r="E226" s="203" t="s">
        <v>324</v>
      </c>
      <c r="F226" s="204">
        <v>1</v>
      </c>
      <c r="G226" s="375" t="s">
        <v>21</v>
      </c>
      <c r="H226" s="318" t="s">
        <v>209</v>
      </c>
      <c r="I226" s="206"/>
      <c r="J226" s="206"/>
      <c r="K226" s="375" t="s">
        <v>125</v>
      </c>
      <c r="L226" s="204"/>
      <c r="M226" s="204"/>
      <c r="N226" s="378">
        <f>IF(OR(Tabelle1324568910111213141516171618[[#This Row],[Pulled after Start]]="yes",Tabelle1324568910111213141516171618[[#This Row],[Jira Story Points]]="-"),0,MIN(Tabelle1324568910111213141516171618[[#This Row],[Jira Story Points]],Tabelle1324568910111213141516171618[[#This Row],[Carry-over]]))</f>
        <v>0</v>
      </c>
      <c r="O226" s="379">
        <f>SUM(IF(ISBLANK(Tabelle1324568910111213141516171618[[#This Row],[Carry-over]]),Tabelle1324568910111213141516171618[[#This Row],[Jira Story Points]],Tabelle1324568910111213141516171618[[#This Row],[Carry-over]]),-Tabelle1324568910111213141516171618[[#This Row],[COsSP Initially Planned]])</f>
        <v>1</v>
      </c>
      <c r="P22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26" s="379">
        <f>IF(Tabelle1324568910111213141516171618[[#This Row],[Status]]=$J$5,Tabelle1324568910111213141516171618[[#This Row],[COsSP Initially Planned]]+Tabelle1324568910111213141516171618[[#This Row],[COsSP Pulled after Start]]-Tabelle1324568910111213141516171618[[#This Row],[CSOsSP Completed]],0)</f>
        <v>0</v>
      </c>
      <c r="R226" s="379">
        <f>Tabelle1324568910111213141516171618[[#This Row],[COsSP Initially Planned]]+Tabelle1324568910111213141516171618[[#This Row],[COsSP Pulled after Start]]-Tabelle1324568910111213141516171618[[#This Row],[CSOsSP Completed]]-Tabelle1324568910111213141516171618[[#This Row],[CSOsSP Removed]]</f>
        <v>0</v>
      </c>
    </row>
    <row r="227" spans="1:18" ht="13.5" hidden="1" customHeight="1">
      <c r="A227" s="383" t="s">
        <v>768</v>
      </c>
      <c r="B227" s="47" t="s">
        <v>769</v>
      </c>
      <c r="C227" s="203" t="s">
        <v>375</v>
      </c>
      <c r="D227" s="203">
        <v>2</v>
      </c>
      <c r="E227" s="203" t="s">
        <v>324</v>
      </c>
      <c r="F227" s="204">
        <v>1</v>
      </c>
      <c r="G227" s="375" t="s">
        <v>21</v>
      </c>
      <c r="H227" s="318" t="s">
        <v>209</v>
      </c>
      <c r="I227" s="206"/>
      <c r="J227" s="206"/>
      <c r="K227" s="375" t="s">
        <v>125</v>
      </c>
      <c r="L227" s="204"/>
      <c r="M227" s="204"/>
      <c r="N227" s="378">
        <f>IF(OR(Tabelle1324568910111213141516171618[[#This Row],[Pulled after Start]]="yes",Tabelle1324568910111213141516171618[[#This Row],[Jira Story Points]]="-"),0,MIN(Tabelle1324568910111213141516171618[[#This Row],[Jira Story Points]],Tabelle1324568910111213141516171618[[#This Row],[Carry-over]]))</f>
        <v>0</v>
      </c>
      <c r="O227" s="379">
        <f>SUM(IF(ISBLANK(Tabelle1324568910111213141516171618[[#This Row],[Carry-over]]),Tabelle1324568910111213141516171618[[#This Row],[Jira Story Points]],Tabelle1324568910111213141516171618[[#This Row],[Carry-over]]),-Tabelle1324568910111213141516171618[[#This Row],[COsSP Initially Planned]])</f>
        <v>1</v>
      </c>
      <c r="P22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27" s="379">
        <f>IF(Tabelle1324568910111213141516171618[[#This Row],[Status]]=$J$5,Tabelle1324568910111213141516171618[[#This Row],[COsSP Initially Planned]]+Tabelle1324568910111213141516171618[[#This Row],[COsSP Pulled after Start]]-Tabelle1324568910111213141516171618[[#This Row],[CSOsSP Completed]],0)</f>
        <v>0</v>
      </c>
      <c r="R227" s="379">
        <f>Tabelle1324568910111213141516171618[[#This Row],[COsSP Initially Planned]]+Tabelle1324568910111213141516171618[[#This Row],[COsSP Pulled after Start]]-Tabelle1324568910111213141516171618[[#This Row],[CSOsSP Completed]]-Tabelle1324568910111213141516171618[[#This Row],[CSOsSP Removed]]</f>
        <v>0</v>
      </c>
    </row>
    <row r="228" spans="1:18" ht="13.5" hidden="1" customHeight="1">
      <c r="A228" s="383" t="s">
        <v>770</v>
      </c>
      <c r="B228" s="47" t="s">
        <v>771</v>
      </c>
      <c r="C228" s="203" t="s">
        <v>375</v>
      </c>
      <c r="D228" s="203">
        <v>3</v>
      </c>
      <c r="E228" s="203" t="s">
        <v>324</v>
      </c>
      <c r="F228" s="204">
        <v>1</v>
      </c>
      <c r="G228" s="375" t="s">
        <v>21</v>
      </c>
      <c r="H228" s="318" t="s">
        <v>209</v>
      </c>
      <c r="I228" s="206"/>
      <c r="J228" s="206"/>
      <c r="K228" s="375" t="s">
        <v>125</v>
      </c>
      <c r="L228" s="204"/>
      <c r="M228" s="204"/>
      <c r="N228" s="378">
        <f>IF(OR(Tabelle1324568910111213141516171618[[#This Row],[Pulled after Start]]="yes",Tabelle1324568910111213141516171618[[#This Row],[Jira Story Points]]="-"),0,MIN(Tabelle1324568910111213141516171618[[#This Row],[Jira Story Points]],Tabelle1324568910111213141516171618[[#This Row],[Carry-over]]))</f>
        <v>0</v>
      </c>
      <c r="O228" s="379">
        <f>SUM(IF(ISBLANK(Tabelle1324568910111213141516171618[[#This Row],[Carry-over]]),Tabelle1324568910111213141516171618[[#This Row],[Jira Story Points]],Tabelle1324568910111213141516171618[[#This Row],[Carry-over]]),-Tabelle1324568910111213141516171618[[#This Row],[COsSP Initially Planned]])</f>
        <v>1</v>
      </c>
      <c r="P22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28" s="379">
        <f>IF(Tabelle1324568910111213141516171618[[#This Row],[Status]]=$J$5,Tabelle1324568910111213141516171618[[#This Row],[COsSP Initially Planned]]+Tabelle1324568910111213141516171618[[#This Row],[COsSP Pulled after Start]]-Tabelle1324568910111213141516171618[[#This Row],[CSOsSP Completed]],0)</f>
        <v>0</v>
      </c>
      <c r="R228" s="379">
        <f>Tabelle1324568910111213141516171618[[#This Row],[COsSP Initially Planned]]+Tabelle1324568910111213141516171618[[#This Row],[COsSP Pulled after Start]]-Tabelle1324568910111213141516171618[[#This Row],[CSOsSP Completed]]-Tabelle1324568910111213141516171618[[#This Row],[CSOsSP Removed]]</f>
        <v>0</v>
      </c>
    </row>
    <row r="229" spans="1:18" ht="13.5" hidden="1" customHeight="1">
      <c r="A229" s="383" t="s">
        <v>772</v>
      </c>
      <c r="B229" s="47" t="s">
        <v>773</v>
      </c>
      <c r="C229" s="203" t="s">
        <v>375</v>
      </c>
      <c r="D229" s="203">
        <v>3</v>
      </c>
      <c r="E229" s="203" t="s">
        <v>324</v>
      </c>
      <c r="F229" s="204">
        <v>1</v>
      </c>
      <c r="G229" s="375" t="s">
        <v>21</v>
      </c>
      <c r="H229" s="318" t="s">
        <v>209</v>
      </c>
      <c r="I229" s="206"/>
      <c r="J229" s="206"/>
      <c r="K229" s="375" t="s">
        <v>125</v>
      </c>
      <c r="L229" s="204"/>
      <c r="M229" s="204"/>
      <c r="N229" s="378">
        <f>IF(OR(Tabelle1324568910111213141516171618[[#This Row],[Pulled after Start]]="yes",Tabelle1324568910111213141516171618[[#This Row],[Jira Story Points]]="-"),0,MIN(Tabelle1324568910111213141516171618[[#This Row],[Jira Story Points]],Tabelle1324568910111213141516171618[[#This Row],[Carry-over]]))</f>
        <v>0</v>
      </c>
      <c r="O229" s="379">
        <f>SUM(IF(ISBLANK(Tabelle1324568910111213141516171618[[#This Row],[Carry-over]]),Tabelle1324568910111213141516171618[[#This Row],[Jira Story Points]],Tabelle1324568910111213141516171618[[#This Row],[Carry-over]]),-Tabelle1324568910111213141516171618[[#This Row],[COsSP Initially Planned]])</f>
        <v>1</v>
      </c>
      <c r="P22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29" s="379">
        <f>IF(Tabelle1324568910111213141516171618[[#This Row],[Status]]=$J$5,Tabelle1324568910111213141516171618[[#This Row],[COsSP Initially Planned]]+Tabelle1324568910111213141516171618[[#This Row],[COsSP Pulled after Start]]-Tabelle1324568910111213141516171618[[#This Row],[CSOsSP Completed]],0)</f>
        <v>0</v>
      </c>
      <c r="R229" s="379">
        <f>Tabelle1324568910111213141516171618[[#This Row],[COsSP Initially Planned]]+Tabelle1324568910111213141516171618[[#This Row],[COsSP Pulled after Start]]-Tabelle1324568910111213141516171618[[#This Row],[CSOsSP Completed]]-Tabelle1324568910111213141516171618[[#This Row],[CSOsSP Removed]]</f>
        <v>0</v>
      </c>
    </row>
    <row r="230" spans="1:18" ht="13.5" hidden="1" customHeight="1">
      <c r="A230" s="383" t="s">
        <v>774</v>
      </c>
      <c r="B230" s="47" t="s">
        <v>775</v>
      </c>
      <c r="C230" s="203" t="s">
        <v>375</v>
      </c>
      <c r="D230" s="203">
        <v>3</v>
      </c>
      <c r="E230" s="203" t="s">
        <v>324</v>
      </c>
      <c r="F230" s="204">
        <v>1</v>
      </c>
      <c r="G230" s="375" t="s">
        <v>21</v>
      </c>
      <c r="H230" s="318" t="s">
        <v>209</v>
      </c>
      <c r="I230" s="206"/>
      <c r="J230" s="206"/>
      <c r="K230" s="375" t="s">
        <v>125</v>
      </c>
      <c r="L230" s="204"/>
      <c r="M230" s="204"/>
      <c r="N230" s="378">
        <f>IF(OR(Tabelle1324568910111213141516171618[[#This Row],[Pulled after Start]]="yes",Tabelle1324568910111213141516171618[[#This Row],[Jira Story Points]]="-"),0,MIN(Tabelle1324568910111213141516171618[[#This Row],[Jira Story Points]],Tabelle1324568910111213141516171618[[#This Row],[Carry-over]]))</f>
        <v>0</v>
      </c>
      <c r="O230" s="379">
        <f>SUM(IF(ISBLANK(Tabelle1324568910111213141516171618[[#This Row],[Carry-over]]),Tabelle1324568910111213141516171618[[#This Row],[Jira Story Points]],Tabelle1324568910111213141516171618[[#This Row],[Carry-over]]),-Tabelle1324568910111213141516171618[[#This Row],[COsSP Initially Planned]])</f>
        <v>1</v>
      </c>
      <c r="P23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30" s="379">
        <f>IF(Tabelle1324568910111213141516171618[[#This Row],[Status]]=$J$5,Tabelle1324568910111213141516171618[[#This Row],[COsSP Initially Planned]]+Tabelle1324568910111213141516171618[[#This Row],[COsSP Pulled after Start]]-Tabelle1324568910111213141516171618[[#This Row],[CSOsSP Completed]],0)</f>
        <v>0</v>
      </c>
      <c r="R230" s="379">
        <f>Tabelle1324568910111213141516171618[[#This Row],[COsSP Initially Planned]]+Tabelle1324568910111213141516171618[[#This Row],[COsSP Pulled after Start]]-Tabelle1324568910111213141516171618[[#This Row],[CSOsSP Completed]]-Tabelle1324568910111213141516171618[[#This Row],[CSOsSP Removed]]</f>
        <v>0</v>
      </c>
    </row>
    <row r="231" spans="1:18" ht="13.5" hidden="1" customHeight="1">
      <c r="A231" s="383" t="s">
        <v>776</v>
      </c>
      <c r="B231" s="47" t="s">
        <v>777</v>
      </c>
      <c r="C231" s="203" t="s">
        <v>375</v>
      </c>
      <c r="D231" s="203">
        <v>2</v>
      </c>
      <c r="E231" s="203" t="s">
        <v>324</v>
      </c>
      <c r="F231" s="204">
        <v>1</v>
      </c>
      <c r="G231" s="375" t="s">
        <v>21</v>
      </c>
      <c r="H231" s="318" t="s">
        <v>209</v>
      </c>
      <c r="I231" s="206"/>
      <c r="J231" s="206"/>
      <c r="K231" s="375" t="s">
        <v>125</v>
      </c>
      <c r="L231" s="204"/>
      <c r="M231" s="204"/>
      <c r="N231" s="378">
        <f>IF(OR(Tabelle1324568910111213141516171618[[#This Row],[Pulled after Start]]="yes",Tabelle1324568910111213141516171618[[#This Row],[Jira Story Points]]="-"),0,MIN(Tabelle1324568910111213141516171618[[#This Row],[Jira Story Points]],Tabelle1324568910111213141516171618[[#This Row],[Carry-over]]))</f>
        <v>0</v>
      </c>
      <c r="O231" s="379">
        <f>SUM(IF(ISBLANK(Tabelle1324568910111213141516171618[[#This Row],[Carry-over]]),Tabelle1324568910111213141516171618[[#This Row],[Jira Story Points]],Tabelle1324568910111213141516171618[[#This Row],[Carry-over]]),-Tabelle1324568910111213141516171618[[#This Row],[COsSP Initially Planned]])</f>
        <v>1</v>
      </c>
      <c r="P23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31" s="379">
        <f>IF(Tabelle1324568910111213141516171618[[#This Row],[Status]]=$J$5,Tabelle1324568910111213141516171618[[#This Row],[COsSP Initially Planned]]+Tabelle1324568910111213141516171618[[#This Row],[COsSP Pulled after Start]]-Tabelle1324568910111213141516171618[[#This Row],[CSOsSP Completed]],0)</f>
        <v>0</v>
      </c>
      <c r="R231" s="379">
        <f>Tabelle1324568910111213141516171618[[#This Row],[COsSP Initially Planned]]+Tabelle1324568910111213141516171618[[#This Row],[COsSP Pulled after Start]]-Tabelle1324568910111213141516171618[[#This Row],[CSOsSP Completed]]-Tabelle1324568910111213141516171618[[#This Row],[CSOsSP Removed]]</f>
        <v>0</v>
      </c>
    </row>
    <row r="232" spans="1:18" ht="13.5" hidden="1" customHeight="1">
      <c r="A232" s="383" t="s">
        <v>778</v>
      </c>
      <c r="B232" s="47" t="s">
        <v>779</v>
      </c>
      <c r="C232" s="203" t="s">
        <v>375</v>
      </c>
      <c r="D232" s="203">
        <v>3</v>
      </c>
      <c r="E232" s="203" t="s">
        <v>324</v>
      </c>
      <c r="F232" s="204">
        <v>1</v>
      </c>
      <c r="G232" s="375" t="s">
        <v>21</v>
      </c>
      <c r="H232" s="318" t="s">
        <v>209</v>
      </c>
      <c r="I232" s="206"/>
      <c r="J232" s="206"/>
      <c r="K232" s="375" t="s">
        <v>125</v>
      </c>
      <c r="L232" s="204"/>
      <c r="M232" s="204"/>
      <c r="N232" s="378">
        <f>IF(OR(Tabelle1324568910111213141516171618[[#This Row],[Pulled after Start]]="yes",Tabelle1324568910111213141516171618[[#This Row],[Jira Story Points]]="-"),0,MIN(Tabelle1324568910111213141516171618[[#This Row],[Jira Story Points]],Tabelle1324568910111213141516171618[[#This Row],[Carry-over]]))</f>
        <v>0</v>
      </c>
      <c r="O232" s="379">
        <f>SUM(IF(ISBLANK(Tabelle1324568910111213141516171618[[#This Row],[Carry-over]]),Tabelle1324568910111213141516171618[[#This Row],[Jira Story Points]],Tabelle1324568910111213141516171618[[#This Row],[Carry-over]]),-Tabelle1324568910111213141516171618[[#This Row],[COsSP Initially Planned]])</f>
        <v>1</v>
      </c>
      <c r="P23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32" s="379">
        <f>IF(Tabelle1324568910111213141516171618[[#This Row],[Status]]=$J$5,Tabelle1324568910111213141516171618[[#This Row],[COsSP Initially Planned]]+Tabelle1324568910111213141516171618[[#This Row],[COsSP Pulled after Start]]-Tabelle1324568910111213141516171618[[#This Row],[CSOsSP Completed]],0)</f>
        <v>0</v>
      </c>
      <c r="R232" s="379">
        <f>Tabelle1324568910111213141516171618[[#This Row],[COsSP Initially Planned]]+Tabelle1324568910111213141516171618[[#This Row],[COsSP Pulled after Start]]-Tabelle1324568910111213141516171618[[#This Row],[CSOsSP Completed]]-Tabelle1324568910111213141516171618[[#This Row],[CSOsSP Removed]]</f>
        <v>0</v>
      </c>
    </row>
    <row r="233" spans="1:18" ht="13.5" hidden="1" customHeight="1">
      <c r="A233" s="383" t="s">
        <v>780</v>
      </c>
      <c r="B233" s="47" t="s">
        <v>781</v>
      </c>
      <c r="C233" s="203" t="s">
        <v>375</v>
      </c>
      <c r="D233" s="203">
        <v>2</v>
      </c>
      <c r="E233" s="203" t="s">
        <v>324</v>
      </c>
      <c r="F233" s="204">
        <v>3</v>
      </c>
      <c r="G233" s="375" t="s">
        <v>21</v>
      </c>
      <c r="H233" s="318" t="s">
        <v>209</v>
      </c>
      <c r="I233" s="206"/>
      <c r="J233" s="206"/>
      <c r="K233" s="375" t="s">
        <v>125</v>
      </c>
      <c r="L233" s="204"/>
      <c r="M233" s="204"/>
      <c r="N233" s="378">
        <f>IF(OR(Tabelle1324568910111213141516171618[[#This Row],[Pulled after Start]]="yes",Tabelle1324568910111213141516171618[[#This Row],[Jira Story Points]]="-"),0,MIN(Tabelle1324568910111213141516171618[[#This Row],[Jira Story Points]],Tabelle1324568910111213141516171618[[#This Row],[Carry-over]]))</f>
        <v>0</v>
      </c>
      <c r="O233" s="379">
        <f>SUM(IF(ISBLANK(Tabelle1324568910111213141516171618[[#This Row],[Carry-over]]),Tabelle1324568910111213141516171618[[#This Row],[Jira Story Points]],Tabelle1324568910111213141516171618[[#This Row],[Carry-over]]),-Tabelle1324568910111213141516171618[[#This Row],[COsSP Initially Planned]])</f>
        <v>3</v>
      </c>
      <c r="P23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33" s="379">
        <f>IF(Tabelle1324568910111213141516171618[[#This Row],[Status]]=$J$5,Tabelle1324568910111213141516171618[[#This Row],[COsSP Initially Planned]]+Tabelle1324568910111213141516171618[[#This Row],[COsSP Pulled after Start]]-Tabelle1324568910111213141516171618[[#This Row],[CSOsSP Completed]],0)</f>
        <v>0</v>
      </c>
      <c r="R233" s="379">
        <f>Tabelle1324568910111213141516171618[[#This Row],[COsSP Initially Planned]]+Tabelle1324568910111213141516171618[[#This Row],[COsSP Pulled after Start]]-Tabelle1324568910111213141516171618[[#This Row],[CSOsSP Completed]]-Tabelle1324568910111213141516171618[[#This Row],[CSOsSP Removed]]</f>
        <v>0</v>
      </c>
    </row>
    <row r="234" spans="1:18" ht="13.5" hidden="1" customHeight="1">
      <c r="A234" s="383" t="s">
        <v>782</v>
      </c>
      <c r="B234" s="47" t="s">
        <v>783</v>
      </c>
      <c r="C234" s="203" t="s">
        <v>375</v>
      </c>
      <c r="D234" s="203">
        <v>3</v>
      </c>
      <c r="E234" s="203" t="s">
        <v>324</v>
      </c>
      <c r="F234" s="204">
        <v>1</v>
      </c>
      <c r="G234" s="375" t="s">
        <v>21</v>
      </c>
      <c r="H234" s="318" t="s">
        <v>209</v>
      </c>
      <c r="I234" s="206"/>
      <c r="J234" s="206"/>
      <c r="K234" s="375" t="s">
        <v>125</v>
      </c>
      <c r="L234" s="204"/>
      <c r="M234" s="204"/>
      <c r="N234" s="378">
        <f>IF(OR(Tabelle1324568910111213141516171618[[#This Row],[Pulled after Start]]="yes",Tabelle1324568910111213141516171618[[#This Row],[Jira Story Points]]="-"),0,MIN(Tabelle1324568910111213141516171618[[#This Row],[Jira Story Points]],Tabelle1324568910111213141516171618[[#This Row],[Carry-over]]))</f>
        <v>0</v>
      </c>
      <c r="O234" s="379">
        <f>SUM(IF(ISBLANK(Tabelle1324568910111213141516171618[[#This Row],[Carry-over]]),Tabelle1324568910111213141516171618[[#This Row],[Jira Story Points]],Tabelle1324568910111213141516171618[[#This Row],[Carry-over]]),-Tabelle1324568910111213141516171618[[#This Row],[COsSP Initially Planned]])</f>
        <v>1</v>
      </c>
      <c r="P23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34" s="379">
        <f>IF(Tabelle1324568910111213141516171618[[#This Row],[Status]]=$J$5,Tabelle1324568910111213141516171618[[#This Row],[COsSP Initially Planned]]+Tabelle1324568910111213141516171618[[#This Row],[COsSP Pulled after Start]]-Tabelle1324568910111213141516171618[[#This Row],[CSOsSP Completed]],0)</f>
        <v>0</v>
      </c>
      <c r="R234" s="379">
        <f>Tabelle1324568910111213141516171618[[#This Row],[COsSP Initially Planned]]+Tabelle1324568910111213141516171618[[#This Row],[COsSP Pulled after Start]]-Tabelle1324568910111213141516171618[[#This Row],[CSOsSP Completed]]-Tabelle1324568910111213141516171618[[#This Row],[CSOsSP Removed]]</f>
        <v>0</v>
      </c>
    </row>
    <row r="235" spans="1:18" ht="13.5" hidden="1" customHeight="1">
      <c r="A235" s="383" t="s">
        <v>784</v>
      </c>
      <c r="B235" s="47" t="s">
        <v>785</v>
      </c>
      <c r="C235" s="203" t="s">
        <v>375</v>
      </c>
      <c r="D235" s="203">
        <v>3</v>
      </c>
      <c r="E235" s="203" t="s">
        <v>324</v>
      </c>
      <c r="F235" s="204">
        <v>1</v>
      </c>
      <c r="G235" s="375" t="s">
        <v>21</v>
      </c>
      <c r="H235" s="318" t="s">
        <v>209</v>
      </c>
      <c r="I235" s="206"/>
      <c r="J235" s="206"/>
      <c r="K235" s="375" t="s">
        <v>125</v>
      </c>
      <c r="L235" s="204"/>
      <c r="M235" s="204"/>
      <c r="N235" s="378">
        <f>IF(OR(Tabelle1324568910111213141516171618[[#This Row],[Pulled after Start]]="yes",Tabelle1324568910111213141516171618[[#This Row],[Jira Story Points]]="-"),0,MIN(Tabelle1324568910111213141516171618[[#This Row],[Jira Story Points]],Tabelle1324568910111213141516171618[[#This Row],[Carry-over]]))</f>
        <v>0</v>
      </c>
      <c r="O235" s="379">
        <f>SUM(IF(ISBLANK(Tabelle1324568910111213141516171618[[#This Row],[Carry-over]]),Tabelle1324568910111213141516171618[[#This Row],[Jira Story Points]],Tabelle1324568910111213141516171618[[#This Row],[Carry-over]]),-Tabelle1324568910111213141516171618[[#This Row],[COsSP Initially Planned]])</f>
        <v>1</v>
      </c>
      <c r="P23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35" s="379">
        <f>IF(Tabelle1324568910111213141516171618[[#This Row],[Status]]=$J$5,Tabelle1324568910111213141516171618[[#This Row],[COsSP Initially Planned]]+Tabelle1324568910111213141516171618[[#This Row],[COsSP Pulled after Start]]-Tabelle1324568910111213141516171618[[#This Row],[CSOsSP Completed]],0)</f>
        <v>0</v>
      </c>
      <c r="R235" s="379">
        <f>Tabelle1324568910111213141516171618[[#This Row],[COsSP Initially Planned]]+Tabelle1324568910111213141516171618[[#This Row],[COsSP Pulled after Start]]-Tabelle1324568910111213141516171618[[#This Row],[CSOsSP Completed]]-Tabelle1324568910111213141516171618[[#This Row],[CSOsSP Removed]]</f>
        <v>0</v>
      </c>
    </row>
    <row r="236" spans="1:18" ht="13.5" hidden="1" customHeight="1">
      <c r="A236" s="383" t="s">
        <v>786</v>
      </c>
      <c r="B236" s="47" t="s">
        <v>787</v>
      </c>
      <c r="C236" s="203" t="s">
        <v>375</v>
      </c>
      <c r="D236" s="203">
        <v>2</v>
      </c>
      <c r="E236" s="203" t="s">
        <v>324</v>
      </c>
      <c r="F236" s="204">
        <v>3</v>
      </c>
      <c r="G236" s="375" t="s">
        <v>21</v>
      </c>
      <c r="H236" s="318" t="s">
        <v>209</v>
      </c>
      <c r="I236" s="206"/>
      <c r="J236" s="206"/>
      <c r="K236" s="375" t="s">
        <v>125</v>
      </c>
      <c r="L236" s="204"/>
      <c r="M236" s="204"/>
      <c r="N236" s="378">
        <f>IF(OR(Tabelle1324568910111213141516171618[[#This Row],[Pulled after Start]]="yes",Tabelle1324568910111213141516171618[[#This Row],[Jira Story Points]]="-"),0,MIN(Tabelle1324568910111213141516171618[[#This Row],[Jira Story Points]],Tabelle1324568910111213141516171618[[#This Row],[Carry-over]]))</f>
        <v>0</v>
      </c>
      <c r="O236" s="379">
        <f>SUM(IF(ISBLANK(Tabelle1324568910111213141516171618[[#This Row],[Carry-over]]),Tabelle1324568910111213141516171618[[#This Row],[Jira Story Points]],Tabelle1324568910111213141516171618[[#This Row],[Carry-over]]),-Tabelle1324568910111213141516171618[[#This Row],[COsSP Initially Planned]])</f>
        <v>3</v>
      </c>
      <c r="P23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36" s="379">
        <f>IF(Tabelle1324568910111213141516171618[[#This Row],[Status]]=$J$5,Tabelle1324568910111213141516171618[[#This Row],[COsSP Initially Planned]]+Tabelle1324568910111213141516171618[[#This Row],[COsSP Pulled after Start]]-Tabelle1324568910111213141516171618[[#This Row],[CSOsSP Completed]],0)</f>
        <v>0</v>
      </c>
      <c r="R236" s="379">
        <f>Tabelle1324568910111213141516171618[[#This Row],[COsSP Initially Planned]]+Tabelle1324568910111213141516171618[[#This Row],[COsSP Pulled after Start]]-Tabelle1324568910111213141516171618[[#This Row],[CSOsSP Completed]]-Tabelle1324568910111213141516171618[[#This Row],[CSOsSP Removed]]</f>
        <v>0</v>
      </c>
    </row>
    <row r="237" spans="1:18" ht="13.5" hidden="1" customHeight="1">
      <c r="A237" s="383" t="s">
        <v>788</v>
      </c>
      <c r="B237" s="47" t="s">
        <v>789</v>
      </c>
      <c r="C237" s="203" t="s">
        <v>375</v>
      </c>
      <c r="D237" s="203">
        <v>2</v>
      </c>
      <c r="E237" s="203" t="s">
        <v>324</v>
      </c>
      <c r="F237" s="204">
        <v>1</v>
      </c>
      <c r="G237" s="375" t="s">
        <v>21</v>
      </c>
      <c r="H237" s="318" t="s">
        <v>209</v>
      </c>
      <c r="I237" s="206"/>
      <c r="J237" s="206"/>
      <c r="K237" s="375" t="s">
        <v>125</v>
      </c>
      <c r="L237" s="204"/>
      <c r="M237" s="204"/>
      <c r="N237" s="378">
        <f>IF(OR(Tabelle1324568910111213141516171618[[#This Row],[Pulled after Start]]="yes",Tabelle1324568910111213141516171618[[#This Row],[Jira Story Points]]="-"),0,MIN(Tabelle1324568910111213141516171618[[#This Row],[Jira Story Points]],Tabelle1324568910111213141516171618[[#This Row],[Carry-over]]))</f>
        <v>0</v>
      </c>
      <c r="O237" s="379">
        <f>SUM(IF(ISBLANK(Tabelle1324568910111213141516171618[[#This Row],[Carry-over]]),Tabelle1324568910111213141516171618[[#This Row],[Jira Story Points]],Tabelle1324568910111213141516171618[[#This Row],[Carry-over]]),-Tabelle1324568910111213141516171618[[#This Row],[COsSP Initially Planned]])</f>
        <v>1</v>
      </c>
      <c r="P23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37" s="379">
        <f>IF(Tabelle1324568910111213141516171618[[#This Row],[Status]]=$J$5,Tabelle1324568910111213141516171618[[#This Row],[COsSP Initially Planned]]+Tabelle1324568910111213141516171618[[#This Row],[COsSP Pulled after Start]]-Tabelle1324568910111213141516171618[[#This Row],[CSOsSP Completed]],0)</f>
        <v>0</v>
      </c>
      <c r="R237" s="379">
        <f>Tabelle1324568910111213141516171618[[#This Row],[COsSP Initially Planned]]+Tabelle1324568910111213141516171618[[#This Row],[COsSP Pulled after Start]]-Tabelle1324568910111213141516171618[[#This Row],[CSOsSP Completed]]-Tabelle1324568910111213141516171618[[#This Row],[CSOsSP Removed]]</f>
        <v>0</v>
      </c>
    </row>
    <row r="238" spans="1:18" ht="13.5" hidden="1" customHeight="1">
      <c r="A238" s="383" t="s">
        <v>790</v>
      </c>
      <c r="B238" s="47" t="s">
        <v>791</v>
      </c>
      <c r="C238" s="203" t="s">
        <v>375</v>
      </c>
      <c r="D238" s="203">
        <v>1</v>
      </c>
      <c r="E238" s="203" t="s">
        <v>324</v>
      </c>
      <c r="F238" s="204">
        <v>3</v>
      </c>
      <c r="G238" s="375" t="s">
        <v>21</v>
      </c>
      <c r="H238" s="318" t="s">
        <v>209</v>
      </c>
      <c r="I238" s="206"/>
      <c r="J238" s="206"/>
      <c r="K238" s="375" t="s">
        <v>125</v>
      </c>
      <c r="L238" s="204"/>
      <c r="M238" s="204"/>
      <c r="N238" s="378">
        <f>IF(OR(Tabelle1324568910111213141516171618[[#This Row],[Pulled after Start]]="yes",Tabelle1324568910111213141516171618[[#This Row],[Jira Story Points]]="-"),0,MIN(Tabelle1324568910111213141516171618[[#This Row],[Jira Story Points]],Tabelle1324568910111213141516171618[[#This Row],[Carry-over]]))</f>
        <v>0</v>
      </c>
      <c r="O238" s="379">
        <f>SUM(IF(ISBLANK(Tabelle1324568910111213141516171618[[#This Row],[Carry-over]]),Tabelle1324568910111213141516171618[[#This Row],[Jira Story Points]],Tabelle1324568910111213141516171618[[#This Row],[Carry-over]]),-Tabelle1324568910111213141516171618[[#This Row],[COsSP Initially Planned]])</f>
        <v>3</v>
      </c>
      <c r="P23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38" s="379">
        <f>IF(Tabelle1324568910111213141516171618[[#This Row],[Status]]=$J$5,Tabelle1324568910111213141516171618[[#This Row],[COsSP Initially Planned]]+Tabelle1324568910111213141516171618[[#This Row],[COsSP Pulled after Start]]-Tabelle1324568910111213141516171618[[#This Row],[CSOsSP Completed]],0)</f>
        <v>0</v>
      </c>
      <c r="R238" s="379">
        <f>Tabelle1324568910111213141516171618[[#This Row],[COsSP Initially Planned]]+Tabelle1324568910111213141516171618[[#This Row],[COsSP Pulled after Start]]-Tabelle1324568910111213141516171618[[#This Row],[CSOsSP Completed]]-Tabelle1324568910111213141516171618[[#This Row],[CSOsSP Removed]]</f>
        <v>0</v>
      </c>
    </row>
    <row r="239" spans="1:18" ht="13.5" hidden="1" customHeight="1">
      <c r="A239" s="383" t="s">
        <v>792</v>
      </c>
      <c r="B239" s="47" t="s">
        <v>793</v>
      </c>
      <c r="C239" s="203" t="s">
        <v>372</v>
      </c>
      <c r="D239" s="203">
        <v>3</v>
      </c>
      <c r="E239" s="203" t="s">
        <v>324</v>
      </c>
      <c r="F239" s="204">
        <v>1</v>
      </c>
      <c r="G239" s="375" t="s">
        <v>21</v>
      </c>
      <c r="H239" s="318" t="s">
        <v>209</v>
      </c>
      <c r="I239" s="206"/>
      <c r="J239" s="206"/>
      <c r="K239" s="375" t="s">
        <v>125</v>
      </c>
      <c r="L239" s="204"/>
      <c r="M239" s="204"/>
      <c r="N239" s="378">
        <f>IF(OR(Tabelle1324568910111213141516171618[[#This Row],[Pulled after Start]]="yes",Tabelle1324568910111213141516171618[[#This Row],[Jira Story Points]]="-"),0,MIN(Tabelle1324568910111213141516171618[[#This Row],[Jira Story Points]],Tabelle1324568910111213141516171618[[#This Row],[Carry-over]]))</f>
        <v>0</v>
      </c>
      <c r="O239" s="379">
        <f>SUM(IF(ISBLANK(Tabelle1324568910111213141516171618[[#This Row],[Carry-over]]),Tabelle1324568910111213141516171618[[#This Row],[Jira Story Points]],Tabelle1324568910111213141516171618[[#This Row],[Carry-over]]),-Tabelle1324568910111213141516171618[[#This Row],[COsSP Initially Planned]])</f>
        <v>1</v>
      </c>
      <c r="P23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39" s="379">
        <f>IF(Tabelle1324568910111213141516171618[[#This Row],[Status]]=$J$5,Tabelle1324568910111213141516171618[[#This Row],[COsSP Initially Planned]]+Tabelle1324568910111213141516171618[[#This Row],[COsSP Pulled after Start]]-Tabelle1324568910111213141516171618[[#This Row],[CSOsSP Completed]],0)</f>
        <v>0</v>
      </c>
      <c r="R239" s="379">
        <f>Tabelle1324568910111213141516171618[[#This Row],[COsSP Initially Planned]]+Tabelle1324568910111213141516171618[[#This Row],[COsSP Pulled after Start]]-Tabelle1324568910111213141516171618[[#This Row],[CSOsSP Completed]]-Tabelle1324568910111213141516171618[[#This Row],[CSOsSP Removed]]</f>
        <v>0</v>
      </c>
    </row>
    <row r="240" spans="1:18" ht="13.5" hidden="1" customHeight="1">
      <c r="A240" s="383" t="s">
        <v>794</v>
      </c>
      <c r="B240" s="47" t="s">
        <v>795</v>
      </c>
      <c r="C240" s="203" t="s">
        <v>372</v>
      </c>
      <c r="D240" s="203">
        <v>3</v>
      </c>
      <c r="E240" s="203" t="s">
        <v>324</v>
      </c>
      <c r="F240" s="204">
        <v>1</v>
      </c>
      <c r="G240" s="375" t="s">
        <v>21</v>
      </c>
      <c r="H240" s="318" t="s">
        <v>209</v>
      </c>
      <c r="I240" s="206"/>
      <c r="J240" s="206"/>
      <c r="K240" s="375" t="s">
        <v>125</v>
      </c>
      <c r="L240" s="204"/>
      <c r="M240" s="204"/>
      <c r="N240" s="378">
        <f>IF(OR(Tabelle1324568910111213141516171618[[#This Row],[Pulled after Start]]="yes",Tabelle1324568910111213141516171618[[#This Row],[Jira Story Points]]="-"),0,MIN(Tabelle1324568910111213141516171618[[#This Row],[Jira Story Points]],Tabelle1324568910111213141516171618[[#This Row],[Carry-over]]))</f>
        <v>0</v>
      </c>
      <c r="O240" s="379">
        <f>SUM(IF(ISBLANK(Tabelle1324568910111213141516171618[[#This Row],[Carry-over]]),Tabelle1324568910111213141516171618[[#This Row],[Jira Story Points]],Tabelle1324568910111213141516171618[[#This Row],[Carry-over]]),-Tabelle1324568910111213141516171618[[#This Row],[COsSP Initially Planned]])</f>
        <v>1</v>
      </c>
      <c r="P24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40" s="379">
        <f>IF(Tabelle1324568910111213141516171618[[#This Row],[Status]]=$J$5,Tabelle1324568910111213141516171618[[#This Row],[COsSP Initially Planned]]+Tabelle1324568910111213141516171618[[#This Row],[COsSP Pulled after Start]]-Tabelle1324568910111213141516171618[[#This Row],[CSOsSP Completed]],0)</f>
        <v>0</v>
      </c>
      <c r="R240" s="379">
        <f>Tabelle1324568910111213141516171618[[#This Row],[COsSP Initially Planned]]+Tabelle1324568910111213141516171618[[#This Row],[COsSP Pulled after Start]]-Tabelle1324568910111213141516171618[[#This Row],[CSOsSP Completed]]-Tabelle1324568910111213141516171618[[#This Row],[CSOsSP Removed]]</f>
        <v>0</v>
      </c>
    </row>
    <row r="241" spans="1:18" ht="13.5" hidden="1" customHeight="1">
      <c r="A241" s="383" t="s">
        <v>796</v>
      </c>
      <c r="B241" s="47" t="s">
        <v>797</v>
      </c>
      <c r="C241" s="203" t="s">
        <v>375</v>
      </c>
      <c r="D241" s="203">
        <v>1</v>
      </c>
      <c r="E241" s="203" t="s">
        <v>324</v>
      </c>
      <c r="F241" s="204">
        <v>5</v>
      </c>
      <c r="G241" s="375" t="s">
        <v>21</v>
      </c>
      <c r="H241" s="318" t="s">
        <v>209</v>
      </c>
      <c r="I241" s="206"/>
      <c r="J241" s="206"/>
      <c r="K241" s="375" t="s">
        <v>125</v>
      </c>
      <c r="L241" s="204"/>
      <c r="M241" s="204"/>
      <c r="N241" s="378">
        <f>IF(OR(Tabelle1324568910111213141516171618[[#This Row],[Pulled after Start]]="yes",Tabelle1324568910111213141516171618[[#This Row],[Jira Story Points]]="-"),0,MIN(Tabelle1324568910111213141516171618[[#This Row],[Jira Story Points]],Tabelle1324568910111213141516171618[[#This Row],[Carry-over]]))</f>
        <v>0</v>
      </c>
      <c r="O241" s="379">
        <f>SUM(IF(ISBLANK(Tabelle1324568910111213141516171618[[#This Row],[Carry-over]]),Tabelle1324568910111213141516171618[[#This Row],[Jira Story Points]],Tabelle1324568910111213141516171618[[#This Row],[Carry-over]]),-Tabelle1324568910111213141516171618[[#This Row],[COsSP Initially Planned]])</f>
        <v>5</v>
      </c>
      <c r="P24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241" s="379">
        <f>IF(Tabelle1324568910111213141516171618[[#This Row],[Status]]=$J$5,Tabelle1324568910111213141516171618[[#This Row],[COsSP Initially Planned]]+Tabelle1324568910111213141516171618[[#This Row],[COsSP Pulled after Start]]-Tabelle1324568910111213141516171618[[#This Row],[CSOsSP Completed]],0)</f>
        <v>0</v>
      </c>
      <c r="R241" s="379">
        <f>Tabelle1324568910111213141516171618[[#This Row],[COsSP Initially Planned]]+Tabelle1324568910111213141516171618[[#This Row],[COsSP Pulled after Start]]-Tabelle1324568910111213141516171618[[#This Row],[CSOsSP Completed]]-Tabelle1324568910111213141516171618[[#This Row],[CSOsSP Removed]]</f>
        <v>0</v>
      </c>
    </row>
    <row r="242" spans="1:18" ht="13.5" hidden="1" customHeight="1">
      <c r="A242" s="383" t="s">
        <v>798</v>
      </c>
      <c r="B242" s="47" t="s">
        <v>799</v>
      </c>
      <c r="C242" s="203" t="s">
        <v>375</v>
      </c>
      <c r="D242" s="203">
        <v>3</v>
      </c>
      <c r="E242" s="203" t="s">
        <v>324</v>
      </c>
      <c r="F242" s="204">
        <v>1</v>
      </c>
      <c r="G242" s="375" t="s">
        <v>21</v>
      </c>
      <c r="H242" s="318" t="s">
        <v>209</v>
      </c>
      <c r="I242" s="206"/>
      <c r="J242" s="206"/>
      <c r="K242" s="375" t="s">
        <v>125</v>
      </c>
      <c r="L242" s="204"/>
      <c r="M242" s="204"/>
      <c r="N242" s="378">
        <f>IF(OR(Tabelle1324568910111213141516171618[[#This Row],[Pulled after Start]]="yes",Tabelle1324568910111213141516171618[[#This Row],[Jira Story Points]]="-"),0,MIN(Tabelle1324568910111213141516171618[[#This Row],[Jira Story Points]],Tabelle1324568910111213141516171618[[#This Row],[Carry-over]]))</f>
        <v>0</v>
      </c>
      <c r="O242" s="379">
        <f>SUM(IF(ISBLANK(Tabelle1324568910111213141516171618[[#This Row],[Carry-over]]),Tabelle1324568910111213141516171618[[#This Row],[Jira Story Points]],Tabelle1324568910111213141516171618[[#This Row],[Carry-over]]),-Tabelle1324568910111213141516171618[[#This Row],[COsSP Initially Planned]])</f>
        <v>1</v>
      </c>
      <c r="P24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42" s="379">
        <f>IF(Tabelle1324568910111213141516171618[[#This Row],[Status]]=$J$5,Tabelle1324568910111213141516171618[[#This Row],[COsSP Initially Planned]]+Tabelle1324568910111213141516171618[[#This Row],[COsSP Pulled after Start]]-Tabelle1324568910111213141516171618[[#This Row],[CSOsSP Completed]],0)</f>
        <v>0</v>
      </c>
      <c r="R242" s="379">
        <f>Tabelle1324568910111213141516171618[[#This Row],[COsSP Initially Planned]]+Tabelle1324568910111213141516171618[[#This Row],[COsSP Pulled after Start]]-Tabelle1324568910111213141516171618[[#This Row],[CSOsSP Completed]]-Tabelle1324568910111213141516171618[[#This Row],[CSOsSP Removed]]</f>
        <v>0</v>
      </c>
    </row>
    <row r="243" spans="1:18" ht="13.5" hidden="1" customHeight="1">
      <c r="A243" s="383" t="s">
        <v>800</v>
      </c>
      <c r="B243" s="47" t="s">
        <v>801</v>
      </c>
      <c r="C243" s="203" t="s">
        <v>375</v>
      </c>
      <c r="D243" s="203">
        <v>1</v>
      </c>
      <c r="E243" s="203" t="s">
        <v>324</v>
      </c>
      <c r="F243" s="204">
        <v>5</v>
      </c>
      <c r="G243" s="375" t="s">
        <v>21</v>
      </c>
      <c r="H243" s="318" t="s">
        <v>209</v>
      </c>
      <c r="I243" s="206"/>
      <c r="J243" s="206"/>
      <c r="K243" s="375" t="s">
        <v>125</v>
      </c>
      <c r="L243" s="204"/>
      <c r="M243" s="204"/>
      <c r="N243" s="378">
        <f>IF(OR(Tabelle1324568910111213141516171618[[#This Row],[Pulled after Start]]="yes",Tabelle1324568910111213141516171618[[#This Row],[Jira Story Points]]="-"),0,MIN(Tabelle1324568910111213141516171618[[#This Row],[Jira Story Points]],Tabelle1324568910111213141516171618[[#This Row],[Carry-over]]))</f>
        <v>0</v>
      </c>
      <c r="O243" s="379">
        <f>SUM(IF(ISBLANK(Tabelle1324568910111213141516171618[[#This Row],[Carry-over]]),Tabelle1324568910111213141516171618[[#This Row],[Jira Story Points]],Tabelle1324568910111213141516171618[[#This Row],[Carry-over]]),-Tabelle1324568910111213141516171618[[#This Row],[COsSP Initially Planned]])</f>
        <v>5</v>
      </c>
      <c r="P24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243" s="379">
        <f>IF(Tabelle1324568910111213141516171618[[#This Row],[Status]]=$J$5,Tabelle1324568910111213141516171618[[#This Row],[COsSP Initially Planned]]+Tabelle1324568910111213141516171618[[#This Row],[COsSP Pulled after Start]]-Tabelle1324568910111213141516171618[[#This Row],[CSOsSP Completed]],0)</f>
        <v>0</v>
      </c>
      <c r="R243" s="379">
        <f>Tabelle1324568910111213141516171618[[#This Row],[COsSP Initially Planned]]+Tabelle1324568910111213141516171618[[#This Row],[COsSP Pulled after Start]]-Tabelle1324568910111213141516171618[[#This Row],[CSOsSP Completed]]-Tabelle1324568910111213141516171618[[#This Row],[CSOsSP Removed]]</f>
        <v>0</v>
      </c>
    </row>
    <row r="244" spans="1:18" ht="13.5" hidden="1" customHeight="1">
      <c r="A244" s="383" t="s">
        <v>802</v>
      </c>
      <c r="B244" s="47" t="s">
        <v>803</v>
      </c>
      <c r="C244" s="203" t="s">
        <v>375</v>
      </c>
      <c r="D244" s="203">
        <v>2</v>
      </c>
      <c r="E244" s="203" t="s">
        <v>324</v>
      </c>
      <c r="F244" s="204">
        <v>3</v>
      </c>
      <c r="G244" s="375" t="s">
        <v>21</v>
      </c>
      <c r="H244" s="318" t="s">
        <v>209</v>
      </c>
      <c r="I244" s="206"/>
      <c r="J244" s="206"/>
      <c r="K244" s="375" t="s">
        <v>125</v>
      </c>
      <c r="L244" s="204"/>
      <c r="M244" s="204"/>
      <c r="N244" s="378">
        <f>IF(OR(Tabelle1324568910111213141516171618[[#This Row],[Pulled after Start]]="yes",Tabelle1324568910111213141516171618[[#This Row],[Jira Story Points]]="-"),0,MIN(Tabelle1324568910111213141516171618[[#This Row],[Jira Story Points]],Tabelle1324568910111213141516171618[[#This Row],[Carry-over]]))</f>
        <v>0</v>
      </c>
      <c r="O244" s="379">
        <f>SUM(IF(ISBLANK(Tabelle1324568910111213141516171618[[#This Row],[Carry-over]]),Tabelle1324568910111213141516171618[[#This Row],[Jira Story Points]],Tabelle1324568910111213141516171618[[#This Row],[Carry-over]]),-Tabelle1324568910111213141516171618[[#This Row],[COsSP Initially Planned]])</f>
        <v>3</v>
      </c>
      <c r="P24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44" s="379">
        <f>IF(Tabelle1324568910111213141516171618[[#This Row],[Status]]=$J$5,Tabelle1324568910111213141516171618[[#This Row],[COsSP Initially Planned]]+Tabelle1324568910111213141516171618[[#This Row],[COsSP Pulled after Start]]-Tabelle1324568910111213141516171618[[#This Row],[CSOsSP Completed]],0)</f>
        <v>0</v>
      </c>
      <c r="R244" s="379">
        <f>Tabelle1324568910111213141516171618[[#This Row],[COsSP Initially Planned]]+Tabelle1324568910111213141516171618[[#This Row],[COsSP Pulled after Start]]-Tabelle1324568910111213141516171618[[#This Row],[CSOsSP Completed]]-Tabelle1324568910111213141516171618[[#This Row],[CSOsSP Removed]]</f>
        <v>0</v>
      </c>
    </row>
    <row r="245" spans="1:18" ht="13.5" hidden="1" customHeight="1">
      <c r="A245" s="383" t="s">
        <v>804</v>
      </c>
      <c r="B245" s="47" t="s">
        <v>805</v>
      </c>
      <c r="C245" s="203" t="s">
        <v>375</v>
      </c>
      <c r="D245" s="203">
        <v>2</v>
      </c>
      <c r="E245" s="203" t="s">
        <v>324</v>
      </c>
      <c r="F245" s="204">
        <v>5</v>
      </c>
      <c r="G245" s="375" t="s">
        <v>21</v>
      </c>
      <c r="H245" s="318" t="s">
        <v>209</v>
      </c>
      <c r="I245" s="206"/>
      <c r="J245" s="206"/>
      <c r="K245" s="375" t="s">
        <v>125</v>
      </c>
      <c r="L245" s="204"/>
      <c r="M245" s="204"/>
      <c r="N245" s="378">
        <f>IF(OR(Tabelle1324568910111213141516171618[[#This Row],[Pulled after Start]]="yes",Tabelle1324568910111213141516171618[[#This Row],[Jira Story Points]]="-"),0,MIN(Tabelle1324568910111213141516171618[[#This Row],[Jira Story Points]],Tabelle1324568910111213141516171618[[#This Row],[Carry-over]]))</f>
        <v>0</v>
      </c>
      <c r="O245" s="379">
        <f>SUM(IF(ISBLANK(Tabelle1324568910111213141516171618[[#This Row],[Carry-over]]),Tabelle1324568910111213141516171618[[#This Row],[Jira Story Points]],Tabelle1324568910111213141516171618[[#This Row],[Carry-over]]),-Tabelle1324568910111213141516171618[[#This Row],[COsSP Initially Planned]])</f>
        <v>5</v>
      </c>
      <c r="P24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245" s="379">
        <f>IF(Tabelle1324568910111213141516171618[[#This Row],[Status]]=$J$5,Tabelle1324568910111213141516171618[[#This Row],[COsSP Initially Planned]]+Tabelle1324568910111213141516171618[[#This Row],[COsSP Pulled after Start]]-Tabelle1324568910111213141516171618[[#This Row],[CSOsSP Completed]],0)</f>
        <v>0</v>
      </c>
      <c r="R245" s="379">
        <f>Tabelle1324568910111213141516171618[[#This Row],[COsSP Initially Planned]]+Tabelle1324568910111213141516171618[[#This Row],[COsSP Pulled after Start]]-Tabelle1324568910111213141516171618[[#This Row],[CSOsSP Completed]]-Tabelle1324568910111213141516171618[[#This Row],[CSOsSP Removed]]</f>
        <v>0</v>
      </c>
    </row>
    <row r="246" spans="1:18" ht="13.5" hidden="1" customHeight="1">
      <c r="A246" s="383" t="s">
        <v>806</v>
      </c>
      <c r="B246" s="47" t="s">
        <v>807</v>
      </c>
      <c r="C246" s="203" t="s">
        <v>375</v>
      </c>
      <c r="D246" s="203">
        <v>3</v>
      </c>
      <c r="E246" s="203" t="s">
        <v>324</v>
      </c>
      <c r="F246" s="204">
        <v>1</v>
      </c>
      <c r="G246" s="375" t="s">
        <v>21</v>
      </c>
      <c r="H246" s="318" t="s">
        <v>209</v>
      </c>
      <c r="I246" s="206"/>
      <c r="J246" s="206"/>
      <c r="K246" s="375" t="s">
        <v>125</v>
      </c>
      <c r="L246" s="204"/>
      <c r="M246" s="204"/>
      <c r="N246" s="378">
        <f>IF(OR(Tabelle1324568910111213141516171618[[#This Row],[Pulled after Start]]="yes",Tabelle1324568910111213141516171618[[#This Row],[Jira Story Points]]="-"),0,MIN(Tabelle1324568910111213141516171618[[#This Row],[Jira Story Points]],Tabelle1324568910111213141516171618[[#This Row],[Carry-over]]))</f>
        <v>0</v>
      </c>
      <c r="O246" s="379">
        <f>SUM(IF(ISBLANK(Tabelle1324568910111213141516171618[[#This Row],[Carry-over]]),Tabelle1324568910111213141516171618[[#This Row],[Jira Story Points]],Tabelle1324568910111213141516171618[[#This Row],[Carry-over]]),-Tabelle1324568910111213141516171618[[#This Row],[COsSP Initially Planned]])</f>
        <v>1</v>
      </c>
      <c r="P24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46" s="379">
        <f>IF(Tabelle1324568910111213141516171618[[#This Row],[Status]]=$J$5,Tabelle1324568910111213141516171618[[#This Row],[COsSP Initially Planned]]+Tabelle1324568910111213141516171618[[#This Row],[COsSP Pulled after Start]]-Tabelle1324568910111213141516171618[[#This Row],[CSOsSP Completed]],0)</f>
        <v>0</v>
      </c>
      <c r="R246" s="379">
        <f>Tabelle1324568910111213141516171618[[#This Row],[COsSP Initially Planned]]+Tabelle1324568910111213141516171618[[#This Row],[COsSP Pulled after Start]]-Tabelle1324568910111213141516171618[[#This Row],[CSOsSP Completed]]-Tabelle1324568910111213141516171618[[#This Row],[CSOsSP Removed]]</f>
        <v>0</v>
      </c>
    </row>
    <row r="247" spans="1:18" ht="13.5" hidden="1" customHeight="1">
      <c r="A247" s="383" t="s">
        <v>808</v>
      </c>
      <c r="B247" s="47" t="s">
        <v>809</v>
      </c>
      <c r="C247" s="203" t="s">
        <v>375</v>
      </c>
      <c r="D247" s="203">
        <v>2</v>
      </c>
      <c r="E247" s="203" t="s">
        <v>324</v>
      </c>
      <c r="F247" s="204">
        <v>3</v>
      </c>
      <c r="G247" s="375" t="s">
        <v>21</v>
      </c>
      <c r="H247" s="318" t="s">
        <v>209</v>
      </c>
      <c r="I247" s="206"/>
      <c r="J247" s="206"/>
      <c r="K247" s="375" t="s">
        <v>125</v>
      </c>
      <c r="L247" s="204"/>
      <c r="M247" s="204"/>
      <c r="N247" s="378">
        <f>IF(OR(Tabelle1324568910111213141516171618[[#This Row],[Pulled after Start]]="yes",Tabelle1324568910111213141516171618[[#This Row],[Jira Story Points]]="-"),0,MIN(Tabelle1324568910111213141516171618[[#This Row],[Jira Story Points]],Tabelle1324568910111213141516171618[[#This Row],[Carry-over]]))</f>
        <v>0</v>
      </c>
      <c r="O247" s="379">
        <f>SUM(IF(ISBLANK(Tabelle1324568910111213141516171618[[#This Row],[Carry-over]]),Tabelle1324568910111213141516171618[[#This Row],[Jira Story Points]],Tabelle1324568910111213141516171618[[#This Row],[Carry-over]]),-Tabelle1324568910111213141516171618[[#This Row],[COsSP Initially Planned]])</f>
        <v>3</v>
      </c>
      <c r="P24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47" s="379">
        <f>IF(Tabelle1324568910111213141516171618[[#This Row],[Status]]=$J$5,Tabelle1324568910111213141516171618[[#This Row],[COsSP Initially Planned]]+Tabelle1324568910111213141516171618[[#This Row],[COsSP Pulled after Start]]-Tabelle1324568910111213141516171618[[#This Row],[CSOsSP Completed]],0)</f>
        <v>0</v>
      </c>
      <c r="R247" s="379">
        <f>Tabelle1324568910111213141516171618[[#This Row],[COsSP Initially Planned]]+Tabelle1324568910111213141516171618[[#This Row],[COsSP Pulled after Start]]-Tabelle1324568910111213141516171618[[#This Row],[CSOsSP Completed]]-Tabelle1324568910111213141516171618[[#This Row],[CSOsSP Removed]]</f>
        <v>0</v>
      </c>
    </row>
    <row r="248" spans="1:18" ht="13.5" hidden="1" customHeight="1">
      <c r="A248" s="383" t="s">
        <v>810</v>
      </c>
      <c r="B248" s="47" t="s">
        <v>811</v>
      </c>
      <c r="C248" s="203" t="s">
        <v>375</v>
      </c>
      <c r="D248" s="203">
        <v>3</v>
      </c>
      <c r="E248" s="203" t="s">
        <v>324</v>
      </c>
      <c r="F248" s="204">
        <v>1</v>
      </c>
      <c r="G248" s="375" t="s">
        <v>21</v>
      </c>
      <c r="H248" s="318" t="s">
        <v>209</v>
      </c>
      <c r="I248" s="206"/>
      <c r="J248" s="206"/>
      <c r="K248" s="375" t="s">
        <v>125</v>
      </c>
      <c r="L248" s="204"/>
      <c r="M248" s="204"/>
      <c r="N248" s="378">
        <f>IF(OR(Tabelle1324568910111213141516171618[[#This Row],[Pulled after Start]]="yes",Tabelle1324568910111213141516171618[[#This Row],[Jira Story Points]]="-"),0,MIN(Tabelle1324568910111213141516171618[[#This Row],[Jira Story Points]],Tabelle1324568910111213141516171618[[#This Row],[Carry-over]]))</f>
        <v>0</v>
      </c>
      <c r="O248" s="379">
        <f>SUM(IF(ISBLANK(Tabelle1324568910111213141516171618[[#This Row],[Carry-over]]),Tabelle1324568910111213141516171618[[#This Row],[Jira Story Points]],Tabelle1324568910111213141516171618[[#This Row],[Carry-over]]),-Tabelle1324568910111213141516171618[[#This Row],[COsSP Initially Planned]])</f>
        <v>1</v>
      </c>
      <c r="P24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48" s="379">
        <f>IF(Tabelle1324568910111213141516171618[[#This Row],[Status]]=$J$5,Tabelle1324568910111213141516171618[[#This Row],[COsSP Initially Planned]]+Tabelle1324568910111213141516171618[[#This Row],[COsSP Pulled after Start]]-Tabelle1324568910111213141516171618[[#This Row],[CSOsSP Completed]],0)</f>
        <v>0</v>
      </c>
      <c r="R248" s="379">
        <f>Tabelle1324568910111213141516171618[[#This Row],[COsSP Initially Planned]]+Tabelle1324568910111213141516171618[[#This Row],[COsSP Pulled after Start]]-Tabelle1324568910111213141516171618[[#This Row],[CSOsSP Completed]]-Tabelle1324568910111213141516171618[[#This Row],[CSOsSP Removed]]</f>
        <v>0</v>
      </c>
    </row>
    <row r="249" spans="1:18" ht="13.5" hidden="1" customHeight="1">
      <c r="A249" s="383" t="s">
        <v>812</v>
      </c>
      <c r="B249" s="47" t="s">
        <v>813</v>
      </c>
      <c r="C249" s="203" t="s">
        <v>375</v>
      </c>
      <c r="D249" s="203">
        <v>3</v>
      </c>
      <c r="E249" s="203" t="s">
        <v>324</v>
      </c>
      <c r="F249" s="204">
        <v>1</v>
      </c>
      <c r="G249" s="375" t="s">
        <v>21</v>
      </c>
      <c r="H249" s="318" t="s">
        <v>209</v>
      </c>
      <c r="I249" s="206"/>
      <c r="J249" s="206"/>
      <c r="K249" s="375" t="s">
        <v>125</v>
      </c>
      <c r="L249" s="204"/>
      <c r="M249" s="204"/>
      <c r="N249" s="378">
        <f>IF(OR(Tabelle1324568910111213141516171618[[#This Row],[Pulled after Start]]="yes",Tabelle1324568910111213141516171618[[#This Row],[Jira Story Points]]="-"),0,MIN(Tabelle1324568910111213141516171618[[#This Row],[Jira Story Points]],Tabelle1324568910111213141516171618[[#This Row],[Carry-over]]))</f>
        <v>0</v>
      </c>
      <c r="O249" s="379">
        <f>SUM(IF(ISBLANK(Tabelle1324568910111213141516171618[[#This Row],[Carry-over]]),Tabelle1324568910111213141516171618[[#This Row],[Jira Story Points]],Tabelle1324568910111213141516171618[[#This Row],[Carry-over]]),-Tabelle1324568910111213141516171618[[#This Row],[COsSP Initially Planned]])</f>
        <v>1</v>
      </c>
      <c r="P24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49" s="379">
        <f>IF(Tabelle1324568910111213141516171618[[#This Row],[Status]]=$J$5,Tabelle1324568910111213141516171618[[#This Row],[COsSP Initially Planned]]+Tabelle1324568910111213141516171618[[#This Row],[COsSP Pulled after Start]]-Tabelle1324568910111213141516171618[[#This Row],[CSOsSP Completed]],0)</f>
        <v>0</v>
      </c>
      <c r="R249" s="379">
        <f>Tabelle1324568910111213141516171618[[#This Row],[COsSP Initially Planned]]+Tabelle1324568910111213141516171618[[#This Row],[COsSP Pulled after Start]]-Tabelle1324568910111213141516171618[[#This Row],[CSOsSP Completed]]-Tabelle1324568910111213141516171618[[#This Row],[CSOsSP Removed]]</f>
        <v>0</v>
      </c>
    </row>
    <row r="250" spans="1:18" ht="13.5" hidden="1" customHeight="1">
      <c r="A250" s="383" t="s">
        <v>814</v>
      </c>
      <c r="B250" s="47" t="s">
        <v>815</v>
      </c>
      <c r="C250" s="203" t="s">
        <v>375</v>
      </c>
      <c r="D250" s="203">
        <v>3</v>
      </c>
      <c r="E250" s="203" t="s">
        <v>324</v>
      </c>
      <c r="F250" s="204">
        <v>1</v>
      </c>
      <c r="G250" s="375" t="s">
        <v>21</v>
      </c>
      <c r="H250" s="318" t="s">
        <v>209</v>
      </c>
      <c r="I250" s="206"/>
      <c r="J250" s="206"/>
      <c r="K250" s="375" t="s">
        <v>125</v>
      </c>
      <c r="L250" s="204"/>
      <c r="M250" s="204"/>
      <c r="N250" s="378">
        <f>IF(OR(Tabelle1324568910111213141516171618[[#This Row],[Pulled after Start]]="yes",Tabelle1324568910111213141516171618[[#This Row],[Jira Story Points]]="-"),0,MIN(Tabelle1324568910111213141516171618[[#This Row],[Jira Story Points]],Tabelle1324568910111213141516171618[[#This Row],[Carry-over]]))</f>
        <v>0</v>
      </c>
      <c r="O250" s="379">
        <f>SUM(IF(ISBLANK(Tabelle1324568910111213141516171618[[#This Row],[Carry-over]]),Tabelle1324568910111213141516171618[[#This Row],[Jira Story Points]],Tabelle1324568910111213141516171618[[#This Row],[Carry-over]]),-Tabelle1324568910111213141516171618[[#This Row],[COsSP Initially Planned]])</f>
        <v>1</v>
      </c>
      <c r="P25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50" s="379">
        <f>IF(Tabelle1324568910111213141516171618[[#This Row],[Status]]=$J$5,Tabelle1324568910111213141516171618[[#This Row],[COsSP Initially Planned]]+Tabelle1324568910111213141516171618[[#This Row],[COsSP Pulled after Start]]-Tabelle1324568910111213141516171618[[#This Row],[CSOsSP Completed]],0)</f>
        <v>0</v>
      </c>
      <c r="R250" s="379">
        <f>Tabelle1324568910111213141516171618[[#This Row],[COsSP Initially Planned]]+Tabelle1324568910111213141516171618[[#This Row],[COsSP Pulled after Start]]-Tabelle1324568910111213141516171618[[#This Row],[CSOsSP Completed]]-Tabelle1324568910111213141516171618[[#This Row],[CSOsSP Removed]]</f>
        <v>0</v>
      </c>
    </row>
    <row r="251" spans="1:18" ht="13.5" hidden="1" customHeight="1">
      <c r="A251" s="383" t="s">
        <v>816</v>
      </c>
      <c r="B251" s="47" t="s">
        <v>817</v>
      </c>
      <c r="C251" s="203" t="s">
        <v>375</v>
      </c>
      <c r="D251" s="203">
        <v>3</v>
      </c>
      <c r="E251" s="203" t="s">
        <v>324</v>
      </c>
      <c r="F251" s="204">
        <v>1</v>
      </c>
      <c r="G251" s="375" t="s">
        <v>21</v>
      </c>
      <c r="H251" s="318" t="s">
        <v>209</v>
      </c>
      <c r="I251" s="206"/>
      <c r="J251" s="206"/>
      <c r="K251" s="375" t="s">
        <v>125</v>
      </c>
      <c r="L251" s="204"/>
      <c r="M251" s="204"/>
      <c r="N251" s="378">
        <f>IF(OR(Tabelle1324568910111213141516171618[[#This Row],[Pulled after Start]]="yes",Tabelle1324568910111213141516171618[[#This Row],[Jira Story Points]]="-"),0,MIN(Tabelle1324568910111213141516171618[[#This Row],[Jira Story Points]],Tabelle1324568910111213141516171618[[#This Row],[Carry-over]]))</f>
        <v>0</v>
      </c>
      <c r="O251" s="379">
        <f>SUM(IF(ISBLANK(Tabelle1324568910111213141516171618[[#This Row],[Carry-over]]),Tabelle1324568910111213141516171618[[#This Row],[Jira Story Points]],Tabelle1324568910111213141516171618[[#This Row],[Carry-over]]),-Tabelle1324568910111213141516171618[[#This Row],[COsSP Initially Planned]])</f>
        <v>1</v>
      </c>
      <c r="P25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51" s="379">
        <f>IF(Tabelle1324568910111213141516171618[[#This Row],[Status]]=$J$5,Tabelle1324568910111213141516171618[[#This Row],[COsSP Initially Planned]]+Tabelle1324568910111213141516171618[[#This Row],[COsSP Pulled after Start]]-Tabelle1324568910111213141516171618[[#This Row],[CSOsSP Completed]],0)</f>
        <v>0</v>
      </c>
      <c r="R251" s="379">
        <f>Tabelle1324568910111213141516171618[[#This Row],[COsSP Initially Planned]]+Tabelle1324568910111213141516171618[[#This Row],[COsSP Pulled after Start]]-Tabelle1324568910111213141516171618[[#This Row],[CSOsSP Completed]]-Tabelle1324568910111213141516171618[[#This Row],[CSOsSP Removed]]</f>
        <v>0</v>
      </c>
    </row>
    <row r="252" spans="1:18" ht="13.5" hidden="1" customHeight="1">
      <c r="A252" s="383" t="s">
        <v>818</v>
      </c>
      <c r="B252" s="47" t="s">
        <v>819</v>
      </c>
      <c r="C252" s="203" t="s">
        <v>375</v>
      </c>
      <c r="D252" s="203">
        <v>2</v>
      </c>
      <c r="E252" s="203" t="s">
        <v>324</v>
      </c>
      <c r="F252" s="204">
        <v>1</v>
      </c>
      <c r="G252" s="375" t="s">
        <v>21</v>
      </c>
      <c r="H252" s="318" t="s">
        <v>209</v>
      </c>
      <c r="I252" s="206"/>
      <c r="J252" s="206"/>
      <c r="K252" s="375" t="s">
        <v>125</v>
      </c>
      <c r="L252" s="204"/>
      <c r="M252" s="204"/>
      <c r="N252" s="378">
        <f>IF(OR(Tabelle1324568910111213141516171618[[#This Row],[Pulled after Start]]="yes",Tabelle1324568910111213141516171618[[#This Row],[Jira Story Points]]="-"),0,MIN(Tabelle1324568910111213141516171618[[#This Row],[Jira Story Points]],Tabelle1324568910111213141516171618[[#This Row],[Carry-over]]))</f>
        <v>0</v>
      </c>
      <c r="O252" s="379">
        <f>SUM(IF(ISBLANK(Tabelle1324568910111213141516171618[[#This Row],[Carry-over]]),Tabelle1324568910111213141516171618[[#This Row],[Jira Story Points]],Tabelle1324568910111213141516171618[[#This Row],[Carry-over]]),-Tabelle1324568910111213141516171618[[#This Row],[COsSP Initially Planned]])</f>
        <v>1</v>
      </c>
      <c r="P25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52" s="379">
        <f>IF(Tabelle1324568910111213141516171618[[#This Row],[Status]]=$J$5,Tabelle1324568910111213141516171618[[#This Row],[COsSP Initially Planned]]+Tabelle1324568910111213141516171618[[#This Row],[COsSP Pulled after Start]]-Tabelle1324568910111213141516171618[[#This Row],[CSOsSP Completed]],0)</f>
        <v>0</v>
      </c>
      <c r="R252" s="379">
        <f>Tabelle1324568910111213141516171618[[#This Row],[COsSP Initially Planned]]+Tabelle1324568910111213141516171618[[#This Row],[COsSP Pulled after Start]]-Tabelle1324568910111213141516171618[[#This Row],[CSOsSP Completed]]-Tabelle1324568910111213141516171618[[#This Row],[CSOsSP Removed]]</f>
        <v>0</v>
      </c>
    </row>
    <row r="253" spans="1:18" ht="13.5" hidden="1" customHeight="1">
      <c r="A253" s="383" t="s">
        <v>820</v>
      </c>
      <c r="B253" s="47" t="s">
        <v>821</v>
      </c>
      <c r="C253" s="203" t="s">
        <v>375</v>
      </c>
      <c r="D253" s="203">
        <v>3</v>
      </c>
      <c r="E253" s="203" t="s">
        <v>324</v>
      </c>
      <c r="F253" s="204">
        <v>1</v>
      </c>
      <c r="G253" s="375" t="s">
        <v>21</v>
      </c>
      <c r="H253" s="318" t="s">
        <v>209</v>
      </c>
      <c r="I253" s="206"/>
      <c r="J253" s="206"/>
      <c r="K253" s="375" t="s">
        <v>125</v>
      </c>
      <c r="L253" s="204"/>
      <c r="M253" s="204"/>
      <c r="N253" s="378">
        <f>IF(OR(Tabelle1324568910111213141516171618[[#This Row],[Pulled after Start]]="yes",Tabelle1324568910111213141516171618[[#This Row],[Jira Story Points]]="-"),0,MIN(Tabelle1324568910111213141516171618[[#This Row],[Jira Story Points]],Tabelle1324568910111213141516171618[[#This Row],[Carry-over]]))</f>
        <v>0</v>
      </c>
      <c r="O253" s="379">
        <f>SUM(IF(ISBLANK(Tabelle1324568910111213141516171618[[#This Row],[Carry-over]]),Tabelle1324568910111213141516171618[[#This Row],[Jira Story Points]],Tabelle1324568910111213141516171618[[#This Row],[Carry-over]]),-Tabelle1324568910111213141516171618[[#This Row],[COsSP Initially Planned]])</f>
        <v>1</v>
      </c>
      <c r="P25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53" s="379">
        <f>IF(Tabelle1324568910111213141516171618[[#This Row],[Status]]=$J$5,Tabelle1324568910111213141516171618[[#This Row],[COsSP Initially Planned]]+Tabelle1324568910111213141516171618[[#This Row],[COsSP Pulled after Start]]-Tabelle1324568910111213141516171618[[#This Row],[CSOsSP Completed]],0)</f>
        <v>0</v>
      </c>
      <c r="R253" s="379">
        <f>Tabelle1324568910111213141516171618[[#This Row],[COsSP Initially Planned]]+Tabelle1324568910111213141516171618[[#This Row],[COsSP Pulled after Start]]-Tabelle1324568910111213141516171618[[#This Row],[CSOsSP Completed]]-Tabelle1324568910111213141516171618[[#This Row],[CSOsSP Removed]]</f>
        <v>0</v>
      </c>
    </row>
    <row r="254" spans="1:18" ht="13.5" hidden="1" customHeight="1">
      <c r="A254" s="383" t="s">
        <v>822</v>
      </c>
      <c r="B254" s="47" t="s">
        <v>823</v>
      </c>
      <c r="C254" s="203" t="s">
        <v>375</v>
      </c>
      <c r="D254" s="203">
        <v>3</v>
      </c>
      <c r="E254" s="203" t="s">
        <v>324</v>
      </c>
      <c r="F254" s="204">
        <v>1</v>
      </c>
      <c r="G254" s="375" t="s">
        <v>21</v>
      </c>
      <c r="H254" s="318" t="s">
        <v>209</v>
      </c>
      <c r="I254" s="206"/>
      <c r="J254" s="206"/>
      <c r="K254" s="375" t="s">
        <v>125</v>
      </c>
      <c r="L254" s="204"/>
      <c r="M254" s="204"/>
      <c r="N254" s="378">
        <f>IF(OR(Tabelle1324568910111213141516171618[[#This Row],[Pulled after Start]]="yes",Tabelle1324568910111213141516171618[[#This Row],[Jira Story Points]]="-"),0,MIN(Tabelle1324568910111213141516171618[[#This Row],[Jira Story Points]],Tabelle1324568910111213141516171618[[#This Row],[Carry-over]]))</f>
        <v>0</v>
      </c>
      <c r="O254" s="379">
        <f>SUM(IF(ISBLANK(Tabelle1324568910111213141516171618[[#This Row],[Carry-over]]),Tabelle1324568910111213141516171618[[#This Row],[Jira Story Points]],Tabelle1324568910111213141516171618[[#This Row],[Carry-over]]),-Tabelle1324568910111213141516171618[[#This Row],[COsSP Initially Planned]])</f>
        <v>1</v>
      </c>
      <c r="P25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54" s="379">
        <f>IF(Tabelle1324568910111213141516171618[[#This Row],[Status]]=$J$5,Tabelle1324568910111213141516171618[[#This Row],[COsSP Initially Planned]]+Tabelle1324568910111213141516171618[[#This Row],[COsSP Pulled after Start]]-Tabelle1324568910111213141516171618[[#This Row],[CSOsSP Completed]],0)</f>
        <v>0</v>
      </c>
      <c r="R254" s="379">
        <f>Tabelle1324568910111213141516171618[[#This Row],[COsSP Initially Planned]]+Tabelle1324568910111213141516171618[[#This Row],[COsSP Pulled after Start]]-Tabelle1324568910111213141516171618[[#This Row],[CSOsSP Completed]]-Tabelle1324568910111213141516171618[[#This Row],[CSOsSP Removed]]</f>
        <v>0</v>
      </c>
    </row>
    <row r="255" spans="1:18" ht="13.5" hidden="1" customHeight="1">
      <c r="A255" s="383" t="s">
        <v>824</v>
      </c>
      <c r="B255" s="47" t="s">
        <v>825</v>
      </c>
      <c r="C255" s="203" t="s">
        <v>375</v>
      </c>
      <c r="D255" s="203">
        <v>2</v>
      </c>
      <c r="E255" s="203" t="s">
        <v>324</v>
      </c>
      <c r="F255" s="204">
        <v>3</v>
      </c>
      <c r="G255" s="375" t="s">
        <v>21</v>
      </c>
      <c r="H255" s="318" t="s">
        <v>209</v>
      </c>
      <c r="I255" s="206"/>
      <c r="J255" s="206"/>
      <c r="K255" s="375" t="s">
        <v>125</v>
      </c>
      <c r="L255" s="204"/>
      <c r="M255" s="204"/>
      <c r="N255" s="378">
        <f>IF(OR(Tabelle1324568910111213141516171618[[#This Row],[Pulled after Start]]="yes",Tabelle1324568910111213141516171618[[#This Row],[Jira Story Points]]="-"),0,MIN(Tabelle1324568910111213141516171618[[#This Row],[Jira Story Points]],Tabelle1324568910111213141516171618[[#This Row],[Carry-over]]))</f>
        <v>0</v>
      </c>
      <c r="O255" s="379">
        <f>SUM(IF(ISBLANK(Tabelle1324568910111213141516171618[[#This Row],[Carry-over]]),Tabelle1324568910111213141516171618[[#This Row],[Jira Story Points]],Tabelle1324568910111213141516171618[[#This Row],[Carry-over]]),-Tabelle1324568910111213141516171618[[#This Row],[COsSP Initially Planned]])</f>
        <v>3</v>
      </c>
      <c r="P25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55" s="379">
        <f>IF(Tabelle1324568910111213141516171618[[#This Row],[Status]]=$J$5,Tabelle1324568910111213141516171618[[#This Row],[COsSP Initially Planned]]+Tabelle1324568910111213141516171618[[#This Row],[COsSP Pulled after Start]]-Tabelle1324568910111213141516171618[[#This Row],[CSOsSP Completed]],0)</f>
        <v>0</v>
      </c>
      <c r="R255" s="379">
        <f>Tabelle1324568910111213141516171618[[#This Row],[COsSP Initially Planned]]+Tabelle1324568910111213141516171618[[#This Row],[COsSP Pulled after Start]]-Tabelle1324568910111213141516171618[[#This Row],[CSOsSP Completed]]-Tabelle1324568910111213141516171618[[#This Row],[CSOsSP Removed]]</f>
        <v>0</v>
      </c>
    </row>
    <row r="256" spans="1:18" ht="13.5" hidden="1" customHeight="1">
      <c r="A256" s="383" t="s">
        <v>826</v>
      </c>
      <c r="B256" s="47" t="s">
        <v>827</v>
      </c>
      <c r="C256" s="203" t="s">
        <v>375</v>
      </c>
      <c r="D256" s="203">
        <v>3</v>
      </c>
      <c r="E256" s="203" t="s">
        <v>324</v>
      </c>
      <c r="F256" s="204">
        <v>1</v>
      </c>
      <c r="G256" s="375" t="s">
        <v>21</v>
      </c>
      <c r="H256" s="318" t="s">
        <v>209</v>
      </c>
      <c r="I256" s="206"/>
      <c r="J256" s="206"/>
      <c r="K256" s="375" t="s">
        <v>125</v>
      </c>
      <c r="L256" s="204"/>
      <c r="M256" s="204"/>
      <c r="N256" s="378">
        <f>IF(OR(Tabelle1324568910111213141516171618[[#This Row],[Pulled after Start]]="yes",Tabelle1324568910111213141516171618[[#This Row],[Jira Story Points]]="-"),0,MIN(Tabelle1324568910111213141516171618[[#This Row],[Jira Story Points]],Tabelle1324568910111213141516171618[[#This Row],[Carry-over]]))</f>
        <v>0</v>
      </c>
      <c r="O256" s="379">
        <f>SUM(IF(ISBLANK(Tabelle1324568910111213141516171618[[#This Row],[Carry-over]]),Tabelle1324568910111213141516171618[[#This Row],[Jira Story Points]],Tabelle1324568910111213141516171618[[#This Row],[Carry-over]]),-Tabelle1324568910111213141516171618[[#This Row],[COsSP Initially Planned]])</f>
        <v>1</v>
      </c>
      <c r="P25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56" s="379">
        <f>IF(Tabelle1324568910111213141516171618[[#This Row],[Status]]=$J$5,Tabelle1324568910111213141516171618[[#This Row],[COsSP Initially Planned]]+Tabelle1324568910111213141516171618[[#This Row],[COsSP Pulled after Start]]-Tabelle1324568910111213141516171618[[#This Row],[CSOsSP Completed]],0)</f>
        <v>0</v>
      </c>
      <c r="R256" s="379">
        <f>Tabelle1324568910111213141516171618[[#This Row],[COsSP Initially Planned]]+Tabelle1324568910111213141516171618[[#This Row],[COsSP Pulled after Start]]-Tabelle1324568910111213141516171618[[#This Row],[CSOsSP Completed]]-Tabelle1324568910111213141516171618[[#This Row],[CSOsSP Removed]]</f>
        <v>0</v>
      </c>
    </row>
    <row r="257" spans="1:18" ht="13.5" hidden="1" customHeight="1">
      <c r="A257" s="383" t="s">
        <v>828</v>
      </c>
      <c r="B257" s="47" t="s">
        <v>829</v>
      </c>
      <c r="C257" s="203" t="s">
        <v>375</v>
      </c>
      <c r="D257" s="203">
        <v>3</v>
      </c>
      <c r="E257" s="203" t="s">
        <v>327</v>
      </c>
      <c r="F257" s="204">
        <v>3</v>
      </c>
      <c r="G257" s="375" t="s">
        <v>21</v>
      </c>
      <c r="H257" s="205"/>
      <c r="I257" s="206"/>
      <c r="J257" s="206"/>
      <c r="K257" s="375" t="s">
        <v>127</v>
      </c>
      <c r="L257" s="204"/>
      <c r="M257" s="204">
        <v>3</v>
      </c>
      <c r="N257" s="378">
        <f>IF(OR(Tabelle1324568910111213141516171618[[#This Row],[Pulled after Start]]="yes",Tabelle1324568910111213141516171618[[#This Row],[Jira Story Points]]="-"),0,MIN(Tabelle1324568910111213141516171618[[#This Row],[Jira Story Points]],Tabelle1324568910111213141516171618[[#This Row],[Carry-over]]))</f>
        <v>3</v>
      </c>
      <c r="O257" s="379">
        <f>SUM(IF(ISBLANK(Tabelle1324568910111213141516171618[[#This Row],[Carry-over]]),Tabelle1324568910111213141516171618[[#This Row],[Jira Story Points]],Tabelle1324568910111213141516171618[[#This Row],[Carry-over]]),-Tabelle1324568910111213141516171618[[#This Row],[COsSP Initially Planned]])</f>
        <v>0</v>
      </c>
      <c r="P25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257" s="379">
        <f>IF(Tabelle1324568910111213141516171618[[#This Row],[Status]]=$J$5,Tabelle1324568910111213141516171618[[#This Row],[COsSP Initially Planned]]+Tabelle1324568910111213141516171618[[#This Row],[COsSP Pulled after Start]]-Tabelle1324568910111213141516171618[[#This Row],[CSOsSP Completed]],0)</f>
        <v>0</v>
      </c>
      <c r="R257" s="379">
        <f>Tabelle1324568910111213141516171618[[#This Row],[COsSP Initially Planned]]+Tabelle1324568910111213141516171618[[#This Row],[COsSP Pulled after Start]]-Tabelle1324568910111213141516171618[[#This Row],[CSOsSP Completed]]-Tabelle1324568910111213141516171618[[#This Row],[CSOsSP Removed]]</f>
        <v>3</v>
      </c>
    </row>
    <row r="258" spans="1:18" ht="13.5" hidden="1" customHeight="1">
      <c r="A258" s="383" t="s">
        <v>830</v>
      </c>
      <c r="B258" s="47" t="s">
        <v>831</v>
      </c>
      <c r="C258" s="203" t="s">
        <v>372</v>
      </c>
      <c r="D258" s="203">
        <v>3</v>
      </c>
      <c r="E258" s="203" t="s">
        <v>327</v>
      </c>
      <c r="F258" s="204">
        <v>8</v>
      </c>
      <c r="G258" s="375" t="s">
        <v>21</v>
      </c>
      <c r="H258" s="205"/>
      <c r="I258" s="206"/>
      <c r="J258" s="206"/>
      <c r="K258" s="375" t="s">
        <v>125</v>
      </c>
      <c r="L258" s="204"/>
      <c r="M258" s="376"/>
      <c r="N258" s="378">
        <f>IF(OR(Tabelle1324568910111213141516171618[[#This Row],[Pulled after Start]]="yes",Tabelle1324568910111213141516171618[[#This Row],[Jira Story Points]]="-"),0,MIN(Tabelle1324568910111213141516171618[[#This Row],[Jira Story Points]],Tabelle1324568910111213141516171618[[#This Row],[Carry-over]]))</f>
        <v>8</v>
      </c>
      <c r="O258" s="379">
        <f>SUM(IF(ISBLANK(Tabelle1324568910111213141516171618[[#This Row],[Carry-over]]),Tabelle1324568910111213141516171618[[#This Row],[Jira Story Points]],Tabelle1324568910111213141516171618[[#This Row],[Carry-over]]),-Tabelle1324568910111213141516171618[[#This Row],[COsSP Initially Planned]])</f>
        <v>0</v>
      </c>
      <c r="P25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8</v>
      </c>
      <c r="Q258" s="379">
        <f>IF(Tabelle1324568910111213141516171618[[#This Row],[Status]]=$J$5,Tabelle1324568910111213141516171618[[#This Row],[COsSP Initially Planned]]+Tabelle1324568910111213141516171618[[#This Row],[COsSP Pulled after Start]]-Tabelle1324568910111213141516171618[[#This Row],[CSOsSP Completed]],0)</f>
        <v>0</v>
      </c>
      <c r="R258" s="379">
        <f>Tabelle1324568910111213141516171618[[#This Row],[COsSP Initially Planned]]+Tabelle1324568910111213141516171618[[#This Row],[COsSP Pulled after Start]]-Tabelle1324568910111213141516171618[[#This Row],[CSOsSP Completed]]-Tabelle1324568910111213141516171618[[#This Row],[CSOsSP Removed]]</f>
        <v>0</v>
      </c>
    </row>
    <row r="259" spans="1:18" ht="13.5" hidden="1" customHeight="1">
      <c r="A259" s="383" t="s">
        <v>832</v>
      </c>
      <c r="B259" s="47" t="s">
        <v>833</v>
      </c>
      <c r="C259" s="203" t="s">
        <v>372</v>
      </c>
      <c r="D259" s="203">
        <v>3</v>
      </c>
      <c r="E259" s="203" t="s">
        <v>327</v>
      </c>
      <c r="F259" s="204">
        <v>5</v>
      </c>
      <c r="G259" s="375" t="s">
        <v>21</v>
      </c>
      <c r="H259" s="205"/>
      <c r="I259" s="206"/>
      <c r="J259" s="206"/>
      <c r="K259" s="375" t="s">
        <v>125</v>
      </c>
      <c r="L259" s="204"/>
      <c r="M259" s="376"/>
      <c r="N259" s="378">
        <f>IF(OR(Tabelle1324568910111213141516171618[[#This Row],[Pulled after Start]]="yes",Tabelle1324568910111213141516171618[[#This Row],[Jira Story Points]]="-"),0,MIN(Tabelle1324568910111213141516171618[[#This Row],[Jira Story Points]],Tabelle1324568910111213141516171618[[#This Row],[Carry-over]]))</f>
        <v>5</v>
      </c>
      <c r="O259" s="379">
        <f>SUM(IF(ISBLANK(Tabelle1324568910111213141516171618[[#This Row],[Carry-over]]),Tabelle1324568910111213141516171618[[#This Row],[Jira Story Points]],Tabelle1324568910111213141516171618[[#This Row],[Carry-over]]),-Tabelle1324568910111213141516171618[[#This Row],[COsSP Initially Planned]])</f>
        <v>0</v>
      </c>
      <c r="P25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259" s="379">
        <f>IF(Tabelle1324568910111213141516171618[[#This Row],[Status]]=$J$5,Tabelle1324568910111213141516171618[[#This Row],[COsSP Initially Planned]]+Tabelle1324568910111213141516171618[[#This Row],[COsSP Pulled after Start]]-Tabelle1324568910111213141516171618[[#This Row],[CSOsSP Completed]],0)</f>
        <v>0</v>
      </c>
      <c r="R259" s="379">
        <f>Tabelle1324568910111213141516171618[[#This Row],[COsSP Initially Planned]]+Tabelle1324568910111213141516171618[[#This Row],[COsSP Pulled after Start]]-Tabelle1324568910111213141516171618[[#This Row],[CSOsSP Completed]]-Tabelle1324568910111213141516171618[[#This Row],[CSOsSP Removed]]</f>
        <v>0</v>
      </c>
    </row>
    <row r="260" spans="1:18" ht="13.5" hidden="1" customHeight="1">
      <c r="A260" s="383" t="s">
        <v>834</v>
      </c>
      <c r="B260" s="47" t="s">
        <v>835</v>
      </c>
      <c r="C260" s="203" t="s">
        <v>372</v>
      </c>
      <c r="D260" s="203">
        <v>1</v>
      </c>
      <c r="E260" s="203" t="s">
        <v>324</v>
      </c>
      <c r="F260" s="204">
        <v>3</v>
      </c>
      <c r="G260" s="375" t="s">
        <v>21</v>
      </c>
      <c r="H260" s="205"/>
      <c r="I260" s="206"/>
      <c r="J260" s="206"/>
      <c r="K260" s="375" t="s">
        <v>125</v>
      </c>
      <c r="L260" s="204"/>
      <c r="M260" s="376"/>
      <c r="N260" s="378">
        <f>IF(OR(Tabelle1324568910111213141516171618[[#This Row],[Pulled after Start]]="yes",Tabelle1324568910111213141516171618[[#This Row],[Jira Story Points]]="-"),0,MIN(Tabelle1324568910111213141516171618[[#This Row],[Jira Story Points]],Tabelle1324568910111213141516171618[[#This Row],[Carry-over]]))</f>
        <v>3</v>
      </c>
      <c r="O260" s="379">
        <f>SUM(IF(ISBLANK(Tabelle1324568910111213141516171618[[#This Row],[Carry-over]]),Tabelle1324568910111213141516171618[[#This Row],[Jira Story Points]],Tabelle1324568910111213141516171618[[#This Row],[Carry-over]]),-Tabelle1324568910111213141516171618[[#This Row],[COsSP Initially Planned]])</f>
        <v>0</v>
      </c>
      <c r="P26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60" s="379">
        <f>IF(Tabelle1324568910111213141516171618[[#This Row],[Status]]=$J$5,Tabelle1324568910111213141516171618[[#This Row],[COsSP Initially Planned]]+Tabelle1324568910111213141516171618[[#This Row],[COsSP Pulled after Start]]-Tabelle1324568910111213141516171618[[#This Row],[CSOsSP Completed]],0)</f>
        <v>0</v>
      </c>
      <c r="R260" s="379">
        <f>Tabelle1324568910111213141516171618[[#This Row],[COsSP Initially Planned]]+Tabelle1324568910111213141516171618[[#This Row],[COsSP Pulled after Start]]-Tabelle1324568910111213141516171618[[#This Row],[CSOsSP Completed]]-Tabelle1324568910111213141516171618[[#This Row],[CSOsSP Removed]]</f>
        <v>0</v>
      </c>
    </row>
    <row r="261" spans="1:18" ht="13.5" hidden="1" customHeight="1">
      <c r="A261" s="383" t="s">
        <v>836</v>
      </c>
      <c r="B261" s="47" t="s">
        <v>690</v>
      </c>
      <c r="C261" s="203" t="s">
        <v>372</v>
      </c>
      <c r="D261" s="203">
        <v>3</v>
      </c>
      <c r="E261" s="203" t="s">
        <v>327</v>
      </c>
      <c r="F261" s="204">
        <v>5</v>
      </c>
      <c r="G261" s="375" t="s">
        <v>21</v>
      </c>
      <c r="H261" s="205"/>
      <c r="I261" s="206"/>
      <c r="J261" s="206"/>
      <c r="K261" s="375" t="s">
        <v>127</v>
      </c>
      <c r="L261" s="204"/>
      <c r="M261" s="376">
        <v>5</v>
      </c>
      <c r="N261" s="378">
        <f>IF(OR(Tabelle1324568910111213141516171618[[#This Row],[Pulled after Start]]="yes",Tabelle1324568910111213141516171618[[#This Row],[Jira Story Points]]="-"),0,MIN(Tabelle1324568910111213141516171618[[#This Row],[Jira Story Points]],Tabelle1324568910111213141516171618[[#This Row],[Carry-over]]))</f>
        <v>5</v>
      </c>
      <c r="O261" s="379">
        <f>SUM(IF(ISBLANK(Tabelle1324568910111213141516171618[[#This Row],[Carry-over]]),Tabelle1324568910111213141516171618[[#This Row],[Jira Story Points]],Tabelle1324568910111213141516171618[[#This Row],[Carry-over]]),-Tabelle1324568910111213141516171618[[#This Row],[COsSP Initially Planned]])</f>
        <v>0</v>
      </c>
      <c r="P26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261" s="379">
        <f>IF(Tabelle1324568910111213141516171618[[#This Row],[Status]]=$J$5,Tabelle1324568910111213141516171618[[#This Row],[COsSP Initially Planned]]+Tabelle1324568910111213141516171618[[#This Row],[COsSP Pulled after Start]]-Tabelle1324568910111213141516171618[[#This Row],[CSOsSP Completed]],0)</f>
        <v>0</v>
      </c>
      <c r="R261" s="379">
        <f>Tabelle1324568910111213141516171618[[#This Row],[COsSP Initially Planned]]+Tabelle1324568910111213141516171618[[#This Row],[COsSP Pulled after Start]]-Tabelle1324568910111213141516171618[[#This Row],[CSOsSP Completed]]-Tabelle1324568910111213141516171618[[#This Row],[CSOsSP Removed]]</f>
        <v>5</v>
      </c>
    </row>
    <row r="262" spans="1:18" ht="13.5" hidden="1" customHeight="1">
      <c r="A262" s="383" t="s">
        <v>837</v>
      </c>
      <c r="B262" s="47" t="s">
        <v>838</v>
      </c>
      <c r="C262" s="203" t="s">
        <v>372</v>
      </c>
      <c r="D262" s="203">
        <v>3</v>
      </c>
      <c r="E262" s="375" t="s">
        <v>324</v>
      </c>
      <c r="F262" s="204">
        <v>5</v>
      </c>
      <c r="G262" s="375" t="s">
        <v>21</v>
      </c>
      <c r="H262" s="318" t="s">
        <v>209</v>
      </c>
      <c r="I262" s="206"/>
      <c r="J262" s="206"/>
      <c r="K262" s="375" t="s">
        <v>125</v>
      </c>
      <c r="L262" s="204"/>
      <c r="M262" s="376"/>
      <c r="N262" s="378">
        <f>IF(OR(Tabelle1324568910111213141516171618[[#This Row],[Pulled after Start]]="yes",Tabelle1324568910111213141516171618[[#This Row],[Jira Story Points]]="-"),0,MIN(Tabelle1324568910111213141516171618[[#This Row],[Jira Story Points]],Tabelle1324568910111213141516171618[[#This Row],[Carry-over]]))</f>
        <v>0</v>
      </c>
      <c r="O262" s="379">
        <f>SUM(IF(ISBLANK(Tabelle1324568910111213141516171618[[#This Row],[Carry-over]]),Tabelle1324568910111213141516171618[[#This Row],[Jira Story Points]],Tabelle1324568910111213141516171618[[#This Row],[Carry-over]]),-Tabelle1324568910111213141516171618[[#This Row],[COsSP Initially Planned]])</f>
        <v>5</v>
      </c>
      <c r="P26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262" s="379">
        <f>IF(Tabelle1324568910111213141516171618[[#This Row],[Status]]=$J$5,Tabelle1324568910111213141516171618[[#This Row],[COsSP Initially Planned]]+Tabelle1324568910111213141516171618[[#This Row],[COsSP Pulled after Start]]-Tabelle1324568910111213141516171618[[#This Row],[CSOsSP Completed]],0)</f>
        <v>0</v>
      </c>
      <c r="R262" s="379">
        <f>Tabelle1324568910111213141516171618[[#This Row],[COsSP Initially Planned]]+Tabelle1324568910111213141516171618[[#This Row],[COsSP Pulled after Start]]-Tabelle1324568910111213141516171618[[#This Row],[CSOsSP Completed]]-Tabelle1324568910111213141516171618[[#This Row],[CSOsSP Removed]]</f>
        <v>0</v>
      </c>
    </row>
    <row r="263" spans="1:18" ht="13.5" hidden="1" customHeight="1">
      <c r="A263" s="383" t="s">
        <v>839</v>
      </c>
      <c r="B263" s="47" t="s">
        <v>840</v>
      </c>
      <c r="C263" s="203" t="s">
        <v>375</v>
      </c>
      <c r="D263" s="203">
        <v>2</v>
      </c>
      <c r="E263" s="203" t="s">
        <v>327</v>
      </c>
      <c r="F263" s="204">
        <v>3</v>
      </c>
      <c r="G263" s="375" t="s">
        <v>21</v>
      </c>
      <c r="H263" s="318" t="s">
        <v>209</v>
      </c>
      <c r="I263" s="206"/>
      <c r="J263" s="206"/>
      <c r="K263" s="375" t="s">
        <v>127</v>
      </c>
      <c r="L263" s="204"/>
      <c r="M263" s="376">
        <v>3</v>
      </c>
      <c r="N263" s="378">
        <f>IF(OR(Tabelle1324568910111213141516171618[[#This Row],[Pulled after Start]]="yes",Tabelle1324568910111213141516171618[[#This Row],[Jira Story Points]]="-"),0,MIN(Tabelle1324568910111213141516171618[[#This Row],[Jira Story Points]],Tabelle1324568910111213141516171618[[#This Row],[Carry-over]]))</f>
        <v>0</v>
      </c>
      <c r="O263" s="379">
        <f>SUM(IF(ISBLANK(Tabelle1324568910111213141516171618[[#This Row],[Carry-over]]),Tabelle1324568910111213141516171618[[#This Row],[Jira Story Points]],Tabelle1324568910111213141516171618[[#This Row],[Carry-over]]),-Tabelle1324568910111213141516171618[[#This Row],[COsSP Initially Planned]])</f>
        <v>3</v>
      </c>
      <c r="P26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263" s="379">
        <f>IF(Tabelle1324568910111213141516171618[[#This Row],[Status]]=$J$5,Tabelle1324568910111213141516171618[[#This Row],[COsSP Initially Planned]]+Tabelle1324568910111213141516171618[[#This Row],[COsSP Pulled after Start]]-Tabelle1324568910111213141516171618[[#This Row],[CSOsSP Completed]],0)</f>
        <v>0</v>
      </c>
      <c r="R263" s="379">
        <f>Tabelle1324568910111213141516171618[[#This Row],[COsSP Initially Planned]]+Tabelle1324568910111213141516171618[[#This Row],[COsSP Pulled after Start]]-Tabelle1324568910111213141516171618[[#This Row],[CSOsSP Completed]]-Tabelle1324568910111213141516171618[[#This Row],[CSOsSP Removed]]</f>
        <v>3</v>
      </c>
    </row>
    <row r="264" spans="1:18" ht="13.5" hidden="1" customHeight="1">
      <c r="A264" s="383" t="s">
        <v>841</v>
      </c>
      <c r="B264" s="47" t="s">
        <v>842</v>
      </c>
      <c r="C264" s="203" t="s">
        <v>375</v>
      </c>
      <c r="D264" s="203">
        <v>3</v>
      </c>
      <c r="E264" s="203" t="s">
        <v>327</v>
      </c>
      <c r="F264" s="204">
        <v>1</v>
      </c>
      <c r="G264" s="375" t="s">
        <v>21</v>
      </c>
      <c r="H264" s="318" t="s">
        <v>209</v>
      </c>
      <c r="I264" s="206"/>
      <c r="J264" s="206"/>
      <c r="K264" s="375" t="s">
        <v>127</v>
      </c>
      <c r="L264" s="204"/>
      <c r="M264" s="376">
        <v>1</v>
      </c>
      <c r="N264" s="378">
        <f>IF(OR(Tabelle1324568910111213141516171618[[#This Row],[Pulled after Start]]="yes",Tabelle1324568910111213141516171618[[#This Row],[Jira Story Points]]="-"),0,MIN(Tabelle1324568910111213141516171618[[#This Row],[Jira Story Points]],Tabelle1324568910111213141516171618[[#This Row],[Carry-over]]))</f>
        <v>0</v>
      </c>
      <c r="O264" s="379">
        <f>SUM(IF(ISBLANK(Tabelle1324568910111213141516171618[[#This Row],[Carry-over]]),Tabelle1324568910111213141516171618[[#This Row],[Jira Story Points]],Tabelle1324568910111213141516171618[[#This Row],[Carry-over]]),-Tabelle1324568910111213141516171618[[#This Row],[COsSP Initially Planned]])</f>
        <v>1</v>
      </c>
      <c r="P26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264" s="379">
        <f>IF(Tabelle1324568910111213141516171618[[#This Row],[Status]]=$J$5,Tabelle1324568910111213141516171618[[#This Row],[COsSP Initially Planned]]+Tabelle1324568910111213141516171618[[#This Row],[COsSP Pulled after Start]]-Tabelle1324568910111213141516171618[[#This Row],[CSOsSP Completed]],0)</f>
        <v>0</v>
      </c>
      <c r="R264" s="379">
        <f>Tabelle1324568910111213141516171618[[#This Row],[COsSP Initially Planned]]+Tabelle1324568910111213141516171618[[#This Row],[COsSP Pulled after Start]]-Tabelle1324568910111213141516171618[[#This Row],[CSOsSP Completed]]-Tabelle1324568910111213141516171618[[#This Row],[CSOsSP Removed]]</f>
        <v>1</v>
      </c>
    </row>
    <row r="265" spans="1:18" ht="13.5" hidden="1" customHeight="1">
      <c r="A265" s="383" t="s">
        <v>843</v>
      </c>
      <c r="B265" s="47" t="s">
        <v>844</v>
      </c>
      <c r="C265" s="203" t="s">
        <v>375</v>
      </c>
      <c r="D265" s="203">
        <v>3</v>
      </c>
      <c r="E265" s="203" t="s">
        <v>327</v>
      </c>
      <c r="F265" s="204">
        <v>1</v>
      </c>
      <c r="G265" s="375" t="s">
        <v>21</v>
      </c>
      <c r="H265" s="318" t="s">
        <v>209</v>
      </c>
      <c r="I265" s="206"/>
      <c r="J265" s="206"/>
      <c r="K265" s="375" t="s">
        <v>127</v>
      </c>
      <c r="L265" s="204"/>
      <c r="M265" s="376">
        <v>1</v>
      </c>
      <c r="N265" s="378">
        <f>IF(OR(Tabelle1324568910111213141516171618[[#This Row],[Pulled after Start]]="yes",Tabelle1324568910111213141516171618[[#This Row],[Jira Story Points]]="-"),0,MIN(Tabelle1324568910111213141516171618[[#This Row],[Jira Story Points]],Tabelle1324568910111213141516171618[[#This Row],[Carry-over]]))</f>
        <v>0</v>
      </c>
      <c r="O265" s="379">
        <f>SUM(IF(ISBLANK(Tabelle1324568910111213141516171618[[#This Row],[Carry-over]]),Tabelle1324568910111213141516171618[[#This Row],[Jira Story Points]],Tabelle1324568910111213141516171618[[#This Row],[Carry-over]]),-Tabelle1324568910111213141516171618[[#This Row],[COsSP Initially Planned]])</f>
        <v>1</v>
      </c>
      <c r="P26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265" s="379">
        <f>IF(Tabelle1324568910111213141516171618[[#This Row],[Status]]=$J$5,Tabelle1324568910111213141516171618[[#This Row],[COsSP Initially Planned]]+Tabelle1324568910111213141516171618[[#This Row],[COsSP Pulled after Start]]-Tabelle1324568910111213141516171618[[#This Row],[CSOsSP Completed]],0)</f>
        <v>0</v>
      </c>
      <c r="R265" s="379">
        <f>Tabelle1324568910111213141516171618[[#This Row],[COsSP Initially Planned]]+Tabelle1324568910111213141516171618[[#This Row],[COsSP Pulled after Start]]-Tabelle1324568910111213141516171618[[#This Row],[CSOsSP Completed]]-Tabelle1324568910111213141516171618[[#This Row],[CSOsSP Removed]]</f>
        <v>1</v>
      </c>
    </row>
    <row r="266" spans="1:18" ht="13.5" hidden="1" customHeight="1">
      <c r="A266" s="383" t="s">
        <v>845</v>
      </c>
      <c r="B266" s="47" t="s">
        <v>846</v>
      </c>
      <c r="C266" s="203" t="s">
        <v>375</v>
      </c>
      <c r="D266" s="203">
        <v>3</v>
      </c>
      <c r="E266" s="203" t="s">
        <v>628</v>
      </c>
      <c r="F266" s="204">
        <v>1</v>
      </c>
      <c r="G266" s="375" t="s">
        <v>21</v>
      </c>
      <c r="H266" s="318" t="s">
        <v>209</v>
      </c>
      <c r="I266" s="206"/>
      <c r="J266" s="206"/>
      <c r="K266" s="375" t="s">
        <v>127</v>
      </c>
      <c r="L266" s="204"/>
      <c r="M266" s="376">
        <v>1</v>
      </c>
      <c r="N266" s="378">
        <f>IF(OR(Tabelle1324568910111213141516171618[[#This Row],[Pulled after Start]]="yes",Tabelle1324568910111213141516171618[[#This Row],[Jira Story Points]]="-"),0,MIN(Tabelle1324568910111213141516171618[[#This Row],[Jira Story Points]],Tabelle1324568910111213141516171618[[#This Row],[Carry-over]]))</f>
        <v>0</v>
      </c>
      <c r="O266" s="379">
        <f>SUM(IF(ISBLANK(Tabelle1324568910111213141516171618[[#This Row],[Carry-over]]),Tabelle1324568910111213141516171618[[#This Row],[Jira Story Points]],Tabelle1324568910111213141516171618[[#This Row],[Carry-over]]),-Tabelle1324568910111213141516171618[[#This Row],[COsSP Initially Planned]])</f>
        <v>1</v>
      </c>
      <c r="P26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266" s="379">
        <f>IF(Tabelle1324568910111213141516171618[[#This Row],[Status]]=$J$5,Tabelle1324568910111213141516171618[[#This Row],[COsSP Initially Planned]]+Tabelle1324568910111213141516171618[[#This Row],[COsSP Pulled after Start]]-Tabelle1324568910111213141516171618[[#This Row],[CSOsSP Completed]],0)</f>
        <v>0</v>
      </c>
      <c r="R266" s="379">
        <f>Tabelle1324568910111213141516171618[[#This Row],[COsSP Initially Planned]]+Tabelle1324568910111213141516171618[[#This Row],[COsSP Pulled after Start]]-Tabelle1324568910111213141516171618[[#This Row],[CSOsSP Completed]]-Tabelle1324568910111213141516171618[[#This Row],[CSOsSP Removed]]</f>
        <v>1</v>
      </c>
    </row>
    <row r="267" spans="1:18" ht="13.5" hidden="1" customHeight="1">
      <c r="A267" s="383" t="s">
        <v>847</v>
      </c>
      <c r="B267" s="47" t="s">
        <v>848</v>
      </c>
      <c r="C267" s="203" t="s">
        <v>375</v>
      </c>
      <c r="D267" s="203">
        <v>3</v>
      </c>
      <c r="E267" s="203" t="s">
        <v>327</v>
      </c>
      <c r="F267" s="204">
        <v>1</v>
      </c>
      <c r="G267" s="375" t="s">
        <v>21</v>
      </c>
      <c r="H267" s="318" t="s">
        <v>209</v>
      </c>
      <c r="I267" s="206"/>
      <c r="J267" s="206"/>
      <c r="K267" s="375" t="s">
        <v>127</v>
      </c>
      <c r="L267" s="204"/>
      <c r="M267" s="376">
        <v>1</v>
      </c>
      <c r="N267" s="378">
        <f>IF(OR(Tabelle1324568910111213141516171618[[#This Row],[Pulled after Start]]="yes",Tabelle1324568910111213141516171618[[#This Row],[Jira Story Points]]="-"),0,MIN(Tabelle1324568910111213141516171618[[#This Row],[Jira Story Points]],Tabelle1324568910111213141516171618[[#This Row],[Carry-over]]))</f>
        <v>0</v>
      </c>
      <c r="O267" s="379">
        <f>SUM(IF(ISBLANK(Tabelle1324568910111213141516171618[[#This Row],[Carry-over]]),Tabelle1324568910111213141516171618[[#This Row],[Jira Story Points]],Tabelle1324568910111213141516171618[[#This Row],[Carry-over]]),-Tabelle1324568910111213141516171618[[#This Row],[COsSP Initially Planned]])</f>
        <v>1</v>
      </c>
      <c r="P26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267" s="379">
        <f>IF(Tabelle1324568910111213141516171618[[#This Row],[Status]]=$J$5,Tabelle1324568910111213141516171618[[#This Row],[COsSP Initially Planned]]+Tabelle1324568910111213141516171618[[#This Row],[COsSP Pulled after Start]]-Tabelle1324568910111213141516171618[[#This Row],[CSOsSP Completed]],0)</f>
        <v>0</v>
      </c>
      <c r="R267" s="379">
        <f>Tabelle1324568910111213141516171618[[#This Row],[COsSP Initially Planned]]+Tabelle1324568910111213141516171618[[#This Row],[COsSP Pulled after Start]]-Tabelle1324568910111213141516171618[[#This Row],[CSOsSP Completed]]-Tabelle1324568910111213141516171618[[#This Row],[CSOsSP Removed]]</f>
        <v>1</v>
      </c>
    </row>
    <row r="268" spans="1:18" ht="13.5" hidden="1" customHeight="1">
      <c r="A268" s="383" t="s">
        <v>849</v>
      </c>
      <c r="B268" s="47" t="s">
        <v>850</v>
      </c>
      <c r="C268" s="203" t="s">
        <v>375</v>
      </c>
      <c r="D268" s="203">
        <v>3</v>
      </c>
      <c r="E268" s="203" t="s">
        <v>637</v>
      </c>
      <c r="F268" s="204">
        <v>1</v>
      </c>
      <c r="G268" s="375" t="s">
        <v>21</v>
      </c>
      <c r="H268" s="318" t="s">
        <v>209</v>
      </c>
      <c r="I268" s="206"/>
      <c r="J268" s="206"/>
      <c r="K268" s="375" t="s">
        <v>127</v>
      </c>
      <c r="L268" s="204"/>
      <c r="M268" s="376">
        <v>1</v>
      </c>
      <c r="N268" s="378">
        <f>IF(OR(Tabelle1324568910111213141516171618[[#This Row],[Pulled after Start]]="yes",Tabelle1324568910111213141516171618[[#This Row],[Jira Story Points]]="-"),0,MIN(Tabelle1324568910111213141516171618[[#This Row],[Jira Story Points]],Tabelle1324568910111213141516171618[[#This Row],[Carry-over]]))</f>
        <v>0</v>
      </c>
      <c r="O268" s="379">
        <f>SUM(IF(ISBLANK(Tabelle1324568910111213141516171618[[#This Row],[Carry-over]]),Tabelle1324568910111213141516171618[[#This Row],[Jira Story Points]],Tabelle1324568910111213141516171618[[#This Row],[Carry-over]]),-Tabelle1324568910111213141516171618[[#This Row],[COsSP Initially Planned]])</f>
        <v>1</v>
      </c>
      <c r="P26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268" s="379">
        <f>IF(Tabelle1324568910111213141516171618[[#This Row],[Status]]=$J$5,Tabelle1324568910111213141516171618[[#This Row],[COsSP Initially Planned]]+Tabelle1324568910111213141516171618[[#This Row],[COsSP Pulled after Start]]-Tabelle1324568910111213141516171618[[#This Row],[CSOsSP Completed]],0)</f>
        <v>0</v>
      </c>
      <c r="R268" s="379">
        <f>Tabelle1324568910111213141516171618[[#This Row],[COsSP Initially Planned]]+Tabelle1324568910111213141516171618[[#This Row],[COsSP Pulled after Start]]-Tabelle1324568910111213141516171618[[#This Row],[CSOsSP Completed]]-Tabelle1324568910111213141516171618[[#This Row],[CSOsSP Removed]]</f>
        <v>1</v>
      </c>
    </row>
    <row r="269" spans="1:18" ht="13.5" hidden="1" customHeight="1">
      <c r="A269" s="383" t="s">
        <v>851</v>
      </c>
      <c r="B269" s="47" t="s">
        <v>852</v>
      </c>
      <c r="C269" s="203" t="s">
        <v>375</v>
      </c>
      <c r="D269" s="203">
        <v>3</v>
      </c>
      <c r="E269" s="203" t="s">
        <v>327</v>
      </c>
      <c r="F269" s="204">
        <v>1</v>
      </c>
      <c r="G269" s="375" t="s">
        <v>21</v>
      </c>
      <c r="H269" s="318" t="s">
        <v>209</v>
      </c>
      <c r="I269" s="206"/>
      <c r="J269" s="206"/>
      <c r="K269" s="375" t="s">
        <v>127</v>
      </c>
      <c r="L269" s="204"/>
      <c r="M269" s="376">
        <v>1</v>
      </c>
      <c r="N269" s="378">
        <f>IF(OR(Tabelle1324568910111213141516171618[[#This Row],[Pulled after Start]]="yes",Tabelle1324568910111213141516171618[[#This Row],[Jira Story Points]]="-"),0,MIN(Tabelle1324568910111213141516171618[[#This Row],[Jira Story Points]],Tabelle1324568910111213141516171618[[#This Row],[Carry-over]]))</f>
        <v>0</v>
      </c>
      <c r="O269" s="379">
        <f>SUM(IF(ISBLANK(Tabelle1324568910111213141516171618[[#This Row],[Carry-over]]),Tabelle1324568910111213141516171618[[#This Row],[Jira Story Points]],Tabelle1324568910111213141516171618[[#This Row],[Carry-over]]),-Tabelle1324568910111213141516171618[[#This Row],[COsSP Initially Planned]])</f>
        <v>1</v>
      </c>
      <c r="P26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269" s="379">
        <f>IF(Tabelle1324568910111213141516171618[[#This Row],[Status]]=$J$5,Tabelle1324568910111213141516171618[[#This Row],[COsSP Initially Planned]]+Tabelle1324568910111213141516171618[[#This Row],[COsSP Pulled after Start]]-Tabelle1324568910111213141516171618[[#This Row],[CSOsSP Completed]],0)</f>
        <v>0</v>
      </c>
      <c r="R269" s="379">
        <f>Tabelle1324568910111213141516171618[[#This Row],[COsSP Initially Planned]]+Tabelle1324568910111213141516171618[[#This Row],[COsSP Pulled after Start]]-Tabelle1324568910111213141516171618[[#This Row],[CSOsSP Completed]]-Tabelle1324568910111213141516171618[[#This Row],[CSOsSP Removed]]</f>
        <v>1</v>
      </c>
    </row>
    <row r="270" spans="1:18" ht="13.5" hidden="1" customHeight="1">
      <c r="A270" s="383" t="s">
        <v>853</v>
      </c>
      <c r="B270" s="47" t="s">
        <v>854</v>
      </c>
      <c r="C270" s="203" t="s">
        <v>375</v>
      </c>
      <c r="D270" s="203">
        <v>2</v>
      </c>
      <c r="E270" s="203" t="s">
        <v>327</v>
      </c>
      <c r="F270" s="204">
        <v>3</v>
      </c>
      <c r="G270" s="375" t="s">
        <v>21</v>
      </c>
      <c r="H270" s="318" t="s">
        <v>209</v>
      </c>
      <c r="I270" s="206"/>
      <c r="J270" s="206"/>
      <c r="K270" s="375" t="s">
        <v>127</v>
      </c>
      <c r="L270" s="204"/>
      <c r="M270" s="376">
        <v>3</v>
      </c>
      <c r="N270" s="378">
        <f>IF(OR(Tabelle1324568910111213141516171618[[#This Row],[Pulled after Start]]="yes",Tabelle1324568910111213141516171618[[#This Row],[Jira Story Points]]="-"),0,MIN(Tabelle1324568910111213141516171618[[#This Row],[Jira Story Points]],Tabelle1324568910111213141516171618[[#This Row],[Carry-over]]))</f>
        <v>0</v>
      </c>
      <c r="O270" s="379">
        <f>SUM(IF(ISBLANK(Tabelle1324568910111213141516171618[[#This Row],[Carry-over]]),Tabelle1324568910111213141516171618[[#This Row],[Jira Story Points]],Tabelle1324568910111213141516171618[[#This Row],[Carry-over]]),-Tabelle1324568910111213141516171618[[#This Row],[COsSP Initially Planned]])</f>
        <v>3</v>
      </c>
      <c r="P27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270" s="379">
        <f>IF(Tabelle1324568910111213141516171618[[#This Row],[Status]]=$J$5,Tabelle1324568910111213141516171618[[#This Row],[COsSP Initially Planned]]+Tabelle1324568910111213141516171618[[#This Row],[COsSP Pulled after Start]]-Tabelle1324568910111213141516171618[[#This Row],[CSOsSP Completed]],0)</f>
        <v>0</v>
      </c>
      <c r="R270" s="379">
        <f>Tabelle1324568910111213141516171618[[#This Row],[COsSP Initially Planned]]+Tabelle1324568910111213141516171618[[#This Row],[COsSP Pulled after Start]]-Tabelle1324568910111213141516171618[[#This Row],[CSOsSP Completed]]-Tabelle1324568910111213141516171618[[#This Row],[CSOsSP Removed]]</f>
        <v>3</v>
      </c>
    </row>
    <row r="271" spans="1:18" ht="13.5" hidden="1" customHeight="1">
      <c r="A271" s="383" t="s">
        <v>855</v>
      </c>
      <c r="B271" s="47" t="s">
        <v>856</v>
      </c>
      <c r="C271" s="203" t="s">
        <v>375</v>
      </c>
      <c r="D271" s="203">
        <v>3</v>
      </c>
      <c r="E271" s="203" t="s">
        <v>628</v>
      </c>
      <c r="F271" s="204">
        <v>1</v>
      </c>
      <c r="G271" s="375" t="s">
        <v>21</v>
      </c>
      <c r="H271" s="318" t="s">
        <v>209</v>
      </c>
      <c r="I271" s="206"/>
      <c r="J271" s="206"/>
      <c r="K271" s="375" t="s">
        <v>127</v>
      </c>
      <c r="L271" s="204"/>
      <c r="M271" s="204">
        <v>1</v>
      </c>
      <c r="N271" s="378">
        <f>IF(OR(Tabelle1324568910111213141516171618[[#This Row],[Pulled after Start]]="yes",Tabelle1324568910111213141516171618[[#This Row],[Jira Story Points]]="-"),0,MIN(Tabelle1324568910111213141516171618[[#This Row],[Jira Story Points]],Tabelle1324568910111213141516171618[[#This Row],[Carry-over]]))</f>
        <v>0</v>
      </c>
      <c r="O271" s="379">
        <f>SUM(IF(ISBLANK(Tabelle1324568910111213141516171618[[#This Row],[Carry-over]]),Tabelle1324568910111213141516171618[[#This Row],[Jira Story Points]],Tabelle1324568910111213141516171618[[#This Row],[Carry-over]]),-Tabelle1324568910111213141516171618[[#This Row],[COsSP Initially Planned]])</f>
        <v>1</v>
      </c>
      <c r="P27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271" s="379">
        <f>IF(Tabelle1324568910111213141516171618[[#This Row],[Status]]=$J$5,Tabelle1324568910111213141516171618[[#This Row],[COsSP Initially Planned]]+Tabelle1324568910111213141516171618[[#This Row],[COsSP Pulled after Start]]-Tabelle1324568910111213141516171618[[#This Row],[CSOsSP Completed]],0)</f>
        <v>0</v>
      </c>
      <c r="R271" s="379">
        <f>Tabelle1324568910111213141516171618[[#This Row],[COsSP Initially Planned]]+Tabelle1324568910111213141516171618[[#This Row],[COsSP Pulled after Start]]-Tabelle1324568910111213141516171618[[#This Row],[CSOsSP Completed]]-Tabelle1324568910111213141516171618[[#This Row],[CSOsSP Removed]]</f>
        <v>1</v>
      </c>
    </row>
    <row r="272" spans="1:18" ht="13.5" hidden="1" customHeight="1">
      <c r="A272" s="383" t="s">
        <v>857</v>
      </c>
      <c r="B272" s="47" t="s">
        <v>858</v>
      </c>
      <c r="C272" s="203" t="s">
        <v>372</v>
      </c>
      <c r="D272" s="203">
        <v>3</v>
      </c>
      <c r="E272" s="203" t="s">
        <v>324</v>
      </c>
      <c r="F272" s="204">
        <v>1</v>
      </c>
      <c r="G272" s="375" t="s">
        <v>21</v>
      </c>
      <c r="H272" s="205"/>
      <c r="I272" s="206"/>
      <c r="J272" s="206"/>
      <c r="K272" s="375" t="s">
        <v>125</v>
      </c>
      <c r="L272" s="204"/>
      <c r="M272" s="204"/>
      <c r="N272" s="378">
        <f>IF(OR(Tabelle1324568910111213141516171618[[#This Row],[Pulled after Start]]="yes",Tabelle1324568910111213141516171618[[#This Row],[Jira Story Points]]="-"),0,MIN(Tabelle1324568910111213141516171618[[#This Row],[Jira Story Points]],Tabelle1324568910111213141516171618[[#This Row],[Carry-over]]))</f>
        <v>1</v>
      </c>
      <c r="O272" s="379">
        <f>SUM(IF(ISBLANK(Tabelle1324568910111213141516171618[[#This Row],[Carry-over]]),Tabelle1324568910111213141516171618[[#This Row],[Jira Story Points]],Tabelle1324568910111213141516171618[[#This Row],[Carry-over]]),-Tabelle1324568910111213141516171618[[#This Row],[COsSP Initially Planned]])</f>
        <v>0</v>
      </c>
      <c r="P27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72" s="379">
        <f>IF(Tabelle1324568910111213141516171618[[#This Row],[Status]]=$J$5,Tabelle1324568910111213141516171618[[#This Row],[COsSP Initially Planned]]+Tabelle1324568910111213141516171618[[#This Row],[COsSP Pulled after Start]]-Tabelle1324568910111213141516171618[[#This Row],[CSOsSP Completed]],0)</f>
        <v>0</v>
      </c>
      <c r="R272" s="379">
        <f>Tabelle1324568910111213141516171618[[#This Row],[COsSP Initially Planned]]+Tabelle1324568910111213141516171618[[#This Row],[COsSP Pulled after Start]]-Tabelle1324568910111213141516171618[[#This Row],[CSOsSP Completed]]-Tabelle1324568910111213141516171618[[#This Row],[CSOsSP Removed]]</f>
        <v>0</v>
      </c>
    </row>
    <row r="273" spans="1:18" ht="13.5" hidden="1" customHeight="1">
      <c r="A273" s="383" t="s">
        <v>859</v>
      </c>
      <c r="B273" s="47" t="s">
        <v>860</v>
      </c>
      <c r="C273" s="203" t="s">
        <v>372</v>
      </c>
      <c r="D273" s="203">
        <v>3</v>
      </c>
      <c r="E273" s="203" t="s">
        <v>324</v>
      </c>
      <c r="F273" s="204">
        <v>3</v>
      </c>
      <c r="G273" s="375" t="s">
        <v>21</v>
      </c>
      <c r="H273" s="205"/>
      <c r="I273" s="206"/>
      <c r="J273" s="206"/>
      <c r="K273" s="375" t="s">
        <v>125</v>
      </c>
      <c r="L273" s="204"/>
      <c r="M273" s="204"/>
      <c r="N273" s="378">
        <f>IF(OR(Tabelle1324568910111213141516171618[[#This Row],[Pulled after Start]]="yes",Tabelle1324568910111213141516171618[[#This Row],[Jira Story Points]]="-"),0,MIN(Tabelle1324568910111213141516171618[[#This Row],[Jira Story Points]],Tabelle1324568910111213141516171618[[#This Row],[Carry-over]]))</f>
        <v>3</v>
      </c>
      <c r="O273" s="379">
        <f>SUM(IF(ISBLANK(Tabelle1324568910111213141516171618[[#This Row],[Carry-over]]),Tabelle1324568910111213141516171618[[#This Row],[Jira Story Points]],Tabelle1324568910111213141516171618[[#This Row],[Carry-over]]),-Tabelle1324568910111213141516171618[[#This Row],[COsSP Initially Planned]])</f>
        <v>0</v>
      </c>
      <c r="P27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73" s="379">
        <f>IF(Tabelle1324568910111213141516171618[[#This Row],[Status]]=$J$5,Tabelle1324568910111213141516171618[[#This Row],[COsSP Initially Planned]]+Tabelle1324568910111213141516171618[[#This Row],[COsSP Pulled after Start]]-Tabelle1324568910111213141516171618[[#This Row],[CSOsSP Completed]],0)</f>
        <v>0</v>
      </c>
      <c r="R273" s="379">
        <f>Tabelle1324568910111213141516171618[[#This Row],[COsSP Initially Planned]]+Tabelle1324568910111213141516171618[[#This Row],[COsSP Pulled after Start]]-Tabelle1324568910111213141516171618[[#This Row],[CSOsSP Completed]]-Tabelle1324568910111213141516171618[[#This Row],[CSOsSP Removed]]</f>
        <v>0</v>
      </c>
    </row>
    <row r="274" spans="1:18" ht="13.5" hidden="1" customHeight="1">
      <c r="A274" s="383" t="s">
        <v>861</v>
      </c>
      <c r="B274" s="47" t="s">
        <v>862</v>
      </c>
      <c r="C274" s="203" t="s">
        <v>372</v>
      </c>
      <c r="D274" s="203">
        <v>3</v>
      </c>
      <c r="E274" s="203" t="s">
        <v>324</v>
      </c>
      <c r="F274" s="204">
        <v>3</v>
      </c>
      <c r="G274" s="375" t="s">
        <v>21</v>
      </c>
      <c r="H274" s="205"/>
      <c r="I274" s="206"/>
      <c r="J274" s="206"/>
      <c r="K274" s="375" t="s">
        <v>125</v>
      </c>
      <c r="L274" s="204"/>
      <c r="M274" s="204"/>
      <c r="N274" s="378">
        <f>IF(OR(Tabelle1324568910111213141516171618[[#This Row],[Pulled after Start]]="yes",Tabelle1324568910111213141516171618[[#This Row],[Jira Story Points]]="-"),0,MIN(Tabelle1324568910111213141516171618[[#This Row],[Jira Story Points]],Tabelle1324568910111213141516171618[[#This Row],[Carry-over]]))</f>
        <v>3</v>
      </c>
      <c r="O274" s="379">
        <f>SUM(IF(ISBLANK(Tabelle1324568910111213141516171618[[#This Row],[Carry-over]]),Tabelle1324568910111213141516171618[[#This Row],[Jira Story Points]],Tabelle1324568910111213141516171618[[#This Row],[Carry-over]]),-Tabelle1324568910111213141516171618[[#This Row],[COsSP Initially Planned]])</f>
        <v>0</v>
      </c>
      <c r="P27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74" s="379">
        <f>IF(Tabelle1324568910111213141516171618[[#This Row],[Status]]=$J$5,Tabelle1324568910111213141516171618[[#This Row],[COsSP Initially Planned]]+Tabelle1324568910111213141516171618[[#This Row],[COsSP Pulled after Start]]-Tabelle1324568910111213141516171618[[#This Row],[CSOsSP Completed]],0)</f>
        <v>0</v>
      </c>
      <c r="R274" s="379">
        <f>Tabelle1324568910111213141516171618[[#This Row],[COsSP Initially Planned]]+Tabelle1324568910111213141516171618[[#This Row],[COsSP Pulled after Start]]-Tabelle1324568910111213141516171618[[#This Row],[CSOsSP Completed]]-Tabelle1324568910111213141516171618[[#This Row],[CSOsSP Removed]]</f>
        <v>0</v>
      </c>
    </row>
    <row r="275" spans="1:18" ht="13.5" hidden="1" customHeight="1">
      <c r="A275" s="383" t="s">
        <v>863</v>
      </c>
      <c r="B275" s="47" t="s">
        <v>864</v>
      </c>
      <c r="C275" s="203" t="s">
        <v>372</v>
      </c>
      <c r="D275" s="203">
        <v>3</v>
      </c>
      <c r="E275" s="203" t="s">
        <v>324</v>
      </c>
      <c r="F275" s="204">
        <v>1</v>
      </c>
      <c r="G275" s="375" t="s">
        <v>21</v>
      </c>
      <c r="H275" s="205"/>
      <c r="I275" s="206"/>
      <c r="J275" s="206"/>
      <c r="K275" s="375" t="s">
        <v>125</v>
      </c>
      <c r="L275" s="204"/>
      <c r="M275" s="204"/>
      <c r="N275" s="378">
        <f>IF(OR(Tabelle1324568910111213141516171618[[#This Row],[Pulled after Start]]="yes",Tabelle1324568910111213141516171618[[#This Row],[Jira Story Points]]="-"),0,MIN(Tabelle1324568910111213141516171618[[#This Row],[Jira Story Points]],Tabelle1324568910111213141516171618[[#This Row],[Carry-over]]))</f>
        <v>1</v>
      </c>
      <c r="O275" s="379">
        <f>SUM(IF(ISBLANK(Tabelle1324568910111213141516171618[[#This Row],[Carry-over]]),Tabelle1324568910111213141516171618[[#This Row],[Jira Story Points]],Tabelle1324568910111213141516171618[[#This Row],[Carry-over]]),-Tabelle1324568910111213141516171618[[#This Row],[COsSP Initially Planned]])</f>
        <v>0</v>
      </c>
      <c r="P27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75" s="379">
        <f>IF(Tabelle1324568910111213141516171618[[#This Row],[Status]]=$J$5,Tabelle1324568910111213141516171618[[#This Row],[COsSP Initially Planned]]+Tabelle1324568910111213141516171618[[#This Row],[COsSP Pulled after Start]]-Tabelle1324568910111213141516171618[[#This Row],[CSOsSP Completed]],0)</f>
        <v>0</v>
      </c>
      <c r="R275" s="379">
        <f>Tabelle1324568910111213141516171618[[#This Row],[COsSP Initially Planned]]+Tabelle1324568910111213141516171618[[#This Row],[COsSP Pulled after Start]]-Tabelle1324568910111213141516171618[[#This Row],[CSOsSP Completed]]-Tabelle1324568910111213141516171618[[#This Row],[CSOsSP Removed]]</f>
        <v>0</v>
      </c>
    </row>
    <row r="276" spans="1:18" ht="13.5" hidden="1" customHeight="1">
      <c r="A276" s="383" t="s">
        <v>865</v>
      </c>
      <c r="B276" s="47" t="s">
        <v>866</v>
      </c>
      <c r="C276" s="203" t="s">
        <v>372</v>
      </c>
      <c r="D276" s="203">
        <v>3</v>
      </c>
      <c r="E276" s="203" t="s">
        <v>324</v>
      </c>
      <c r="F276" s="204">
        <v>5</v>
      </c>
      <c r="G276" s="203" t="s">
        <v>5</v>
      </c>
      <c r="H276" s="205"/>
      <c r="I276" s="206"/>
      <c r="J276" s="206"/>
      <c r="K276" s="203" t="s">
        <v>125</v>
      </c>
      <c r="L276" s="204"/>
      <c r="M276" s="204"/>
      <c r="N276" s="378">
        <f>IF(OR(Tabelle1324568910111213141516171618[[#This Row],[Pulled after Start]]="yes",Tabelle1324568910111213141516171618[[#This Row],[Jira Story Points]]="-"),0,MIN(Tabelle1324568910111213141516171618[[#This Row],[Jira Story Points]],Tabelle1324568910111213141516171618[[#This Row],[Carry-over]]))</f>
        <v>5</v>
      </c>
      <c r="O276" s="379">
        <f>SUM(IF(ISBLANK(Tabelle1324568910111213141516171618[[#This Row],[Carry-over]]),Tabelle1324568910111213141516171618[[#This Row],[Jira Story Points]],Tabelle1324568910111213141516171618[[#This Row],[Carry-over]]),-Tabelle1324568910111213141516171618[[#This Row],[COsSP Initially Planned]])</f>
        <v>0</v>
      </c>
      <c r="P27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276" s="379">
        <f>IF(Tabelle1324568910111213141516171618[[#This Row],[Status]]=$J$5,Tabelle1324568910111213141516171618[[#This Row],[COsSP Initially Planned]]+Tabelle1324568910111213141516171618[[#This Row],[COsSP Pulled after Start]]-Tabelle1324568910111213141516171618[[#This Row],[CSOsSP Completed]],0)</f>
        <v>0</v>
      </c>
      <c r="R276" s="379">
        <f>Tabelle1324568910111213141516171618[[#This Row],[COsSP Initially Planned]]+Tabelle1324568910111213141516171618[[#This Row],[COsSP Pulled after Start]]-Tabelle1324568910111213141516171618[[#This Row],[CSOsSP Completed]]-Tabelle1324568910111213141516171618[[#This Row],[CSOsSP Removed]]</f>
        <v>0</v>
      </c>
    </row>
    <row r="277" spans="1:18" ht="13.5" hidden="1" customHeight="1">
      <c r="A277" s="383" t="s">
        <v>867</v>
      </c>
      <c r="B277" s="47" t="s">
        <v>868</v>
      </c>
      <c r="C277" s="203" t="s">
        <v>372</v>
      </c>
      <c r="D277" s="203">
        <v>2</v>
      </c>
      <c r="E277" s="203" t="s">
        <v>324</v>
      </c>
      <c r="F277" s="204">
        <v>3</v>
      </c>
      <c r="G277" s="203" t="s">
        <v>5</v>
      </c>
      <c r="H277" s="205"/>
      <c r="I277" s="206"/>
      <c r="J277" s="206"/>
      <c r="K277" s="203" t="s">
        <v>125</v>
      </c>
      <c r="L277" s="204"/>
      <c r="M277" s="204"/>
      <c r="N277" s="378">
        <f>IF(OR(Tabelle1324568910111213141516171618[[#This Row],[Pulled after Start]]="yes",Tabelle1324568910111213141516171618[[#This Row],[Jira Story Points]]="-"),0,MIN(Tabelle1324568910111213141516171618[[#This Row],[Jira Story Points]],Tabelle1324568910111213141516171618[[#This Row],[Carry-over]]))</f>
        <v>3</v>
      </c>
      <c r="O277" s="379">
        <f>SUM(IF(ISBLANK(Tabelle1324568910111213141516171618[[#This Row],[Carry-over]]),Tabelle1324568910111213141516171618[[#This Row],[Jira Story Points]],Tabelle1324568910111213141516171618[[#This Row],[Carry-over]]),-Tabelle1324568910111213141516171618[[#This Row],[COsSP Initially Planned]])</f>
        <v>0</v>
      </c>
      <c r="P27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77" s="379">
        <f>IF(Tabelle1324568910111213141516171618[[#This Row],[Status]]=$J$5,Tabelle1324568910111213141516171618[[#This Row],[COsSP Initially Planned]]+Tabelle1324568910111213141516171618[[#This Row],[COsSP Pulled after Start]]-Tabelle1324568910111213141516171618[[#This Row],[CSOsSP Completed]],0)</f>
        <v>0</v>
      </c>
      <c r="R277" s="379">
        <f>Tabelle1324568910111213141516171618[[#This Row],[COsSP Initially Planned]]+Tabelle1324568910111213141516171618[[#This Row],[COsSP Pulled after Start]]-Tabelle1324568910111213141516171618[[#This Row],[CSOsSP Completed]]-Tabelle1324568910111213141516171618[[#This Row],[CSOsSP Removed]]</f>
        <v>0</v>
      </c>
    </row>
    <row r="278" spans="1:18" ht="13.5" hidden="1" customHeight="1">
      <c r="A278" s="383" t="s">
        <v>869</v>
      </c>
      <c r="B278" s="47" t="s">
        <v>870</v>
      </c>
      <c r="C278" s="203" t="s">
        <v>372</v>
      </c>
      <c r="D278" s="203">
        <v>2</v>
      </c>
      <c r="E278" s="203" t="s">
        <v>324</v>
      </c>
      <c r="F278" s="204">
        <v>3</v>
      </c>
      <c r="G278" s="203" t="s">
        <v>5</v>
      </c>
      <c r="H278" s="205"/>
      <c r="I278" s="206"/>
      <c r="J278" s="206"/>
      <c r="K278" s="203" t="s">
        <v>125</v>
      </c>
      <c r="L278" s="204"/>
      <c r="M278" s="204"/>
      <c r="N278" s="378">
        <f>IF(OR(Tabelle1324568910111213141516171618[[#This Row],[Pulled after Start]]="yes",Tabelle1324568910111213141516171618[[#This Row],[Jira Story Points]]="-"),0,MIN(Tabelle1324568910111213141516171618[[#This Row],[Jira Story Points]],Tabelle1324568910111213141516171618[[#This Row],[Carry-over]]))</f>
        <v>3</v>
      </c>
      <c r="O278" s="379">
        <f>SUM(IF(ISBLANK(Tabelle1324568910111213141516171618[[#This Row],[Carry-over]]),Tabelle1324568910111213141516171618[[#This Row],[Jira Story Points]],Tabelle1324568910111213141516171618[[#This Row],[Carry-over]]),-Tabelle1324568910111213141516171618[[#This Row],[COsSP Initially Planned]])</f>
        <v>0</v>
      </c>
      <c r="P27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78" s="379">
        <f>IF(Tabelle1324568910111213141516171618[[#This Row],[Status]]=$J$5,Tabelle1324568910111213141516171618[[#This Row],[COsSP Initially Planned]]+Tabelle1324568910111213141516171618[[#This Row],[COsSP Pulled after Start]]-Tabelle1324568910111213141516171618[[#This Row],[CSOsSP Completed]],0)</f>
        <v>0</v>
      </c>
      <c r="R278" s="379">
        <f>Tabelle1324568910111213141516171618[[#This Row],[COsSP Initially Planned]]+Tabelle1324568910111213141516171618[[#This Row],[COsSP Pulled after Start]]-Tabelle1324568910111213141516171618[[#This Row],[CSOsSP Completed]]-Tabelle1324568910111213141516171618[[#This Row],[CSOsSP Removed]]</f>
        <v>0</v>
      </c>
    </row>
    <row r="279" spans="1:18" ht="13.5" hidden="1" customHeight="1">
      <c r="A279" s="383" t="s">
        <v>871</v>
      </c>
      <c r="B279" s="47" t="s">
        <v>872</v>
      </c>
      <c r="C279" s="203" t="s">
        <v>372</v>
      </c>
      <c r="D279" s="203">
        <v>3</v>
      </c>
      <c r="E279" s="203" t="s">
        <v>324</v>
      </c>
      <c r="F279" s="204">
        <v>5</v>
      </c>
      <c r="G279" s="203" t="s">
        <v>5</v>
      </c>
      <c r="H279" s="205"/>
      <c r="I279" s="206"/>
      <c r="J279" s="206"/>
      <c r="K279" s="203" t="s">
        <v>125</v>
      </c>
      <c r="L279" s="204"/>
      <c r="M279" s="204"/>
      <c r="N279" s="378">
        <f>IF(OR(Tabelle1324568910111213141516171618[[#This Row],[Pulled after Start]]="yes",Tabelle1324568910111213141516171618[[#This Row],[Jira Story Points]]="-"),0,MIN(Tabelle1324568910111213141516171618[[#This Row],[Jira Story Points]],Tabelle1324568910111213141516171618[[#This Row],[Carry-over]]))</f>
        <v>5</v>
      </c>
      <c r="O279" s="379">
        <f>SUM(IF(ISBLANK(Tabelle1324568910111213141516171618[[#This Row],[Carry-over]]),Tabelle1324568910111213141516171618[[#This Row],[Jira Story Points]],Tabelle1324568910111213141516171618[[#This Row],[Carry-over]]),-Tabelle1324568910111213141516171618[[#This Row],[COsSP Initially Planned]])</f>
        <v>0</v>
      </c>
      <c r="P27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279" s="379">
        <f>IF(Tabelle1324568910111213141516171618[[#This Row],[Status]]=$J$5,Tabelle1324568910111213141516171618[[#This Row],[COsSP Initially Planned]]+Tabelle1324568910111213141516171618[[#This Row],[COsSP Pulled after Start]]-Tabelle1324568910111213141516171618[[#This Row],[CSOsSP Completed]],0)</f>
        <v>0</v>
      </c>
      <c r="R279" s="379">
        <f>Tabelle1324568910111213141516171618[[#This Row],[COsSP Initially Planned]]+Tabelle1324568910111213141516171618[[#This Row],[COsSP Pulled after Start]]-Tabelle1324568910111213141516171618[[#This Row],[CSOsSP Completed]]-Tabelle1324568910111213141516171618[[#This Row],[CSOsSP Removed]]</f>
        <v>0</v>
      </c>
    </row>
    <row r="280" spans="1:18" ht="13.5" hidden="1" customHeight="1">
      <c r="A280" s="383" t="s">
        <v>873</v>
      </c>
      <c r="B280" s="47" t="s">
        <v>874</v>
      </c>
      <c r="C280" s="203" t="s">
        <v>372</v>
      </c>
      <c r="D280" s="203">
        <v>3</v>
      </c>
      <c r="E280" s="203" t="s">
        <v>324</v>
      </c>
      <c r="F280" s="204">
        <v>3</v>
      </c>
      <c r="G280" s="203" t="s">
        <v>5</v>
      </c>
      <c r="H280" s="205"/>
      <c r="I280" s="206"/>
      <c r="J280" s="206"/>
      <c r="K280" s="203" t="s">
        <v>125</v>
      </c>
      <c r="L280" s="204"/>
      <c r="M280" s="204"/>
      <c r="N280" s="378">
        <f>IF(OR(Tabelle1324568910111213141516171618[[#This Row],[Pulled after Start]]="yes",Tabelle1324568910111213141516171618[[#This Row],[Jira Story Points]]="-"),0,MIN(Tabelle1324568910111213141516171618[[#This Row],[Jira Story Points]],Tabelle1324568910111213141516171618[[#This Row],[Carry-over]]))</f>
        <v>3</v>
      </c>
      <c r="O280" s="379">
        <f>SUM(IF(ISBLANK(Tabelle1324568910111213141516171618[[#This Row],[Carry-over]]),Tabelle1324568910111213141516171618[[#This Row],[Jira Story Points]],Tabelle1324568910111213141516171618[[#This Row],[Carry-over]]),-Tabelle1324568910111213141516171618[[#This Row],[COsSP Initially Planned]])</f>
        <v>0</v>
      </c>
      <c r="P28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80" s="379">
        <f>IF(Tabelle1324568910111213141516171618[[#This Row],[Status]]=$J$5,Tabelle1324568910111213141516171618[[#This Row],[COsSP Initially Planned]]+Tabelle1324568910111213141516171618[[#This Row],[COsSP Pulled after Start]]-Tabelle1324568910111213141516171618[[#This Row],[CSOsSP Completed]],0)</f>
        <v>0</v>
      </c>
      <c r="R280" s="379">
        <f>Tabelle1324568910111213141516171618[[#This Row],[COsSP Initially Planned]]+Tabelle1324568910111213141516171618[[#This Row],[COsSP Pulled after Start]]-Tabelle1324568910111213141516171618[[#This Row],[CSOsSP Completed]]-Tabelle1324568910111213141516171618[[#This Row],[CSOsSP Removed]]</f>
        <v>0</v>
      </c>
    </row>
    <row r="281" spans="1:18" ht="13.5" hidden="1" customHeight="1">
      <c r="A281" s="383" t="s">
        <v>875</v>
      </c>
      <c r="B281" s="47" t="s">
        <v>876</v>
      </c>
      <c r="C281" s="203" t="s">
        <v>372</v>
      </c>
      <c r="D281" s="203">
        <v>3</v>
      </c>
      <c r="E281" s="203" t="s">
        <v>324</v>
      </c>
      <c r="F281" s="204">
        <v>3</v>
      </c>
      <c r="G281" s="203" t="s">
        <v>5</v>
      </c>
      <c r="H281" s="205"/>
      <c r="I281" s="206"/>
      <c r="J281" s="206"/>
      <c r="K281" s="203" t="s">
        <v>125</v>
      </c>
      <c r="L281" s="204"/>
      <c r="M281" s="204"/>
      <c r="N281" s="378">
        <f>IF(OR(Tabelle1324568910111213141516171618[[#This Row],[Pulled after Start]]="yes",Tabelle1324568910111213141516171618[[#This Row],[Jira Story Points]]="-"),0,MIN(Tabelle1324568910111213141516171618[[#This Row],[Jira Story Points]],Tabelle1324568910111213141516171618[[#This Row],[Carry-over]]))</f>
        <v>3</v>
      </c>
      <c r="O281" s="379">
        <f>SUM(IF(ISBLANK(Tabelle1324568910111213141516171618[[#This Row],[Carry-over]]),Tabelle1324568910111213141516171618[[#This Row],[Jira Story Points]],Tabelle1324568910111213141516171618[[#This Row],[Carry-over]]),-Tabelle1324568910111213141516171618[[#This Row],[COsSP Initially Planned]])</f>
        <v>0</v>
      </c>
      <c r="P28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81" s="379">
        <f>IF(Tabelle1324568910111213141516171618[[#This Row],[Status]]=$J$5,Tabelle1324568910111213141516171618[[#This Row],[COsSP Initially Planned]]+Tabelle1324568910111213141516171618[[#This Row],[COsSP Pulled after Start]]-Tabelle1324568910111213141516171618[[#This Row],[CSOsSP Completed]],0)</f>
        <v>0</v>
      </c>
      <c r="R281" s="379">
        <f>Tabelle1324568910111213141516171618[[#This Row],[COsSP Initially Planned]]+Tabelle1324568910111213141516171618[[#This Row],[COsSP Pulled after Start]]-Tabelle1324568910111213141516171618[[#This Row],[CSOsSP Completed]]-Tabelle1324568910111213141516171618[[#This Row],[CSOsSP Removed]]</f>
        <v>0</v>
      </c>
    </row>
    <row r="282" spans="1:18" ht="13.5" hidden="1" customHeight="1">
      <c r="A282" s="383" t="s">
        <v>877</v>
      </c>
      <c r="B282" s="47" t="s">
        <v>878</v>
      </c>
      <c r="C282" s="203" t="s">
        <v>372</v>
      </c>
      <c r="D282" s="203">
        <v>3</v>
      </c>
      <c r="E282" s="203" t="s">
        <v>324</v>
      </c>
      <c r="F282" s="204">
        <v>5</v>
      </c>
      <c r="G282" s="203" t="s">
        <v>5</v>
      </c>
      <c r="H282" s="205" t="s">
        <v>209</v>
      </c>
      <c r="I282" s="206"/>
      <c r="J282" s="206"/>
      <c r="K282" s="203" t="s">
        <v>125</v>
      </c>
      <c r="L282" s="204"/>
      <c r="M282" s="204"/>
      <c r="N282" s="378">
        <f>IF(OR(Tabelle1324568910111213141516171618[[#This Row],[Pulled after Start]]="yes",Tabelle1324568910111213141516171618[[#This Row],[Jira Story Points]]="-"),0,MIN(Tabelle1324568910111213141516171618[[#This Row],[Jira Story Points]],Tabelle1324568910111213141516171618[[#This Row],[Carry-over]]))</f>
        <v>0</v>
      </c>
      <c r="O282" s="379">
        <f>SUM(IF(ISBLANK(Tabelle1324568910111213141516171618[[#This Row],[Carry-over]]),Tabelle1324568910111213141516171618[[#This Row],[Jira Story Points]],Tabelle1324568910111213141516171618[[#This Row],[Carry-over]]),-Tabelle1324568910111213141516171618[[#This Row],[COsSP Initially Planned]])</f>
        <v>5</v>
      </c>
      <c r="P28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282" s="379">
        <f>IF(Tabelle1324568910111213141516171618[[#This Row],[Status]]=$J$5,Tabelle1324568910111213141516171618[[#This Row],[COsSP Initially Planned]]+Tabelle1324568910111213141516171618[[#This Row],[COsSP Pulled after Start]]-Tabelle1324568910111213141516171618[[#This Row],[CSOsSP Completed]],0)</f>
        <v>0</v>
      </c>
      <c r="R282" s="379">
        <f>Tabelle1324568910111213141516171618[[#This Row],[COsSP Initially Planned]]+Tabelle1324568910111213141516171618[[#This Row],[COsSP Pulled after Start]]-Tabelle1324568910111213141516171618[[#This Row],[CSOsSP Completed]]-Tabelle1324568910111213141516171618[[#This Row],[CSOsSP Removed]]</f>
        <v>0</v>
      </c>
    </row>
    <row r="283" spans="1:18" ht="13.5" hidden="1" customHeight="1">
      <c r="A283" s="383" t="s">
        <v>879</v>
      </c>
      <c r="B283" s="47" t="s">
        <v>880</v>
      </c>
      <c r="C283" s="203" t="s">
        <v>372</v>
      </c>
      <c r="D283" s="203">
        <v>3</v>
      </c>
      <c r="E283" s="203" t="s">
        <v>324</v>
      </c>
      <c r="F283" s="204">
        <v>3</v>
      </c>
      <c r="G283" s="203" t="s">
        <v>5</v>
      </c>
      <c r="H283" s="205" t="s">
        <v>209</v>
      </c>
      <c r="I283" s="206"/>
      <c r="J283" s="206"/>
      <c r="K283" s="203" t="s">
        <v>125</v>
      </c>
      <c r="L283" s="204"/>
      <c r="M283" s="204"/>
      <c r="N283" s="378">
        <f>IF(OR(Tabelle1324568910111213141516171618[[#This Row],[Pulled after Start]]="yes",Tabelle1324568910111213141516171618[[#This Row],[Jira Story Points]]="-"),0,MIN(Tabelle1324568910111213141516171618[[#This Row],[Jira Story Points]],Tabelle1324568910111213141516171618[[#This Row],[Carry-over]]))</f>
        <v>0</v>
      </c>
      <c r="O283" s="379">
        <f>SUM(IF(ISBLANK(Tabelle1324568910111213141516171618[[#This Row],[Carry-over]]),Tabelle1324568910111213141516171618[[#This Row],[Jira Story Points]],Tabelle1324568910111213141516171618[[#This Row],[Carry-over]]),-Tabelle1324568910111213141516171618[[#This Row],[COsSP Initially Planned]])</f>
        <v>3</v>
      </c>
      <c r="P28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83" s="379">
        <f>IF(Tabelle1324568910111213141516171618[[#This Row],[Status]]=$J$5,Tabelle1324568910111213141516171618[[#This Row],[COsSP Initially Planned]]+Tabelle1324568910111213141516171618[[#This Row],[COsSP Pulled after Start]]-Tabelle1324568910111213141516171618[[#This Row],[CSOsSP Completed]],0)</f>
        <v>0</v>
      </c>
      <c r="R283" s="379">
        <f>Tabelle1324568910111213141516171618[[#This Row],[COsSP Initially Planned]]+Tabelle1324568910111213141516171618[[#This Row],[COsSP Pulled after Start]]-Tabelle1324568910111213141516171618[[#This Row],[CSOsSP Completed]]-Tabelle1324568910111213141516171618[[#This Row],[CSOsSP Removed]]</f>
        <v>0</v>
      </c>
    </row>
    <row r="284" spans="1:18" ht="13.5" hidden="1" customHeight="1">
      <c r="A284" s="383" t="s">
        <v>881</v>
      </c>
      <c r="B284" s="47" t="s">
        <v>882</v>
      </c>
      <c r="C284" s="203" t="s">
        <v>372</v>
      </c>
      <c r="D284" s="203">
        <v>3</v>
      </c>
      <c r="E284" s="203" t="s">
        <v>327</v>
      </c>
      <c r="F284" s="204">
        <v>5</v>
      </c>
      <c r="G284" s="203" t="s">
        <v>5</v>
      </c>
      <c r="H284" s="205" t="s">
        <v>209</v>
      </c>
      <c r="I284" s="206"/>
      <c r="J284" s="206"/>
      <c r="K284" s="203" t="s">
        <v>125</v>
      </c>
      <c r="L284" s="204"/>
      <c r="M284" s="204"/>
      <c r="N284" s="378">
        <f>IF(OR(Tabelle1324568910111213141516171618[[#This Row],[Pulled after Start]]="yes",Tabelle1324568910111213141516171618[[#This Row],[Jira Story Points]]="-"),0,MIN(Tabelle1324568910111213141516171618[[#This Row],[Jira Story Points]],Tabelle1324568910111213141516171618[[#This Row],[Carry-over]]))</f>
        <v>0</v>
      </c>
      <c r="O284" s="379">
        <f>SUM(IF(ISBLANK(Tabelle1324568910111213141516171618[[#This Row],[Carry-over]]),Tabelle1324568910111213141516171618[[#This Row],[Jira Story Points]],Tabelle1324568910111213141516171618[[#This Row],[Carry-over]]),-Tabelle1324568910111213141516171618[[#This Row],[COsSP Initially Planned]])</f>
        <v>5</v>
      </c>
      <c r="P28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284" s="379">
        <f>IF(Tabelle1324568910111213141516171618[[#This Row],[Status]]=$J$5,Tabelle1324568910111213141516171618[[#This Row],[COsSP Initially Planned]]+Tabelle1324568910111213141516171618[[#This Row],[COsSP Pulled after Start]]-Tabelle1324568910111213141516171618[[#This Row],[CSOsSP Completed]],0)</f>
        <v>0</v>
      </c>
      <c r="R284" s="379">
        <f>Tabelle1324568910111213141516171618[[#This Row],[COsSP Initially Planned]]+Tabelle1324568910111213141516171618[[#This Row],[COsSP Pulled after Start]]-Tabelle1324568910111213141516171618[[#This Row],[CSOsSP Completed]]-Tabelle1324568910111213141516171618[[#This Row],[CSOsSP Removed]]</f>
        <v>0</v>
      </c>
    </row>
    <row r="285" spans="1:18" ht="13.5" hidden="1" customHeight="1">
      <c r="A285" s="383" t="s">
        <v>883</v>
      </c>
      <c r="B285" s="47" t="s">
        <v>884</v>
      </c>
      <c r="C285" s="203" t="s">
        <v>372</v>
      </c>
      <c r="D285" s="203">
        <v>3</v>
      </c>
      <c r="E285" s="203" t="s">
        <v>327</v>
      </c>
      <c r="F285" s="204">
        <v>5</v>
      </c>
      <c r="G285" s="203" t="s">
        <v>5</v>
      </c>
      <c r="H285" s="205"/>
      <c r="I285" s="206"/>
      <c r="J285" s="206"/>
      <c r="K285" s="203" t="s">
        <v>127</v>
      </c>
      <c r="L285" s="204"/>
      <c r="M285" s="204">
        <v>2</v>
      </c>
      <c r="N285" s="378">
        <f>IF(OR(Tabelle1324568910111213141516171618[[#This Row],[Pulled after Start]]="yes",Tabelle1324568910111213141516171618[[#This Row],[Jira Story Points]]="-"),0,MIN(Tabelle1324568910111213141516171618[[#This Row],[Jira Story Points]],Tabelle1324568910111213141516171618[[#This Row],[Carry-over]]))</f>
        <v>5</v>
      </c>
      <c r="O285" s="379">
        <f>SUM(IF(ISBLANK(Tabelle1324568910111213141516171618[[#This Row],[Carry-over]]),Tabelle1324568910111213141516171618[[#This Row],[Jira Story Points]],Tabelle1324568910111213141516171618[[#This Row],[Carry-over]]),-Tabelle1324568910111213141516171618[[#This Row],[COsSP Initially Planned]])</f>
        <v>0</v>
      </c>
      <c r="P28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85" s="379">
        <f>IF(Tabelle1324568910111213141516171618[[#This Row],[Status]]=$J$5,Tabelle1324568910111213141516171618[[#This Row],[COsSP Initially Planned]]+Tabelle1324568910111213141516171618[[#This Row],[COsSP Pulled after Start]]-Tabelle1324568910111213141516171618[[#This Row],[CSOsSP Completed]],0)</f>
        <v>0</v>
      </c>
      <c r="R285" s="379">
        <f>Tabelle1324568910111213141516171618[[#This Row],[COsSP Initially Planned]]+Tabelle1324568910111213141516171618[[#This Row],[COsSP Pulled after Start]]-Tabelle1324568910111213141516171618[[#This Row],[CSOsSP Completed]]-Tabelle1324568910111213141516171618[[#This Row],[CSOsSP Removed]]</f>
        <v>2</v>
      </c>
    </row>
    <row r="286" spans="1:18" ht="13.5" hidden="1" customHeight="1">
      <c r="A286" s="383" t="s">
        <v>885</v>
      </c>
      <c r="B286" s="47" t="s">
        <v>886</v>
      </c>
      <c r="C286" s="203" t="s">
        <v>372</v>
      </c>
      <c r="D286" s="203">
        <v>3</v>
      </c>
      <c r="E286" s="203" t="s">
        <v>327</v>
      </c>
      <c r="F286" s="204">
        <v>3</v>
      </c>
      <c r="G286" s="203" t="s">
        <v>5</v>
      </c>
      <c r="H286" s="205"/>
      <c r="I286" s="206"/>
      <c r="J286" s="206"/>
      <c r="K286" s="203" t="s">
        <v>127</v>
      </c>
      <c r="L286" s="204">
        <v>3</v>
      </c>
      <c r="M286" s="204">
        <v>3</v>
      </c>
      <c r="N286" s="378">
        <f>IF(OR(Tabelle1324568910111213141516171618[[#This Row],[Pulled after Start]]="yes",Tabelle1324568910111213141516171618[[#This Row],[Jira Story Points]]="-"),0,MIN(Tabelle1324568910111213141516171618[[#This Row],[Jira Story Points]],Tabelle1324568910111213141516171618[[#This Row],[Carry-over]]))</f>
        <v>3</v>
      </c>
      <c r="O286" s="379">
        <f>SUM(IF(ISBLANK(Tabelle1324568910111213141516171618[[#This Row],[Carry-over]]),Tabelle1324568910111213141516171618[[#This Row],[Jira Story Points]],Tabelle1324568910111213141516171618[[#This Row],[Carry-over]]),-Tabelle1324568910111213141516171618[[#This Row],[COsSP Initially Planned]])</f>
        <v>0</v>
      </c>
      <c r="P28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286" s="379">
        <f>IF(Tabelle1324568910111213141516171618[[#This Row],[Status]]=$J$5,Tabelle1324568910111213141516171618[[#This Row],[COsSP Initially Planned]]+Tabelle1324568910111213141516171618[[#This Row],[COsSP Pulled after Start]]-Tabelle1324568910111213141516171618[[#This Row],[CSOsSP Completed]],0)</f>
        <v>0</v>
      </c>
      <c r="R286" s="379">
        <f>Tabelle1324568910111213141516171618[[#This Row],[COsSP Initially Planned]]+Tabelle1324568910111213141516171618[[#This Row],[COsSP Pulled after Start]]-Tabelle1324568910111213141516171618[[#This Row],[CSOsSP Completed]]-Tabelle1324568910111213141516171618[[#This Row],[CSOsSP Removed]]</f>
        <v>3</v>
      </c>
    </row>
    <row r="287" spans="1:18" ht="13.5" hidden="1" customHeight="1">
      <c r="A287" s="383" t="s">
        <v>887</v>
      </c>
      <c r="B287" s="47" t="s">
        <v>888</v>
      </c>
      <c r="C287" s="203" t="s">
        <v>372</v>
      </c>
      <c r="D287" s="203">
        <v>3</v>
      </c>
      <c r="E287" s="203" t="s">
        <v>327</v>
      </c>
      <c r="F287" s="204">
        <v>8</v>
      </c>
      <c r="G287" s="203" t="s">
        <v>5</v>
      </c>
      <c r="H287" s="205"/>
      <c r="I287" s="206"/>
      <c r="J287" s="206"/>
      <c r="K287" s="203" t="s">
        <v>125</v>
      </c>
      <c r="L287" s="204"/>
      <c r="M287" s="204"/>
      <c r="N287" s="378">
        <f>IF(OR(Tabelle1324568910111213141516171618[[#This Row],[Pulled after Start]]="yes",Tabelle1324568910111213141516171618[[#This Row],[Jira Story Points]]="-"),0,MIN(Tabelle1324568910111213141516171618[[#This Row],[Jira Story Points]],Tabelle1324568910111213141516171618[[#This Row],[Carry-over]]))</f>
        <v>8</v>
      </c>
      <c r="O287" s="379">
        <f>SUM(IF(ISBLANK(Tabelle1324568910111213141516171618[[#This Row],[Carry-over]]),Tabelle1324568910111213141516171618[[#This Row],[Jira Story Points]],Tabelle1324568910111213141516171618[[#This Row],[Carry-over]]),-Tabelle1324568910111213141516171618[[#This Row],[COsSP Initially Planned]])</f>
        <v>0</v>
      </c>
      <c r="P28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8</v>
      </c>
      <c r="Q287" s="379">
        <f>IF(Tabelle1324568910111213141516171618[[#This Row],[Status]]=$J$5,Tabelle1324568910111213141516171618[[#This Row],[COsSP Initially Planned]]+Tabelle1324568910111213141516171618[[#This Row],[COsSP Pulled after Start]]-Tabelle1324568910111213141516171618[[#This Row],[CSOsSP Completed]],0)</f>
        <v>0</v>
      </c>
      <c r="R287" s="379">
        <f>Tabelle1324568910111213141516171618[[#This Row],[COsSP Initially Planned]]+Tabelle1324568910111213141516171618[[#This Row],[COsSP Pulled after Start]]-Tabelle1324568910111213141516171618[[#This Row],[CSOsSP Completed]]-Tabelle1324568910111213141516171618[[#This Row],[CSOsSP Removed]]</f>
        <v>0</v>
      </c>
    </row>
    <row r="288" spans="1:18" ht="13.5" hidden="1" customHeight="1">
      <c r="A288" s="383" t="s">
        <v>889</v>
      </c>
      <c r="B288" s="47" t="s">
        <v>890</v>
      </c>
      <c r="C288" s="203" t="s">
        <v>372</v>
      </c>
      <c r="D288" s="203">
        <v>3</v>
      </c>
      <c r="E288" s="203" t="s">
        <v>327</v>
      </c>
      <c r="F288" s="204">
        <v>8</v>
      </c>
      <c r="G288" s="203" t="s">
        <v>5</v>
      </c>
      <c r="H288" s="205"/>
      <c r="I288" s="206"/>
      <c r="J288" s="206"/>
      <c r="K288" s="203" t="s">
        <v>127</v>
      </c>
      <c r="L288" s="204"/>
      <c r="M288" s="204">
        <v>3</v>
      </c>
      <c r="N288" s="378">
        <f>IF(OR(Tabelle1324568910111213141516171618[[#This Row],[Pulled after Start]]="yes",Tabelle1324568910111213141516171618[[#This Row],[Jira Story Points]]="-"),0,MIN(Tabelle1324568910111213141516171618[[#This Row],[Jira Story Points]],Tabelle1324568910111213141516171618[[#This Row],[Carry-over]]))</f>
        <v>8</v>
      </c>
      <c r="O288" s="379">
        <f>SUM(IF(ISBLANK(Tabelle1324568910111213141516171618[[#This Row],[Carry-over]]),Tabelle1324568910111213141516171618[[#This Row],[Jira Story Points]],Tabelle1324568910111213141516171618[[#This Row],[Carry-over]]),-Tabelle1324568910111213141516171618[[#This Row],[COsSP Initially Planned]])</f>
        <v>0</v>
      </c>
      <c r="P28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288" s="379">
        <f>IF(Tabelle1324568910111213141516171618[[#This Row],[Status]]=$J$5,Tabelle1324568910111213141516171618[[#This Row],[COsSP Initially Planned]]+Tabelle1324568910111213141516171618[[#This Row],[COsSP Pulled after Start]]-Tabelle1324568910111213141516171618[[#This Row],[CSOsSP Completed]],0)</f>
        <v>0</v>
      </c>
      <c r="R288" s="379">
        <f>Tabelle1324568910111213141516171618[[#This Row],[COsSP Initially Planned]]+Tabelle1324568910111213141516171618[[#This Row],[COsSP Pulled after Start]]-Tabelle1324568910111213141516171618[[#This Row],[CSOsSP Completed]]-Tabelle1324568910111213141516171618[[#This Row],[CSOsSP Removed]]</f>
        <v>3</v>
      </c>
    </row>
    <row r="289" spans="1:18" ht="13.5" hidden="1" customHeight="1">
      <c r="A289" s="383" t="s">
        <v>891</v>
      </c>
      <c r="B289" s="47" t="s">
        <v>892</v>
      </c>
      <c r="C289" s="203" t="s">
        <v>372</v>
      </c>
      <c r="D289" s="203">
        <v>1</v>
      </c>
      <c r="E289" s="203" t="s">
        <v>327</v>
      </c>
      <c r="F289" s="204">
        <v>3</v>
      </c>
      <c r="G289" s="203" t="s">
        <v>5</v>
      </c>
      <c r="H289" s="205"/>
      <c r="I289" s="206"/>
      <c r="J289" s="206"/>
      <c r="K289" s="203" t="s">
        <v>125</v>
      </c>
      <c r="L289" s="204">
        <v>3</v>
      </c>
      <c r="M289" s="204"/>
      <c r="N289" s="378">
        <f>IF(OR(Tabelle1324568910111213141516171618[[#This Row],[Pulled after Start]]="yes",Tabelle1324568910111213141516171618[[#This Row],[Jira Story Points]]="-"),0,MIN(Tabelle1324568910111213141516171618[[#This Row],[Jira Story Points]],Tabelle1324568910111213141516171618[[#This Row],[Carry-over]]))</f>
        <v>3</v>
      </c>
      <c r="O289" s="379">
        <f>SUM(IF(ISBLANK(Tabelle1324568910111213141516171618[[#This Row],[Carry-over]]),Tabelle1324568910111213141516171618[[#This Row],[Jira Story Points]],Tabelle1324568910111213141516171618[[#This Row],[Carry-over]]),-Tabelle1324568910111213141516171618[[#This Row],[COsSP Initially Planned]])</f>
        <v>0</v>
      </c>
      <c r="P28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89" s="379">
        <f>IF(Tabelle1324568910111213141516171618[[#This Row],[Status]]=$J$5,Tabelle1324568910111213141516171618[[#This Row],[COsSP Initially Planned]]+Tabelle1324568910111213141516171618[[#This Row],[COsSP Pulled after Start]]-Tabelle1324568910111213141516171618[[#This Row],[CSOsSP Completed]],0)</f>
        <v>0</v>
      </c>
      <c r="R289" s="379">
        <f>Tabelle1324568910111213141516171618[[#This Row],[COsSP Initially Planned]]+Tabelle1324568910111213141516171618[[#This Row],[COsSP Pulled after Start]]-Tabelle1324568910111213141516171618[[#This Row],[CSOsSP Completed]]-Tabelle1324568910111213141516171618[[#This Row],[CSOsSP Removed]]</f>
        <v>0</v>
      </c>
    </row>
    <row r="290" spans="1:18" ht="13.5" hidden="1" customHeight="1">
      <c r="A290" s="383" t="s">
        <v>893</v>
      </c>
      <c r="B290" s="47" t="s">
        <v>894</v>
      </c>
      <c r="C290" s="203" t="s">
        <v>372</v>
      </c>
      <c r="D290" s="203">
        <v>3</v>
      </c>
      <c r="E290" s="203" t="s">
        <v>327</v>
      </c>
      <c r="F290" s="204">
        <v>3</v>
      </c>
      <c r="G290" s="203" t="s">
        <v>5</v>
      </c>
      <c r="H290" s="205"/>
      <c r="I290" s="206"/>
      <c r="J290" s="206"/>
      <c r="K290" s="203" t="s">
        <v>125</v>
      </c>
      <c r="L290" s="204"/>
      <c r="M290" s="204"/>
      <c r="N290" s="378">
        <f>IF(OR(Tabelle1324568910111213141516171618[[#This Row],[Pulled after Start]]="yes",Tabelle1324568910111213141516171618[[#This Row],[Jira Story Points]]="-"),0,MIN(Tabelle1324568910111213141516171618[[#This Row],[Jira Story Points]],Tabelle1324568910111213141516171618[[#This Row],[Carry-over]]))</f>
        <v>3</v>
      </c>
      <c r="O290" s="379">
        <f>SUM(IF(ISBLANK(Tabelle1324568910111213141516171618[[#This Row],[Carry-over]]),Tabelle1324568910111213141516171618[[#This Row],[Jira Story Points]],Tabelle1324568910111213141516171618[[#This Row],[Carry-over]]),-Tabelle1324568910111213141516171618[[#This Row],[COsSP Initially Planned]])</f>
        <v>0</v>
      </c>
      <c r="P29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90" s="379">
        <f>IF(Tabelle1324568910111213141516171618[[#This Row],[Status]]=$J$5,Tabelle1324568910111213141516171618[[#This Row],[COsSP Initially Planned]]+Tabelle1324568910111213141516171618[[#This Row],[COsSP Pulled after Start]]-Tabelle1324568910111213141516171618[[#This Row],[CSOsSP Completed]],0)</f>
        <v>0</v>
      </c>
      <c r="R290" s="379">
        <f>Tabelle1324568910111213141516171618[[#This Row],[COsSP Initially Planned]]+Tabelle1324568910111213141516171618[[#This Row],[COsSP Pulled after Start]]-Tabelle1324568910111213141516171618[[#This Row],[CSOsSP Completed]]-Tabelle1324568910111213141516171618[[#This Row],[CSOsSP Removed]]</f>
        <v>0</v>
      </c>
    </row>
    <row r="291" spans="1:18" ht="13.5" hidden="1" customHeight="1">
      <c r="A291" s="383" t="s">
        <v>895</v>
      </c>
      <c r="B291" s="47" t="s">
        <v>896</v>
      </c>
      <c r="C291" s="203" t="s">
        <v>372</v>
      </c>
      <c r="D291" s="203">
        <v>3</v>
      </c>
      <c r="E291" s="203" t="s">
        <v>327</v>
      </c>
      <c r="F291" s="204">
        <v>8</v>
      </c>
      <c r="G291" s="203" t="s">
        <v>5</v>
      </c>
      <c r="H291" s="205" t="s">
        <v>209</v>
      </c>
      <c r="I291" s="206"/>
      <c r="J291" s="206"/>
      <c r="K291" s="203" t="s">
        <v>127</v>
      </c>
      <c r="L291" s="204"/>
      <c r="M291" s="204">
        <v>3</v>
      </c>
      <c r="N291" s="378">
        <f>IF(OR(Tabelle1324568910111213141516171618[[#This Row],[Pulled after Start]]="yes",Tabelle1324568910111213141516171618[[#This Row],[Jira Story Points]]="-"),0,MIN(Tabelle1324568910111213141516171618[[#This Row],[Jira Story Points]],Tabelle1324568910111213141516171618[[#This Row],[Carry-over]]))</f>
        <v>0</v>
      </c>
      <c r="O291" s="379">
        <f>SUM(IF(ISBLANK(Tabelle1324568910111213141516171618[[#This Row],[Carry-over]]),Tabelle1324568910111213141516171618[[#This Row],[Jira Story Points]],Tabelle1324568910111213141516171618[[#This Row],[Carry-over]]),-Tabelle1324568910111213141516171618[[#This Row],[COsSP Initially Planned]])</f>
        <v>8</v>
      </c>
      <c r="P29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291" s="379">
        <f>IF(Tabelle1324568910111213141516171618[[#This Row],[Status]]=$J$5,Tabelle1324568910111213141516171618[[#This Row],[COsSP Initially Planned]]+Tabelle1324568910111213141516171618[[#This Row],[COsSP Pulled after Start]]-Tabelle1324568910111213141516171618[[#This Row],[CSOsSP Completed]],0)</f>
        <v>0</v>
      </c>
      <c r="R291" s="379">
        <f>Tabelle1324568910111213141516171618[[#This Row],[COsSP Initially Planned]]+Tabelle1324568910111213141516171618[[#This Row],[COsSP Pulled after Start]]-Tabelle1324568910111213141516171618[[#This Row],[CSOsSP Completed]]-Tabelle1324568910111213141516171618[[#This Row],[CSOsSP Removed]]</f>
        <v>3</v>
      </c>
    </row>
    <row r="292" spans="1:18" ht="13.5" hidden="1" customHeight="1">
      <c r="A292" s="383" t="s">
        <v>897</v>
      </c>
      <c r="B292" s="47" t="s">
        <v>898</v>
      </c>
      <c r="C292" s="203" t="s">
        <v>372</v>
      </c>
      <c r="D292" s="203">
        <v>3</v>
      </c>
      <c r="E292" s="203" t="s">
        <v>327</v>
      </c>
      <c r="F292" s="204">
        <v>3</v>
      </c>
      <c r="G292" s="203" t="s">
        <v>5</v>
      </c>
      <c r="H292" s="205" t="s">
        <v>209</v>
      </c>
      <c r="I292" s="206"/>
      <c r="J292" s="206"/>
      <c r="K292" s="203" t="s">
        <v>125</v>
      </c>
      <c r="L292" s="204"/>
      <c r="M292" s="204"/>
      <c r="N292" s="378">
        <f>IF(OR(Tabelle1324568910111213141516171618[[#This Row],[Pulled after Start]]="yes",Tabelle1324568910111213141516171618[[#This Row],[Jira Story Points]]="-"),0,MIN(Tabelle1324568910111213141516171618[[#This Row],[Jira Story Points]],Tabelle1324568910111213141516171618[[#This Row],[Carry-over]]))</f>
        <v>0</v>
      </c>
      <c r="O292" s="379">
        <f>SUM(IF(ISBLANK(Tabelle1324568910111213141516171618[[#This Row],[Carry-over]]),Tabelle1324568910111213141516171618[[#This Row],[Jira Story Points]],Tabelle1324568910111213141516171618[[#This Row],[Carry-over]]),-Tabelle1324568910111213141516171618[[#This Row],[COsSP Initially Planned]])</f>
        <v>3</v>
      </c>
      <c r="P29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92" s="379">
        <f>IF(Tabelle1324568910111213141516171618[[#This Row],[Status]]=$J$5,Tabelle1324568910111213141516171618[[#This Row],[COsSP Initially Planned]]+Tabelle1324568910111213141516171618[[#This Row],[COsSP Pulled after Start]]-Tabelle1324568910111213141516171618[[#This Row],[CSOsSP Completed]],0)</f>
        <v>0</v>
      </c>
      <c r="R292" s="379">
        <f>Tabelle1324568910111213141516171618[[#This Row],[COsSP Initially Planned]]+Tabelle1324568910111213141516171618[[#This Row],[COsSP Pulled after Start]]-Tabelle1324568910111213141516171618[[#This Row],[CSOsSP Completed]]-Tabelle1324568910111213141516171618[[#This Row],[CSOsSP Removed]]</f>
        <v>0</v>
      </c>
    </row>
    <row r="293" spans="1:18" ht="13.5" hidden="1" customHeight="1">
      <c r="A293" s="383" t="s">
        <v>899</v>
      </c>
      <c r="B293" s="47" t="s">
        <v>900</v>
      </c>
      <c r="C293" s="203" t="s">
        <v>372</v>
      </c>
      <c r="D293" s="203">
        <v>3</v>
      </c>
      <c r="E293" s="203" t="s">
        <v>324</v>
      </c>
      <c r="F293" s="204">
        <v>5</v>
      </c>
      <c r="G293" s="203" t="s">
        <v>9</v>
      </c>
      <c r="H293" s="205"/>
      <c r="I293" s="206"/>
      <c r="J293" s="206"/>
      <c r="K293" s="203" t="s">
        <v>901</v>
      </c>
      <c r="L293" s="204"/>
      <c r="M293" s="204"/>
      <c r="N293" s="378">
        <f>IF(OR(Tabelle1324568910111213141516171618[[#This Row],[Pulled after Start]]="yes",Tabelle1324568910111213141516171618[[#This Row],[Jira Story Points]]="-"),0,MIN(Tabelle1324568910111213141516171618[[#This Row],[Jira Story Points]],Tabelle1324568910111213141516171618[[#This Row],[Carry-over]]))</f>
        <v>5</v>
      </c>
      <c r="O293" s="379">
        <f>SUM(IF(ISBLANK(Tabelle1324568910111213141516171618[[#This Row],[Carry-over]]),Tabelle1324568910111213141516171618[[#This Row],[Jira Story Points]],Tabelle1324568910111213141516171618[[#This Row],[Carry-over]]),-Tabelle1324568910111213141516171618[[#This Row],[COsSP Initially Planned]])</f>
        <v>0</v>
      </c>
      <c r="P29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293" s="379">
        <f>IF(Tabelle1324568910111213141516171618[[#This Row],[Status]]=$J$5,Tabelle1324568910111213141516171618[[#This Row],[COsSP Initially Planned]]+Tabelle1324568910111213141516171618[[#This Row],[COsSP Pulled after Start]]-Tabelle1324568910111213141516171618[[#This Row],[CSOsSP Completed]],0)</f>
        <v>0</v>
      </c>
      <c r="R293" s="379">
        <f>Tabelle1324568910111213141516171618[[#This Row],[COsSP Initially Planned]]+Tabelle1324568910111213141516171618[[#This Row],[COsSP Pulled after Start]]-Tabelle1324568910111213141516171618[[#This Row],[CSOsSP Completed]]-Tabelle1324568910111213141516171618[[#This Row],[CSOsSP Removed]]</f>
        <v>0</v>
      </c>
    </row>
    <row r="294" spans="1:18" ht="13.5" hidden="1" customHeight="1">
      <c r="A294" s="385" t="s">
        <v>902</v>
      </c>
      <c r="B294" s="47" t="s">
        <v>903</v>
      </c>
      <c r="C294" s="203" t="s">
        <v>372</v>
      </c>
      <c r="D294" s="203">
        <v>3</v>
      </c>
      <c r="E294" s="203" t="s">
        <v>324</v>
      </c>
      <c r="F294" s="204">
        <v>8</v>
      </c>
      <c r="G294" s="203" t="s">
        <v>9</v>
      </c>
      <c r="H294" s="205"/>
      <c r="I294" s="206"/>
      <c r="J294" s="206"/>
      <c r="K294" s="203" t="s">
        <v>901</v>
      </c>
      <c r="L294" s="204"/>
      <c r="M294" s="204"/>
      <c r="N294" s="378">
        <f>IF(OR(Tabelle1324568910111213141516171618[[#This Row],[Pulled after Start]]="yes",Tabelle1324568910111213141516171618[[#This Row],[Jira Story Points]]="-"),0,MIN(Tabelle1324568910111213141516171618[[#This Row],[Jira Story Points]],Tabelle1324568910111213141516171618[[#This Row],[Carry-over]]))</f>
        <v>8</v>
      </c>
      <c r="O294" s="379">
        <f>SUM(IF(ISBLANK(Tabelle1324568910111213141516171618[[#This Row],[Carry-over]]),Tabelle1324568910111213141516171618[[#This Row],[Jira Story Points]],Tabelle1324568910111213141516171618[[#This Row],[Carry-over]]),-Tabelle1324568910111213141516171618[[#This Row],[COsSP Initially Planned]])</f>
        <v>0</v>
      </c>
      <c r="P29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8</v>
      </c>
      <c r="Q294" s="379">
        <f>IF(Tabelle1324568910111213141516171618[[#This Row],[Status]]=$J$5,Tabelle1324568910111213141516171618[[#This Row],[COsSP Initially Planned]]+Tabelle1324568910111213141516171618[[#This Row],[COsSP Pulled after Start]]-Tabelle1324568910111213141516171618[[#This Row],[CSOsSP Completed]],0)</f>
        <v>0</v>
      </c>
      <c r="R294" s="379">
        <f>Tabelle1324568910111213141516171618[[#This Row],[COsSP Initially Planned]]+Tabelle1324568910111213141516171618[[#This Row],[COsSP Pulled after Start]]-Tabelle1324568910111213141516171618[[#This Row],[CSOsSP Completed]]-Tabelle1324568910111213141516171618[[#This Row],[CSOsSP Removed]]</f>
        <v>0</v>
      </c>
    </row>
    <row r="295" spans="1:18" ht="13.5" hidden="1" customHeight="1">
      <c r="A295" s="385" t="s">
        <v>904</v>
      </c>
      <c r="B295" s="47" t="s">
        <v>905</v>
      </c>
      <c r="C295" s="203" t="s">
        <v>372</v>
      </c>
      <c r="D295" s="203">
        <v>3</v>
      </c>
      <c r="E295" s="203" t="s">
        <v>324</v>
      </c>
      <c r="F295" s="204">
        <v>3</v>
      </c>
      <c r="G295" s="203" t="s">
        <v>9</v>
      </c>
      <c r="H295" s="205"/>
      <c r="I295" s="206"/>
      <c r="J295" s="206"/>
      <c r="K295" s="203" t="s">
        <v>901</v>
      </c>
      <c r="L295" s="204"/>
      <c r="M295" s="204"/>
      <c r="N295" s="378">
        <f>IF(OR(Tabelle1324568910111213141516171618[[#This Row],[Pulled after Start]]="yes",Tabelle1324568910111213141516171618[[#This Row],[Jira Story Points]]="-"),0,MIN(Tabelle1324568910111213141516171618[[#This Row],[Jira Story Points]],Tabelle1324568910111213141516171618[[#This Row],[Carry-over]]))</f>
        <v>3</v>
      </c>
      <c r="O295" s="379">
        <f>SUM(IF(ISBLANK(Tabelle1324568910111213141516171618[[#This Row],[Carry-over]]),Tabelle1324568910111213141516171618[[#This Row],[Jira Story Points]],Tabelle1324568910111213141516171618[[#This Row],[Carry-over]]),-Tabelle1324568910111213141516171618[[#This Row],[COsSP Initially Planned]])</f>
        <v>0</v>
      </c>
      <c r="P29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295" s="379">
        <f>IF(Tabelle1324568910111213141516171618[[#This Row],[Status]]=$J$5,Tabelle1324568910111213141516171618[[#This Row],[COsSP Initially Planned]]+Tabelle1324568910111213141516171618[[#This Row],[COsSP Pulled after Start]]-Tabelle1324568910111213141516171618[[#This Row],[CSOsSP Completed]],0)</f>
        <v>0</v>
      </c>
      <c r="R295" s="379">
        <f>Tabelle1324568910111213141516171618[[#This Row],[COsSP Initially Planned]]+Tabelle1324568910111213141516171618[[#This Row],[COsSP Pulled after Start]]-Tabelle1324568910111213141516171618[[#This Row],[CSOsSP Completed]]-Tabelle1324568910111213141516171618[[#This Row],[CSOsSP Removed]]</f>
        <v>0</v>
      </c>
    </row>
    <row r="296" spans="1:18" ht="13.5" hidden="1" customHeight="1">
      <c r="A296" s="385" t="s">
        <v>906</v>
      </c>
      <c r="B296" s="47" t="s">
        <v>907</v>
      </c>
      <c r="C296" s="203" t="s">
        <v>372</v>
      </c>
      <c r="D296" s="203">
        <v>3</v>
      </c>
      <c r="E296" s="203" t="s">
        <v>324</v>
      </c>
      <c r="F296" s="204">
        <v>5</v>
      </c>
      <c r="G296" s="203" t="s">
        <v>9</v>
      </c>
      <c r="H296" s="205" t="s">
        <v>209</v>
      </c>
      <c r="I296" s="206"/>
      <c r="J296" s="206"/>
      <c r="K296" s="203" t="s">
        <v>901</v>
      </c>
      <c r="L296" s="204"/>
      <c r="M296" s="204"/>
      <c r="N296" s="378">
        <f>IF(OR(Tabelle1324568910111213141516171618[[#This Row],[Pulled after Start]]="yes",Tabelle1324568910111213141516171618[[#This Row],[Jira Story Points]]="-"),0,MIN(Tabelle1324568910111213141516171618[[#This Row],[Jira Story Points]],Tabelle1324568910111213141516171618[[#This Row],[Carry-over]]))</f>
        <v>0</v>
      </c>
      <c r="O296" s="379">
        <f>SUM(IF(ISBLANK(Tabelle1324568910111213141516171618[[#This Row],[Carry-over]]),Tabelle1324568910111213141516171618[[#This Row],[Jira Story Points]],Tabelle1324568910111213141516171618[[#This Row],[Carry-over]]),-Tabelle1324568910111213141516171618[[#This Row],[COsSP Initially Planned]])</f>
        <v>5</v>
      </c>
      <c r="P29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296" s="379">
        <f>IF(Tabelle1324568910111213141516171618[[#This Row],[Status]]=$J$5,Tabelle1324568910111213141516171618[[#This Row],[COsSP Initially Planned]]+Tabelle1324568910111213141516171618[[#This Row],[COsSP Pulled after Start]]-Tabelle1324568910111213141516171618[[#This Row],[CSOsSP Completed]],0)</f>
        <v>0</v>
      </c>
      <c r="R296" s="379">
        <f>Tabelle1324568910111213141516171618[[#This Row],[COsSP Initially Planned]]+Tabelle1324568910111213141516171618[[#This Row],[COsSP Pulled after Start]]-Tabelle1324568910111213141516171618[[#This Row],[CSOsSP Completed]]-Tabelle1324568910111213141516171618[[#This Row],[CSOsSP Removed]]</f>
        <v>0</v>
      </c>
    </row>
    <row r="297" spans="1:18" ht="13.5" hidden="1" customHeight="1">
      <c r="A297" s="385" t="s">
        <v>908</v>
      </c>
      <c r="B297" s="47" t="s">
        <v>909</v>
      </c>
      <c r="C297" s="203" t="s">
        <v>372</v>
      </c>
      <c r="D297" s="203">
        <v>3</v>
      </c>
      <c r="E297" s="203" t="s">
        <v>324</v>
      </c>
      <c r="F297" s="204">
        <v>5</v>
      </c>
      <c r="G297" s="203" t="s">
        <v>9</v>
      </c>
      <c r="H297" s="205" t="s">
        <v>209</v>
      </c>
      <c r="I297" s="206"/>
      <c r="J297" s="206"/>
      <c r="K297" s="203" t="s">
        <v>901</v>
      </c>
      <c r="L297" s="204"/>
      <c r="M297" s="204"/>
      <c r="N297" s="378">
        <f>IF(OR(Tabelle1324568910111213141516171618[[#This Row],[Pulled after Start]]="yes",Tabelle1324568910111213141516171618[[#This Row],[Jira Story Points]]="-"),0,MIN(Tabelle1324568910111213141516171618[[#This Row],[Jira Story Points]],Tabelle1324568910111213141516171618[[#This Row],[Carry-over]]))</f>
        <v>0</v>
      </c>
      <c r="O297" s="379">
        <f>SUM(IF(ISBLANK(Tabelle1324568910111213141516171618[[#This Row],[Carry-over]]),Tabelle1324568910111213141516171618[[#This Row],[Jira Story Points]],Tabelle1324568910111213141516171618[[#This Row],[Carry-over]]),-Tabelle1324568910111213141516171618[[#This Row],[COsSP Initially Planned]])</f>
        <v>5</v>
      </c>
      <c r="P29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297" s="379">
        <f>IF(Tabelle1324568910111213141516171618[[#This Row],[Status]]=$J$5,Tabelle1324568910111213141516171618[[#This Row],[COsSP Initially Planned]]+Tabelle1324568910111213141516171618[[#This Row],[COsSP Pulled after Start]]-Tabelle1324568910111213141516171618[[#This Row],[CSOsSP Completed]],0)</f>
        <v>0</v>
      </c>
      <c r="R297" s="379">
        <f>Tabelle1324568910111213141516171618[[#This Row],[COsSP Initially Planned]]+Tabelle1324568910111213141516171618[[#This Row],[COsSP Pulled after Start]]-Tabelle1324568910111213141516171618[[#This Row],[CSOsSP Completed]]-Tabelle1324568910111213141516171618[[#This Row],[CSOsSP Removed]]</f>
        <v>0</v>
      </c>
    </row>
    <row r="298" spans="1:18" ht="13.5" hidden="1" customHeight="1">
      <c r="A298" s="385" t="s">
        <v>910</v>
      </c>
      <c r="B298" s="47" t="s">
        <v>911</v>
      </c>
      <c r="C298" s="203" t="s">
        <v>372</v>
      </c>
      <c r="D298" s="203">
        <v>3</v>
      </c>
      <c r="E298" s="203" t="s">
        <v>324</v>
      </c>
      <c r="F298" s="204">
        <v>1</v>
      </c>
      <c r="G298" s="203" t="s">
        <v>9</v>
      </c>
      <c r="H298" s="205" t="s">
        <v>209</v>
      </c>
      <c r="I298" s="206"/>
      <c r="J298" s="206"/>
      <c r="K298" s="203" t="s">
        <v>901</v>
      </c>
      <c r="L298" s="204"/>
      <c r="M298" s="204"/>
      <c r="N298" s="378">
        <f>IF(OR(Tabelle1324568910111213141516171618[[#This Row],[Pulled after Start]]="yes",Tabelle1324568910111213141516171618[[#This Row],[Jira Story Points]]="-"),0,MIN(Tabelle1324568910111213141516171618[[#This Row],[Jira Story Points]],Tabelle1324568910111213141516171618[[#This Row],[Carry-over]]))</f>
        <v>0</v>
      </c>
      <c r="O298" s="379">
        <f>SUM(IF(ISBLANK(Tabelle1324568910111213141516171618[[#This Row],[Carry-over]]),Tabelle1324568910111213141516171618[[#This Row],[Jira Story Points]],Tabelle1324568910111213141516171618[[#This Row],[Carry-over]]),-Tabelle1324568910111213141516171618[[#This Row],[COsSP Initially Planned]])</f>
        <v>1</v>
      </c>
      <c r="P29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298" s="379">
        <f>IF(Tabelle1324568910111213141516171618[[#This Row],[Status]]=$J$5,Tabelle1324568910111213141516171618[[#This Row],[COsSP Initially Planned]]+Tabelle1324568910111213141516171618[[#This Row],[COsSP Pulled after Start]]-Tabelle1324568910111213141516171618[[#This Row],[CSOsSP Completed]],0)</f>
        <v>0</v>
      </c>
      <c r="R298" s="379">
        <f>Tabelle1324568910111213141516171618[[#This Row],[COsSP Initially Planned]]+Tabelle1324568910111213141516171618[[#This Row],[COsSP Pulled after Start]]-Tabelle1324568910111213141516171618[[#This Row],[CSOsSP Completed]]-Tabelle1324568910111213141516171618[[#This Row],[CSOsSP Removed]]</f>
        <v>0</v>
      </c>
    </row>
    <row r="299" spans="1:18" ht="13.5" hidden="1" customHeight="1">
      <c r="A299" s="385" t="s">
        <v>912</v>
      </c>
      <c r="B299" s="47" t="s">
        <v>913</v>
      </c>
      <c r="C299" s="203" t="s">
        <v>375</v>
      </c>
      <c r="D299" s="203">
        <v>3</v>
      </c>
      <c r="E299" s="203" t="s">
        <v>324</v>
      </c>
      <c r="F299" s="204">
        <v>2</v>
      </c>
      <c r="G299" s="203" t="s">
        <v>9</v>
      </c>
      <c r="H299" s="205" t="s">
        <v>209</v>
      </c>
      <c r="I299" s="206"/>
      <c r="J299" s="206"/>
      <c r="K299" s="203" t="s">
        <v>901</v>
      </c>
      <c r="L299" s="204"/>
      <c r="M299" s="204"/>
      <c r="N299" s="378">
        <f>IF(OR(Tabelle1324568910111213141516171618[[#This Row],[Pulled after Start]]="yes",Tabelle1324568910111213141516171618[[#This Row],[Jira Story Points]]="-"),0,MIN(Tabelle1324568910111213141516171618[[#This Row],[Jira Story Points]],Tabelle1324568910111213141516171618[[#This Row],[Carry-over]]))</f>
        <v>0</v>
      </c>
      <c r="O299" s="379">
        <f>SUM(IF(ISBLANK(Tabelle1324568910111213141516171618[[#This Row],[Carry-over]]),Tabelle1324568910111213141516171618[[#This Row],[Jira Story Points]],Tabelle1324568910111213141516171618[[#This Row],[Carry-over]]),-Tabelle1324568910111213141516171618[[#This Row],[COsSP Initially Planned]])</f>
        <v>2</v>
      </c>
      <c r="P29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299" s="379">
        <f>IF(Tabelle1324568910111213141516171618[[#This Row],[Status]]=$J$5,Tabelle1324568910111213141516171618[[#This Row],[COsSP Initially Planned]]+Tabelle1324568910111213141516171618[[#This Row],[COsSP Pulled after Start]]-Tabelle1324568910111213141516171618[[#This Row],[CSOsSP Completed]],0)</f>
        <v>0</v>
      </c>
      <c r="R299" s="379">
        <f>Tabelle1324568910111213141516171618[[#This Row],[COsSP Initially Planned]]+Tabelle1324568910111213141516171618[[#This Row],[COsSP Pulled after Start]]-Tabelle1324568910111213141516171618[[#This Row],[CSOsSP Completed]]-Tabelle1324568910111213141516171618[[#This Row],[CSOsSP Removed]]</f>
        <v>0</v>
      </c>
    </row>
    <row r="300" spans="1:18" ht="13.5" hidden="1" customHeight="1">
      <c r="A300" s="385" t="s">
        <v>914</v>
      </c>
      <c r="B300" s="47" t="s">
        <v>915</v>
      </c>
      <c r="C300" s="203" t="s">
        <v>382</v>
      </c>
      <c r="D300" s="203">
        <v>3</v>
      </c>
      <c r="E300" s="203" t="s">
        <v>324</v>
      </c>
      <c r="F300" s="204">
        <v>5</v>
      </c>
      <c r="G300" s="203" t="s">
        <v>9</v>
      </c>
      <c r="H300" s="205"/>
      <c r="I300" s="206"/>
      <c r="J300" s="206"/>
      <c r="K300" s="203" t="s">
        <v>901</v>
      </c>
      <c r="L300" s="204"/>
      <c r="M300" s="204"/>
      <c r="N300" s="378">
        <f>IF(OR(Tabelle1324568910111213141516171618[[#This Row],[Pulled after Start]]="yes",Tabelle1324568910111213141516171618[[#This Row],[Jira Story Points]]="-"),0,MIN(Tabelle1324568910111213141516171618[[#This Row],[Jira Story Points]],Tabelle1324568910111213141516171618[[#This Row],[Carry-over]]))</f>
        <v>5</v>
      </c>
      <c r="O300" s="379">
        <f>SUM(IF(ISBLANK(Tabelle1324568910111213141516171618[[#This Row],[Carry-over]]),Tabelle1324568910111213141516171618[[#This Row],[Jira Story Points]],Tabelle1324568910111213141516171618[[#This Row],[Carry-over]]),-Tabelle1324568910111213141516171618[[#This Row],[COsSP Initially Planned]])</f>
        <v>0</v>
      </c>
      <c r="P30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300" s="379">
        <f>IF(Tabelle1324568910111213141516171618[[#This Row],[Status]]=$J$5,Tabelle1324568910111213141516171618[[#This Row],[COsSP Initially Planned]]+Tabelle1324568910111213141516171618[[#This Row],[COsSP Pulled after Start]]-Tabelle1324568910111213141516171618[[#This Row],[CSOsSP Completed]],0)</f>
        <v>0</v>
      </c>
      <c r="R300" s="379">
        <f>Tabelle1324568910111213141516171618[[#This Row],[COsSP Initially Planned]]+Tabelle1324568910111213141516171618[[#This Row],[COsSP Pulled after Start]]-Tabelle1324568910111213141516171618[[#This Row],[CSOsSP Completed]]-Tabelle1324568910111213141516171618[[#This Row],[CSOsSP Removed]]</f>
        <v>0</v>
      </c>
    </row>
    <row r="301" spans="1:18" ht="13.5" hidden="1" customHeight="1">
      <c r="A301" s="385" t="s">
        <v>916</v>
      </c>
      <c r="B301" s="47" t="s">
        <v>917</v>
      </c>
      <c r="C301" s="203" t="s">
        <v>382</v>
      </c>
      <c r="D301" s="203">
        <v>3</v>
      </c>
      <c r="E301" s="203" t="s">
        <v>324</v>
      </c>
      <c r="F301" s="204">
        <v>5</v>
      </c>
      <c r="G301" s="203" t="s">
        <v>9</v>
      </c>
      <c r="H301" s="205"/>
      <c r="I301" s="206"/>
      <c r="J301" s="206"/>
      <c r="K301" s="203" t="s">
        <v>901</v>
      </c>
      <c r="L301" s="204"/>
      <c r="M301" s="204"/>
      <c r="N301" s="378">
        <f>IF(OR(Tabelle1324568910111213141516171618[[#This Row],[Pulled after Start]]="yes",Tabelle1324568910111213141516171618[[#This Row],[Jira Story Points]]="-"),0,MIN(Tabelle1324568910111213141516171618[[#This Row],[Jira Story Points]],Tabelle1324568910111213141516171618[[#This Row],[Carry-over]]))</f>
        <v>5</v>
      </c>
      <c r="O301" s="379">
        <f>SUM(IF(ISBLANK(Tabelle1324568910111213141516171618[[#This Row],[Carry-over]]),Tabelle1324568910111213141516171618[[#This Row],[Jira Story Points]],Tabelle1324568910111213141516171618[[#This Row],[Carry-over]]),-Tabelle1324568910111213141516171618[[#This Row],[COsSP Initially Planned]])</f>
        <v>0</v>
      </c>
      <c r="P30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301" s="379">
        <f>IF(Tabelle1324568910111213141516171618[[#This Row],[Status]]=$J$5,Tabelle1324568910111213141516171618[[#This Row],[COsSP Initially Planned]]+Tabelle1324568910111213141516171618[[#This Row],[COsSP Pulled after Start]]-Tabelle1324568910111213141516171618[[#This Row],[CSOsSP Completed]],0)</f>
        <v>0</v>
      </c>
      <c r="R301" s="379">
        <f>Tabelle1324568910111213141516171618[[#This Row],[COsSP Initially Planned]]+Tabelle1324568910111213141516171618[[#This Row],[COsSP Pulled after Start]]-Tabelle1324568910111213141516171618[[#This Row],[CSOsSP Completed]]-Tabelle1324568910111213141516171618[[#This Row],[CSOsSP Removed]]</f>
        <v>0</v>
      </c>
    </row>
    <row r="302" spans="1:18" ht="13.5" hidden="1" customHeight="1">
      <c r="A302" s="385" t="s">
        <v>918</v>
      </c>
      <c r="B302" s="47" t="s">
        <v>919</v>
      </c>
      <c r="C302" s="203" t="s">
        <v>375</v>
      </c>
      <c r="D302" s="203">
        <v>3</v>
      </c>
      <c r="E302" s="203" t="s">
        <v>324</v>
      </c>
      <c r="F302" s="204">
        <v>2</v>
      </c>
      <c r="G302" s="203" t="s">
        <v>9</v>
      </c>
      <c r="H302" s="205"/>
      <c r="I302" s="206"/>
      <c r="J302" s="206"/>
      <c r="K302" s="203" t="s">
        <v>901</v>
      </c>
      <c r="L302" s="204"/>
      <c r="M302" s="204"/>
      <c r="N302" s="378">
        <f>IF(OR(Tabelle1324568910111213141516171618[[#This Row],[Pulled after Start]]="yes",Tabelle1324568910111213141516171618[[#This Row],[Jira Story Points]]="-"),0,MIN(Tabelle1324568910111213141516171618[[#This Row],[Jira Story Points]],Tabelle1324568910111213141516171618[[#This Row],[Carry-over]]))</f>
        <v>2</v>
      </c>
      <c r="O302" s="379">
        <f>SUM(IF(ISBLANK(Tabelle1324568910111213141516171618[[#This Row],[Carry-over]]),Tabelle1324568910111213141516171618[[#This Row],[Jira Story Points]],Tabelle1324568910111213141516171618[[#This Row],[Carry-over]]),-Tabelle1324568910111213141516171618[[#This Row],[COsSP Initially Planned]])</f>
        <v>0</v>
      </c>
      <c r="P30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302" s="379">
        <f>IF(Tabelle1324568910111213141516171618[[#This Row],[Status]]=$J$5,Tabelle1324568910111213141516171618[[#This Row],[COsSP Initially Planned]]+Tabelle1324568910111213141516171618[[#This Row],[COsSP Pulled after Start]]-Tabelle1324568910111213141516171618[[#This Row],[CSOsSP Completed]],0)</f>
        <v>0</v>
      </c>
      <c r="R302" s="379">
        <f>Tabelle1324568910111213141516171618[[#This Row],[COsSP Initially Planned]]+Tabelle1324568910111213141516171618[[#This Row],[COsSP Pulled after Start]]-Tabelle1324568910111213141516171618[[#This Row],[CSOsSP Completed]]-Tabelle1324568910111213141516171618[[#This Row],[CSOsSP Removed]]</f>
        <v>0</v>
      </c>
    </row>
    <row r="303" spans="1:18" ht="13.5" hidden="1" customHeight="1">
      <c r="A303" s="385" t="s">
        <v>920</v>
      </c>
      <c r="B303" s="47" t="s">
        <v>921</v>
      </c>
      <c r="C303" s="203" t="s">
        <v>372</v>
      </c>
      <c r="D303" s="203">
        <v>3</v>
      </c>
      <c r="E303" s="203" t="s">
        <v>324</v>
      </c>
      <c r="F303" s="204">
        <v>3</v>
      </c>
      <c r="G303" s="203" t="s">
        <v>9</v>
      </c>
      <c r="H303" s="205"/>
      <c r="I303" s="206"/>
      <c r="J303" s="206"/>
      <c r="K303" s="203" t="s">
        <v>901</v>
      </c>
      <c r="L303" s="204"/>
      <c r="M303" s="204"/>
      <c r="N303" s="378">
        <f>IF(OR(Tabelle1324568910111213141516171618[[#This Row],[Pulled after Start]]="yes",Tabelle1324568910111213141516171618[[#This Row],[Jira Story Points]]="-"),0,MIN(Tabelle1324568910111213141516171618[[#This Row],[Jira Story Points]],Tabelle1324568910111213141516171618[[#This Row],[Carry-over]]))</f>
        <v>3</v>
      </c>
      <c r="O303" s="379">
        <f>SUM(IF(ISBLANK(Tabelle1324568910111213141516171618[[#This Row],[Carry-over]]),Tabelle1324568910111213141516171618[[#This Row],[Jira Story Points]],Tabelle1324568910111213141516171618[[#This Row],[Carry-over]]),-Tabelle1324568910111213141516171618[[#This Row],[COsSP Initially Planned]])</f>
        <v>0</v>
      </c>
      <c r="P30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303" s="379">
        <f>IF(Tabelle1324568910111213141516171618[[#This Row],[Status]]=$J$5,Tabelle1324568910111213141516171618[[#This Row],[COsSP Initially Planned]]+Tabelle1324568910111213141516171618[[#This Row],[COsSP Pulled after Start]]-Tabelle1324568910111213141516171618[[#This Row],[CSOsSP Completed]],0)</f>
        <v>0</v>
      </c>
      <c r="R303" s="379">
        <f>Tabelle1324568910111213141516171618[[#This Row],[COsSP Initially Planned]]+Tabelle1324568910111213141516171618[[#This Row],[COsSP Pulled after Start]]-Tabelle1324568910111213141516171618[[#This Row],[CSOsSP Completed]]-Tabelle1324568910111213141516171618[[#This Row],[CSOsSP Removed]]</f>
        <v>0</v>
      </c>
    </row>
    <row r="304" spans="1:18" ht="13.5" hidden="1" customHeight="1">
      <c r="A304" s="385" t="s">
        <v>922</v>
      </c>
      <c r="B304" s="47" t="s">
        <v>923</v>
      </c>
      <c r="C304" s="203" t="s">
        <v>375</v>
      </c>
      <c r="D304" s="203">
        <v>2</v>
      </c>
      <c r="E304" s="203" t="s">
        <v>324</v>
      </c>
      <c r="F304" s="204">
        <v>2</v>
      </c>
      <c r="G304" s="203" t="s">
        <v>9</v>
      </c>
      <c r="H304" s="205"/>
      <c r="I304" s="206"/>
      <c r="J304" s="206"/>
      <c r="K304" s="203" t="s">
        <v>901</v>
      </c>
      <c r="L304" s="204"/>
      <c r="M304" s="204"/>
      <c r="N304" s="378">
        <f>IF(OR(Tabelle1324568910111213141516171618[[#This Row],[Pulled after Start]]="yes",Tabelle1324568910111213141516171618[[#This Row],[Jira Story Points]]="-"),0,MIN(Tabelle1324568910111213141516171618[[#This Row],[Jira Story Points]],Tabelle1324568910111213141516171618[[#This Row],[Carry-over]]))</f>
        <v>2</v>
      </c>
      <c r="O304" s="379">
        <f>SUM(IF(ISBLANK(Tabelle1324568910111213141516171618[[#This Row],[Carry-over]]),Tabelle1324568910111213141516171618[[#This Row],[Jira Story Points]],Tabelle1324568910111213141516171618[[#This Row],[Carry-over]]),-Tabelle1324568910111213141516171618[[#This Row],[COsSP Initially Planned]])</f>
        <v>0</v>
      </c>
      <c r="P30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304" s="379">
        <f>IF(Tabelle1324568910111213141516171618[[#This Row],[Status]]=$J$5,Tabelle1324568910111213141516171618[[#This Row],[COsSP Initially Planned]]+Tabelle1324568910111213141516171618[[#This Row],[COsSP Pulled after Start]]-Tabelle1324568910111213141516171618[[#This Row],[CSOsSP Completed]],0)</f>
        <v>0</v>
      </c>
      <c r="R304" s="379">
        <f>Tabelle1324568910111213141516171618[[#This Row],[COsSP Initially Planned]]+Tabelle1324568910111213141516171618[[#This Row],[COsSP Pulled after Start]]-Tabelle1324568910111213141516171618[[#This Row],[CSOsSP Completed]]-Tabelle1324568910111213141516171618[[#This Row],[CSOsSP Removed]]</f>
        <v>0</v>
      </c>
    </row>
    <row r="305" spans="1:18" ht="13.5" hidden="1" customHeight="1">
      <c r="A305" s="385" t="s">
        <v>924</v>
      </c>
      <c r="B305" s="47" t="s">
        <v>925</v>
      </c>
      <c r="C305" s="203" t="s">
        <v>375</v>
      </c>
      <c r="D305" s="203">
        <v>3</v>
      </c>
      <c r="E305" s="203" t="s">
        <v>324</v>
      </c>
      <c r="F305" s="204">
        <v>3</v>
      </c>
      <c r="G305" s="203" t="s">
        <v>9</v>
      </c>
      <c r="H305" s="205"/>
      <c r="I305" s="206"/>
      <c r="J305" s="206"/>
      <c r="K305" s="203" t="s">
        <v>901</v>
      </c>
      <c r="L305" s="204"/>
      <c r="M305" s="204"/>
      <c r="N305" s="378">
        <f>IF(OR(Tabelle1324568910111213141516171618[[#This Row],[Pulled after Start]]="yes",Tabelle1324568910111213141516171618[[#This Row],[Jira Story Points]]="-"),0,MIN(Tabelle1324568910111213141516171618[[#This Row],[Jira Story Points]],Tabelle1324568910111213141516171618[[#This Row],[Carry-over]]))</f>
        <v>3</v>
      </c>
      <c r="O305" s="379">
        <f>SUM(IF(ISBLANK(Tabelle1324568910111213141516171618[[#This Row],[Carry-over]]),Tabelle1324568910111213141516171618[[#This Row],[Jira Story Points]],Tabelle1324568910111213141516171618[[#This Row],[Carry-over]]),-Tabelle1324568910111213141516171618[[#This Row],[COsSP Initially Planned]])</f>
        <v>0</v>
      </c>
      <c r="P30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305" s="379">
        <f>IF(Tabelle1324568910111213141516171618[[#This Row],[Status]]=$J$5,Tabelle1324568910111213141516171618[[#This Row],[COsSP Initially Planned]]+Tabelle1324568910111213141516171618[[#This Row],[COsSP Pulled after Start]]-Tabelle1324568910111213141516171618[[#This Row],[CSOsSP Completed]],0)</f>
        <v>0</v>
      </c>
      <c r="R305" s="379">
        <f>Tabelle1324568910111213141516171618[[#This Row],[COsSP Initially Planned]]+Tabelle1324568910111213141516171618[[#This Row],[COsSP Pulled after Start]]-Tabelle1324568910111213141516171618[[#This Row],[CSOsSP Completed]]-Tabelle1324568910111213141516171618[[#This Row],[CSOsSP Removed]]</f>
        <v>0</v>
      </c>
    </row>
    <row r="306" spans="1:18" ht="13.5" hidden="1" customHeight="1">
      <c r="A306" s="385" t="s">
        <v>926</v>
      </c>
      <c r="B306" s="47" t="s">
        <v>927</v>
      </c>
      <c r="C306" s="203" t="s">
        <v>372</v>
      </c>
      <c r="D306" s="203">
        <v>3</v>
      </c>
      <c r="E306" s="203" t="s">
        <v>327</v>
      </c>
      <c r="F306" s="204">
        <v>8</v>
      </c>
      <c r="G306" s="203" t="s">
        <v>9</v>
      </c>
      <c r="H306" s="205" t="s">
        <v>209</v>
      </c>
      <c r="I306" s="206"/>
      <c r="J306" s="206"/>
      <c r="K306" s="203" t="s">
        <v>928</v>
      </c>
      <c r="L306" s="204"/>
      <c r="M306" s="204">
        <v>3</v>
      </c>
      <c r="N306" s="378">
        <f>IF(OR(Tabelle1324568910111213141516171618[[#This Row],[Pulled after Start]]="yes",Tabelle1324568910111213141516171618[[#This Row],[Jira Story Points]]="-"),0,MIN(Tabelle1324568910111213141516171618[[#This Row],[Jira Story Points]],Tabelle1324568910111213141516171618[[#This Row],[Carry-over]]))</f>
        <v>0</v>
      </c>
      <c r="O306" s="379">
        <f>SUM(IF(ISBLANK(Tabelle1324568910111213141516171618[[#This Row],[Carry-over]]),Tabelle1324568910111213141516171618[[#This Row],[Jira Story Points]],Tabelle1324568910111213141516171618[[#This Row],[Carry-over]]),-Tabelle1324568910111213141516171618[[#This Row],[COsSP Initially Planned]])</f>
        <v>8</v>
      </c>
      <c r="P30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306" s="379">
        <f>IF(Tabelle1324568910111213141516171618[[#This Row],[Status]]=$J$5,Tabelle1324568910111213141516171618[[#This Row],[COsSP Initially Planned]]+Tabelle1324568910111213141516171618[[#This Row],[COsSP Pulled after Start]]-Tabelle1324568910111213141516171618[[#This Row],[CSOsSP Completed]],0)</f>
        <v>0</v>
      </c>
      <c r="R306" s="379">
        <f>Tabelle1324568910111213141516171618[[#This Row],[COsSP Initially Planned]]+Tabelle1324568910111213141516171618[[#This Row],[COsSP Pulled after Start]]-Tabelle1324568910111213141516171618[[#This Row],[CSOsSP Completed]]-Tabelle1324568910111213141516171618[[#This Row],[CSOsSP Removed]]</f>
        <v>3</v>
      </c>
    </row>
    <row r="307" spans="1:18" ht="13.5" hidden="1" customHeight="1">
      <c r="A307" s="385" t="s">
        <v>929</v>
      </c>
      <c r="B307" s="47" t="s">
        <v>930</v>
      </c>
      <c r="C307" s="203" t="s">
        <v>372</v>
      </c>
      <c r="D307" s="203">
        <v>3</v>
      </c>
      <c r="E307" s="203" t="s">
        <v>324</v>
      </c>
      <c r="F307" s="204" t="s">
        <v>931</v>
      </c>
      <c r="G307" s="203" t="s">
        <v>9</v>
      </c>
      <c r="H307" s="205"/>
      <c r="I307" s="206"/>
      <c r="J307" s="206"/>
      <c r="K307" s="203" t="s">
        <v>125</v>
      </c>
      <c r="L307" s="204"/>
      <c r="M307" s="204"/>
      <c r="N307" s="378">
        <f>IF(OR(Tabelle1324568910111213141516171618[[#This Row],[Pulled after Start]]="yes",Tabelle1324568910111213141516171618[[#This Row],[Jira Story Points]]="-"),0,MIN(Tabelle1324568910111213141516171618[[#This Row],[Jira Story Points]],Tabelle1324568910111213141516171618[[#This Row],[Carry-over]]))</f>
        <v>0</v>
      </c>
      <c r="O307" s="379">
        <f>SUM(IF(ISBLANK(Tabelle1324568910111213141516171618[[#This Row],[Carry-over]]),Tabelle1324568910111213141516171618[[#This Row],[Jira Story Points]],Tabelle1324568910111213141516171618[[#This Row],[Carry-over]]),-Tabelle1324568910111213141516171618[[#This Row],[COsSP Initially Planned]])</f>
        <v>0</v>
      </c>
      <c r="P30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307" s="379">
        <f>IF(Tabelle1324568910111213141516171618[[#This Row],[Status]]=$J$5,Tabelle1324568910111213141516171618[[#This Row],[COsSP Initially Planned]]+Tabelle1324568910111213141516171618[[#This Row],[COsSP Pulled after Start]]-Tabelle1324568910111213141516171618[[#This Row],[CSOsSP Completed]],0)</f>
        <v>0</v>
      </c>
      <c r="R307" s="379">
        <f>Tabelle1324568910111213141516171618[[#This Row],[COsSP Initially Planned]]+Tabelle1324568910111213141516171618[[#This Row],[COsSP Pulled after Start]]-Tabelle1324568910111213141516171618[[#This Row],[CSOsSP Completed]]-Tabelle1324568910111213141516171618[[#This Row],[CSOsSP Removed]]</f>
        <v>0</v>
      </c>
    </row>
    <row r="308" spans="1:18" ht="13.5" hidden="1" customHeight="1">
      <c r="A308" s="385" t="s">
        <v>932</v>
      </c>
      <c r="B308" s="47" t="s">
        <v>933</v>
      </c>
      <c r="C308" s="203" t="s">
        <v>372</v>
      </c>
      <c r="D308" s="203">
        <v>3</v>
      </c>
      <c r="E308" s="203" t="s">
        <v>324</v>
      </c>
      <c r="F308" s="204">
        <v>3</v>
      </c>
      <c r="G308" s="203" t="s">
        <v>9</v>
      </c>
      <c r="H308" s="205"/>
      <c r="I308" s="206"/>
      <c r="J308" s="206"/>
      <c r="K308" s="203" t="s">
        <v>125</v>
      </c>
      <c r="L308" s="204"/>
      <c r="M308" s="204"/>
      <c r="N308" s="378">
        <f>IF(OR(Tabelle1324568910111213141516171618[[#This Row],[Pulled after Start]]="yes",Tabelle1324568910111213141516171618[[#This Row],[Jira Story Points]]="-"),0,MIN(Tabelle1324568910111213141516171618[[#This Row],[Jira Story Points]],Tabelle1324568910111213141516171618[[#This Row],[Carry-over]]))</f>
        <v>3</v>
      </c>
      <c r="O308" s="379">
        <f>SUM(IF(ISBLANK(Tabelle1324568910111213141516171618[[#This Row],[Carry-over]]),Tabelle1324568910111213141516171618[[#This Row],[Jira Story Points]],Tabelle1324568910111213141516171618[[#This Row],[Carry-over]]),-Tabelle1324568910111213141516171618[[#This Row],[COsSP Initially Planned]])</f>
        <v>0</v>
      </c>
      <c r="P30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308" s="379">
        <f>IF(Tabelle1324568910111213141516171618[[#This Row],[Status]]=$J$5,Tabelle1324568910111213141516171618[[#This Row],[COsSP Initially Planned]]+Tabelle1324568910111213141516171618[[#This Row],[COsSP Pulled after Start]]-Tabelle1324568910111213141516171618[[#This Row],[CSOsSP Completed]],0)</f>
        <v>0</v>
      </c>
      <c r="R308" s="379">
        <f>Tabelle1324568910111213141516171618[[#This Row],[COsSP Initially Planned]]+Tabelle1324568910111213141516171618[[#This Row],[COsSP Pulled after Start]]-Tabelle1324568910111213141516171618[[#This Row],[CSOsSP Completed]]-Tabelle1324568910111213141516171618[[#This Row],[CSOsSP Removed]]</f>
        <v>0</v>
      </c>
    </row>
    <row r="309" spans="1:18" ht="13.5" hidden="1" customHeight="1">
      <c r="A309" s="385" t="s">
        <v>934</v>
      </c>
      <c r="B309" s="47" t="s">
        <v>935</v>
      </c>
      <c r="C309" s="203" t="s">
        <v>382</v>
      </c>
      <c r="D309" s="203">
        <v>3</v>
      </c>
      <c r="E309" s="203" t="s">
        <v>324</v>
      </c>
      <c r="F309" s="204">
        <v>2</v>
      </c>
      <c r="G309" s="203" t="s">
        <v>9</v>
      </c>
      <c r="H309" s="205" t="s">
        <v>209</v>
      </c>
      <c r="I309" s="206"/>
      <c r="J309" s="206"/>
      <c r="K309" s="203" t="s">
        <v>125</v>
      </c>
      <c r="L309" s="204"/>
      <c r="M309" s="204"/>
      <c r="N309" s="378">
        <f>IF(OR(Tabelle1324568910111213141516171618[[#This Row],[Pulled after Start]]="yes",Tabelle1324568910111213141516171618[[#This Row],[Jira Story Points]]="-"),0,MIN(Tabelle1324568910111213141516171618[[#This Row],[Jira Story Points]],Tabelle1324568910111213141516171618[[#This Row],[Carry-over]]))</f>
        <v>0</v>
      </c>
      <c r="O309" s="379">
        <f>SUM(IF(ISBLANK(Tabelle1324568910111213141516171618[[#This Row],[Carry-over]]),Tabelle1324568910111213141516171618[[#This Row],[Jira Story Points]],Tabelle1324568910111213141516171618[[#This Row],[Carry-over]]),-Tabelle1324568910111213141516171618[[#This Row],[COsSP Initially Planned]])</f>
        <v>2</v>
      </c>
      <c r="P30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2</v>
      </c>
      <c r="Q309" s="379">
        <f>IF(Tabelle1324568910111213141516171618[[#This Row],[Status]]=$J$5,Tabelle1324568910111213141516171618[[#This Row],[COsSP Initially Planned]]+Tabelle1324568910111213141516171618[[#This Row],[COsSP Pulled after Start]]-Tabelle1324568910111213141516171618[[#This Row],[CSOsSP Completed]],0)</f>
        <v>0</v>
      </c>
      <c r="R309" s="379">
        <f>Tabelle1324568910111213141516171618[[#This Row],[COsSP Initially Planned]]+Tabelle1324568910111213141516171618[[#This Row],[COsSP Pulled after Start]]-Tabelle1324568910111213141516171618[[#This Row],[CSOsSP Completed]]-Tabelle1324568910111213141516171618[[#This Row],[CSOsSP Removed]]</f>
        <v>0</v>
      </c>
    </row>
    <row r="310" spans="1:18" ht="13.5" hidden="1" customHeight="1">
      <c r="A310" s="385" t="s">
        <v>936</v>
      </c>
      <c r="B310" s="47" t="s">
        <v>937</v>
      </c>
      <c r="C310" s="203" t="s">
        <v>382</v>
      </c>
      <c r="D310" s="203">
        <v>3</v>
      </c>
      <c r="E310" s="203" t="s">
        <v>216</v>
      </c>
      <c r="F310" s="204">
        <v>5</v>
      </c>
      <c r="G310" s="203" t="s">
        <v>9</v>
      </c>
      <c r="H310" s="205"/>
      <c r="I310" s="206"/>
      <c r="J310" s="206"/>
      <c r="K310" s="203" t="s">
        <v>901</v>
      </c>
      <c r="L310" s="204"/>
      <c r="M310" s="204"/>
      <c r="N310" s="378">
        <f>IF(OR(Tabelle1324568910111213141516171618[[#This Row],[Pulled after Start]]="yes",Tabelle1324568910111213141516171618[[#This Row],[Jira Story Points]]="-"),0,MIN(Tabelle1324568910111213141516171618[[#This Row],[Jira Story Points]],Tabelle1324568910111213141516171618[[#This Row],[Carry-over]]))</f>
        <v>5</v>
      </c>
      <c r="O310" s="379">
        <f>SUM(IF(ISBLANK(Tabelle1324568910111213141516171618[[#This Row],[Carry-over]]),Tabelle1324568910111213141516171618[[#This Row],[Jira Story Points]],Tabelle1324568910111213141516171618[[#This Row],[Carry-over]]),-Tabelle1324568910111213141516171618[[#This Row],[COsSP Initially Planned]])</f>
        <v>0</v>
      </c>
      <c r="P31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5</v>
      </c>
      <c r="Q310" s="379">
        <f>IF(Tabelle1324568910111213141516171618[[#This Row],[Status]]=$J$5,Tabelle1324568910111213141516171618[[#This Row],[COsSP Initially Planned]]+Tabelle1324568910111213141516171618[[#This Row],[COsSP Pulled after Start]]-Tabelle1324568910111213141516171618[[#This Row],[CSOsSP Completed]],0)</f>
        <v>0</v>
      </c>
      <c r="R310" s="379">
        <f>Tabelle1324568910111213141516171618[[#This Row],[COsSP Initially Planned]]+Tabelle1324568910111213141516171618[[#This Row],[COsSP Pulled after Start]]-Tabelle1324568910111213141516171618[[#This Row],[CSOsSP Completed]]-Tabelle1324568910111213141516171618[[#This Row],[CSOsSP Removed]]</f>
        <v>0</v>
      </c>
    </row>
    <row r="311" spans="1:18" ht="13.5" hidden="1" customHeight="1">
      <c r="A311" s="386" t="s">
        <v>938</v>
      </c>
      <c r="B311" s="47" t="s">
        <v>939</v>
      </c>
      <c r="C311" s="203" t="s">
        <v>382</v>
      </c>
      <c r="D311" s="203">
        <v>3</v>
      </c>
      <c r="E311" s="203" t="s">
        <v>330</v>
      </c>
      <c r="F311" s="204">
        <v>13</v>
      </c>
      <c r="G311" s="203" t="s">
        <v>9</v>
      </c>
      <c r="H311" s="205"/>
      <c r="I311" s="206" t="s">
        <v>940</v>
      </c>
      <c r="J311" s="206"/>
      <c r="K311" s="203" t="s">
        <v>928</v>
      </c>
      <c r="L311" s="204"/>
      <c r="M311" s="204">
        <v>3</v>
      </c>
      <c r="N311" s="378">
        <f>IF(OR(Tabelle1324568910111213141516171618[[#This Row],[Pulled after Start]]="yes",Tabelle1324568910111213141516171618[[#This Row],[Jira Story Points]]="-"),0,MIN(Tabelle1324568910111213141516171618[[#This Row],[Jira Story Points]],Tabelle1324568910111213141516171618[[#This Row],[Carry-over]]))</f>
        <v>13</v>
      </c>
      <c r="O311" s="379">
        <f>SUM(IF(ISBLANK(Tabelle1324568910111213141516171618[[#This Row],[Carry-over]]),Tabelle1324568910111213141516171618[[#This Row],[Jira Story Points]],Tabelle1324568910111213141516171618[[#This Row],[Carry-over]]),-Tabelle1324568910111213141516171618[[#This Row],[COsSP Initially Planned]])</f>
        <v>0</v>
      </c>
      <c r="P31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10</v>
      </c>
      <c r="Q311" s="379">
        <f>IF(Tabelle1324568910111213141516171618[[#This Row],[Status]]=$J$5,Tabelle1324568910111213141516171618[[#This Row],[COsSP Initially Planned]]+Tabelle1324568910111213141516171618[[#This Row],[COsSP Pulled after Start]]-Tabelle1324568910111213141516171618[[#This Row],[CSOsSP Completed]],0)</f>
        <v>0</v>
      </c>
      <c r="R311" s="379">
        <f>Tabelle1324568910111213141516171618[[#This Row],[COsSP Initially Planned]]+Tabelle1324568910111213141516171618[[#This Row],[COsSP Pulled after Start]]-Tabelle1324568910111213141516171618[[#This Row],[CSOsSP Completed]]-Tabelle1324568910111213141516171618[[#This Row],[CSOsSP Removed]]</f>
        <v>3</v>
      </c>
    </row>
    <row r="312" spans="1:18" ht="13.5" hidden="1" customHeight="1">
      <c r="A312" s="385" t="s">
        <v>941</v>
      </c>
      <c r="B312" s="47" t="s">
        <v>942</v>
      </c>
      <c r="C312" s="203" t="s">
        <v>382</v>
      </c>
      <c r="D312" s="203">
        <v>3</v>
      </c>
      <c r="E312" s="203" t="s">
        <v>330</v>
      </c>
      <c r="F312" s="204">
        <v>13</v>
      </c>
      <c r="G312" s="203" t="s">
        <v>9</v>
      </c>
      <c r="H312" s="205"/>
      <c r="I312" s="206" t="s">
        <v>943</v>
      </c>
      <c r="J312" s="206"/>
      <c r="K312" s="203" t="s">
        <v>928</v>
      </c>
      <c r="L312" s="204"/>
      <c r="M312" s="204">
        <v>2</v>
      </c>
      <c r="N312" s="378">
        <f>IF(OR(Tabelle1324568910111213141516171618[[#This Row],[Pulled after Start]]="yes",Tabelle1324568910111213141516171618[[#This Row],[Jira Story Points]]="-"),0,MIN(Tabelle1324568910111213141516171618[[#This Row],[Jira Story Points]],Tabelle1324568910111213141516171618[[#This Row],[Carry-over]]))</f>
        <v>13</v>
      </c>
      <c r="O312" s="379">
        <f>SUM(IF(ISBLANK(Tabelle1324568910111213141516171618[[#This Row],[Carry-over]]),Tabelle1324568910111213141516171618[[#This Row],[Jira Story Points]],Tabelle1324568910111213141516171618[[#This Row],[Carry-over]]),-Tabelle1324568910111213141516171618[[#This Row],[COsSP Initially Planned]])</f>
        <v>0</v>
      </c>
      <c r="P31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11</v>
      </c>
      <c r="Q312" s="379">
        <f>IF(Tabelle1324568910111213141516171618[[#This Row],[Status]]=$J$5,Tabelle1324568910111213141516171618[[#This Row],[COsSP Initially Planned]]+Tabelle1324568910111213141516171618[[#This Row],[COsSP Pulled after Start]]-Tabelle1324568910111213141516171618[[#This Row],[CSOsSP Completed]],0)</f>
        <v>0</v>
      </c>
      <c r="R312" s="379">
        <f>Tabelle1324568910111213141516171618[[#This Row],[COsSP Initially Planned]]+Tabelle1324568910111213141516171618[[#This Row],[COsSP Pulled after Start]]-Tabelle1324568910111213141516171618[[#This Row],[CSOsSP Completed]]-Tabelle1324568910111213141516171618[[#This Row],[CSOsSP Removed]]</f>
        <v>2</v>
      </c>
    </row>
    <row r="313" spans="1:18" ht="13.5" hidden="1" customHeight="1">
      <c r="A313" s="385" t="s">
        <v>944</v>
      </c>
      <c r="B313" s="47" t="s">
        <v>945</v>
      </c>
      <c r="C313" s="203" t="s">
        <v>382</v>
      </c>
      <c r="D313" s="203">
        <v>3</v>
      </c>
      <c r="E313" s="203" t="s">
        <v>642</v>
      </c>
      <c r="F313" s="204">
        <v>5</v>
      </c>
      <c r="G313" s="203" t="s">
        <v>9</v>
      </c>
      <c r="H313" s="205"/>
      <c r="I313" s="206"/>
      <c r="J313" s="206"/>
      <c r="K313" s="203" t="s">
        <v>928</v>
      </c>
      <c r="L313" s="204"/>
      <c r="M313" s="204">
        <v>2</v>
      </c>
      <c r="N313" s="378">
        <f>IF(OR(Tabelle1324568910111213141516171618[[#This Row],[Pulled after Start]]="yes",Tabelle1324568910111213141516171618[[#This Row],[Jira Story Points]]="-"),0,MIN(Tabelle1324568910111213141516171618[[#This Row],[Jira Story Points]],Tabelle1324568910111213141516171618[[#This Row],[Carry-over]]))</f>
        <v>5</v>
      </c>
      <c r="O313" s="379">
        <f>SUM(IF(ISBLANK(Tabelle1324568910111213141516171618[[#This Row],[Carry-over]]),Tabelle1324568910111213141516171618[[#This Row],[Jira Story Points]],Tabelle1324568910111213141516171618[[#This Row],[Carry-over]]),-Tabelle1324568910111213141516171618[[#This Row],[COsSP Initially Planned]])</f>
        <v>0</v>
      </c>
      <c r="P313"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3</v>
      </c>
      <c r="Q313" s="379">
        <f>IF(Tabelle1324568910111213141516171618[[#This Row],[Status]]=$J$5,Tabelle1324568910111213141516171618[[#This Row],[COsSP Initially Planned]]+Tabelle1324568910111213141516171618[[#This Row],[COsSP Pulled after Start]]-Tabelle1324568910111213141516171618[[#This Row],[CSOsSP Completed]],0)</f>
        <v>0</v>
      </c>
      <c r="R313" s="379">
        <f>Tabelle1324568910111213141516171618[[#This Row],[COsSP Initially Planned]]+Tabelle1324568910111213141516171618[[#This Row],[COsSP Pulled after Start]]-Tabelle1324568910111213141516171618[[#This Row],[CSOsSP Completed]]-Tabelle1324568910111213141516171618[[#This Row],[CSOsSP Removed]]</f>
        <v>2</v>
      </c>
    </row>
    <row r="314" spans="1:18" ht="13.5" hidden="1" customHeight="1">
      <c r="A314" s="385" t="s">
        <v>946</v>
      </c>
      <c r="B314" s="47" t="s">
        <v>947</v>
      </c>
      <c r="C314" s="203" t="s">
        <v>372</v>
      </c>
      <c r="D314" s="203">
        <v>3</v>
      </c>
      <c r="E314" s="203" t="s">
        <v>628</v>
      </c>
      <c r="F314" s="204">
        <v>5</v>
      </c>
      <c r="G314" s="203" t="s">
        <v>9</v>
      </c>
      <c r="H314" s="205" t="s">
        <v>209</v>
      </c>
      <c r="I314" s="206"/>
      <c r="J314" s="206"/>
      <c r="K314" s="203" t="s">
        <v>928</v>
      </c>
      <c r="L314" s="204"/>
      <c r="M314" s="204">
        <v>1</v>
      </c>
      <c r="N314" s="378">
        <f>IF(OR(Tabelle1324568910111213141516171618[[#This Row],[Pulled after Start]]="yes",Tabelle1324568910111213141516171618[[#This Row],[Jira Story Points]]="-"),0,MIN(Tabelle1324568910111213141516171618[[#This Row],[Jira Story Points]],Tabelle1324568910111213141516171618[[#This Row],[Carry-over]]))</f>
        <v>0</v>
      </c>
      <c r="O314" s="379">
        <f>SUM(IF(ISBLANK(Tabelle1324568910111213141516171618[[#This Row],[Carry-over]]),Tabelle1324568910111213141516171618[[#This Row],[Jira Story Points]],Tabelle1324568910111213141516171618[[#This Row],[Carry-over]]),-Tabelle1324568910111213141516171618[[#This Row],[COsSP Initially Planned]])</f>
        <v>5</v>
      </c>
      <c r="P314"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4</v>
      </c>
      <c r="Q314" s="379">
        <f>IF(Tabelle1324568910111213141516171618[[#This Row],[Status]]=$J$5,Tabelle1324568910111213141516171618[[#This Row],[COsSP Initially Planned]]+Tabelle1324568910111213141516171618[[#This Row],[COsSP Pulled after Start]]-Tabelle1324568910111213141516171618[[#This Row],[CSOsSP Completed]],0)</f>
        <v>0</v>
      </c>
      <c r="R314" s="379">
        <f>Tabelle1324568910111213141516171618[[#This Row],[COsSP Initially Planned]]+Tabelle1324568910111213141516171618[[#This Row],[COsSP Pulled after Start]]-Tabelle1324568910111213141516171618[[#This Row],[CSOsSP Completed]]-Tabelle1324568910111213141516171618[[#This Row],[CSOsSP Removed]]</f>
        <v>1</v>
      </c>
    </row>
    <row r="315" spans="1:18" ht="13.5" hidden="1" customHeight="1">
      <c r="A315" s="385" t="s">
        <v>948</v>
      </c>
      <c r="B315" s="47" t="s">
        <v>949</v>
      </c>
      <c r="C315" s="203" t="s">
        <v>372</v>
      </c>
      <c r="D315" s="203">
        <v>3</v>
      </c>
      <c r="E315" s="203" t="s">
        <v>628</v>
      </c>
      <c r="F315" s="204">
        <v>5</v>
      </c>
      <c r="G315" s="203" t="s">
        <v>9</v>
      </c>
      <c r="H315" s="205" t="s">
        <v>209</v>
      </c>
      <c r="I315" s="206"/>
      <c r="J315" s="206"/>
      <c r="K315" s="203" t="s">
        <v>928</v>
      </c>
      <c r="L315" s="204"/>
      <c r="M315" s="204">
        <v>1</v>
      </c>
      <c r="N315" s="378">
        <f>IF(OR(Tabelle1324568910111213141516171618[[#This Row],[Pulled after Start]]="yes",Tabelle1324568910111213141516171618[[#This Row],[Jira Story Points]]="-"),0,MIN(Tabelle1324568910111213141516171618[[#This Row],[Jira Story Points]],Tabelle1324568910111213141516171618[[#This Row],[Carry-over]]))</f>
        <v>0</v>
      </c>
      <c r="O315" s="379">
        <f>SUM(IF(ISBLANK(Tabelle1324568910111213141516171618[[#This Row],[Carry-over]]),Tabelle1324568910111213141516171618[[#This Row],[Jira Story Points]],Tabelle1324568910111213141516171618[[#This Row],[Carry-over]]),-Tabelle1324568910111213141516171618[[#This Row],[COsSP Initially Planned]])</f>
        <v>5</v>
      </c>
      <c r="P315"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4</v>
      </c>
      <c r="Q315" s="379">
        <f>IF(Tabelle1324568910111213141516171618[[#This Row],[Status]]=$J$5,Tabelle1324568910111213141516171618[[#This Row],[COsSP Initially Planned]]+Tabelle1324568910111213141516171618[[#This Row],[COsSP Pulled after Start]]-Tabelle1324568910111213141516171618[[#This Row],[CSOsSP Completed]],0)</f>
        <v>0</v>
      </c>
      <c r="R315" s="379">
        <f>Tabelle1324568910111213141516171618[[#This Row],[COsSP Initially Planned]]+Tabelle1324568910111213141516171618[[#This Row],[COsSP Pulled after Start]]-Tabelle1324568910111213141516171618[[#This Row],[CSOsSP Completed]]-Tabelle1324568910111213141516171618[[#This Row],[CSOsSP Removed]]</f>
        <v>1</v>
      </c>
    </row>
    <row r="316" spans="1:18" ht="13.5" hidden="1" customHeight="1">
      <c r="A316" s="385" t="s">
        <v>950</v>
      </c>
      <c r="B316" s="47" t="s">
        <v>951</v>
      </c>
      <c r="C316" s="203" t="s">
        <v>382</v>
      </c>
      <c r="D316" s="203">
        <v>3</v>
      </c>
      <c r="E316" s="203" t="s">
        <v>330</v>
      </c>
      <c r="F316" s="204">
        <v>2</v>
      </c>
      <c r="G316" s="203" t="s">
        <v>9</v>
      </c>
      <c r="H316" s="205"/>
      <c r="I316" s="206"/>
      <c r="J316" s="206"/>
      <c r="K316" s="203" t="s">
        <v>928</v>
      </c>
      <c r="L316" s="204"/>
      <c r="M316" s="204">
        <v>1</v>
      </c>
      <c r="N316" s="378">
        <f>IF(OR(Tabelle1324568910111213141516171618[[#This Row],[Pulled after Start]]="yes",Tabelle1324568910111213141516171618[[#This Row],[Jira Story Points]]="-"),0,MIN(Tabelle1324568910111213141516171618[[#This Row],[Jira Story Points]],Tabelle1324568910111213141516171618[[#This Row],[Carry-over]]))</f>
        <v>2</v>
      </c>
      <c r="O316" s="379">
        <f>SUM(IF(ISBLANK(Tabelle1324568910111213141516171618[[#This Row],[Carry-over]]),Tabelle1324568910111213141516171618[[#This Row],[Jira Story Points]],Tabelle1324568910111213141516171618[[#This Row],[Carry-over]]),-Tabelle1324568910111213141516171618[[#This Row],[COsSP Initially Planned]])</f>
        <v>0</v>
      </c>
      <c r="P316"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1</v>
      </c>
      <c r="Q316" s="379">
        <f>IF(Tabelle1324568910111213141516171618[[#This Row],[Status]]=$J$5,Tabelle1324568910111213141516171618[[#This Row],[COsSP Initially Planned]]+Tabelle1324568910111213141516171618[[#This Row],[COsSP Pulled after Start]]-Tabelle1324568910111213141516171618[[#This Row],[CSOsSP Completed]],0)</f>
        <v>0</v>
      </c>
      <c r="R316" s="379">
        <f>Tabelle1324568910111213141516171618[[#This Row],[COsSP Initially Planned]]+Tabelle1324568910111213141516171618[[#This Row],[COsSP Pulled after Start]]-Tabelle1324568910111213141516171618[[#This Row],[CSOsSP Completed]]-Tabelle1324568910111213141516171618[[#This Row],[CSOsSP Removed]]</f>
        <v>1</v>
      </c>
    </row>
    <row r="317" spans="1:18" ht="13.5" hidden="1" customHeight="1">
      <c r="A317" s="383"/>
      <c r="B317" s="47"/>
      <c r="C317" s="203"/>
      <c r="D317" s="203"/>
      <c r="E317" s="203"/>
      <c r="F317" s="204"/>
      <c r="G317" s="203"/>
      <c r="H317" s="205"/>
      <c r="I317" s="206"/>
      <c r="J317" s="206"/>
      <c r="K317" s="203"/>
      <c r="L317" s="204"/>
      <c r="M317" s="204"/>
      <c r="N317" s="378">
        <f>IF(OR(Tabelle1324568910111213141516171618[[#This Row],[Pulled after Start]]="yes",Tabelle1324568910111213141516171618[[#This Row],[Jira Story Points]]="-"),0,MIN(Tabelle1324568910111213141516171618[[#This Row],[Jira Story Points]],Tabelle1324568910111213141516171618[[#This Row],[Carry-over]]))</f>
        <v>0</v>
      </c>
      <c r="O317" s="379">
        <f>SUM(IF(ISBLANK(Tabelle1324568910111213141516171618[[#This Row],[Carry-over]]),Tabelle1324568910111213141516171618[[#This Row],[Jira Story Points]],Tabelle1324568910111213141516171618[[#This Row],[Carry-over]]),-Tabelle1324568910111213141516171618[[#This Row],[COsSP Initially Planned]])</f>
        <v>0</v>
      </c>
      <c r="P317"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317" s="379">
        <f>IF(Tabelle1324568910111213141516171618[[#This Row],[Status]]=$J$5,Tabelle1324568910111213141516171618[[#This Row],[COsSP Initially Planned]]+Tabelle1324568910111213141516171618[[#This Row],[COsSP Pulled after Start]]-Tabelle1324568910111213141516171618[[#This Row],[CSOsSP Completed]],0)</f>
        <v>0</v>
      </c>
      <c r="R317" s="379">
        <f>Tabelle1324568910111213141516171618[[#This Row],[COsSP Initially Planned]]+Tabelle1324568910111213141516171618[[#This Row],[COsSP Pulled after Start]]-Tabelle1324568910111213141516171618[[#This Row],[CSOsSP Completed]]-Tabelle1324568910111213141516171618[[#This Row],[CSOsSP Removed]]</f>
        <v>0</v>
      </c>
    </row>
    <row r="318" spans="1:18" ht="13.5" hidden="1" customHeight="1">
      <c r="A318" s="383"/>
      <c r="B318" s="47"/>
      <c r="C318" s="203"/>
      <c r="D318" s="203"/>
      <c r="E318" s="203"/>
      <c r="F318" s="204"/>
      <c r="G318" s="203"/>
      <c r="H318" s="205"/>
      <c r="I318" s="206"/>
      <c r="J318" s="206"/>
      <c r="K318" s="203"/>
      <c r="L318" s="204"/>
      <c r="M318" s="204"/>
      <c r="N318" s="378">
        <f>IF(OR(Tabelle1324568910111213141516171618[[#This Row],[Pulled after Start]]="yes",Tabelle1324568910111213141516171618[[#This Row],[Jira Story Points]]="-"),0,MIN(Tabelle1324568910111213141516171618[[#This Row],[Jira Story Points]],Tabelle1324568910111213141516171618[[#This Row],[Carry-over]]))</f>
        <v>0</v>
      </c>
      <c r="O318" s="379">
        <f>SUM(IF(ISBLANK(Tabelle1324568910111213141516171618[[#This Row],[Carry-over]]),Tabelle1324568910111213141516171618[[#This Row],[Jira Story Points]],Tabelle1324568910111213141516171618[[#This Row],[Carry-over]]),-Tabelle1324568910111213141516171618[[#This Row],[COsSP Initially Planned]])</f>
        <v>0</v>
      </c>
      <c r="P318"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318" s="379">
        <f>IF(Tabelle1324568910111213141516171618[[#This Row],[Status]]=$J$5,Tabelle1324568910111213141516171618[[#This Row],[COsSP Initially Planned]]+Tabelle1324568910111213141516171618[[#This Row],[COsSP Pulled after Start]]-Tabelle1324568910111213141516171618[[#This Row],[CSOsSP Completed]],0)</f>
        <v>0</v>
      </c>
      <c r="R318" s="379">
        <f>Tabelle1324568910111213141516171618[[#This Row],[COsSP Initially Planned]]+Tabelle1324568910111213141516171618[[#This Row],[COsSP Pulled after Start]]-Tabelle1324568910111213141516171618[[#This Row],[CSOsSP Completed]]-Tabelle1324568910111213141516171618[[#This Row],[CSOsSP Removed]]</f>
        <v>0</v>
      </c>
    </row>
    <row r="319" spans="1:18" ht="13.5" hidden="1" customHeight="1">
      <c r="A319" s="383"/>
      <c r="B319" s="47"/>
      <c r="C319" s="203"/>
      <c r="D319" s="203"/>
      <c r="E319" s="203"/>
      <c r="F319" s="204"/>
      <c r="G319" s="203"/>
      <c r="H319" s="205"/>
      <c r="I319" s="206"/>
      <c r="J319" s="206"/>
      <c r="K319" s="203"/>
      <c r="L319" s="204"/>
      <c r="M319" s="204"/>
      <c r="N319" s="378">
        <f>IF(OR(Tabelle1324568910111213141516171618[[#This Row],[Pulled after Start]]="yes",Tabelle1324568910111213141516171618[[#This Row],[Jira Story Points]]="-"),0,MIN(Tabelle1324568910111213141516171618[[#This Row],[Jira Story Points]],Tabelle1324568910111213141516171618[[#This Row],[Carry-over]]))</f>
        <v>0</v>
      </c>
      <c r="O319" s="379">
        <f>SUM(IF(ISBLANK(Tabelle1324568910111213141516171618[[#This Row],[Carry-over]]),Tabelle1324568910111213141516171618[[#This Row],[Jira Story Points]],Tabelle1324568910111213141516171618[[#This Row],[Carry-over]]),-Tabelle1324568910111213141516171618[[#This Row],[COsSP Initially Planned]])</f>
        <v>0</v>
      </c>
      <c r="P319"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319" s="379">
        <f>IF(Tabelle1324568910111213141516171618[[#This Row],[Status]]=$J$5,Tabelle1324568910111213141516171618[[#This Row],[COsSP Initially Planned]]+Tabelle1324568910111213141516171618[[#This Row],[COsSP Pulled after Start]]-Tabelle1324568910111213141516171618[[#This Row],[CSOsSP Completed]],0)</f>
        <v>0</v>
      </c>
      <c r="R319" s="379">
        <f>Tabelle1324568910111213141516171618[[#This Row],[COsSP Initially Planned]]+Tabelle1324568910111213141516171618[[#This Row],[COsSP Pulled after Start]]-Tabelle1324568910111213141516171618[[#This Row],[CSOsSP Completed]]-Tabelle1324568910111213141516171618[[#This Row],[CSOsSP Removed]]</f>
        <v>0</v>
      </c>
    </row>
    <row r="320" spans="1:18" ht="13.5" hidden="1" customHeight="1">
      <c r="A320" s="387"/>
      <c r="B320" s="47"/>
      <c r="C320" s="203"/>
      <c r="D320" s="203"/>
      <c r="E320" s="203"/>
      <c r="F320" s="204"/>
      <c r="G320" s="203"/>
      <c r="H320" s="205"/>
      <c r="I320" s="206"/>
      <c r="J320" s="206"/>
      <c r="K320" s="203"/>
      <c r="L320" s="204"/>
      <c r="M320" s="204"/>
      <c r="N320" s="378">
        <f>IF(OR(Tabelle1324568910111213141516171618[[#This Row],[Pulled after Start]]="yes",Tabelle1324568910111213141516171618[[#This Row],[Jira Story Points]]="-"),0,MIN(Tabelle1324568910111213141516171618[[#This Row],[Jira Story Points]],Tabelle1324568910111213141516171618[[#This Row],[Carry-over]]))</f>
        <v>0</v>
      </c>
      <c r="O320" s="379">
        <f>SUM(IF(ISBLANK(Tabelle1324568910111213141516171618[[#This Row],[Carry-over]]),Tabelle1324568910111213141516171618[[#This Row],[Jira Story Points]],Tabelle1324568910111213141516171618[[#This Row],[Carry-over]]),-Tabelle1324568910111213141516171618[[#This Row],[COsSP Initially Planned]])</f>
        <v>0</v>
      </c>
      <c r="P320"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320" s="379">
        <f>IF(Tabelle1324568910111213141516171618[[#This Row],[Status]]=$J$5,Tabelle1324568910111213141516171618[[#This Row],[COsSP Initially Planned]]+Tabelle1324568910111213141516171618[[#This Row],[COsSP Pulled after Start]]-Tabelle1324568910111213141516171618[[#This Row],[CSOsSP Completed]],0)</f>
        <v>0</v>
      </c>
      <c r="R320" s="379">
        <f>Tabelle1324568910111213141516171618[[#This Row],[COsSP Initially Planned]]+Tabelle1324568910111213141516171618[[#This Row],[COsSP Pulled after Start]]-Tabelle1324568910111213141516171618[[#This Row],[CSOsSP Completed]]-Tabelle1324568910111213141516171618[[#This Row],[CSOsSP Removed]]</f>
        <v>0</v>
      </c>
    </row>
    <row r="321" spans="1:18" ht="13.5" hidden="1" customHeight="1">
      <c r="A321" s="387"/>
      <c r="B321" s="47"/>
      <c r="C321" s="203"/>
      <c r="D321" s="203"/>
      <c r="E321" s="203"/>
      <c r="F321" s="204"/>
      <c r="G321" s="203"/>
      <c r="H321" s="205"/>
      <c r="I321" s="206"/>
      <c r="J321" s="206"/>
      <c r="K321" s="203"/>
      <c r="L321" s="204"/>
      <c r="M321" s="204"/>
      <c r="N321" s="378">
        <f>IF(OR(Tabelle1324568910111213141516171618[[#This Row],[Pulled after Start]]="yes",Tabelle1324568910111213141516171618[[#This Row],[Jira Story Points]]="-"),0,MIN(Tabelle1324568910111213141516171618[[#This Row],[Jira Story Points]],Tabelle1324568910111213141516171618[[#This Row],[Carry-over]]))</f>
        <v>0</v>
      </c>
      <c r="O321" s="379">
        <f>SUM(IF(ISBLANK(Tabelle1324568910111213141516171618[[#This Row],[Carry-over]]),Tabelle1324568910111213141516171618[[#This Row],[Jira Story Points]],Tabelle1324568910111213141516171618[[#This Row],[Carry-over]]),-Tabelle1324568910111213141516171618[[#This Row],[COsSP Initially Planned]])</f>
        <v>0</v>
      </c>
      <c r="P321"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321" s="379">
        <f>IF(Tabelle1324568910111213141516171618[[#This Row],[Status]]=$J$5,Tabelle1324568910111213141516171618[[#This Row],[COsSP Initially Planned]]+Tabelle1324568910111213141516171618[[#This Row],[COsSP Pulled after Start]]-Tabelle1324568910111213141516171618[[#This Row],[CSOsSP Completed]],0)</f>
        <v>0</v>
      </c>
      <c r="R321" s="379">
        <f>Tabelle1324568910111213141516171618[[#This Row],[COsSP Initially Planned]]+Tabelle1324568910111213141516171618[[#This Row],[COsSP Pulled after Start]]-Tabelle1324568910111213141516171618[[#This Row],[CSOsSP Completed]]-Tabelle1324568910111213141516171618[[#This Row],[CSOsSP Removed]]</f>
        <v>0</v>
      </c>
    </row>
    <row r="322" spans="1:18" ht="13.5" hidden="1" customHeight="1">
      <c r="A322" s="383"/>
      <c r="B322" s="47"/>
      <c r="C322" s="203"/>
      <c r="D322" s="203"/>
      <c r="E322" s="203"/>
      <c r="F322" s="204"/>
      <c r="G322" s="203"/>
      <c r="H322" s="205"/>
      <c r="I322" s="206"/>
      <c r="J322" s="206"/>
      <c r="K322" s="203"/>
      <c r="L322" s="204"/>
      <c r="M322" s="204"/>
      <c r="N322" s="378">
        <f>IF(OR(Tabelle1324568910111213141516171618[[#This Row],[Pulled after Start]]="yes",Tabelle1324568910111213141516171618[[#This Row],[Jira Story Points]]="-"),0,MIN(Tabelle1324568910111213141516171618[[#This Row],[Jira Story Points]],Tabelle1324568910111213141516171618[[#This Row],[Carry-over]]))</f>
        <v>0</v>
      </c>
      <c r="O322" s="379">
        <f>SUM(IF(ISBLANK(Tabelle1324568910111213141516171618[[#This Row],[Carry-over]]),Tabelle1324568910111213141516171618[[#This Row],[Jira Story Points]],Tabelle1324568910111213141516171618[[#This Row],[Carry-over]]),-Tabelle1324568910111213141516171618[[#This Row],[COsSP Initially Planned]])</f>
        <v>0</v>
      </c>
      <c r="P322" s="379">
        <f>IF(Tabelle1324568910111213141516171618[[#This Row],[Status]]=$H$5,Tabelle1324568910111213141516171618[[#This Row],[COsSP Initially Planned]]+Tabelle1324568910111213141516171618[[#This Row],[COsSP Pulled after Start]],IF(ISBLANK(Tabelle1324568910111213141516171618[[#This Row],[Spill-over]]),0,Tabelle1324568910111213141516171618[[#This Row],[COsSP Initially Planned]]+Tabelle1324568910111213141516171618[[#This Row],[COsSP Pulled after Start]]-Tabelle1324568910111213141516171618[[#This Row],[Spill-over]]))</f>
        <v>0</v>
      </c>
      <c r="Q322" s="379">
        <f>IF(Tabelle1324568910111213141516171618[[#This Row],[Status]]=$J$5,Tabelle1324568910111213141516171618[[#This Row],[COsSP Initially Planned]]+Tabelle1324568910111213141516171618[[#This Row],[COsSP Pulled after Start]]-Tabelle1324568910111213141516171618[[#This Row],[CSOsSP Completed]],0)</f>
        <v>0</v>
      </c>
      <c r="R322" s="379">
        <f>Tabelle1324568910111213141516171618[[#This Row],[COsSP Initially Planned]]+Tabelle1324568910111213141516171618[[#This Row],[COsSP Pulled after Start]]-Tabelle1324568910111213141516171618[[#This Row],[CSOsSP Completed]]-Tabelle1324568910111213141516171618[[#This Row],[CSOsSP Removed]]</f>
        <v>0</v>
      </c>
    </row>
  </sheetData>
  <mergeCells count="12">
    <mergeCell ref="B6:B15"/>
    <mergeCell ref="N22:O22"/>
    <mergeCell ref="C1:J1"/>
    <mergeCell ref="H3:J3"/>
    <mergeCell ref="D4:E4"/>
    <mergeCell ref="F4:K4"/>
    <mergeCell ref="M4:R4"/>
    <mergeCell ref="D22:E22"/>
    <mergeCell ref="F22:G22"/>
    <mergeCell ref="H22:I22"/>
    <mergeCell ref="J22:K22"/>
    <mergeCell ref="L22:M22"/>
  </mergeCells>
  <dataValidations count="3">
    <dataValidation type="list" allowBlank="1" showErrorMessage="1" sqref="K31:K322" xr:uid="{B9394A69-77FC-4933-A465-707A23619586}">
      <formula1>$H$5:$J$5</formula1>
    </dataValidation>
    <dataValidation type="list" allowBlank="1" showErrorMessage="1" sqref="H96:H119 H212:H256 H262:H271 H32:H72" xr:uid="{F60EA3D4-FBC4-40DC-B750-C25455A733A6}">
      <formula1>"yes"</formula1>
    </dataValidation>
    <dataValidation type="list" allowBlank="1" showErrorMessage="1" sqref="G96:G119 G32:G44" xr:uid="{3BCEE061-ACA1-4371-95AE-27D5FD12E1BA}">
      <formula1>$C$6:$C$15</formula1>
    </dataValidation>
  </dataValidations>
  <hyperlinks>
    <hyperlink ref="A35" r:id="rId1" display="[ANP-27197] Build MCO part of NEWPOSS release 4.10.0 - Jira" xr:uid="{F192172E-39A9-4C56-971F-2C91FED517C1}"/>
    <hyperlink ref="A36" r:id="rId2" display="[ANP-27238] EFT data is missing with autocommit = false in the tim config - Jira" xr:uid="{06AC4D56-E3C4-4EB7-A76B-18B848984745}"/>
    <hyperlink ref="A37" r:id="rId3" display="[ANP-27564] Analysis of ANP-24330: POS3 - CHOP - NCR 7199 PinPrinting not correct - Jira" xr:uid="{0BED7AE6-ECAF-4295-9AA4-A524AB054602}"/>
    <hyperlink ref="A38" r:id="rId4" display="[ANP-27245] additional Analysis of ANP-25541: [CHOP] Global Blue (12+Code) not working for card payments and last receipt - Jira" xr:uid="{93BF255F-9DCD-4284-A8CE-F7338A44D0B4}"/>
    <hyperlink ref="A40" r:id="rId5" display="[ANP-27211] Build MCO part of NEWPOSS release 4.11.0 - Jira" xr:uid="{519FBDB3-CF5B-415A-8B10-0F6ECAA58FDB}"/>
    <hyperlink ref="A41" r:id="rId6" display="[ANP-25440] Logfiles: Multi-Lane Till Development - Jira" xr:uid="{23081223-CE6F-4B32-9CDF-82ABD336AF9E}"/>
    <hyperlink ref="A43" r:id="rId7" display="[ANP-27041] Switch Transaction Data Endpoints - Jira" xr:uid="{1535D73E-C760-4563-AED1-533FC416FAE8}"/>
    <hyperlink ref="A34" r:id="rId8" display="[ANP-27669] [UK] Integrate POS Core for OPI boolean fix - Jira" xr:uid="{7AD80124-9CEE-4FF4-8407-5742093E5509}"/>
    <hyperlink ref="J36" r:id="rId9" display="[ANP-26021] OPS &amp; Support Initiative - Jira" xr:uid="{83A07048-1CC0-4B3A-AD52-D2D5FD29F688}"/>
    <hyperlink ref="J37" r:id="rId10" display="[ANP-26021] OPS &amp; Support Initiative - Jira" xr:uid="{22542DAF-97D5-457E-977D-C657F1165641}"/>
    <hyperlink ref="J38" r:id="rId11" display="[ANP-18572] CHOP AT [DMND0061403] - Jira" xr:uid="{7E50FE39-C498-4E5E-9DCB-6C24B844A247}"/>
    <hyperlink ref="J41" r:id="rId12" display="[ANP-22244] Collect Logfiles in /var/log - Jira" xr:uid="{400D3689-7CE1-4D87-AD94-13435DB5EAD9}"/>
    <hyperlink ref="J43" r:id="rId13" display="[ANP-25952] Backoffice Transaction Data Refactoring - Switch Transaction data endpoints (MCO) - Jira" xr:uid="{4FAA0851-7C0E-46CE-81F6-6457E2EC5977}"/>
    <hyperlink ref="A39" r:id="rId14" display="https://aldi-sued.atlassian.net/browse/ANP-28132" xr:uid="{56109524-7C1E-4EFD-8620-C6E93F9BAFF9}"/>
    <hyperlink ref="A33" r:id="rId15" display="https://aldi-sued.atlassian.net/browse/ANP-28122" xr:uid="{59679BED-02C6-4CFE-8204-E762A9037368}"/>
    <hyperlink ref="A32" r:id="rId16" display="[ANP-28241] EFTPOS key not working on 4.1 C6 - Jira" xr:uid="{7BC25B12-2904-47A8-9B78-C8199E9D8530}"/>
    <hyperlink ref="A42" r:id="rId17" display="[ANP-26704] [SPIKE] Multilane Mock improvement for application tests - Jira" xr:uid="{7CBBC643-60CA-4BA2-BC5E-18D0A7382AB9}"/>
    <hyperlink ref="A44" r:id="rId18" display="[ANP-28374] Pick Tickets to 4.7.14 - Jira" xr:uid="{3FA1EB16-7B5E-43D0-A1C4-9E1989898357}"/>
    <hyperlink ref="J42" r:id="rId19" display="[ANP-9451] Development Improvements for MCO - Jira" xr:uid="{A5ECC445-964B-4440-9B69-1748EF4CF67A}"/>
    <hyperlink ref="A45" r:id="rId20" display="https://aldi-sued.atlassian.net/browse/NPSCO-17305" xr:uid="{4696D049-D6CA-41B7-9C0D-297B71016B37}"/>
    <hyperlink ref="B45" r:id="rId21" display="https://aldi-sued.atlassian.net/browse/NPSCO-17305" xr:uid="{F0FA01B6-EF73-4815-B314-1935C6FEC39B}"/>
    <hyperlink ref="A46" r:id="rId22" display="https://aldi-sued.atlassian.net/browse/NPSCO-20626" xr:uid="{A1FF1343-6B78-48B1-B2E5-53A0A0073A0F}"/>
    <hyperlink ref="B46" r:id="rId23" display="https://aldi-sued.atlassian.net/browse/NPSCO-20626" xr:uid="{5375E945-FE27-40B4-BA7E-B9377C055298}"/>
    <hyperlink ref="A47" r:id="rId24" display="https://aldi-sued.atlassian.net/browse/NPSCO-19917" xr:uid="{02ABAC91-DB2B-4993-ABBC-AC73452B377A}"/>
    <hyperlink ref="B47" r:id="rId25" display="https://aldi-sued.atlassian.net/browse/NPSCO-19917" xr:uid="{1FC7701C-67CB-4EE3-9A65-5F1D52882E96}"/>
    <hyperlink ref="A48" r:id="rId26" display="https://aldi-sued.atlassian.net/browse/NPSCO-19395" xr:uid="{49504DCC-C136-41F1-9136-63F667147914}"/>
    <hyperlink ref="B48" r:id="rId27" display="https://aldi-sued.atlassian.net/browse/NPSCO-19395" xr:uid="{97C8C437-17CC-4A9D-BDC6-CA0423D4F5C7}"/>
    <hyperlink ref="A49" r:id="rId28" display="https://aldi-sued.atlassian.net/browse/NPSCO-16137" xr:uid="{4D382379-F42F-4ADC-9655-1B5FA20E0A09}"/>
    <hyperlink ref="B49" r:id="rId29" display="https://aldi-sued.atlassian.net/browse/NPSCO-16137" xr:uid="{69416D0F-1218-4B7D-8CBE-D5B64F69DE41}"/>
    <hyperlink ref="A50" r:id="rId30" display="https://aldi-sued.atlassian.net/browse/NPSCO-20363" xr:uid="{17E79E32-F082-412B-81BF-45FCB813BDDE}"/>
    <hyperlink ref="B50" r:id="rId31" display="https://aldi-sued.atlassian.net/browse/NPSCO-20363" xr:uid="{4CF107D3-4692-4751-AD9F-BF35B2F71330}"/>
    <hyperlink ref="A51" r:id="rId32" display="https://aldi-sued.atlassian.net/browse/NPSCO-20806" xr:uid="{44FAE26C-A83A-4E81-B7D5-D898A2200AFD}"/>
    <hyperlink ref="B51" r:id="rId33" display="https://aldi-sued.atlassian.net/browse/NPSCO-20806" xr:uid="{477A60B1-4461-484D-AF52-08D6C5C3EB96}"/>
    <hyperlink ref="A52" r:id="rId34" display="https://aldi-sued.atlassian.net/browse/NPSCO-20799" xr:uid="{C37FFB16-4B0E-464E-8275-294A6F4262C8}"/>
    <hyperlink ref="B52" r:id="rId35" display="https://aldi-sued.atlassian.net/browse/NPSCO-20799" xr:uid="{7047E492-D058-4545-9A2D-5B4E992EA9D5}"/>
    <hyperlink ref="A53" r:id="rId36" display="https://aldi-sued.atlassian.net/browse/NPSCO-21174" xr:uid="{0946FEF7-C077-4EF5-B3FB-A125E8AD7837}"/>
    <hyperlink ref="B53" r:id="rId37" display="https://aldi-sued.atlassian.net/browse/NPSCO-21174" xr:uid="{D1FF2F20-1731-4DE8-A2FB-6DE7F9BED05B}"/>
    <hyperlink ref="A54" r:id="rId38" display="https://aldi-sued.atlassian.net/browse/NPSCO-21079" xr:uid="{9BB17273-07F5-4397-9B8F-01373D03F649}"/>
    <hyperlink ref="B54" r:id="rId39" display="https://aldi-sued.atlassian.net/browse/NPSCO-21079" xr:uid="{4098918D-901F-41E5-9D3A-D25FD686CC5E}"/>
    <hyperlink ref="A55" r:id="rId40" display="https://aldi-sued.atlassian.net/browse/NPSCO-21175" xr:uid="{61D71439-4FFD-4745-B177-0F659BA8B259}"/>
    <hyperlink ref="B55" r:id="rId41" display="https://aldi-sued.atlassian.net/browse/NPSCO-21175" xr:uid="{0230FC24-4737-4A6E-9601-9A0DADC02F41}"/>
    <hyperlink ref="A56" r:id="rId42" display="https://aldi-sued.atlassian.net/browse/NPSCO-21241" xr:uid="{8F75FF1C-B6A7-4D9A-B30D-A30818E5DD01}"/>
    <hyperlink ref="B56" r:id="rId43" display="https://aldi-sued.atlassian.net/browse/NPSCO-21241" xr:uid="{73C4B7B6-6202-4D5B-A138-D9874905FD01}"/>
    <hyperlink ref="A57" r:id="rId44" display="https://aldi-sued.atlassian.net/browse/NPSCO-21381" xr:uid="{5D432A85-A2A5-435D-A576-D8566044476E}"/>
    <hyperlink ref="B57" r:id="rId45" display="https://aldi-sued.atlassian.net/browse/NPSCO-21381" xr:uid="{A098D84B-D4AF-4A8B-851E-A30B693844D9}"/>
    <hyperlink ref="A58" r:id="rId46" display="https://aldi-sued.atlassian.net/browse/NPSCO-21274" xr:uid="{162A446E-5707-47E1-B063-7A4498702607}"/>
    <hyperlink ref="B58" r:id="rId47" display="https://aldi-sued.atlassian.net/browse/NPSCO-21274" xr:uid="{97E1C8A6-FA9B-4907-8BB3-9919DCE1EDEB}"/>
    <hyperlink ref="A59" r:id="rId48" display="https://aldi-sued.atlassian.net/browse/NPSCO-21480" xr:uid="{18D23C02-E372-43B5-91E8-081AEF54B294}"/>
    <hyperlink ref="B59" r:id="rId49" display="https://aldi-sued.atlassian.net/browse/NPSCO-21480" xr:uid="{BADD440F-3A4D-44B9-B6D3-233CDDC4317A}"/>
    <hyperlink ref="A60" r:id="rId50" display="https://aldi-sued.atlassian.net/browse/NPSCO-21519" xr:uid="{BFA68F53-1ECF-433E-A660-862E32A60346}"/>
    <hyperlink ref="B60" r:id="rId51" display="https://aldi-sued.atlassian.net/browse/NPSCO-21519" xr:uid="{8C43F14E-0D32-4EF3-B8A8-CA1FB69F8F1F}"/>
    <hyperlink ref="A61" r:id="rId52" display="https://aldi-sued.atlassian.net/browse/NPSCO-21545" xr:uid="{BD2A1A76-F96F-4D8C-A4E4-E9A98C991472}"/>
    <hyperlink ref="B61" r:id="rId53" display="https://aldi-sued.atlassian.net/browse/NPSCO-21545" xr:uid="{EF0A03F2-CEA9-44D7-A38F-F83252B590A3}"/>
    <hyperlink ref="A62" r:id="rId54" display="https://aldi-sued.atlassian.net/browse/NPSCO-18575" xr:uid="{0D0BA400-6433-403E-8EF4-FECA1E29389E}"/>
    <hyperlink ref="B62" r:id="rId55" display="https://aldi-sued.atlassian.net/browse/NPSCO-18575" xr:uid="{07047999-CADF-42BC-A7EB-EB08DE715A17}"/>
    <hyperlink ref="A63" r:id="rId56" display="https://aldi-sued.atlassian.net/browse/NPSCO-16394" xr:uid="{D6A4B577-4F08-430F-A67C-68A28E2B13B7}"/>
    <hyperlink ref="B63" r:id="rId57" display="https://aldi-sued.atlassian.net/browse/NPSCO-16394" xr:uid="{D6385811-5606-4C3E-8152-77F9875C5ED2}"/>
    <hyperlink ref="A64" r:id="rId58" display="https://aldi-sued.atlassian.net/browse/NPSCO-19202" xr:uid="{8EC7B940-2D0B-4B44-A658-C0D57EA9C278}"/>
    <hyperlink ref="B64" r:id="rId59" display="https://aldi-sued.atlassian.net/browse/NPSCO-19202" xr:uid="{6B28B407-209F-4C6A-8C4A-525D6F841D63}"/>
    <hyperlink ref="A65" r:id="rId60" display="https://aldi-sued.atlassian.net/browse/NPSCO-15567" xr:uid="{D62AB62F-DFA7-4116-A69D-C611BA8FF523}"/>
    <hyperlink ref="B65" r:id="rId61" display="https://aldi-sued.atlassian.net/browse/NPSCO-15567" xr:uid="{9EB8676E-1DCD-43FF-B8A9-9B89559312F1}"/>
    <hyperlink ref="A66" r:id="rId62" display="https://aldi-sued.atlassian.net/browse/NPSCO-17964" xr:uid="{8DE0BEC2-C730-4EDC-8DCE-DDB95EF44B8C}"/>
    <hyperlink ref="B66" r:id="rId63" display="https://aldi-sued.atlassian.net/browse/NPSCO-17964" xr:uid="{843873BD-E81B-45DA-804D-B76423B2940F}"/>
    <hyperlink ref="A67" r:id="rId64" display="https://aldi-sued.atlassian.net/browse/NPSCO-20879" xr:uid="{73BD7251-961F-428A-83FB-D648E05303E5}"/>
    <hyperlink ref="B67" r:id="rId65" display="https://aldi-sued.atlassian.net/browse/NPSCO-20879" xr:uid="{0B6D5F08-08D1-470F-A3C0-E7EBCC78BC67}"/>
    <hyperlink ref="A68" r:id="rId66" display="https://aldi-sued.atlassian.net/browse/NPSCO-21276" xr:uid="{91859A1A-1786-4B71-A1F0-8A7F6E1A659A}"/>
    <hyperlink ref="B68" r:id="rId67" display="https://aldi-sued.atlassian.net/browse/NPSCO-21276" xr:uid="{706901B6-904E-4F85-B6D7-70757FFF8049}"/>
    <hyperlink ref="A69" r:id="rId68" display="https://aldi-sued.atlassian.net/browse/NPSCO-21123" xr:uid="{9C4671D3-512D-4152-BA79-896ABDA79AB4}"/>
    <hyperlink ref="B69" r:id="rId69" display="https://aldi-sued.atlassian.net/browse/NPSCO-21123" xr:uid="{8449B74D-246A-49CA-8F3E-9EC887A2282C}"/>
    <hyperlink ref="A70" r:id="rId70" display="https://aldi-sued.atlassian.net/browse/NPSCO-21122" xr:uid="{D3004B68-1CAD-40A6-BA27-91E249F18C37}"/>
    <hyperlink ref="B70" r:id="rId71" display="https://aldi-sued.atlassian.net/browse/NPSCO-21122" xr:uid="{F89D8659-2DA9-4710-B72D-975A2D0209E6}"/>
    <hyperlink ref="A71" r:id="rId72" display="https://aldi-sued.atlassian.net/browse/NPSCO-17408" xr:uid="{AEDF4BD9-AF05-4E15-B33C-4F5347B46C22}"/>
    <hyperlink ref="B71" r:id="rId73" display="https://aldi-sued.atlassian.net/browse/NPSCO-17408" xr:uid="{448108F2-852C-4E1E-AEFB-D329DA57E874}"/>
    <hyperlink ref="A72" r:id="rId74" display="https://aldi-sued.atlassian.net/browse/NPSCO-21067" xr:uid="{93C01B72-CFFD-440E-854A-9DAF16C956A9}"/>
    <hyperlink ref="B72" r:id="rId75" display="https://aldi-sued.atlassian.net/browse/NPSCO-21067" xr:uid="{E91BFA6F-E1ED-4F8D-B681-23239C39CF25}"/>
    <hyperlink ref="A129" r:id="rId76" display="https://aldi-sued.atlassian.net/browse/NPSCO-19621" xr:uid="{6BCCFCB3-2919-4D4A-A987-09CE9A73DB03}"/>
    <hyperlink ref="B129" r:id="rId77" display="https://aldi-sued.atlassian.net/browse/NPSCO-19621" xr:uid="{F36EA630-A3A8-431F-B11E-675923DBE648}"/>
    <hyperlink ref="A130" r:id="rId78" display="https://aldi-sued.atlassian.net/browse/NPSCO-19620" xr:uid="{B98F8E6F-139B-48C6-9DA5-F45724FD3ADA}"/>
    <hyperlink ref="B130" r:id="rId79" display="https://aldi-sued.atlassian.net/browse/NPSCO-19620" xr:uid="{F88B8F90-48FE-4851-81E9-76D574F28357}"/>
    <hyperlink ref="A131" r:id="rId80" display="https://aldi-sued.atlassian.net/browse/NPSCO-20440" xr:uid="{F61B868C-BDF4-41F5-9BB5-0EF7A30308E5}"/>
    <hyperlink ref="B131" r:id="rId81" display="https://aldi-sued.atlassian.net/browse/NPSCO-20440" xr:uid="{7CED5A4D-418D-4415-AD54-11EC73D442BF}"/>
    <hyperlink ref="A132" r:id="rId82" display="https://aldi-sued.atlassian.net/browse/NPSCO-20856" xr:uid="{C5938B60-82D3-4769-8475-7475D03E3B81}"/>
    <hyperlink ref="B132" r:id="rId83" display="https://aldi-sued.atlassian.net/browse/NPSCO-20856" xr:uid="{6F6DC51A-CF47-4FA7-A50F-D4BC696F41C9}"/>
    <hyperlink ref="A133" r:id="rId84" display="https://aldi-sued.atlassian.net/browse/NPSCO-21179" xr:uid="{8FAF4E2D-9F5C-48E6-B834-3C577F8A72BE}"/>
    <hyperlink ref="B133" r:id="rId85" display="https://aldi-sued.atlassian.net/browse/NPSCO-21179" xr:uid="{AC728664-2DDB-46CB-9D9C-EC68685577A4}"/>
    <hyperlink ref="A134" r:id="rId86" display="https://aldi-sued.atlassian.net/browse/NPSCO-21182" xr:uid="{34AC0C9C-C5F5-4F01-BF28-DFFAAA30CD8F}"/>
    <hyperlink ref="B134" r:id="rId87" display="https://aldi-sued.atlassian.net/browse/NPSCO-21182" xr:uid="{0204950C-9451-4E42-98F4-3AD7B86C6B29}"/>
    <hyperlink ref="A135" r:id="rId88" display="https://aldi-sued.atlassian.net/browse/NPSCO-20855" xr:uid="{8E00E366-B7DC-4300-BBFE-D05426954DA6}"/>
    <hyperlink ref="B135" r:id="rId89" display="https://aldi-sued.atlassian.net/browse/NPSCO-20855" xr:uid="{26205002-FFBE-44B8-AE2A-FBB8AF8F851D}"/>
    <hyperlink ref="A136" r:id="rId90" display="https://aldi-sued.atlassian.net/browse/NPSCO-20647" xr:uid="{75CFEFF3-AFD2-421C-9269-84205CEFE3A8}"/>
    <hyperlink ref="B136" r:id="rId91" display="https://aldi-sued.atlassian.net/browse/NPSCO-20647" xr:uid="{A5EB3555-65AA-43EF-8446-0D078DF34E83}"/>
    <hyperlink ref="A137" r:id="rId92" display="https://aldi-sued.atlassian.net/browse/NPSCO-20297" xr:uid="{C975D045-92F4-4F47-9C24-B975EDCBC951}"/>
    <hyperlink ref="B137" r:id="rId93" display="https://aldi-sued.atlassian.net/browse/NPSCO-20297" xr:uid="{471FF66C-09CF-4131-8E57-272FA89A95B2}"/>
    <hyperlink ref="A138" r:id="rId94" display="https://aldi-sued.atlassian.net/browse/NPSCO-20959" xr:uid="{8667FAE5-91F1-4AC8-8DDC-F85C0F448313}"/>
    <hyperlink ref="B138" r:id="rId95" display="https://aldi-sued.atlassian.net/browse/NPSCO-20959" xr:uid="{4029B2D9-FD64-4DBF-B34D-ACF66B9BABBD}"/>
    <hyperlink ref="A139" r:id="rId96" display="https://aldi-sued.atlassian.net/browse/NPSCO-20854" xr:uid="{B79558D7-6666-4C5B-ABB1-E282C55CDDD0}"/>
    <hyperlink ref="B139" r:id="rId97" display="https://aldi-sued.atlassian.net/browse/NPSCO-20854" xr:uid="{B22DDCDB-D95D-4390-A160-C11908BB9276}"/>
    <hyperlink ref="A140" r:id="rId98" display="https://aldi-sued.atlassian.net/browse/NPSCO-21641" xr:uid="{D1B3AEDF-8BD2-441B-A022-0D058DCE6782}"/>
    <hyperlink ref="B140" r:id="rId99" display="https://aldi-sued.atlassian.net/browse/NPSCO-21641" xr:uid="{60764C98-DA68-4CA1-808B-41B1A7A0491F}"/>
    <hyperlink ref="A141" r:id="rId100" display="https://aldi-sued.atlassian.net/browse/NPSCO-21115" xr:uid="{B73AED8F-9575-42BA-AAC2-E96D5349B05E}"/>
    <hyperlink ref="B141" r:id="rId101" display="https://aldi-sued.atlassian.net/browse/NPSCO-21115" xr:uid="{328E8FB2-1A80-4964-8551-3A9D351603B2}"/>
    <hyperlink ref="A142" r:id="rId102" display="https://aldi-sued.atlassian.net/browse/NPSCO-21116" xr:uid="{DA1F36FE-C28F-401D-BD92-D5A94832F0DD}"/>
    <hyperlink ref="B142" r:id="rId103" display="https://aldi-sued.atlassian.net/browse/NPSCO-21116" xr:uid="{4D97180D-B489-435F-8574-5CC61341B0B3}"/>
    <hyperlink ref="A143" r:id="rId104" display="https://aldi-sued.atlassian.net/browse/NPSCO-21117" xr:uid="{D269B3DC-900E-43AE-BF72-EBFA9A12B981}"/>
    <hyperlink ref="B143" r:id="rId105" display="https://aldi-sued.atlassian.net/browse/NPSCO-21117" xr:uid="{00DA0FC9-9364-4C82-AC46-187A94234F9F}"/>
    <hyperlink ref="A144" r:id="rId106" display="https://aldi-sued.atlassian.net/browse/NPSCO-20414" xr:uid="{72914E97-3F5D-4AC2-A72A-5E71ED6BF25F}"/>
    <hyperlink ref="B144" r:id="rId107" display="https://aldi-sued.atlassian.net/browse/NPSCO-20414" xr:uid="{6BC39E2E-8B18-41FE-B684-7F12AB65814B}"/>
    <hyperlink ref="A145" r:id="rId108" display="https://aldi-sued.atlassian.net/browse/NPSCO-21269" xr:uid="{11B35EF0-C5FD-45FF-B389-AFDFED2C67B3}"/>
    <hyperlink ref="B145" r:id="rId109" display="https://aldi-sued.atlassian.net/browse/NPSCO-21269" xr:uid="{4C6305DA-D263-4FD8-A2D1-D899AA04B8A5}"/>
    <hyperlink ref="A146" r:id="rId110" display="https://aldi-sued.atlassian.net/browse/NPSCO-21656" xr:uid="{428D867F-97BF-478A-9908-ED37A3D42247}"/>
    <hyperlink ref="B146" r:id="rId111" display="https://aldi-sued.atlassian.net/browse/NPSCO-21656" xr:uid="{562FBBA8-AA2A-4919-A169-0926900BE7F9}"/>
    <hyperlink ref="A147" r:id="rId112" display="https://aldi-sued.atlassian.net/browse/NPSCO-21290" xr:uid="{3D4ACB87-4D0A-46E3-9A1B-DD90CB505956}"/>
    <hyperlink ref="B147" r:id="rId113" display="https://aldi-sued.atlassian.net/browse/NPSCO-21290" xr:uid="{2CEC30F6-8AA0-4DC5-9E15-E341015C3CC9}"/>
    <hyperlink ref="A148" r:id="rId114" display="https://aldi-sued.atlassian.net/browse/NPSCO-21697" xr:uid="{099163C6-3A7F-47AA-B268-C07B6B43F218}"/>
    <hyperlink ref="B148" r:id="rId115" display="https://aldi-sued.atlassian.net/browse/NPSCO-21697" xr:uid="{1CEBEC33-E8CB-4B13-9561-4E63F3E6290A}"/>
    <hyperlink ref="A149" r:id="rId116" display="https://aldi-sued.atlassian.net/browse/NPSCO-21296" xr:uid="{4D3BDFEF-12FB-4DF5-A097-A181D3A88BAC}"/>
    <hyperlink ref="B149" r:id="rId117" display="https://aldi-sued.atlassian.net/browse/NPSCO-21296" xr:uid="{6244C949-6DEE-466D-8A6E-87A42465C6AD}"/>
    <hyperlink ref="A150" r:id="rId118" display="https://aldi-sued.atlassian.net/browse/ANP-28405" xr:uid="{CD213684-9F75-4138-ABDB-B6C8D72330E9}"/>
    <hyperlink ref="B150" r:id="rId119" display="https://aldi-sued.atlassian.net/browse/ANP-28405" xr:uid="{87AF83B4-7154-4D37-AB37-ACE57FB0587F}"/>
    <hyperlink ref="A151" r:id="rId120" display="https://aldi-sued.atlassian.net/browse/ANP-27993" xr:uid="{A407325A-6341-445B-AECF-A1F74D478725}"/>
    <hyperlink ref="B151" r:id="rId121" display="https://aldi-sued.atlassian.net/browse/ANP-27993" xr:uid="{9151E1ED-1EE5-4F26-A92A-DC35828141E3}"/>
    <hyperlink ref="A152" r:id="rId122" display="https://aldi-sued.atlassian.net/browse/ANP-27424" xr:uid="{C5A85989-37C6-453A-8AFF-050D63658A14}"/>
    <hyperlink ref="B152" r:id="rId123" display="https://aldi-sued.atlassian.net/browse/ANP-27424" xr:uid="{01949810-F43E-44AB-9DD6-7733E3989BD1}"/>
    <hyperlink ref="A153" r:id="rId124" display="https://aldi-sued.atlassian.net/browse/ANP-27997" xr:uid="{1613818A-4B10-4ABC-8AA7-173C3CA9BA1C}"/>
    <hyperlink ref="B153" r:id="rId125" display="https://aldi-sued.atlassian.net/browse/ANP-27997" xr:uid="{300CE717-BC7D-4F0A-9A5C-2F18A357E5DB}"/>
    <hyperlink ref="A154" r:id="rId126" display="https://aldi-sued.atlassian.net/browse/ANP-27974" xr:uid="{DD3A1F2F-AE6C-4151-9990-008D7DDCFB38}"/>
    <hyperlink ref="B154" r:id="rId127" display="https://aldi-sued.atlassian.net/browse/ANP-27974" xr:uid="{B6AF1337-1744-42B0-BC56-6A9F8F1D3FA0}"/>
    <hyperlink ref="A155" r:id="rId128" display="https://aldi-sued.atlassian.net/browse/ANP-27468" xr:uid="{A44442E3-FD83-4021-9B6B-A0FD79EC9729}"/>
    <hyperlink ref="B155" r:id="rId129" display="https://aldi-sued.atlassian.net/browse/ANP-27468" xr:uid="{297B86D1-600A-496D-9589-98FA1D1E9D50}"/>
    <hyperlink ref="A156" r:id="rId130" display="https://aldi-sued.atlassian.net/browse/ANP-28356" xr:uid="{06D9CB32-6BE0-4287-B77A-AB5DE6A32958}"/>
    <hyperlink ref="B156" r:id="rId131" display="https://aldi-sued.atlassian.net/browse/ANP-28356" xr:uid="{1B7AFD68-3951-4C1B-98D6-3C1BE86E78DA}"/>
    <hyperlink ref="A157" r:id="rId132" display="https://aldi-sued.atlassian.net/browse/ANP-28359" xr:uid="{32DD63C7-9037-4510-AEE4-CADA94F30CC7}"/>
    <hyperlink ref="B157" r:id="rId133" display="https://aldi-sued.atlassian.net/browse/ANP-28359" xr:uid="{F853638C-5018-4DDF-AFA8-58C5A9BB40C4}"/>
    <hyperlink ref="A158" r:id="rId134" display="https://aldi-sued.atlassian.net/browse/ANP-27769" xr:uid="{E2B87050-E522-4B65-B36D-EBF379D6B596}"/>
    <hyperlink ref="B158" r:id="rId135" display="https://aldi-sued.atlassian.net/browse/ANP-27769" xr:uid="{8E1D6B58-B4F0-4A3F-870D-98C77D6B5454}"/>
    <hyperlink ref="A159" r:id="rId136" display="https://aldi-sued.atlassian.net/browse/ANP-27761" xr:uid="{EDB8A64C-DA1C-464D-859E-24F463B38F54}"/>
    <hyperlink ref="B159" r:id="rId137" display="https://aldi-sued.atlassian.net/browse/ANP-27761" xr:uid="{0FEA3F62-DD39-4C9D-9498-43C059AF7E5E}"/>
    <hyperlink ref="A160" r:id="rId138" display="https://aldi-sued.atlassian.net/browse/ANP-26854" xr:uid="{2030914A-22AF-417E-9034-A2B5CFC4803A}"/>
    <hyperlink ref="B160" r:id="rId139" display="https://aldi-sued.atlassian.net/browse/ANP-26854" xr:uid="{16EC48C6-E58F-48AC-B333-EA7A700D225C}"/>
    <hyperlink ref="A161" r:id="rId140" display="https://aldi-sued.atlassian.net/browse/ANP-27718" xr:uid="{5C7998EC-786D-4A71-B5A7-5579B3DCB02D}"/>
    <hyperlink ref="B161" r:id="rId141" display="https://aldi-sued.atlassian.net/browse/ANP-27718" xr:uid="{E18913C9-223E-4DDA-83B0-58C5C0F86D18}"/>
    <hyperlink ref="A162" r:id="rId142" display="https://aldi-sued.atlassian.net/browse/ANP-27483" xr:uid="{67D121ED-197E-44BC-A6CB-E7E2220E41F1}"/>
    <hyperlink ref="B162" r:id="rId143" display="https://aldi-sued.atlassian.net/browse/ANP-27483" xr:uid="{B458BD8C-8485-4C10-A9FD-B16CEDAB4CA0}"/>
    <hyperlink ref="A163" r:id="rId144" display="https://aldi-sued.atlassian.net/browse/ANP-27613" xr:uid="{BE525395-8F55-42CB-A991-C4D47C8EEE99}"/>
    <hyperlink ref="B163" r:id="rId145" display="https://aldi-sued.atlassian.net/browse/ANP-27613" xr:uid="{E4A6493A-B3BE-4A35-85F4-3539C3809D70}"/>
    <hyperlink ref="A164" r:id="rId146" display="https://aldi-sued.atlassian.net/browse/ANP-27698" xr:uid="{AD2EE2ED-743B-4120-BC7F-E8A125FC5C2E}"/>
    <hyperlink ref="B164" r:id="rId147" display="https://aldi-sued.atlassian.net/browse/ANP-27698" xr:uid="{042B02FB-0CD6-49DB-AA18-1AAE0241C891}"/>
    <hyperlink ref="A165" r:id="rId148" display="https://aldi-sued.atlassian.net/browse/ANP-26738" xr:uid="{EA47518D-50CF-471A-90FB-A0FF10DD25B0}"/>
    <hyperlink ref="B165" r:id="rId149" display="https://aldi-sued.atlassian.net/browse/ANP-26738" xr:uid="{9EE489A7-A8D9-4356-B5AF-BC3A3264275F}"/>
    <hyperlink ref="A166" r:id="rId150" display="https://aldi-sued.atlassian.net/browse/ANP-17348" xr:uid="{CB6C3091-CF00-4BF9-8DCA-DECB6BE3C1E4}"/>
    <hyperlink ref="B166" r:id="rId151" display="https://aldi-sued.atlassian.net/browse/ANP-17348" xr:uid="{02308578-C6A8-41AA-A4EB-6840186FC51E}"/>
    <hyperlink ref="A167" r:id="rId152" display="https://aldi-sued.atlassian.net/browse/ANP-27716" xr:uid="{6A466421-3259-4806-91E3-048A7958657C}"/>
    <hyperlink ref="B167" r:id="rId153" display="https://aldi-sued.atlassian.net/browse/ANP-27716" xr:uid="{FC84DB8D-B275-4CAD-A6EA-A3A5889D6743}"/>
    <hyperlink ref="A168" r:id="rId154" display="https://aldi-sued.atlassian.net/browse/ANP-27580" xr:uid="{60C0CDE6-B530-4D27-B174-751BB0BA92F5}"/>
    <hyperlink ref="B168" r:id="rId155" display="https://aldi-sued.atlassian.net/browse/ANP-27580" xr:uid="{67A3CA53-9B1B-4AC4-A83E-EAA813C0F431}"/>
    <hyperlink ref="A169" r:id="rId156" display="https://aldi-sued.atlassian.net/browse/ANP-27563" xr:uid="{53DF201A-704D-4E25-A944-6BC6F055EA7A}"/>
    <hyperlink ref="B169" r:id="rId157" display="https://aldi-sued.atlassian.net/browse/ANP-27563" xr:uid="{44B3F0E1-2038-4C94-ACC2-75F31FD46824}"/>
    <hyperlink ref="A170" r:id="rId158" display="https://aldi-sued.atlassian.net/browse/ANP-27693" xr:uid="{B006F2A4-CC2B-4F45-8E50-294F075AF7D0}"/>
    <hyperlink ref="B170" r:id="rId159" display="https://aldi-sued.atlassian.net/browse/ANP-27693" xr:uid="{634F39AE-4680-4768-98D3-0524A3E97F8C}"/>
    <hyperlink ref="A171" r:id="rId160" display="https://aldi-sued.atlassian.net/browse/ANP-27713" xr:uid="{D11C82A6-69B4-47D7-8E97-89CAE8C1F169}"/>
    <hyperlink ref="B171" r:id="rId161" display="https://aldi-sued.atlassian.net/browse/ANP-27713" xr:uid="{74E5AA62-C002-4FDE-AB9B-2DD13DDDA64F}"/>
    <hyperlink ref="A172" r:id="rId162" display="https://aldi-sued.atlassian.net/browse/ANP-27715" xr:uid="{BD6000E2-D5D0-48BB-AAB3-0E9EB35EC1DE}"/>
    <hyperlink ref="B172" r:id="rId163" display="https://aldi-sued.atlassian.net/browse/ANP-27715" xr:uid="{80B8418D-41CB-4B9E-8492-5AC4A544527C}"/>
    <hyperlink ref="A173" r:id="rId164" display="https://aldi-sued.atlassian.net/browse/ANP-27638" xr:uid="{48368679-358B-49D4-9775-242C24DEA75C}"/>
    <hyperlink ref="B173" r:id="rId165" display="https://aldi-sued.atlassian.net/browse/ANP-27638" xr:uid="{C7B2D02F-709E-4A0E-9239-BAA2E37D891E}"/>
    <hyperlink ref="A174" r:id="rId166" display="https://aldi-sued.atlassian.net/browse/ANP-27133" xr:uid="{A2B6E59D-4F62-4BFE-9EA7-E5D519CA2A05}"/>
    <hyperlink ref="B174" r:id="rId167" display="https://aldi-sued.atlassian.net/browse/ANP-27133" xr:uid="{B91ED2CC-60F4-442C-9AE0-ED219ED912A0}"/>
    <hyperlink ref="A175" r:id="rId168" display="https://aldi-sued.atlassian.net/browse/ANP-27170" xr:uid="{6B569383-086A-4728-ADA3-8ED52A2DA113}"/>
    <hyperlink ref="B175" r:id="rId169" display="https://aldi-sued.atlassian.net/browse/ANP-27170" xr:uid="{2B39575B-F0FE-44A4-A505-947E304034D2}"/>
    <hyperlink ref="A176" r:id="rId170" display="https://aldi-sued.atlassian.net/browse/ANP-25038" xr:uid="{07E5D3A1-C116-4C16-A1E4-B5525EA09FA8}"/>
    <hyperlink ref="B176" r:id="rId171" display="https://aldi-sued.atlassian.net/browse/ANP-25038" xr:uid="{DA5419FB-9EA0-493B-B7A6-EE4EB731A11F}"/>
    <hyperlink ref="A177" r:id="rId172" display="https://aldi-sued.atlassian.net/browse/ANP-27150" xr:uid="{754ACAA9-06BE-4249-8BE1-FE67CFF2B267}"/>
    <hyperlink ref="B177" r:id="rId173" display="https://aldi-sued.atlassian.net/browse/ANP-27150" xr:uid="{6CF3B7D6-593C-44A3-AE36-989733781835}"/>
    <hyperlink ref="A178" r:id="rId174" display="https://aldi-sued.atlassian.net/browse/ANP-28000" xr:uid="{CBED79D7-0724-4E32-9ABC-3335F3A55043}"/>
    <hyperlink ref="B178" r:id="rId175" display="https://aldi-sued.atlassian.net/browse/ANP-28000" xr:uid="{54379B21-AEC6-4125-8CB1-E425B300BA7D}"/>
    <hyperlink ref="A179" r:id="rId176" display="https://aldi-sued.atlassian.net/browse/ANP-28165" xr:uid="{2A43E917-7E1E-4DD3-ABDF-017005E43EB4}"/>
    <hyperlink ref="B179" r:id="rId177" display="https://aldi-sued.atlassian.net/browse/ANP-28165" xr:uid="{B9020C46-354F-4053-9760-CCC1DAB2C57B}"/>
    <hyperlink ref="A180" r:id="rId178" display="https://aldi-sued.atlassian.net/browse/ANP-28205" xr:uid="{089E91B1-C88F-458C-A1E1-6682954230C8}"/>
    <hyperlink ref="B180" r:id="rId179" display="https://aldi-sued.atlassian.net/browse/ANP-28205" xr:uid="{E2FCAD9E-D26B-4492-A8F7-1B3B4136C186}"/>
    <hyperlink ref="A181" r:id="rId180" display="https://aldi-sued.atlassian.net/browse/ANP-28175" xr:uid="{EF3E083A-D0B8-4076-900F-7EC65D41ED34}"/>
    <hyperlink ref="B181" r:id="rId181" display="https://aldi-sued.atlassian.net/browse/ANP-28175" xr:uid="{82418998-06B6-48FD-B54A-5D0AB2B84F44}"/>
    <hyperlink ref="A182" r:id="rId182" display="https://aldi-sued.atlassian.net/browse/ANP-28174" xr:uid="{97490B07-0B49-4701-B671-A1B90ECD19B1}"/>
    <hyperlink ref="B182" r:id="rId183" display="https://aldi-sued.atlassian.net/browse/ANP-28174" xr:uid="{D743E8E4-E0D5-45DC-885F-473A6DDECA73}"/>
    <hyperlink ref="A183" r:id="rId184" display="https://aldi-sued.atlassian.net/browse/ANP-28385" xr:uid="{DFF83265-63BC-429A-8AF0-00B8DCD853D0}"/>
    <hyperlink ref="B183" r:id="rId185" display="https://aldi-sued.atlassian.net/browse/ANP-28385" xr:uid="{420DD054-18F8-4838-9510-886C26A0C07E}"/>
    <hyperlink ref="A184" r:id="rId186" display="https://aldi-sued.atlassian.net/browse/ANP-26888" xr:uid="{70D0D7E4-7895-4536-AD27-99B909F50055}"/>
    <hyperlink ref="B184" r:id="rId187" display="https://aldi-sued.atlassian.net/browse/ANP-26888" xr:uid="{8818F78F-1584-41FC-A98A-CBF3D6AE627D}"/>
    <hyperlink ref="A185" r:id="rId188" display="https://aldi-sued.atlassian.net/browse/ANP-28226" xr:uid="{420339AA-69BE-4BED-9450-3D0FD923E278}"/>
    <hyperlink ref="B185" r:id="rId189" display="https://aldi-sued.atlassian.net/browse/ANP-28226" xr:uid="{3788DCEF-2AFF-4908-9D98-D212C34A102A}"/>
    <hyperlink ref="A186" r:id="rId190" xr:uid="{92192173-ADD5-400B-8A70-DD3FE135A0EC}"/>
    <hyperlink ref="A187" r:id="rId191" xr:uid="{FFFAC8E9-9292-427F-B970-03CED33A2049}"/>
    <hyperlink ref="A188" r:id="rId192" xr:uid="{F59F5EF8-08B0-4A9B-ACC3-5821C556B382}"/>
    <hyperlink ref="A189" r:id="rId193" xr:uid="{9E76633C-FA7B-4A73-9D63-E31890002B70}"/>
    <hyperlink ref="A190" r:id="rId194" xr:uid="{4A25B4B3-EE4C-4768-81BC-6B92B89D066B}"/>
    <hyperlink ref="A191" r:id="rId195" xr:uid="{F9FBFAEC-8B28-495E-A0A1-5024EB8EF04F}"/>
    <hyperlink ref="A192" r:id="rId196" xr:uid="{35A879A0-B678-4B9F-9AFF-376454307AD7}"/>
    <hyperlink ref="A193" r:id="rId197" xr:uid="{C7BDDF53-BBAD-455A-98CB-481C55DF8F4C}"/>
    <hyperlink ref="A194" r:id="rId198" xr:uid="{265BC7B2-BF23-4AF3-9FB5-2CE0FD4226C7}"/>
    <hyperlink ref="A195" r:id="rId199" xr:uid="{D8395BBD-8193-41CE-9A07-D980FC64011F}"/>
    <hyperlink ref="A196" r:id="rId200" xr:uid="{1FD5B1CB-4513-4221-A9A2-D5A127945FD6}"/>
    <hyperlink ref="A197" r:id="rId201" xr:uid="{A0B20D98-4876-4C54-B974-4479F0EA09BA}"/>
    <hyperlink ref="A198" r:id="rId202" xr:uid="{53EEA2A8-1B8E-4C4E-A969-19ABD6348B7F}"/>
    <hyperlink ref="A199" r:id="rId203" xr:uid="{0755088B-AA07-403C-983C-109040E96ACA}"/>
    <hyperlink ref="A200" r:id="rId204" xr:uid="{EC726B69-24A1-4757-A2E3-DE93BFF16FFB}"/>
    <hyperlink ref="A201" r:id="rId205" xr:uid="{71B4B7E8-FF5F-496C-A109-DC77567FB5C0}"/>
    <hyperlink ref="A202" r:id="rId206" xr:uid="{93CAAC27-48BB-42BD-9B8B-3C7673DBB136}"/>
    <hyperlink ref="A203" r:id="rId207" xr:uid="{5096B263-C975-4DD6-8C77-B5BA711DC83C}"/>
    <hyperlink ref="A204" r:id="rId208" xr:uid="{7FEE46FF-0FAD-443A-96BA-EC0EED876105}"/>
    <hyperlink ref="A205" r:id="rId209" xr:uid="{3711D531-BDDF-4D8C-9F06-2EB7D1CA6E50}"/>
    <hyperlink ref="A206" r:id="rId210" xr:uid="{DB0FB35A-198D-493F-91F8-A9AB96575A44}"/>
    <hyperlink ref="A207" r:id="rId211" xr:uid="{CA43A313-DBB2-4D1B-A029-EFDA593E91E1}"/>
    <hyperlink ref="A208" r:id="rId212" xr:uid="{C5073887-A687-4ACA-AB9B-404808AE7C37}"/>
    <hyperlink ref="A209" r:id="rId213" xr:uid="{4F96DEDE-B4E2-4300-B52B-1BDA2CCC2755}"/>
    <hyperlink ref="A210" r:id="rId214" xr:uid="{C8E57D80-92FA-4D49-9A7E-236E6CAA3331}"/>
    <hyperlink ref="A211" r:id="rId215" xr:uid="{DC949619-243C-45A8-9A8D-DFF31EF692CC}"/>
    <hyperlink ref="A212" r:id="rId216" xr:uid="{84E323DD-4738-4778-831A-71B9B05EBBD2}"/>
    <hyperlink ref="A213" r:id="rId217" xr:uid="{1DFD67B4-72CC-44AB-9A19-0B77F67BC011}"/>
    <hyperlink ref="A214" r:id="rId218" xr:uid="{5F6F63ED-80B0-44B7-9510-1472A7837D71}"/>
    <hyperlink ref="A215" r:id="rId219" xr:uid="{17E02167-5BF4-485A-9918-A1820F266DC3}"/>
    <hyperlink ref="A216" r:id="rId220" xr:uid="{04D47C1D-CED5-474B-B5D3-01A3EA826A0E}"/>
    <hyperlink ref="A217" r:id="rId221" xr:uid="{DBD1EEAA-BD24-4044-80D9-FBAAB99D987C}"/>
    <hyperlink ref="A218" r:id="rId222" xr:uid="{606BABA4-F0BB-4FBF-9F61-AF5BA047EE67}"/>
    <hyperlink ref="A219" r:id="rId223" xr:uid="{4968A932-7ABD-496F-A862-ED45D5C4D6E6}"/>
    <hyperlink ref="A220" r:id="rId224" xr:uid="{9569ED3B-EF72-497D-B8DE-0962A08A1765}"/>
    <hyperlink ref="A221" r:id="rId225" xr:uid="{DBFB6612-2E60-47C0-8B42-7F1C6D50BD62}"/>
    <hyperlink ref="A222" r:id="rId226" xr:uid="{9E60666A-F75A-43BD-A0C5-5171C6AF1A17}"/>
    <hyperlink ref="A223" r:id="rId227" xr:uid="{828587FA-6C07-42B7-A628-F9939BBE0E24}"/>
    <hyperlink ref="A224" r:id="rId228" xr:uid="{1930B77B-F217-48A0-923D-A6175FC71EF4}"/>
    <hyperlink ref="A225" r:id="rId229" xr:uid="{5AB34122-D0EC-437A-A18F-905B2FD414A3}"/>
    <hyperlink ref="A226" r:id="rId230" xr:uid="{AEFA56E0-3F03-4C96-B819-185DD779184A}"/>
    <hyperlink ref="A227" r:id="rId231" xr:uid="{25FE3A31-72FE-4EC2-AC48-9F3DFAAC18AA}"/>
    <hyperlink ref="A228" r:id="rId232" xr:uid="{9249BBA1-5419-4E20-9BB9-444779442D76}"/>
    <hyperlink ref="A229" r:id="rId233" xr:uid="{D96A1BE4-B09B-4AD8-905D-A24A4A5C7977}"/>
    <hyperlink ref="A230" r:id="rId234" xr:uid="{CB0965B8-9B40-4640-AD23-0A5C661D4711}"/>
    <hyperlink ref="A231" r:id="rId235" xr:uid="{910C02C1-5E79-4CE2-A241-C44B1C44BFB5}"/>
    <hyperlink ref="A232" r:id="rId236" xr:uid="{62534365-4A9E-4A9D-92F9-9947B747BE44}"/>
    <hyperlink ref="A233" r:id="rId237" xr:uid="{0768FD56-65C9-4897-8D03-DF12F12A0A80}"/>
    <hyperlink ref="A234" r:id="rId238" xr:uid="{76EC5B77-36B5-4661-9398-5747EC4D2960}"/>
    <hyperlink ref="A235" r:id="rId239" xr:uid="{4E1C4BA7-7A76-4AAA-B3BC-47599CF11243}"/>
    <hyperlink ref="A236" r:id="rId240" xr:uid="{B89045F9-84C0-41D7-B975-8C7E56945F10}"/>
    <hyperlink ref="A237" r:id="rId241" xr:uid="{3238E380-DC2B-47F9-A6AF-5C8D13AA0711}"/>
    <hyperlink ref="A238" r:id="rId242" xr:uid="{41954F6C-8DBD-4EE8-B8D8-6BCA35B89AC4}"/>
    <hyperlink ref="A239" r:id="rId243" xr:uid="{AE7272DD-E23B-4BD7-BC90-AE0B8E6BA60D}"/>
    <hyperlink ref="A240" r:id="rId244" xr:uid="{A3089F8A-2C04-4779-A4AB-E5370033293D}"/>
    <hyperlink ref="A241" r:id="rId245" xr:uid="{5A49AA81-0B9E-4A6F-829B-BBF114AA81CE}"/>
    <hyperlink ref="A242" r:id="rId246" xr:uid="{B8F6CBF1-B1E7-47EC-A49C-9B83B0E8A6B4}"/>
    <hyperlink ref="A243" r:id="rId247" xr:uid="{6374F4F3-24D0-4BA3-89B7-0FD1961E84DA}"/>
    <hyperlink ref="A244" r:id="rId248" xr:uid="{C7281F07-BF41-49D1-B017-D7571F1274DB}"/>
    <hyperlink ref="A245" r:id="rId249" xr:uid="{2D1D9CC9-AFD8-4B83-A0C9-FE132CDEC56D}"/>
    <hyperlink ref="A246" r:id="rId250" xr:uid="{EF8E8DFC-2CF6-4A3E-803F-DDB8151B0282}"/>
    <hyperlink ref="A247" r:id="rId251" xr:uid="{50AD2355-DF18-442B-A79D-1757B6F035E4}"/>
    <hyperlink ref="A248" r:id="rId252" xr:uid="{6E822346-382E-4EF0-BFE6-853776D594DA}"/>
    <hyperlink ref="A249" r:id="rId253" xr:uid="{6E4CE091-3273-4C26-86BB-F1D74357DEB6}"/>
    <hyperlink ref="A250" r:id="rId254" xr:uid="{D35BF017-B2A7-4F10-B0A8-1F0EE0E172BF}"/>
    <hyperlink ref="A251" r:id="rId255" xr:uid="{79EC94BB-D352-414B-8A3C-8CDA056D2D9D}"/>
    <hyperlink ref="A252" r:id="rId256" xr:uid="{20E61A96-793F-4EC7-B335-5776E4A506DB}"/>
    <hyperlink ref="A253" r:id="rId257" xr:uid="{326A3CF4-3304-4A9D-AC41-4AA6E1941A44}"/>
    <hyperlink ref="A254" r:id="rId258" xr:uid="{240E6E86-28A3-4BE4-9C3F-BF48EDF38A0F}"/>
    <hyperlink ref="A255" r:id="rId259" xr:uid="{8266FD0E-2B33-4F37-9238-084698C30B50}"/>
    <hyperlink ref="A256" r:id="rId260" xr:uid="{414F2D05-5167-472B-B263-3B7743C15BA5}"/>
    <hyperlink ref="A257" r:id="rId261" xr:uid="{0FB286E6-062E-4BA9-ADE3-70120951A6C8}"/>
    <hyperlink ref="A258" r:id="rId262" xr:uid="{2C689114-72F2-4CDC-941F-2D4504BCA0EF}"/>
    <hyperlink ref="A259" r:id="rId263" xr:uid="{EE7D4362-3D50-4226-8618-9DBDD5447C67}"/>
    <hyperlink ref="A260" r:id="rId264" xr:uid="{C839F2D6-B335-405E-ABFD-71BB4858FE93}"/>
    <hyperlink ref="A261" r:id="rId265" xr:uid="{0FC9A8A6-E585-4515-9EEA-DB2F80B6C39B}"/>
    <hyperlink ref="A262" r:id="rId266" xr:uid="{20656301-899F-4792-AA26-EB0D9FE2AE19}"/>
    <hyperlink ref="A263" r:id="rId267" xr:uid="{24341761-B452-499C-AE66-1BE7F5E5B224}"/>
    <hyperlink ref="A264" r:id="rId268" xr:uid="{326E3820-C0A7-473D-9A8A-E60D3A0939C9}"/>
    <hyperlink ref="A265" r:id="rId269" xr:uid="{870FC38C-1664-4F1B-89B5-6E0A4BD58B7E}"/>
    <hyperlink ref="A266" r:id="rId270" xr:uid="{FB1FA2CD-AC8F-445C-9C8E-D65B2B8CB320}"/>
    <hyperlink ref="A267" r:id="rId271" xr:uid="{42F00361-7A67-41AD-B789-CE0BA1D2B276}"/>
    <hyperlink ref="A268" r:id="rId272" xr:uid="{E8FF0544-FEFF-4299-86DC-B71C415DD3A2}"/>
    <hyperlink ref="A269" r:id="rId273" xr:uid="{6DF1A1A3-C324-41B9-9589-AB6D85B75D61}"/>
    <hyperlink ref="A270" r:id="rId274" xr:uid="{16303CE1-A986-4345-820E-A647877A8D96}"/>
    <hyperlink ref="A271" r:id="rId275" xr:uid="{7E279E16-ACDF-4171-A474-5529174B9B2C}"/>
    <hyperlink ref="A272" r:id="rId276" xr:uid="{C97B0BF5-02EB-4A82-A74F-2809CA2755BB}"/>
    <hyperlink ref="A273" r:id="rId277" xr:uid="{C3AB5F99-B4A7-4065-BFE5-9D6E0FD16ADA}"/>
    <hyperlink ref="A274" r:id="rId278" xr:uid="{1B831189-7508-47E8-B38C-1565C171411C}"/>
    <hyperlink ref="A275" r:id="rId279" xr:uid="{6FB0529B-7349-48F6-83F6-46E136A0DA35}"/>
    <hyperlink ref="A293" r:id="rId280" display="https://aldi-sued.atlassian.net/browse/BF-507" xr:uid="{1C29431C-EA73-4E9A-914F-C8F1C617DEEC}"/>
    <hyperlink ref="A294" r:id="rId281" display="https://aldi-sued.atlassian.net/browse/BF-1412" xr:uid="{B2C54A64-E17F-4D48-A738-C6F933A3422B}"/>
    <hyperlink ref="A295" r:id="rId282" display="https://aldi-sued.atlassian.net/browse/BF-1616" xr:uid="{83AFF114-6A10-4E84-9618-2DD74C01DE85}"/>
    <hyperlink ref="A296" r:id="rId283" display="https://aldi-sued.atlassian.net/browse/BF-1625" xr:uid="{2AC7325A-6478-4753-9833-6C8ACD853D59}"/>
    <hyperlink ref="A297" r:id="rId284" display="https://aldi-sued.atlassian.net/browse/BF-1635" xr:uid="{595756B5-C470-4895-9ACB-BDE8B20F56ED}"/>
    <hyperlink ref="A298" r:id="rId285" display="https://aldi-sued.atlassian.net/browse/BF-1661" xr:uid="{357BABC0-40A1-4DA7-8667-6DE176169527}"/>
    <hyperlink ref="A299" r:id="rId286" display="https://aldi-sued.atlassian.net/browse/BF-1672" xr:uid="{E1FD16E8-D633-4966-8F8F-7ABD90F02570}"/>
    <hyperlink ref="A300" r:id="rId287" display="https://aldi-sued.atlassian.net/browse/NPSCO-8198" xr:uid="{AF53EEF5-1F91-436A-800B-3EB26E0F6259}"/>
    <hyperlink ref="A301" r:id="rId288" display="https://aldi-sued.atlassian.net/browse/NPSCO-8693" xr:uid="{8E1A1CA7-8440-493B-B29D-6DB16BC4DFC3}"/>
    <hyperlink ref="A302" r:id="rId289" display="https://aldi-sued.atlassian.net/browse/NPSCO-20671" xr:uid="{DCA95AB3-FB6D-44FA-9421-0F813E54321D}"/>
    <hyperlink ref="A303" r:id="rId290" display="https://aldi-sued.atlassian.net/browse/NPSCO-20701" xr:uid="{EF42F170-1582-4E5F-AE54-3056E5937FD7}"/>
    <hyperlink ref="A304" r:id="rId291" display="https://aldi-sued.atlassian.net/browse/NPSCO-21040" xr:uid="{FF967202-BFB2-4ECD-9DCF-6F3F7B2A2FE5}"/>
    <hyperlink ref="A305" r:id="rId292" display="https://aldi-sued.atlassian.net/browse/NPSCO-21238" xr:uid="{6795BE20-F5CC-4ABD-99EF-65F40C53A830}"/>
    <hyperlink ref="A306" r:id="rId293" display="https://aldi-sued.atlassian.net/browse/BF-1609" xr:uid="{FA9C6673-B29A-44AD-BE4C-BC5A259EA071}"/>
    <hyperlink ref="A307" r:id="rId294" display="https://aldi-sued.atlassian.net/browse/BF-1615" xr:uid="{7653A86E-216D-4796-B572-9E886121771C}"/>
    <hyperlink ref="A308" r:id="rId295" display="https://aldi-sued.atlassian.net/browse/BF-1617" xr:uid="{C9809235-0699-4653-81FD-DB165B5B3E0A}"/>
    <hyperlink ref="A309" r:id="rId296" display="https://aldi-sued.atlassian.net/browse/BF-1658" xr:uid="{CD808943-D281-4F77-8BF4-7D241FDAC82D}"/>
    <hyperlink ref="A310" r:id="rId297" display="https://aldi-sued.atlassian.net/browse/NPSCO-4758" xr:uid="{6E1EFB0D-7BF2-4FFB-9CCC-5DF87C86C4FB}"/>
    <hyperlink ref="A311" r:id="rId298" display="https://aldi-sued.atlassian.net/browse/NPSCO-12862" xr:uid="{46567BC9-007F-44FA-83B5-A3E6FD6C6797}"/>
    <hyperlink ref="A312" r:id="rId299" display="https://aldi-sued.atlassian.net/browse/NPSCO-13007" xr:uid="{3C6D624C-8765-47F2-BBBA-75F69CDE25C9}"/>
    <hyperlink ref="A313" r:id="rId300" display="https://aldi-sued.atlassian.net/browse/NPSCO-19696" xr:uid="{B745B577-99F3-4D98-9494-0174CF4AE729}"/>
    <hyperlink ref="A314" r:id="rId301" display="https://aldi-sued.atlassian.net/browse/NPSCO-20702" xr:uid="{2A5F0B66-1172-49A8-B979-A4E0D550A9C1}"/>
    <hyperlink ref="A315" r:id="rId302" display="https://aldi-sued.atlassian.net/browse/NPSCO-20703" xr:uid="{C813AF35-8CCA-4FC8-9C77-2BD881AF94AA}"/>
    <hyperlink ref="A316" r:id="rId303" display="https://aldi-sued.atlassian.net/browse/NPSCO-21252" xr:uid="{016ED4E9-9E5D-4ECA-8E2D-3D0652795909}"/>
  </hyperlinks>
  <pageMargins left="0.23622047244094491" right="0.23622047244094491" top="0.35433070866141736" bottom="0.35433070866141736" header="0" footer="0"/>
  <pageSetup paperSize="9" scale="39" fitToHeight="0" orientation="landscape" r:id="rId304"/>
  <headerFooter>
    <oddFooter>&amp;CS. &amp;P / &amp;N</oddFooter>
  </headerFooter>
  <tableParts count="1">
    <tablePart r:id="rId30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80145-7DD4-4E5A-819E-59AD070A022A}">
  <sheetPr>
    <outlinePr summaryBelow="0" summaryRight="0"/>
    <pageSetUpPr fitToPage="1"/>
  </sheetPr>
  <dimension ref="A1:AN263"/>
  <sheetViews>
    <sheetView zoomScale="80" zoomScaleNormal="80" workbookViewId="0"/>
  </sheetViews>
  <sheetFormatPr baseColWidth="10" defaultColWidth="8.85546875" defaultRowHeight="13.5" customHeight="1"/>
  <cols>
    <col min="1" max="1" width="16" style="27" customWidth="1"/>
    <col min="2" max="2" width="48.140625" style="27" customWidth="1"/>
    <col min="3" max="8" width="15.42578125" style="28" customWidth="1"/>
    <col min="9" max="9" width="19" style="29" customWidth="1"/>
    <col min="10" max="11" width="15.42578125" style="29" customWidth="1"/>
    <col min="12" max="12" width="15.42578125" style="30" customWidth="1"/>
    <col min="13" max="13" width="15.42578125" style="28" customWidth="1"/>
    <col min="14" max="18" width="15.42578125" style="1" customWidth="1"/>
    <col min="19" max="28" width="10.42578125" style="1" customWidth="1"/>
    <col min="29" max="34" width="8.42578125" style="1" customWidth="1"/>
    <col min="35" max="35" width="3.42578125" style="1" customWidth="1"/>
    <col min="36" max="36" width="8.42578125" style="1" customWidth="1"/>
    <col min="37" max="16384" width="8.85546875" style="1"/>
  </cols>
  <sheetData>
    <row r="1" spans="2:22" ht="13.5" customHeight="1">
      <c r="C1" s="417" t="s">
        <v>952</v>
      </c>
      <c r="D1" s="417"/>
      <c r="E1" s="417"/>
      <c r="F1" s="417"/>
      <c r="G1" s="417"/>
      <c r="H1" s="417"/>
      <c r="I1" s="417"/>
      <c r="J1" s="417"/>
      <c r="K1" s="2"/>
      <c r="L1" s="2"/>
      <c r="M1" s="2"/>
    </row>
    <row r="2" spans="2:22" ht="13.5" customHeight="1">
      <c r="C2" s="1"/>
      <c r="D2" s="1"/>
      <c r="E2" s="2"/>
      <c r="F2" s="2"/>
      <c r="G2" s="2"/>
      <c r="H2" s="2"/>
      <c r="I2" s="2"/>
      <c r="J2" s="1"/>
      <c r="K2" s="2"/>
      <c r="L2" s="2"/>
      <c r="M2" s="1"/>
    </row>
    <row r="3" spans="2:22" ht="13.5" customHeight="1" thickBot="1">
      <c r="C3" s="3" t="s">
        <v>162</v>
      </c>
      <c r="D3" s="66"/>
      <c r="E3" s="10"/>
      <c r="F3" s="10"/>
      <c r="H3" s="418" t="s">
        <v>163</v>
      </c>
      <c r="I3" s="418"/>
      <c r="J3" s="418"/>
      <c r="K3" s="4"/>
      <c r="L3" s="4"/>
      <c r="M3" s="2"/>
    </row>
    <row r="4" spans="2:22" ht="13.5" customHeight="1">
      <c r="C4" s="10"/>
      <c r="D4" s="419" t="s">
        <v>164</v>
      </c>
      <c r="E4" s="420"/>
      <c r="F4" s="421" t="s">
        <v>165</v>
      </c>
      <c r="G4" s="422"/>
      <c r="H4" s="422"/>
      <c r="I4" s="422"/>
      <c r="J4" s="422"/>
      <c r="K4" s="423"/>
      <c r="M4" s="424" t="s">
        <v>166</v>
      </c>
      <c r="N4" s="424"/>
      <c r="O4" s="424"/>
      <c r="P4" s="424"/>
      <c r="Q4" s="424"/>
      <c r="R4" s="424"/>
    </row>
    <row r="5" spans="2:22" ht="27" customHeight="1">
      <c r="C5" s="63" t="s">
        <v>167</v>
      </c>
      <c r="D5" s="60" t="s">
        <v>171</v>
      </c>
      <c r="E5" s="73" t="str">
        <f>H5</f>
        <v>Completed</v>
      </c>
      <c r="F5" s="60" t="s">
        <v>105</v>
      </c>
      <c r="G5" s="21" t="s">
        <v>106</v>
      </c>
      <c r="H5" s="20" t="s">
        <v>125</v>
      </c>
      <c r="I5" s="20" t="s">
        <v>127</v>
      </c>
      <c r="J5" s="20" t="s">
        <v>126</v>
      </c>
      <c r="K5" s="67" t="s">
        <v>172</v>
      </c>
      <c r="M5" s="21" t="str">
        <f>F5</f>
        <v>Initially Planned</v>
      </c>
      <c r="N5" s="21" t="str">
        <f>G5</f>
        <v>Pulled after Start</v>
      </c>
      <c r="O5" s="31" t="str">
        <f>H5</f>
        <v>Completed</v>
      </c>
      <c r="P5" s="31" t="str">
        <f>J5</f>
        <v>Removed</v>
      </c>
      <c r="Q5" s="31" t="str">
        <f>I5</f>
        <v>Not Completed</v>
      </c>
      <c r="R5" s="39" t="s">
        <v>173</v>
      </c>
    </row>
    <row r="6" spans="2:22" ht="13.5" customHeight="1">
      <c r="B6" s="415" t="s">
        <v>174</v>
      </c>
      <c r="C6" s="59" t="s">
        <v>35</v>
      </c>
      <c r="D6" s="61">
        <f>COUNTIFS(Tabelle13245689101112131415161715[Team],$C6)</f>
        <v>30</v>
      </c>
      <c r="E6" s="74">
        <f>COUNTIFS(Tabelle13245689101112131415161715[Team],$C6,Tabelle13245689101112131415161715[Status],$E$5)</f>
        <v>21</v>
      </c>
      <c r="F6" s="68">
        <f>SUMIFS(Tabelle13245689101112131415161715[Jira Story Points],Tabelle13245689101112131415161715[Pulled after Start],"",Tabelle13245689101112131415161715[Team],$C6)</f>
        <v>96</v>
      </c>
      <c r="G6" s="6">
        <f>SUMIFS(Tabelle13245689101112131415161715[Jira Story Points],Tabelle13245689101112131415161715[Pulled after Start],"yes",Tabelle13245689101112131415161715[Team],$C6)</f>
        <v>10</v>
      </c>
      <c r="H6" s="7">
        <f>SUMIFS(Tabelle13245689101112131415161715[Jira Story Points],Tabelle13245689101112131415161715[Status],$H$5,Tabelle13245689101112131415161715[Team],$C6)</f>
        <v>61</v>
      </c>
      <c r="I6" s="6">
        <f>SUMIFS(Tabelle13245689101112131415161715[Jira Story Points],Tabelle13245689101112131415161715[Status],$I$5,Tabelle13245689101112131415161715[Team],$C6)</f>
        <v>45</v>
      </c>
      <c r="J6" s="6">
        <f>SUMIFS(Tabelle13245689101112131415161715[Jira Story Points],Tabelle13245689101112131415161715[Status],$J$5,Tabelle13245689101112131415161715[Team],$C6)</f>
        <v>0</v>
      </c>
      <c r="K6" s="69">
        <f>SUMIFS(Tabelle13245689101112131415161715[Jira Story Points],Tabelle13245689101112131415161715[Team],$C6)</f>
        <v>106</v>
      </c>
      <c r="M6" s="6">
        <f>SUMIFS(Tabelle13245689101112131415161715[COsSP Initially Planned],Tabelle13245689101112131415161715[Team],$C6)</f>
        <v>96</v>
      </c>
      <c r="N6" s="6">
        <f>SUMIFS(Tabelle13245689101112131415161715[COsSP Pulled after Start],Tabelle13245689101112131415161715[Team],$C6)</f>
        <v>10</v>
      </c>
      <c r="O6" s="25">
        <f>SUMIFS(Tabelle13245689101112131415161715[CSOsSP Completed],Tabelle13245689101112131415161715[Team],$C6)</f>
        <v>61</v>
      </c>
      <c r="P6" s="25">
        <f>SUMIFS(Tabelle13245689101112131415161715[CSOsSP Removed],Tabelle13245689101112131415161715[Team],$C6)</f>
        <v>0</v>
      </c>
      <c r="Q6" s="41">
        <f>SUMIFS(Tabelle13245689101112131415161715[CSOsSP Not Completed],Tabelle13245689101112131415161715[Team],$C6)</f>
        <v>45</v>
      </c>
      <c r="R6" s="40">
        <f t="shared" ref="R6:R14" si="0">IFERROR(O6/$M6," ")</f>
        <v>0.63541666666666663</v>
      </c>
      <c r="T6" s="43"/>
    </row>
    <row r="7" spans="2:22" ht="13.5" customHeight="1">
      <c r="B7" s="415"/>
      <c r="C7" s="59" t="s">
        <v>12</v>
      </c>
      <c r="D7" s="61">
        <f>COUNTIFS(Tabelle13245689101112131415161715[Team],$C7)</f>
        <v>19</v>
      </c>
      <c r="E7" s="74">
        <f>COUNTIFS(Tabelle13245689101112131415161715[Team],$C7,Tabelle13245689101112131415161715[Status],$E$5)</f>
        <v>11</v>
      </c>
      <c r="F7" s="68">
        <f>SUMIFS(Tabelle13245689101112131415161715[Jira Story Points],Tabelle13245689101112131415161715[Pulled after Start],"",Tabelle13245689101112131415161715[Team],$C7)</f>
        <v>21</v>
      </c>
      <c r="G7" s="6">
        <f>SUMIFS(Tabelle13245689101112131415161715[Jira Story Points],Tabelle13245689101112131415161715[Pulled after Start],"yes",Tabelle13245689101112131415161715[Team],$C7)</f>
        <v>10</v>
      </c>
      <c r="H7" s="7">
        <f>SUMIFS(Tabelle13245689101112131415161715[Jira Story Points],Tabelle13245689101112131415161715[Status],$H$5,Tabelle13245689101112131415161715[Team],$C7)</f>
        <v>21</v>
      </c>
      <c r="I7" s="6">
        <f>SUMIFS(Tabelle13245689101112131415161715[Jira Story Points],Tabelle13245689101112131415161715[Status],$I$5,Tabelle13245689101112131415161715[Team],$C7)</f>
        <v>9</v>
      </c>
      <c r="J7" s="6">
        <f>SUMIFS(Tabelle13245689101112131415161715[Jira Story Points],Tabelle13245689101112131415161715[Status],$J$5,Tabelle13245689101112131415161715[Team],$C7)</f>
        <v>1</v>
      </c>
      <c r="K7" s="69">
        <f>SUMIFS(Tabelle13245689101112131415161715[Jira Story Points],Tabelle13245689101112131415161715[Team],$C7)</f>
        <v>31</v>
      </c>
      <c r="M7" s="6">
        <f>SUMIFS(Tabelle13245689101112131415161715[COsSP Initially Planned],Tabelle13245689101112131415161715[Team],$C7)</f>
        <v>18</v>
      </c>
      <c r="N7" s="6">
        <f>SUMIFS(Tabelle13245689101112131415161715[COsSP Pulled after Start],Tabelle13245689101112131415161715[Team],$C7)</f>
        <v>12</v>
      </c>
      <c r="O7" s="25">
        <f>SUMIFS(Tabelle13245689101112131415161715[CSOsSP Completed],Tabelle13245689101112131415161715[Team],$C7)</f>
        <v>20</v>
      </c>
      <c r="P7" s="25">
        <f>SUMIFS(Tabelle13245689101112131415161715[CSOsSP Removed],Tabelle13245689101112131415161715[Team],$C7)</f>
        <v>1</v>
      </c>
      <c r="Q7" s="41">
        <f>SUMIFS(Tabelle13245689101112131415161715[CSOsSP Not Completed],Tabelle13245689101112131415161715[Team],$C7)</f>
        <v>9</v>
      </c>
      <c r="R7" s="40">
        <f t="shared" si="0"/>
        <v>1.1111111111111112</v>
      </c>
      <c r="T7" s="43"/>
    </row>
    <row r="8" spans="2:22" ht="13.5" customHeight="1">
      <c r="B8" s="415"/>
      <c r="C8" s="59" t="s">
        <v>27</v>
      </c>
      <c r="D8" s="61">
        <f>COUNTIFS(Tabelle13245689101112131415161715[Team],$C8)</f>
        <v>23</v>
      </c>
      <c r="E8" s="74">
        <f>COUNTIFS(Tabelle13245689101112131415161715[Team],$C8,Tabelle13245689101112131415161715[Status],$E$5)</f>
        <v>20</v>
      </c>
      <c r="F8" s="68">
        <f>SUMIFS(Tabelle13245689101112131415161715[Jira Story Points],Tabelle13245689101112131415161715[Pulled after Start],"",Tabelle13245689101112131415161715[Team],$C8)</f>
        <v>36</v>
      </c>
      <c r="G8" s="6">
        <f>SUMIFS(Tabelle13245689101112131415161715[Jira Story Points],Tabelle13245689101112131415161715[Pulled after Start],"yes",Tabelle13245689101112131415161715[Team],$C8)</f>
        <v>42</v>
      </c>
      <c r="H8" s="7">
        <f>SUMIFS(Tabelle13245689101112131415161715[Jira Story Points],Tabelle13245689101112131415161715[Status],$H$5,Tabelle13245689101112131415161715[Team],$C8)</f>
        <v>60</v>
      </c>
      <c r="I8" s="6">
        <f>SUMIFS(Tabelle13245689101112131415161715[Jira Story Points],Tabelle13245689101112131415161715[Status],$I$5,Tabelle13245689101112131415161715[Team],$C8)</f>
        <v>18</v>
      </c>
      <c r="J8" s="6">
        <f>SUMIFS(Tabelle13245689101112131415161715[Jira Story Points],Tabelle13245689101112131415161715[Status],$J$5,Tabelle13245689101112131415161715[Team],$C8)</f>
        <v>0</v>
      </c>
      <c r="K8" s="69">
        <f>SUMIFS(Tabelle13245689101112131415161715[Jira Story Points],Tabelle13245689101112131415161715[Team],$C8)</f>
        <v>78</v>
      </c>
      <c r="M8" s="6">
        <f>SUMIFS(Tabelle13245689101112131415161715[COsSP Initially Planned],Tabelle13245689101112131415161715[Team],$C8)</f>
        <v>36</v>
      </c>
      <c r="N8" s="6">
        <f>SUMIFS(Tabelle13245689101112131415161715[COsSP Pulled after Start],Tabelle13245689101112131415161715[Team],$C8)</f>
        <v>42</v>
      </c>
      <c r="O8" s="25">
        <f>SUMIFS(Tabelle13245689101112131415161715[CSOsSP Completed],Tabelle13245689101112131415161715[Team],$C8)</f>
        <v>71</v>
      </c>
      <c r="P8" s="25">
        <f>SUMIFS(Tabelle13245689101112131415161715[CSOsSP Removed],Tabelle13245689101112131415161715[Team],$C8)</f>
        <v>0</v>
      </c>
      <c r="Q8" s="41">
        <f>SUMIFS(Tabelle13245689101112131415161715[CSOsSP Not Completed],Tabelle13245689101112131415161715[Team],$C8)</f>
        <v>7</v>
      </c>
      <c r="R8" s="40">
        <f t="shared" si="0"/>
        <v>1.9722222222222223</v>
      </c>
      <c r="T8" s="43"/>
    </row>
    <row r="9" spans="2:22" ht="13.5" customHeight="1">
      <c r="B9" s="415"/>
      <c r="C9" s="59" t="s">
        <v>5</v>
      </c>
      <c r="D9" s="61">
        <f>COUNTIFS(Tabelle13245689101112131415161715[Team],$C9)</f>
        <v>22</v>
      </c>
      <c r="E9" s="74">
        <f>COUNTIFS(Tabelle13245689101112131415161715[Team],$C9,Tabelle13245689101112131415161715[Status],$E$5)</f>
        <v>19</v>
      </c>
      <c r="F9" s="68">
        <f>SUMIFS(Tabelle13245689101112131415161715[Jira Story Points],Tabelle13245689101112131415161715[Pulled after Start],"",Tabelle13245689101112131415161715[Team],$C9)</f>
        <v>22</v>
      </c>
      <c r="G9" s="6">
        <f>SUMIFS(Tabelle13245689101112131415161715[Jira Story Points],Tabelle13245689101112131415161715[Pulled after Start],"yes",Tabelle13245689101112131415161715[Team],$C9)</f>
        <v>91</v>
      </c>
      <c r="H9" s="7">
        <f>SUMIFS(Tabelle13245689101112131415161715[Jira Story Points],Tabelle13245689101112131415161715[Status],$H$5,Tabelle13245689101112131415161715[Team],$C9)</f>
        <v>94</v>
      </c>
      <c r="I9" s="6">
        <f>SUMIFS(Tabelle13245689101112131415161715[Jira Story Points],Tabelle13245689101112131415161715[Status],$I$5,Tabelle13245689101112131415161715[Team],$C9)</f>
        <v>19</v>
      </c>
      <c r="J9" s="6">
        <f>SUMIFS(Tabelle13245689101112131415161715[Jira Story Points],Tabelle13245689101112131415161715[Status],$J$5,Tabelle13245689101112131415161715[Team],$C9)</f>
        <v>0</v>
      </c>
      <c r="K9" s="69">
        <f>SUMIFS(Tabelle13245689101112131415161715[Jira Story Points],Tabelle13245689101112131415161715[Team],$C9)</f>
        <v>113</v>
      </c>
      <c r="M9" s="6">
        <f>SUMIFS(Tabelle13245689101112131415161715[COsSP Initially Planned],Tabelle13245689101112131415161715[Team],$C9)</f>
        <v>22</v>
      </c>
      <c r="N9" s="6">
        <f>SUMIFS(Tabelle13245689101112131415161715[COsSP Pulled after Start],Tabelle13245689101112131415161715[Team],$C9)</f>
        <v>78</v>
      </c>
      <c r="O9" s="25">
        <f>SUMIFS(Tabelle13245689101112131415161715[CSOsSP Completed],Tabelle13245689101112131415161715[Team],$C9)</f>
        <v>92</v>
      </c>
      <c r="P9" s="25">
        <f>SUMIFS(Tabelle13245689101112131415161715[CSOsSP Removed],Tabelle13245689101112131415161715[Team],$C9)</f>
        <v>0</v>
      </c>
      <c r="Q9" s="41">
        <f>SUMIFS(Tabelle13245689101112131415161715[CSOsSP Not Completed],Tabelle13245689101112131415161715[Team],$C9)</f>
        <v>8</v>
      </c>
      <c r="R9" s="40">
        <f t="shared" si="0"/>
        <v>4.1818181818181817</v>
      </c>
      <c r="T9" s="43"/>
    </row>
    <row r="10" spans="2:22" ht="13.5" customHeight="1">
      <c r="B10" s="415"/>
      <c r="C10" s="59" t="s">
        <v>32</v>
      </c>
      <c r="D10" s="61">
        <f>COUNTIFS(Tabelle13245689101112131415161715[Team],$C10)</f>
        <v>18</v>
      </c>
      <c r="E10" s="74">
        <f>COUNTIFS(Tabelle13245689101112131415161715[Team],$C10,Tabelle13245689101112131415161715[Status],$E$5)</f>
        <v>15</v>
      </c>
      <c r="F10" s="68">
        <f>SUMIFS(Tabelle13245689101112131415161715[Jira Story Points],Tabelle13245689101112131415161715[Pulled after Start],"",Tabelle13245689101112131415161715[Team],$C10)</f>
        <v>38</v>
      </c>
      <c r="G10" s="6">
        <f>SUMIFS(Tabelle13245689101112131415161715[Jira Story Points],Tabelle13245689101112131415161715[Pulled after Start],"yes",Tabelle13245689101112131415161715[Team],$C10)</f>
        <v>20</v>
      </c>
      <c r="H10" s="7">
        <f>SUMIFS(Tabelle13245689101112131415161715[Jira Story Points],Tabelle13245689101112131415161715[Status],$H$5,Tabelle13245689101112131415161715[Team],$C10)</f>
        <v>51</v>
      </c>
      <c r="I10" s="6">
        <f>SUMIFS(Tabelle13245689101112131415161715[Jira Story Points],Tabelle13245689101112131415161715[Status],$I$5,Tabelle13245689101112131415161715[Team],$C10)</f>
        <v>7</v>
      </c>
      <c r="J10" s="6">
        <f>SUMIFS(Tabelle13245689101112131415161715[Jira Story Points],Tabelle13245689101112131415161715[Status],$J$5,Tabelle13245689101112131415161715[Team],$C10)</f>
        <v>0</v>
      </c>
      <c r="K10" s="69">
        <f>SUMIFS(Tabelle13245689101112131415161715[Jira Story Points],Tabelle13245689101112131415161715[Team],$C10)</f>
        <v>58</v>
      </c>
      <c r="M10" s="6">
        <f>SUMIFS(Tabelle13245689101112131415161715[COsSP Initially Planned],Tabelle13245689101112131415161715[Team],$C10)</f>
        <v>33</v>
      </c>
      <c r="N10" s="6">
        <f>SUMIFS(Tabelle13245689101112131415161715[COsSP Pulled after Start],Tabelle13245689101112131415161715[Team],$C10)</f>
        <v>20</v>
      </c>
      <c r="O10" s="25">
        <f>SUMIFS(Tabelle13245689101112131415161715[CSOsSP Completed],Tabelle13245689101112131415161715[Team],$C10)</f>
        <v>49</v>
      </c>
      <c r="P10" s="25">
        <f>SUMIFS(Tabelle13245689101112131415161715[CSOsSP Removed],Tabelle13245689101112131415161715[Team],$C10)</f>
        <v>0</v>
      </c>
      <c r="Q10" s="41">
        <f>SUMIFS(Tabelle13245689101112131415161715[CSOsSP Not Completed],Tabelle13245689101112131415161715[Team],$C10)</f>
        <v>4</v>
      </c>
      <c r="R10" s="40">
        <f>IFERROR(O10/$M10," ")</f>
        <v>1.4848484848484849</v>
      </c>
      <c r="T10" s="43"/>
    </row>
    <row r="11" spans="2:22" ht="13.5" customHeight="1">
      <c r="B11" s="415"/>
      <c r="C11" s="59" t="s">
        <v>24</v>
      </c>
      <c r="D11" s="61">
        <f>COUNTIFS(Tabelle13245689101112131415161715[Team],$C11)</f>
        <v>25</v>
      </c>
      <c r="E11" s="74">
        <f>COUNTIFS(Tabelle13245689101112131415161715[Team],$C11,Tabelle13245689101112131415161715[Status],$E$5)</f>
        <v>18</v>
      </c>
      <c r="F11" s="68">
        <f>SUMIFS(Tabelle13245689101112131415161715[Jira Story Points],Tabelle13245689101112131415161715[Pulled after Start],"",Tabelle13245689101112131415161715[Team],$C11)</f>
        <v>33</v>
      </c>
      <c r="G11" s="6">
        <f>SUMIFS(Tabelle13245689101112131415161715[Jira Story Points],Tabelle13245689101112131415161715[Pulled after Start],"yes",Tabelle13245689101112131415161715[Team],$C11)</f>
        <v>42</v>
      </c>
      <c r="H11" s="7">
        <f>SUMIFS(Tabelle13245689101112131415161715[Jira Story Points],Tabelle13245689101112131415161715[Status],$H$5,Tabelle13245689101112131415161715[Team],$C11)</f>
        <v>55</v>
      </c>
      <c r="I11" s="6">
        <f>SUMIFS(Tabelle13245689101112131415161715[Jira Story Points],Tabelle13245689101112131415161715[Status],$I$5,Tabelle13245689101112131415161715[Team],$C11)</f>
        <v>0</v>
      </c>
      <c r="J11" s="6">
        <f>SUMIFS(Tabelle13245689101112131415161715[Jira Story Points],Tabelle13245689101112131415161715[Status],$J$5,Tabelle13245689101112131415161715[Team],$C11)</f>
        <v>0</v>
      </c>
      <c r="K11" s="69">
        <f>SUMIFS(Tabelle13245689101112131415161715[Jira Story Points],Tabelle13245689101112131415161715[Team],$C11)</f>
        <v>75</v>
      </c>
      <c r="M11" s="6">
        <f>SUMIFS(Tabelle13245689101112131415161715[COsSP Initially Planned],Tabelle13245689101112131415161715[Team],$C11)</f>
        <v>33</v>
      </c>
      <c r="N11" s="6">
        <f>SUMIFS(Tabelle13245689101112131415161715[COsSP Pulled after Start],Tabelle13245689101112131415161715[Team],$C11)</f>
        <v>42</v>
      </c>
      <c r="O11" s="25">
        <f>SUMIFS(Tabelle13245689101112131415161715[CSOsSP Completed],Tabelle13245689101112131415161715[Team],$C11)</f>
        <v>61</v>
      </c>
      <c r="P11" s="25">
        <f>SUMIFS(Tabelle13245689101112131415161715[CSOsSP Removed],Tabelle13245689101112131415161715[Team],$C11)</f>
        <v>0</v>
      </c>
      <c r="Q11" s="41">
        <f>SUMIFS(Tabelle13245689101112131415161715[CSOsSP Not Completed],Tabelle13245689101112131415161715[Team],$C11)</f>
        <v>14</v>
      </c>
      <c r="R11" s="40">
        <f t="shared" si="0"/>
        <v>1.8484848484848484</v>
      </c>
      <c r="T11" s="43"/>
    </row>
    <row r="12" spans="2:22" ht="13.5" customHeight="1">
      <c r="B12" s="415"/>
      <c r="C12" s="59" t="s">
        <v>17</v>
      </c>
      <c r="D12" s="61">
        <f>COUNTIFS(Tabelle13245689101112131415161715[Team],$C12)</f>
        <v>15</v>
      </c>
      <c r="E12" s="74">
        <f>COUNTIFS(Tabelle13245689101112131415161715[Team],$C12,Tabelle13245689101112131415161715[Status],$E$5)</f>
        <v>14</v>
      </c>
      <c r="F12" s="68">
        <f>SUMIFS(Tabelle13245689101112131415161715[Jira Story Points],Tabelle13245689101112131415161715[Pulled after Start],"",Tabelle13245689101112131415161715[Team],$C12)</f>
        <v>45</v>
      </c>
      <c r="G12" s="6">
        <f>SUMIFS(Tabelle13245689101112131415161715[Jira Story Points],Tabelle13245689101112131415161715[Pulled after Start],"yes",Tabelle13245689101112131415161715[Team],$C12)</f>
        <v>0</v>
      </c>
      <c r="H12" s="7">
        <f>SUMIFS(Tabelle13245689101112131415161715[Jira Story Points],Tabelle13245689101112131415161715[Status],$H$5,Tabelle13245689101112131415161715[Team],$C12)</f>
        <v>40</v>
      </c>
      <c r="I12" s="6">
        <f>SUMIFS(Tabelle13245689101112131415161715[Jira Story Points],Tabelle13245689101112131415161715[Status],$I$5,Tabelle13245689101112131415161715[Team],$C12)</f>
        <v>5</v>
      </c>
      <c r="J12" s="6">
        <f>SUMIFS(Tabelle13245689101112131415161715[Jira Story Points],Tabelle13245689101112131415161715[Status],$J$5,Tabelle13245689101112131415161715[Team],$C12)</f>
        <v>0</v>
      </c>
      <c r="K12" s="69">
        <f>SUMIFS(Tabelle13245689101112131415161715[Jira Story Points],Tabelle13245689101112131415161715[Team],$C12)</f>
        <v>45</v>
      </c>
      <c r="M12" s="6">
        <f>SUMIFS(Tabelle13245689101112131415161715[COsSP Initially Planned],Tabelle13245689101112131415161715[Team],$C12)</f>
        <v>45</v>
      </c>
      <c r="N12" s="6">
        <f>SUMIFS(Tabelle13245689101112131415161715[COsSP Pulled after Start],Tabelle13245689101112131415161715[Team],$C12)</f>
        <v>0</v>
      </c>
      <c r="O12" s="25">
        <f>SUMIFS(Tabelle13245689101112131415161715[CSOsSP Completed],Tabelle13245689101112131415161715[Team],$C12)</f>
        <v>42</v>
      </c>
      <c r="P12" s="25">
        <f>SUMIFS(Tabelle13245689101112131415161715[CSOsSP Removed],Tabelle13245689101112131415161715[Team],$C12)</f>
        <v>0</v>
      </c>
      <c r="Q12" s="41">
        <f>SUMIFS(Tabelle13245689101112131415161715[CSOsSP Not Completed],Tabelle13245689101112131415161715[Team],$C12)</f>
        <v>3</v>
      </c>
      <c r="R12" s="40">
        <f t="shared" si="0"/>
        <v>0.93333333333333335</v>
      </c>
      <c r="T12" s="43"/>
    </row>
    <row r="13" spans="2:22" ht="13.5" customHeight="1">
      <c r="B13" s="415"/>
      <c r="C13" s="64" t="s">
        <v>107</v>
      </c>
      <c r="D13" s="61">
        <f>COUNTIFS(Tabelle13245689101112131415161715[Team],$C13)</f>
        <v>0</v>
      </c>
      <c r="E13" s="74">
        <f>COUNTIFS(Tabelle13245689101112131415161715[Team],$C13,Tabelle13245689101112131415161715[Status],$E$5)</f>
        <v>0</v>
      </c>
      <c r="F13" s="68">
        <f>SUMIFS(Tabelle13245689101112131415161715[Jira Story Points],Tabelle13245689101112131415161715[Pulled after Start],"",Tabelle13245689101112131415161715[Team],$C13)</f>
        <v>0</v>
      </c>
      <c r="G13" s="6">
        <f>SUMIFS(Tabelle13245689101112131415161715[Jira Story Points],Tabelle13245689101112131415161715[Pulled after Start],"yes",Tabelle13245689101112131415161715[Team],$C13)</f>
        <v>0</v>
      </c>
      <c r="H13" s="7">
        <f>SUMIFS(Tabelle13245689101112131415161715[Jira Story Points],Tabelle13245689101112131415161715[Status],$H$5,Tabelle13245689101112131415161715[Team],$C13)</f>
        <v>0</v>
      </c>
      <c r="I13" s="6">
        <f>SUMIFS(Tabelle13245689101112131415161715[Jira Story Points],Tabelle13245689101112131415161715[Status],$I$5,Tabelle13245689101112131415161715[Team],$C13)</f>
        <v>0</v>
      </c>
      <c r="J13" s="6">
        <f>SUMIFS(Tabelle13245689101112131415161715[Jira Story Points],Tabelle13245689101112131415161715[Status],$J$5,Tabelle13245689101112131415161715[Team],$C13)</f>
        <v>0</v>
      </c>
      <c r="K13" s="69">
        <f>SUMIFS(Tabelle13245689101112131415161715[Jira Story Points],Tabelle13245689101112131415161715[Team],$C13)</f>
        <v>0</v>
      </c>
      <c r="M13" s="6">
        <f>SUMIFS(Tabelle13245689101112131415161715[COsSP Initially Planned],Tabelle13245689101112131415161715[Team],$C13)</f>
        <v>0</v>
      </c>
      <c r="N13" s="6">
        <f>SUMIFS(Tabelle13245689101112131415161715[COsSP Pulled after Start],Tabelle13245689101112131415161715[Team],$C13)</f>
        <v>0</v>
      </c>
      <c r="O13" s="25">
        <f>SUMIFS(Tabelle13245689101112131415161715[CSOsSP Completed],Tabelle13245689101112131415161715[Team],$C13)</f>
        <v>0</v>
      </c>
      <c r="P13" s="25">
        <f>SUMIFS(Tabelle13245689101112131415161715[CSOsSP Removed],Tabelle13245689101112131415161715[Team],$C13)</f>
        <v>0</v>
      </c>
      <c r="Q13" s="41">
        <f>SUMIFS(Tabelle13245689101112131415161715[CSOsSP Not Completed],Tabelle13245689101112131415161715[Team],$C13)</f>
        <v>0</v>
      </c>
      <c r="R13" s="40" t="str">
        <f>IFERROR(O13/$M13," ")</f>
        <v xml:space="preserve"> </v>
      </c>
      <c r="T13" s="43"/>
    </row>
    <row r="14" spans="2:22" ht="13.5" customHeight="1">
      <c r="B14" s="415"/>
      <c r="C14" s="41" t="s">
        <v>21</v>
      </c>
      <c r="D14" s="61">
        <f>COUNTIFS(Tabelle13245689101112131415161715[Team],$C14)</f>
        <v>31</v>
      </c>
      <c r="E14" s="74">
        <f>COUNTIFS(Tabelle13245689101112131415161715[Team],$C14,Tabelle13245689101112131415161715[Status],$E$5)</f>
        <v>24</v>
      </c>
      <c r="F14" s="68">
        <f>SUMIFS(Tabelle13245689101112131415161715[Jira Story Points],Tabelle13245689101112131415161715[Pulled after Start],"",Tabelle13245689101112131415161715[Team],$C14)</f>
        <v>98</v>
      </c>
      <c r="G14" s="6">
        <f>SUMIFS(Tabelle13245689101112131415161715[Jira Story Points],Tabelle13245689101112131415161715[Pulled after Start],"yes",Tabelle13245689101112131415161715[Team],$C14)</f>
        <v>0</v>
      </c>
      <c r="H14" s="7">
        <f>SUMIFS(Tabelle13245689101112131415161715[Jira Story Points],Tabelle13245689101112131415161715[Status],$H$5,Tabelle13245689101112131415161715[Team],$C14)</f>
        <v>79</v>
      </c>
      <c r="I14" s="6">
        <f>SUMIFS(Tabelle13245689101112131415161715[Jira Story Points],Tabelle13245689101112131415161715[Status],$I$5,Tabelle13245689101112131415161715[Team],$C14)</f>
        <v>0</v>
      </c>
      <c r="J14" s="6">
        <f>SUMIFS(Tabelle13245689101112131415161715[Jira Story Points],Tabelle13245689101112131415161715[Status],$J$5,Tabelle13245689101112131415161715[Team],$C14)</f>
        <v>0</v>
      </c>
      <c r="K14" s="69">
        <f>SUMIFS(Tabelle13245689101112131415161715[Jira Story Points],Tabelle13245689101112131415161715[Team],$C14)</f>
        <v>98</v>
      </c>
      <c r="M14" s="6">
        <f>SUMIFS(Tabelle13245689101112131415161715[COsSP Initially Planned],Tabelle13245689101112131415161715[Team],$C14)</f>
        <v>98</v>
      </c>
      <c r="N14" s="6">
        <f>SUMIFS(Tabelle13245689101112131415161715[COsSP Pulled after Start],Tabelle13245689101112131415161715[Team],$C14)</f>
        <v>0</v>
      </c>
      <c r="O14" s="25">
        <f>SUMIFS(Tabelle13245689101112131415161715[CSOsSP Completed],Tabelle13245689101112131415161715[Team],$C14)</f>
        <v>83</v>
      </c>
      <c r="P14" s="25">
        <f>SUMIFS(Tabelle13245689101112131415161715[CSOsSP Removed],Tabelle13245689101112131415161715[Team],$C14)</f>
        <v>0</v>
      </c>
      <c r="Q14" s="41">
        <f>SUMIFS(Tabelle13245689101112131415161715[CSOsSP Not Completed],Tabelle13245689101112131415161715[Team],$C14)</f>
        <v>15</v>
      </c>
      <c r="R14" s="40">
        <f t="shared" si="0"/>
        <v>0.84693877551020413</v>
      </c>
      <c r="T14" s="43"/>
    </row>
    <row r="15" spans="2:22" ht="13.5" customHeight="1">
      <c r="B15" s="415"/>
      <c r="C15" s="41" t="s">
        <v>9</v>
      </c>
      <c r="D15" s="61">
        <f>COUNTIFS(Tabelle13245689101112131415161715[Team],$C15)</f>
        <v>26</v>
      </c>
      <c r="E15" s="74">
        <f>COUNTIFS(Tabelle13245689101112131415161715[Team],$C15,Tabelle13245689101112131415161715[Status],$E$5)</f>
        <v>18</v>
      </c>
      <c r="F15" s="68">
        <f>SUMIFS(Tabelle13245689101112131415161715[Jira Story Points],Tabelle13245689101112131415161715[Pulled after Start],"",Tabelle13245689101112131415161715[Team],$C15)</f>
        <v>58</v>
      </c>
      <c r="G15" s="6">
        <f>SUMIFS(Tabelle13245689101112131415161715[Jira Story Points],Tabelle13245689101112131415161715[Pulled after Start],"yes",Tabelle13245689101112131415161715[Team],$C15)</f>
        <v>45</v>
      </c>
      <c r="H15" s="7">
        <f>SUMIFS(Tabelle13245689101112131415161715[Jira Story Points],Tabelle13245689101112131415161715[Status],$H$5,Tabelle13245689101112131415161715[Team],$C15)</f>
        <v>67</v>
      </c>
      <c r="I15" s="6">
        <f>SUMIFS(Tabelle13245689101112131415161715[Jira Story Points],Tabelle13245689101112131415161715[Status],$I$5,Tabelle13245689101112131415161715[Team],$C15)</f>
        <v>36</v>
      </c>
      <c r="J15" s="6">
        <f>SUMIFS(Tabelle13245689101112131415161715[Jira Story Points],Tabelle13245689101112131415161715[Status],$J$5,Tabelle13245689101112131415161715[Team],$C15)</f>
        <v>0</v>
      </c>
      <c r="K15" s="69">
        <f>SUMIFS(Tabelle13245689101112131415161715[Jira Story Points],Tabelle13245689101112131415161715[Team],$C15)</f>
        <v>103</v>
      </c>
      <c r="M15" s="6">
        <f>SUMIFS(Tabelle13245689101112131415161715[COsSP Initially Planned],Tabelle13245689101112131415161715[Team],$C15)</f>
        <v>58</v>
      </c>
      <c r="N15" s="6">
        <f>SUMIFS(Tabelle13245689101112131415161715[COsSP Pulled after Start],Tabelle13245689101112131415161715[Team],$C15)</f>
        <v>45</v>
      </c>
      <c r="O15" s="25">
        <f>SUMIFS(Tabelle13245689101112131415161715[CSOsSP Completed],Tabelle13245689101112131415161715[Team],$C15)</f>
        <v>85.5</v>
      </c>
      <c r="P15" s="25">
        <f>SUMIFS(Tabelle13245689101112131415161715[CSOsSP Removed],Tabelle13245689101112131415161715[Team],$C15)</f>
        <v>0</v>
      </c>
      <c r="Q15" s="41">
        <f>SUMIFS(Tabelle13245689101112131415161715[CSOsSP Not Completed],Tabelle13245689101112131415161715[Team],$C15)</f>
        <v>17.5</v>
      </c>
      <c r="R15" s="40">
        <f>IFERROR(O15/$M15," ")</f>
        <v>1.4741379310344827</v>
      </c>
      <c r="T15" s="43"/>
    </row>
    <row r="16" spans="2:22" ht="13.5" customHeight="1" thickBot="1">
      <c r="C16" s="65" t="s">
        <v>172</v>
      </c>
      <c r="D16" s="62">
        <f t="shared" ref="D16:K16" si="1">SUM(D6:D13)</f>
        <v>152</v>
      </c>
      <c r="E16" s="75">
        <f t="shared" si="1"/>
        <v>118</v>
      </c>
      <c r="F16" s="62">
        <f t="shared" si="1"/>
        <v>291</v>
      </c>
      <c r="G16" s="70">
        <f t="shared" si="1"/>
        <v>215</v>
      </c>
      <c r="H16" s="71">
        <f t="shared" si="1"/>
        <v>382</v>
      </c>
      <c r="I16" s="71">
        <f t="shared" si="1"/>
        <v>103</v>
      </c>
      <c r="J16" s="71">
        <f t="shared" si="1"/>
        <v>1</v>
      </c>
      <c r="K16" s="72">
        <f t="shared" si="1"/>
        <v>506</v>
      </c>
      <c r="M16" s="23">
        <f t="shared" ref="M16:N16" si="2">SUM(M6:M13)</f>
        <v>283</v>
      </c>
      <c r="N16" s="21">
        <f t="shared" si="2"/>
        <v>204</v>
      </c>
      <c r="O16" s="31">
        <f>SUM(O6:O13)</f>
        <v>396</v>
      </c>
      <c r="P16" s="31">
        <f>SUM(P6:P13)</f>
        <v>1</v>
      </c>
      <c r="Q16" s="22">
        <f>SUM(Q6:Q13)</f>
        <v>90</v>
      </c>
      <c r="R16" s="38" t="s">
        <v>185</v>
      </c>
      <c r="T16" s="42"/>
      <c r="U16" s="42"/>
      <c r="V16" s="42"/>
    </row>
    <row r="17" spans="1:22" ht="13.5" customHeight="1">
      <c r="T17" s="5"/>
      <c r="U17" s="5"/>
      <c r="V17" s="5"/>
    </row>
    <row r="18" spans="1:22" ht="13.5" customHeight="1">
      <c r="T18" s="5"/>
      <c r="U18" s="5"/>
      <c r="V18" s="5"/>
    </row>
    <row r="19" spans="1:22" ht="13.5" customHeight="1">
      <c r="T19" s="5"/>
      <c r="U19" s="5"/>
      <c r="V19" s="5"/>
    </row>
    <row r="20" spans="1:22" ht="13.5" customHeight="1">
      <c r="T20" s="5"/>
      <c r="U20" s="5"/>
      <c r="V20" s="5"/>
    </row>
    <row r="21" spans="1:22" ht="13.5" customHeight="1">
      <c r="C21" s="33" t="s">
        <v>186</v>
      </c>
      <c r="D21" s="9"/>
      <c r="E21" s="9"/>
      <c r="F21" s="9"/>
      <c r="G21" s="9"/>
      <c r="H21" s="9"/>
      <c r="I21" s="9"/>
      <c r="J21" s="9"/>
      <c r="K21" s="9"/>
      <c r="L21" s="9"/>
      <c r="M21" s="9"/>
      <c r="N21" s="9"/>
      <c r="O21" s="9"/>
      <c r="T21" s="5"/>
      <c r="U21" s="5"/>
      <c r="V21" s="5"/>
    </row>
    <row r="22" spans="1:22" ht="13.5" customHeight="1">
      <c r="C22" s="10"/>
      <c r="D22" s="425" t="s">
        <v>187</v>
      </c>
      <c r="E22" s="425"/>
      <c r="F22" s="425" t="s">
        <v>106</v>
      </c>
      <c r="G22" s="425"/>
      <c r="H22" s="425" t="s">
        <v>172</v>
      </c>
      <c r="I22" s="425"/>
      <c r="J22" s="426" t="s">
        <v>188</v>
      </c>
      <c r="K22" s="426"/>
      <c r="L22" s="426" t="s">
        <v>189</v>
      </c>
      <c r="M22" s="426"/>
      <c r="N22" s="416" t="s">
        <v>172</v>
      </c>
      <c r="O22" s="416"/>
    </row>
    <row r="23" spans="1:22" ht="13.5" customHeight="1">
      <c r="C23" s="10"/>
      <c r="D23" s="11" t="s">
        <v>190</v>
      </c>
      <c r="E23" s="12" t="s">
        <v>191</v>
      </c>
      <c r="F23" s="11" t="s">
        <v>190</v>
      </c>
      <c r="G23" s="12" t="s">
        <v>191</v>
      </c>
      <c r="H23" s="12" t="s">
        <v>190</v>
      </c>
      <c r="I23" s="12" t="s">
        <v>191</v>
      </c>
      <c r="J23" s="34" t="s">
        <v>190</v>
      </c>
      <c r="K23" s="13" t="s">
        <v>191</v>
      </c>
      <c r="L23" s="14" t="s">
        <v>190</v>
      </c>
      <c r="M23" s="14" t="s">
        <v>191</v>
      </c>
      <c r="N23" s="14" t="s">
        <v>190</v>
      </c>
      <c r="O23" s="14" t="s">
        <v>191</v>
      </c>
    </row>
    <row r="24" spans="1:22" ht="13.5" customHeight="1">
      <c r="C24" s="15" t="s">
        <v>192</v>
      </c>
      <c r="D24" s="7">
        <f>COUNTIFS(Tabelle13245689101112131415161715[Team],"*",Tabelle13245689101112131415161715[Pulled after Start],"&lt;&gt;yes")</f>
        <v>136</v>
      </c>
      <c r="E24" s="7">
        <f>SUMIFS(Tabelle13245689101112131415161715[Jira Story Points],Tabelle13245689101112131415161715[Team],"*",Tabelle13245689101112131415161715[Pulled after Start],"&lt;&gt;yes")+COUNTIFS(Tabelle13245689101112131415161715[Team],"*",Tabelle13245689101112131415161715[Jira Story Points],"-",Tabelle13245689101112131415161715[Pulled after Start],"&lt;&gt;yes")*$M$28</f>
        <v>451</v>
      </c>
      <c r="F24" s="7">
        <f>COUNTIF(Tabelle13245689101112131415161715[Pulled after Start],"yes")</f>
        <v>73</v>
      </c>
      <c r="G24" s="7">
        <f>SUMIFS(Tabelle13245689101112131415161715[Jira Story Points],Tabelle13245689101112131415161715[Team],"*",Tabelle13245689101112131415161715[Pulled after Start],"yes")+COUNTIFS(Tabelle13245689101112131415161715[Team],"*",Tabelle13245689101112131415161715[Jira Story Points],"-",Tabelle13245689101112131415161715[Pulled after Start],"yes")*$M$28</f>
        <v>260</v>
      </c>
      <c r="H24" s="7">
        <f t="shared" ref="H24:I27" si="3">D24+F24</f>
        <v>209</v>
      </c>
      <c r="I24" s="7">
        <f t="shared" si="3"/>
        <v>711</v>
      </c>
      <c r="J24" s="7">
        <f>COUNTIFS(Tabelle13245689101112131415161715[Team],"*",Tabelle13245689101112131415161715[Jira Story Points],"&lt;&gt;-")</f>
        <v>207</v>
      </c>
      <c r="K24" s="16">
        <f>SUMIFS(Tabelle13245689101112131415161715[Jira Story Points],Tabelle13245689101112131415161715[Team],"*",Tabelle13245689101112131415161715[Jira Story Points],"&lt;&gt;-")</f>
        <v>707</v>
      </c>
      <c r="L24" s="8">
        <f>COUNTIFS(Tabelle13245689101112131415161715[Team],"*",Tabelle13245689101112131415161715[Jira Story Points],"-")</f>
        <v>2</v>
      </c>
      <c r="M24" s="8">
        <f>L24*$M$28</f>
        <v>4</v>
      </c>
      <c r="N24" s="35">
        <f t="shared" ref="N24:O27" si="4">J24+L24</f>
        <v>209</v>
      </c>
      <c r="O24" s="7">
        <f t="shared" si="4"/>
        <v>711</v>
      </c>
    </row>
    <row r="25" spans="1:22" ht="13.5" customHeight="1">
      <c r="C25" s="15" t="s">
        <v>125</v>
      </c>
      <c r="D25" s="7">
        <f>COUNTIFS(Tabelle13245689101112131415161715[Team],"*",Tabelle13245689101112131415161715[Pulled after Start],"&lt;&gt;yes",Tabelle13245689101112131415161715[Status],H5)</f>
        <v>111</v>
      </c>
      <c r="E25" s="7">
        <f>SUMIFS(Tabelle13245689101112131415161715[Jira Story Points],Tabelle13245689101112131415161715[Team],"*",Tabelle13245689101112131415161715[Pulled after Start],"&lt;&gt;yes",Tabelle13245689101112131415161715[Status],H5)+COUNTIFS(Tabelle13245689101112131415161715[Team],"*",Tabelle13245689101112131415161715[Jira Story Points],"-",Tabelle13245689101112131415161715[Pulled after Start],"&lt;&gt;yes",Tabelle13245689101112131415161715[Status],H5)*$M$28</f>
        <v>360</v>
      </c>
      <c r="F25" s="7">
        <f>COUNTIFS(Tabelle13245689101112131415161715[Pulled after Start],"yes",Tabelle13245689101112131415161715[Status],H5)</f>
        <v>49</v>
      </c>
      <c r="G25" s="7">
        <f>SUMIFS(Tabelle13245689101112131415161715[Jira Story Points],Tabelle13245689101112131415161715[Team],"*",Tabelle13245689101112131415161715[Pulled after Start],"yes",Tabelle13245689101112131415161715[Status],H5)+COUNTIFS(Tabelle13245689101112131415161715[Team],"*",Tabelle13245689101112131415161715[Jira Story Points],"-",Tabelle13245689101112131415161715[Pulled after Start],"yes",Tabelle13245689101112131415161715[Status],H5)*$M$28</f>
        <v>168</v>
      </c>
      <c r="H25" s="7">
        <f t="shared" si="3"/>
        <v>160</v>
      </c>
      <c r="I25" s="7">
        <f t="shared" si="3"/>
        <v>528</v>
      </c>
      <c r="J25" s="7">
        <f>COUNTIFS(Tabelle13245689101112131415161715[Team],"*",Tabelle13245689101112131415161715[Jira Story Points],"&lt;&gt;-",Tabelle13245689101112131415161715[Status],H5)</f>
        <v>160</v>
      </c>
      <c r="K25" s="7">
        <f>SUMIFS(Tabelle13245689101112131415161715[Jira Story Points],Tabelle13245689101112131415161715[Team],"*",Tabelle13245689101112131415161715[Jira Story Points],"&lt;&gt;-",Tabelle13245689101112131415161715[Status],H5)</f>
        <v>528</v>
      </c>
      <c r="L25" s="17">
        <f>COUNTIFS(Tabelle13245689101112131415161715[Team],"*",Tabelle13245689101112131415161715[Jira Story Points],"-",Tabelle13245689101112131415161715[Status],H5)</f>
        <v>0</v>
      </c>
      <c r="M25" s="8">
        <f>L25*$M$28</f>
        <v>0</v>
      </c>
      <c r="N25" s="7">
        <f t="shared" si="4"/>
        <v>160</v>
      </c>
      <c r="O25" s="7">
        <f t="shared" si="4"/>
        <v>528</v>
      </c>
    </row>
    <row r="26" spans="1:22" ht="13.5" customHeight="1">
      <c r="C26" s="15" t="s">
        <v>127</v>
      </c>
      <c r="D26" s="7">
        <f>COUNTIFS(Tabelle13245689101112131415161715[Team],"*",Tabelle13245689101112131415161715[Pulled after Start],"&lt;&gt;yes",Tabelle13245689101112131415161715[Status],I5)</f>
        <v>13</v>
      </c>
      <c r="E26" s="7">
        <f>SUMIFS(Tabelle13245689101112131415161715[Jira Story Points],Tabelle13245689101112131415161715[Team],"*",Tabelle13245689101112131415161715[Pulled after Start],"&lt;&gt;yes",Tabelle13245689101112131415161715[Status],I5)+COUNTIFS(Tabelle13245689101112131415161715[Team],"*",Tabelle13245689101112131415161715[Jira Story Points],"-",Tabelle13245689101112131415161715[Pulled after Start],"&lt;&gt;yes",Tabelle13245689101112131415161715[Status],I5)*$M$28</f>
        <v>61</v>
      </c>
      <c r="F26" s="7">
        <f>COUNTIFS(Tabelle13245689101112131415161715[Pulled after Start],"yes",Tabelle13245689101112131415161715[Status],I5)</f>
        <v>19</v>
      </c>
      <c r="G26" s="7">
        <f>SUMIFS(Tabelle13245689101112131415161715[Jira Story Points],Tabelle13245689101112131415161715[Team],"*",Tabelle13245689101112131415161715[Pulled after Start],"yes",Tabelle13245689101112131415161715[Status],I5)+COUNTIFS(Tabelle13245689101112131415161715[Team],"*",Tabelle13245689101112131415161715[Jira Story Points],"-",Tabelle13245689101112131415161715[Pulled after Start],"yes",Tabelle13245689101112131415161715[Status],I5)*$M$28</f>
        <v>78</v>
      </c>
      <c r="H26" s="7">
        <f t="shared" si="3"/>
        <v>32</v>
      </c>
      <c r="I26" s="7">
        <f t="shared" si="3"/>
        <v>139</v>
      </c>
      <c r="J26" s="7">
        <f>COUNTIFS(Tabelle13245689101112131415161715[Team],"*",Tabelle13245689101112131415161715[Jira Story Points],"&lt;&gt;-",Tabelle13245689101112131415161715[Status],I5)</f>
        <v>32</v>
      </c>
      <c r="K26" s="7">
        <f>SUMIFS(Tabelle13245689101112131415161715[Jira Story Points],Tabelle13245689101112131415161715[Team],"*",Tabelle13245689101112131415161715[Jira Story Points],"&lt;&gt;-",Tabelle13245689101112131415161715[Status],I5)</f>
        <v>139</v>
      </c>
      <c r="L26" s="17">
        <f>COUNTIFS(Tabelle13245689101112131415161715[Team],"*",Tabelle13245689101112131415161715[Jira Story Points],"-",Tabelle13245689101112131415161715[Status],I5)</f>
        <v>0</v>
      </c>
      <c r="M26" s="8">
        <f>L26*$M$28</f>
        <v>0</v>
      </c>
      <c r="N26" s="7">
        <f t="shared" si="4"/>
        <v>32</v>
      </c>
      <c r="O26" s="7">
        <f t="shared" si="4"/>
        <v>139</v>
      </c>
    </row>
    <row r="27" spans="1:22" ht="13.5" customHeight="1">
      <c r="C27" s="15" t="s">
        <v>126</v>
      </c>
      <c r="D27" s="7">
        <f>COUNTIFS(Tabelle13245689101112131415161715[Team],"*",Tabelle13245689101112131415161715[Pulled after Start],"&lt;&gt;yes",Tabelle13245689101112131415161715[Status],J5)</f>
        <v>3</v>
      </c>
      <c r="E27" s="7">
        <f>SUMIFS(Tabelle13245689101112131415161715[Jira Story Points],Tabelle13245689101112131415161715[Team],"*",Tabelle13245689101112131415161715[Pulled after Start],"&lt;&gt;yes",Tabelle13245689101112131415161715[Status],J5)+COUNTIFS(Tabelle13245689101112131415161715[Team],"*",Tabelle13245689101112131415161715[Jira Story Points],"-",Tabelle13245689101112131415161715[Pulled after Start],"&lt;&gt;yes",Tabelle13245689101112131415161715[Status],J5)*$M$28</f>
        <v>5</v>
      </c>
      <c r="F27" s="7">
        <f>COUNTIFS(Tabelle13245689101112131415161715[Pulled after Start],"yes",Tabelle13245689101112131415161715[Status],J5)</f>
        <v>0</v>
      </c>
      <c r="G27" s="7">
        <f>SUMIFS(Tabelle13245689101112131415161715[Jira Story Points],Tabelle13245689101112131415161715[Team],"*",Tabelle13245689101112131415161715[Pulled after Start],"yes",Tabelle13245689101112131415161715[Status],J5)+COUNTIFS(Tabelle13245689101112131415161715[Team],"*",Tabelle13245689101112131415161715[Jira Story Points],"-",Tabelle13245689101112131415161715[Pulled after Start],"yes",Tabelle13245689101112131415161715[Status],J5)*$M$28</f>
        <v>0</v>
      </c>
      <c r="H27" s="7">
        <f t="shared" si="3"/>
        <v>3</v>
      </c>
      <c r="I27" s="7">
        <f t="shared" si="3"/>
        <v>5</v>
      </c>
      <c r="J27" s="7">
        <f>COUNTIFS(Tabelle13245689101112131415161715[Team],"*",Tabelle13245689101112131415161715[Jira Story Points],"&lt;&gt;-",Tabelle13245689101112131415161715[Status],J5)</f>
        <v>1</v>
      </c>
      <c r="K27" s="7">
        <f>SUMIFS(Tabelle13245689101112131415161715[Jira Story Points],Tabelle13245689101112131415161715[Team],"*",Tabelle13245689101112131415161715[Jira Story Points],"&lt;&gt;-",Tabelle13245689101112131415161715[Status],J5)</f>
        <v>1</v>
      </c>
      <c r="L27" s="17">
        <f>COUNTIFS(Tabelle13245689101112131415161715[Team],"*",Tabelle13245689101112131415161715[Jira Story Points],"-",Tabelle13245689101112131415161715[Status],J5)</f>
        <v>2</v>
      </c>
      <c r="M27" s="8">
        <f>L27*$M$28</f>
        <v>4</v>
      </c>
      <c r="N27" s="7">
        <f t="shared" si="4"/>
        <v>3</v>
      </c>
      <c r="O27" s="7">
        <f t="shared" si="4"/>
        <v>5</v>
      </c>
    </row>
    <row r="28" spans="1:22" ht="13.5" customHeight="1" thickBot="1">
      <c r="C28" s="1"/>
      <c r="D28" s="1"/>
      <c r="E28" s="1"/>
      <c r="F28" s="1"/>
      <c r="G28" s="1"/>
      <c r="H28" s="1"/>
      <c r="I28" s="1"/>
      <c r="J28" s="1"/>
      <c r="K28" s="1"/>
      <c r="L28" s="24" t="s">
        <v>193</v>
      </c>
      <c r="M28" s="45">
        <v>2</v>
      </c>
    </row>
    <row r="31" spans="1:22" s="201" customFormat="1" ht="30.75" customHeight="1">
      <c r="A31" s="197" t="s">
        <v>194</v>
      </c>
      <c r="B31" s="197" t="s">
        <v>195</v>
      </c>
      <c r="C31" s="197" t="s">
        <v>196</v>
      </c>
      <c r="D31" s="197" t="s">
        <v>197</v>
      </c>
      <c r="E31" s="197" t="s">
        <v>198</v>
      </c>
      <c r="F31" s="197" t="s">
        <v>199</v>
      </c>
      <c r="G31" s="197" t="s">
        <v>167</v>
      </c>
      <c r="H31" s="197" t="s">
        <v>106</v>
      </c>
      <c r="I31" s="197" t="s">
        <v>200</v>
      </c>
      <c r="J31" s="197" t="s">
        <v>168</v>
      </c>
      <c r="K31" s="197" t="s">
        <v>201</v>
      </c>
      <c r="L31" s="197" t="s">
        <v>202</v>
      </c>
      <c r="M31" s="197" t="s">
        <v>203</v>
      </c>
      <c r="N31" s="198" t="s">
        <v>204</v>
      </c>
      <c r="O31" s="199" t="s">
        <v>205</v>
      </c>
      <c r="P31" s="199" t="s">
        <v>206</v>
      </c>
      <c r="Q31" s="200" t="s">
        <v>207</v>
      </c>
      <c r="R31" s="199" t="s">
        <v>208</v>
      </c>
    </row>
    <row r="32" spans="1:22" s="201" customFormat="1" ht="15">
      <c r="A32" s="285" t="s">
        <v>953</v>
      </c>
      <c r="B32" t="s">
        <v>954</v>
      </c>
      <c r="C32" s="203" t="s">
        <v>215</v>
      </c>
      <c r="D32" s="203">
        <v>2</v>
      </c>
      <c r="E32" s="203" t="s">
        <v>216</v>
      </c>
      <c r="F32" s="204">
        <v>3</v>
      </c>
      <c r="G32" s="203" t="s">
        <v>12</v>
      </c>
      <c r="H32" s="205"/>
      <c r="I32" s="206" t="s">
        <v>217</v>
      </c>
      <c r="J32" s="202" t="s">
        <v>471</v>
      </c>
      <c r="K32" s="203" t="s">
        <v>125</v>
      </c>
      <c r="L32" s="204">
        <v>3</v>
      </c>
      <c r="M32" s="204"/>
      <c r="N32" s="286">
        <f>IF(OR(Tabelle13245689101112131415161715[[#This Row],[Pulled after Start]]="yes",Tabelle13245689101112131415161715[[#This Row],[Jira Story Points]]="-"),0,MIN(Tabelle13245689101112131415161715[[#This Row],[Jira Story Points]],Tabelle13245689101112131415161715[[#This Row],[Carry-over]]))</f>
        <v>3</v>
      </c>
      <c r="O32" s="210">
        <f>SUM(IF(ISBLANK(Tabelle13245689101112131415161715[[#This Row],[Carry-over]]),Tabelle13245689101112131415161715[[#This Row],[Jira Story Points]],Tabelle13245689101112131415161715[[#This Row],[Carry-over]]),-Tabelle13245689101112131415161715[[#This Row],[COsSP Initially Planned]])</f>
        <v>0</v>
      </c>
      <c r="P3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32" s="210">
        <f>IF(Tabelle13245689101112131415161715[[#This Row],[Status]]=$J$5,Tabelle13245689101112131415161715[[#This Row],[COsSP Initially Planned]]+Tabelle13245689101112131415161715[[#This Row],[COsSP Pulled after Start]]-Tabelle13245689101112131415161715[[#This Row],[CSOsSP Completed]],0)</f>
        <v>0</v>
      </c>
      <c r="R32" s="210">
        <f>Tabelle13245689101112131415161715[[#This Row],[COsSP Initially Planned]]+Tabelle13245689101112131415161715[[#This Row],[COsSP Pulled after Start]]-Tabelle13245689101112131415161715[[#This Row],[CSOsSP Completed]]-Tabelle13245689101112131415161715[[#This Row],[CSOsSP Removed]]</f>
        <v>0</v>
      </c>
    </row>
    <row r="33" spans="1:40" s="213" customFormat="1" ht="15">
      <c r="A33" s="285" t="s">
        <v>955</v>
      </c>
      <c r="B33" t="s">
        <v>956</v>
      </c>
      <c r="C33" s="203" t="s">
        <v>222</v>
      </c>
      <c r="D33" s="203">
        <v>3</v>
      </c>
      <c r="E33" s="203" t="s">
        <v>216</v>
      </c>
      <c r="F33" s="204">
        <v>3</v>
      </c>
      <c r="G33" s="203" t="s">
        <v>12</v>
      </c>
      <c r="H33" s="205"/>
      <c r="I33" s="206" t="s">
        <v>957</v>
      </c>
      <c r="J33" s="202" t="s">
        <v>958</v>
      </c>
      <c r="K33" s="203" t="s">
        <v>125</v>
      </c>
      <c r="L33" s="204">
        <v>1</v>
      </c>
      <c r="M33" s="204"/>
      <c r="N33" s="286">
        <f>IF(OR(Tabelle13245689101112131415161715[[#This Row],[Pulled after Start]]="yes",Tabelle13245689101112131415161715[[#This Row],[Jira Story Points]]="-"),0,MIN(Tabelle13245689101112131415161715[[#This Row],[Jira Story Points]],Tabelle13245689101112131415161715[[#This Row],[Carry-over]]))</f>
        <v>1</v>
      </c>
      <c r="O33" s="210">
        <f>SUM(IF(ISBLANK(Tabelle13245689101112131415161715[[#This Row],[Carry-over]]),Tabelle13245689101112131415161715[[#This Row],[Jira Story Points]],Tabelle13245689101112131415161715[[#This Row],[Carry-over]]),-Tabelle13245689101112131415161715[[#This Row],[COsSP Initially Planned]])</f>
        <v>0</v>
      </c>
      <c r="P3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33" s="210">
        <f>IF(Tabelle13245689101112131415161715[[#This Row],[Status]]=$J$5,Tabelle13245689101112131415161715[[#This Row],[COsSP Initially Planned]]+Tabelle13245689101112131415161715[[#This Row],[COsSP Pulled after Start]]-Tabelle13245689101112131415161715[[#This Row],[CSOsSP Completed]],0)</f>
        <v>0</v>
      </c>
      <c r="R33" s="210">
        <f>Tabelle13245689101112131415161715[[#This Row],[COsSP Initially Planned]]+Tabelle13245689101112131415161715[[#This Row],[COsSP Pulled after Start]]-Tabelle13245689101112131415161715[[#This Row],[CSOsSP Completed]]-Tabelle13245689101112131415161715[[#This Row],[CSOsSP Removed]]</f>
        <v>0</v>
      </c>
      <c r="AB33" s="1"/>
      <c r="AC33" s="1"/>
      <c r="AD33" s="1"/>
      <c r="AE33" s="1"/>
      <c r="AF33" s="1"/>
      <c r="AG33" s="1"/>
      <c r="AH33" s="1"/>
      <c r="AI33" s="1"/>
      <c r="AJ33" s="1"/>
      <c r="AK33" s="1"/>
      <c r="AL33" s="1"/>
      <c r="AM33" s="1"/>
      <c r="AN33" s="1"/>
    </row>
    <row r="34" spans="1:40" s="213" customFormat="1" ht="15">
      <c r="A34" s="285" t="s">
        <v>959</v>
      </c>
      <c r="B34" t="s">
        <v>960</v>
      </c>
      <c r="C34" s="203" t="s">
        <v>215</v>
      </c>
      <c r="D34" s="203">
        <v>4</v>
      </c>
      <c r="E34" s="203" t="s">
        <v>216</v>
      </c>
      <c r="F34" s="204">
        <v>1</v>
      </c>
      <c r="G34" s="203" t="s">
        <v>12</v>
      </c>
      <c r="H34" s="205"/>
      <c r="I34" s="206" t="s">
        <v>481</v>
      </c>
      <c r="J34" s="202" t="s">
        <v>958</v>
      </c>
      <c r="K34" s="203" t="s">
        <v>125</v>
      </c>
      <c r="L34" s="204">
        <v>0</v>
      </c>
      <c r="M34" s="204"/>
      <c r="N34" s="286">
        <f>IF(OR(Tabelle13245689101112131415161715[[#This Row],[Pulled after Start]]="yes",Tabelle13245689101112131415161715[[#This Row],[Jira Story Points]]="-"),0,MIN(Tabelle13245689101112131415161715[[#This Row],[Jira Story Points]],Tabelle13245689101112131415161715[[#This Row],[Carry-over]]))</f>
        <v>0</v>
      </c>
      <c r="O34" s="210">
        <f>SUM(IF(ISBLANK(Tabelle13245689101112131415161715[[#This Row],[Carry-over]]),Tabelle13245689101112131415161715[[#This Row],[Jira Story Points]],Tabelle13245689101112131415161715[[#This Row],[Carry-over]]),-Tabelle13245689101112131415161715[[#This Row],[COsSP Initially Planned]])</f>
        <v>0</v>
      </c>
      <c r="P3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34" s="210">
        <f>IF(Tabelle13245689101112131415161715[[#This Row],[Status]]=$J$5,Tabelle13245689101112131415161715[[#This Row],[COsSP Initially Planned]]+Tabelle13245689101112131415161715[[#This Row],[COsSP Pulled after Start]]-Tabelle13245689101112131415161715[[#This Row],[CSOsSP Completed]],0)</f>
        <v>0</v>
      </c>
      <c r="R34" s="210">
        <f>Tabelle13245689101112131415161715[[#This Row],[COsSP Initially Planned]]+Tabelle13245689101112131415161715[[#This Row],[COsSP Pulled after Start]]-Tabelle13245689101112131415161715[[#This Row],[CSOsSP Completed]]-Tabelle13245689101112131415161715[[#This Row],[CSOsSP Removed]]</f>
        <v>0</v>
      </c>
      <c r="AB34" s="1"/>
      <c r="AC34" s="1"/>
      <c r="AD34" s="1"/>
      <c r="AE34" s="1"/>
      <c r="AF34" s="1"/>
      <c r="AG34" s="1"/>
      <c r="AH34" s="1"/>
      <c r="AI34" s="1"/>
      <c r="AJ34" s="1"/>
      <c r="AK34" s="1"/>
      <c r="AL34" s="1"/>
      <c r="AM34" s="1"/>
      <c r="AN34" s="1"/>
    </row>
    <row r="35" spans="1:40" s="213" customFormat="1" ht="15">
      <c r="A35" s="285" t="s">
        <v>961</v>
      </c>
      <c r="B35" t="s">
        <v>962</v>
      </c>
      <c r="C35" s="203" t="s">
        <v>222</v>
      </c>
      <c r="D35" s="203">
        <v>3</v>
      </c>
      <c r="E35" s="203" t="s">
        <v>216</v>
      </c>
      <c r="F35" s="204">
        <v>1</v>
      </c>
      <c r="G35" s="203" t="s">
        <v>12</v>
      </c>
      <c r="H35" s="205"/>
      <c r="I35" s="206" t="s">
        <v>217</v>
      </c>
      <c r="J35" s="206"/>
      <c r="K35" s="203" t="s">
        <v>125</v>
      </c>
      <c r="L35" s="204">
        <v>1</v>
      </c>
      <c r="M35" s="204"/>
      <c r="N35" s="286">
        <f>IF(OR(Tabelle13245689101112131415161715[[#This Row],[Pulled after Start]]="yes",Tabelle13245689101112131415161715[[#This Row],[Jira Story Points]]="-"),0,MIN(Tabelle13245689101112131415161715[[#This Row],[Jira Story Points]],Tabelle13245689101112131415161715[[#This Row],[Carry-over]]))</f>
        <v>1</v>
      </c>
      <c r="O35" s="210">
        <f>SUM(IF(ISBLANK(Tabelle13245689101112131415161715[[#This Row],[Carry-over]]),Tabelle13245689101112131415161715[[#This Row],[Jira Story Points]],Tabelle13245689101112131415161715[[#This Row],[Carry-over]]),-Tabelle13245689101112131415161715[[#This Row],[COsSP Initially Planned]])</f>
        <v>0</v>
      </c>
      <c r="P3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35" s="210">
        <f>IF(Tabelle13245689101112131415161715[[#This Row],[Status]]=$J$5,Tabelle13245689101112131415161715[[#This Row],[COsSP Initially Planned]]+Tabelle13245689101112131415161715[[#This Row],[COsSP Pulled after Start]]-Tabelle13245689101112131415161715[[#This Row],[CSOsSP Completed]],0)</f>
        <v>0</v>
      </c>
      <c r="R35" s="210">
        <f>Tabelle13245689101112131415161715[[#This Row],[COsSP Initially Planned]]+Tabelle13245689101112131415161715[[#This Row],[COsSP Pulled after Start]]-Tabelle13245689101112131415161715[[#This Row],[CSOsSP Completed]]-Tabelle13245689101112131415161715[[#This Row],[CSOsSP Removed]]</f>
        <v>0</v>
      </c>
      <c r="AB35" s="1"/>
      <c r="AC35" s="1"/>
      <c r="AD35" s="1"/>
      <c r="AE35" s="1"/>
      <c r="AF35" s="1"/>
      <c r="AG35" s="1"/>
      <c r="AH35" s="1"/>
      <c r="AI35" s="1"/>
      <c r="AJ35" s="1"/>
      <c r="AK35" s="1"/>
      <c r="AL35" s="1"/>
      <c r="AM35" s="1"/>
      <c r="AN35" s="1"/>
    </row>
    <row r="36" spans="1:40" s="213" customFormat="1" ht="15">
      <c r="A36" s="285" t="s">
        <v>963</v>
      </c>
      <c r="B36" t="s">
        <v>964</v>
      </c>
      <c r="C36" s="203" t="s">
        <v>215</v>
      </c>
      <c r="D36" s="203">
        <v>3</v>
      </c>
      <c r="E36" s="203" t="s">
        <v>216</v>
      </c>
      <c r="F36" s="204">
        <v>3</v>
      </c>
      <c r="G36" s="203" t="s">
        <v>12</v>
      </c>
      <c r="H36" s="205"/>
      <c r="I36" s="206" t="s">
        <v>217</v>
      </c>
      <c r="J36" s="206"/>
      <c r="K36" s="203" t="s">
        <v>125</v>
      </c>
      <c r="L36" s="204"/>
      <c r="M36" s="204"/>
      <c r="N36" s="286">
        <f>IF(OR(Tabelle13245689101112131415161715[[#This Row],[Pulled after Start]]="yes",Tabelle13245689101112131415161715[[#This Row],[Jira Story Points]]="-"),0,MIN(Tabelle13245689101112131415161715[[#This Row],[Jira Story Points]],Tabelle13245689101112131415161715[[#This Row],[Carry-over]]))</f>
        <v>3</v>
      </c>
      <c r="O36" s="210">
        <f>SUM(IF(ISBLANK(Tabelle13245689101112131415161715[[#This Row],[Carry-over]]),Tabelle13245689101112131415161715[[#This Row],[Jira Story Points]],Tabelle13245689101112131415161715[[#This Row],[Carry-over]]),-Tabelle13245689101112131415161715[[#This Row],[COsSP Initially Planned]])</f>
        <v>0</v>
      </c>
      <c r="P3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36" s="210">
        <f>IF(Tabelle13245689101112131415161715[[#This Row],[Status]]=$J$5,Tabelle13245689101112131415161715[[#This Row],[COsSP Initially Planned]]+Tabelle13245689101112131415161715[[#This Row],[COsSP Pulled after Start]]-Tabelle13245689101112131415161715[[#This Row],[CSOsSP Completed]],0)</f>
        <v>0</v>
      </c>
      <c r="R36" s="210">
        <f>Tabelle13245689101112131415161715[[#This Row],[COsSP Initially Planned]]+Tabelle13245689101112131415161715[[#This Row],[COsSP Pulled after Start]]-Tabelle13245689101112131415161715[[#This Row],[CSOsSP Completed]]-Tabelle13245689101112131415161715[[#This Row],[CSOsSP Removed]]</f>
        <v>0</v>
      </c>
      <c r="AB36" s="1"/>
      <c r="AC36" s="1"/>
      <c r="AD36" s="1"/>
      <c r="AE36" s="1"/>
      <c r="AF36" s="1"/>
      <c r="AG36" s="1"/>
      <c r="AH36" s="1"/>
      <c r="AI36" s="1"/>
      <c r="AJ36" s="1"/>
      <c r="AK36" s="1"/>
      <c r="AL36" s="1"/>
      <c r="AM36" s="1"/>
      <c r="AN36" s="1"/>
    </row>
    <row r="37" spans="1:40" s="213" customFormat="1" ht="15">
      <c r="A37" s="285" t="s">
        <v>220</v>
      </c>
      <c r="B37" t="s">
        <v>221</v>
      </c>
      <c r="C37" s="203" t="s">
        <v>222</v>
      </c>
      <c r="D37" s="203">
        <v>3</v>
      </c>
      <c r="E37" s="203" t="s">
        <v>238</v>
      </c>
      <c r="F37" s="204">
        <v>2</v>
      </c>
      <c r="G37" s="203" t="s">
        <v>12</v>
      </c>
      <c r="H37" s="205"/>
      <c r="I37" s="206" t="s">
        <v>217</v>
      </c>
      <c r="J37" s="202" t="s">
        <v>223</v>
      </c>
      <c r="K37" s="203" t="s">
        <v>127</v>
      </c>
      <c r="L37" s="204"/>
      <c r="M37" s="204">
        <v>1</v>
      </c>
      <c r="N37" s="286">
        <f>IF(OR(Tabelle13245689101112131415161715[[#This Row],[Pulled after Start]]="yes",Tabelle13245689101112131415161715[[#This Row],[Jira Story Points]]="-"),0,MIN(Tabelle13245689101112131415161715[[#This Row],[Jira Story Points]],Tabelle13245689101112131415161715[[#This Row],[Carry-over]]))</f>
        <v>2</v>
      </c>
      <c r="O37" s="210">
        <f>SUM(IF(ISBLANK(Tabelle13245689101112131415161715[[#This Row],[Carry-over]]),Tabelle13245689101112131415161715[[#This Row],[Jira Story Points]],Tabelle13245689101112131415161715[[#This Row],[Carry-over]]),-Tabelle13245689101112131415161715[[#This Row],[COsSP Initially Planned]])</f>
        <v>0</v>
      </c>
      <c r="P3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37" s="210">
        <f>IF(Tabelle13245689101112131415161715[[#This Row],[Status]]=$J$5,Tabelle13245689101112131415161715[[#This Row],[COsSP Initially Planned]]+Tabelle13245689101112131415161715[[#This Row],[COsSP Pulled after Start]]-Tabelle13245689101112131415161715[[#This Row],[CSOsSP Completed]],0)</f>
        <v>0</v>
      </c>
      <c r="R37" s="210">
        <f>Tabelle13245689101112131415161715[[#This Row],[COsSP Initially Planned]]+Tabelle13245689101112131415161715[[#This Row],[COsSP Pulled after Start]]-Tabelle13245689101112131415161715[[#This Row],[CSOsSP Completed]]-Tabelle13245689101112131415161715[[#This Row],[CSOsSP Removed]]</f>
        <v>1</v>
      </c>
      <c r="AB37" s="1"/>
      <c r="AC37" s="1"/>
      <c r="AD37" s="1"/>
      <c r="AE37" s="1"/>
      <c r="AF37" s="1"/>
      <c r="AG37" s="1"/>
      <c r="AH37" s="1"/>
      <c r="AI37" s="1"/>
      <c r="AJ37" s="1"/>
      <c r="AK37" s="1"/>
      <c r="AL37" s="1"/>
      <c r="AM37" s="1"/>
      <c r="AN37" s="1"/>
    </row>
    <row r="38" spans="1:40" s="213" customFormat="1" ht="15">
      <c r="A38" s="285" t="s">
        <v>965</v>
      </c>
      <c r="B38" t="s">
        <v>966</v>
      </c>
      <c r="C38" s="203" t="s">
        <v>222</v>
      </c>
      <c r="D38" s="203">
        <v>3</v>
      </c>
      <c r="E38" s="203" t="s">
        <v>216</v>
      </c>
      <c r="F38" s="204">
        <v>3</v>
      </c>
      <c r="G38" s="203" t="s">
        <v>12</v>
      </c>
      <c r="H38" s="205"/>
      <c r="I38" s="206" t="s">
        <v>217</v>
      </c>
      <c r="J38" s="202" t="s">
        <v>967</v>
      </c>
      <c r="K38" s="203" t="s">
        <v>125</v>
      </c>
      <c r="L38" s="204"/>
      <c r="M38" s="204"/>
      <c r="N38" s="286">
        <f>IF(OR(Tabelle13245689101112131415161715[[#This Row],[Pulled after Start]]="yes",Tabelle13245689101112131415161715[[#This Row],[Jira Story Points]]="-"),0,MIN(Tabelle13245689101112131415161715[[#This Row],[Jira Story Points]],Tabelle13245689101112131415161715[[#This Row],[Carry-over]]))</f>
        <v>3</v>
      </c>
      <c r="O38" s="210">
        <f>SUM(IF(ISBLANK(Tabelle13245689101112131415161715[[#This Row],[Carry-over]]),Tabelle13245689101112131415161715[[#This Row],[Jira Story Points]],Tabelle13245689101112131415161715[[#This Row],[Carry-over]]),-Tabelle13245689101112131415161715[[#This Row],[COsSP Initially Planned]])</f>
        <v>0</v>
      </c>
      <c r="P3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38" s="210">
        <f>IF(Tabelle13245689101112131415161715[[#This Row],[Status]]=$J$5,Tabelle13245689101112131415161715[[#This Row],[COsSP Initially Planned]]+Tabelle13245689101112131415161715[[#This Row],[COsSP Pulled after Start]]-Tabelle13245689101112131415161715[[#This Row],[CSOsSP Completed]],0)</f>
        <v>0</v>
      </c>
      <c r="R38" s="210">
        <f>Tabelle13245689101112131415161715[[#This Row],[COsSP Initially Planned]]+Tabelle13245689101112131415161715[[#This Row],[COsSP Pulled after Start]]-Tabelle13245689101112131415161715[[#This Row],[CSOsSP Completed]]-Tabelle13245689101112131415161715[[#This Row],[CSOsSP Removed]]</f>
        <v>0</v>
      </c>
      <c r="AB38" s="2"/>
      <c r="AC38" s="2"/>
      <c r="AD38" s="2"/>
      <c r="AE38" s="2"/>
      <c r="AF38" s="2"/>
      <c r="AG38" s="2"/>
      <c r="AH38" s="2"/>
      <c r="AI38" s="2"/>
      <c r="AJ38" s="2"/>
      <c r="AK38" s="2"/>
      <c r="AL38" s="2"/>
      <c r="AM38" s="2"/>
      <c r="AN38" s="2"/>
    </row>
    <row r="39" spans="1:40" s="213" customFormat="1" ht="15">
      <c r="A39" s="285" t="s">
        <v>968</v>
      </c>
      <c r="B39" t="s">
        <v>969</v>
      </c>
      <c r="C39" s="203" t="s">
        <v>215</v>
      </c>
      <c r="D39" s="203">
        <v>3</v>
      </c>
      <c r="E39" s="203" t="s">
        <v>216</v>
      </c>
      <c r="F39" s="204">
        <v>2</v>
      </c>
      <c r="G39" s="203" t="s">
        <v>12</v>
      </c>
      <c r="H39" s="205"/>
      <c r="I39" s="206" t="s">
        <v>970</v>
      </c>
      <c r="J39" s="206"/>
      <c r="K39" s="203" t="s">
        <v>125</v>
      </c>
      <c r="L39" s="204">
        <v>3</v>
      </c>
      <c r="M39" s="204"/>
      <c r="N39" s="286">
        <f>IF(OR(Tabelle13245689101112131415161715[[#This Row],[Pulled after Start]]="yes",Tabelle13245689101112131415161715[[#This Row],[Jira Story Points]]="-"),0,MIN(Tabelle13245689101112131415161715[[#This Row],[Jira Story Points]],Tabelle13245689101112131415161715[[#This Row],[Carry-over]]))</f>
        <v>2</v>
      </c>
      <c r="O39" s="210">
        <f>SUM(IF(ISBLANK(Tabelle13245689101112131415161715[[#This Row],[Carry-over]]),Tabelle13245689101112131415161715[[#This Row],[Jira Story Points]],Tabelle13245689101112131415161715[[#This Row],[Carry-over]]),-Tabelle13245689101112131415161715[[#This Row],[COsSP Initially Planned]])</f>
        <v>1</v>
      </c>
      <c r="P3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39" s="210">
        <f>IF(Tabelle13245689101112131415161715[[#This Row],[Status]]=$J$5,Tabelle13245689101112131415161715[[#This Row],[COsSP Initially Planned]]+Tabelle13245689101112131415161715[[#This Row],[COsSP Pulled after Start]]-Tabelle13245689101112131415161715[[#This Row],[CSOsSP Completed]],0)</f>
        <v>0</v>
      </c>
      <c r="R39" s="210">
        <f>Tabelle13245689101112131415161715[[#This Row],[COsSP Initially Planned]]+Tabelle13245689101112131415161715[[#This Row],[COsSP Pulled after Start]]-Tabelle13245689101112131415161715[[#This Row],[CSOsSP Completed]]-Tabelle13245689101112131415161715[[#This Row],[CSOsSP Removed]]</f>
        <v>0</v>
      </c>
      <c r="AB39" s="2"/>
      <c r="AC39" s="2"/>
      <c r="AD39" s="2"/>
      <c r="AE39" s="2"/>
      <c r="AF39" s="2"/>
      <c r="AG39" s="2"/>
      <c r="AH39" s="2"/>
      <c r="AI39" s="2"/>
      <c r="AJ39" s="2"/>
      <c r="AK39" s="2"/>
      <c r="AL39" s="2"/>
      <c r="AM39" s="2"/>
      <c r="AN39" s="2"/>
    </row>
    <row r="40" spans="1:40" s="213" customFormat="1" ht="15">
      <c r="A40" s="285" t="s">
        <v>971</v>
      </c>
      <c r="B40" t="s">
        <v>972</v>
      </c>
      <c r="C40" s="203" t="s">
        <v>222</v>
      </c>
      <c r="D40" s="203">
        <v>3</v>
      </c>
      <c r="E40" s="203" t="s">
        <v>216</v>
      </c>
      <c r="F40" s="204">
        <v>1</v>
      </c>
      <c r="G40" s="203" t="s">
        <v>12</v>
      </c>
      <c r="H40" s="205" t="s">
        <v>209</v>
      </c>
      <c r="I40" s="206" t="s">
        <v>270</v>
      </c>
      <c r="J40" s="206"/>
      <c r="K40" s="203" t="s">
        <v>125</v>
      </c>
      <c r="L40" s="204"/>
      <c r="M40" s="204"/>
      <c r="N40" s="286">
        <f>IF(OR(Tabelle13245689101112131415161715[[#This Row],[Pulled after Start]]="yes",Tabelle13245689101112131415161715[[#This Row],[Jira Story Points]]="-"),0,MIN(Tabelle13245689101112131415161715[[#This Row],[Jira Story Points]],Tabelle13245689101112131415161715[[#This Row],[Carry-over]]))</f>
        <v>0</v>
      </c>
      <c r="O40" s="210">
        <f>SUM(IF(ISBLANK(Tabelle13245689101112131415161715[[#This Row],[Carry-over]]),Tabelle13245689101112131415161715[[#This Row],[Jira Story Points]],Tabelle13245689101112131415161715[[#This Row],[Carry-over]]),-Tabelle13245689101112131415161715[[#This Row],[COsSP Initially Planned]])</f>
        <v>1</v>
      </c>
      <c r="P4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40" s="210">
        <f>IF(Tabelle13245689101112131415161715[[#This Row],[Status]]=$J$5,Tabelle13245689101112131415161715[[#This Row],[COsSP Initially Planned]]+Tabelle13245689101112131415161715[[#This Row],[COsSP Pulled after Start]]-Tabelle13245689101112131415161715[[#This Row],[CSOsSP Completed]],0)</f>
        <v>0</v>
      </c>
      <c r="R40" s="210">
        <f>Tabelle13245689101112131415161715[[#This Row],[COsSP Initially Planned]]+Tabelle13245689101112131415161715[[#This Row],[COsSP Pulled after Start]]-Tabelle13245689101112131415161715[[#This Row],[CSOsSP Completed]]-Tabelle13245689101112131415161715[[#This Row],[CSOsSP Removed]]</f>
        <v>0</v>
      </c>
      <c r="AB40" s="2"/>
      <c r="AC40" s="2"/>
      <c r="AD40" s="2"/>
      <c r="AE40" s="2"/>
      <c r="AF40" s="2"/>
      <c r="AG40" s="2"/>
      <c r="AH40" s="2"/>
      <c r="AI40" s="2"/>
      <c r="AJ40" s="2"/>
      <c r="AK40" s="2"/>
      <c r="AL40" s="2"/>
      <c r="AM40" s="2"/>
      <c r="AN40" s="2"/>
    </row>
    <row r="41" spans="1:40" s="213" customFormat="1" ht="15">
      <c r="A41" s="285" t="s">
        <v>973</v>
      </c>
      <c r="B41" t="s">
        <v>974</v>
      </c>
      <c r="C41" s="203" t="s">
        <v>234</v>
      </c>
      <c r="D41" s="203">
        <v>3</v>
      </c>
      <c r="E41" s="203" t="s">
        <v>216</v>
      </c>
      <c r="F41" s="204">
        <v>2</v>
      </c>
      <c r="G41" s="203" t="s">
        <v>12</v>
      </c>
      <c r="H41" s="205" t="s">
        <v>209</v>
      </c>
      <c r="I41" s="206" t="s">
        <v>975</v>
      </c>
      <c r="J41" s="206"/>
      <c r="K41" s="203" t="s">
        <v>125</v>
      </c>
      <c r="L41" s="204"/>
      <c r="M41" s="204"/>
      <c r="N41" s="286">
        <f>IF(OR(Tabelle13245689101112131415161715[[#This Row],[Pulled after Start]]="yes",Tabelle13245689101112131415161715[[#This Row],[Jira Story Points]]="-"),0,MIN(Tabelle13245689101112131415161715[[#This Row],[Jira Story Points]],Tabelle13245689101112131415161715[[#This Row],[Carry-over]]))</f>
        <v>0</v>
      </c>
      <c r="O41" s="210">
        <f>SUM(IF(ISBLANK(Tabelle13245689101112131415161715[[#This Row],[Carry-over]]),Tabelle13245689101112131415161715[[#This Row],[Jira Story Points]],Tabelle13245689101112131415161715[[#This Row],[Carry-over]]),-Tabelle13245689101112131415161715[[#This Row],[COsSP Initially Planned]])</f>
        <v>2</v>
      </c>
      <c r="P41"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41" s="210">
        <f>IF(Tabelle13245689101112131415161715[[#This Row],[Status]]=$J$5,Tabelle13245689101112131415161715[[#This Row],[COsSP Initially Planned]]+Tabelle13245689101112131415161715[[#This Row],[COsSP Pulled after Start]]-Tabelle13245689101112131415161715[[#This Row],[CSOsSP Completed]],0)</f>
        <v>0</v>
      </c>
      <c r="R41" s="210">
        <f>Tabelle13245689101112131415161715[[#This Row],[COsSP Initially Planned]]+Tabelle13245689101112131415161715[[#This Row],[COsSP Pulled after Start]]-Tabelle13245689101112131415161715[[#This Row],[CSOsSP Completed]]-Tabelle13245689101112131415161715[[#This Row],[CSOsSP Removed]]</f>
        <v>0</v>
      </c>
      <c r="AB41" s="2"/>
      <c r="AC41" s="2"/>
      <c r="AD41" s="2"/>
      <c r="AE41" s="2"/>
      <c r="AF41" s="2"/>
      <c r="AG41" s="2"/>
      <c r="AH41" s="2"/>
      <c r="AI41" s="2"/>
      <c r="AJ41" s="2"/>
      <c r="AK41" s="2"/>
      <c r="AL41" s="2"/>
      <c r="AM41" s="2"/>
      <c r="AN41" s="2"/>
    </row>
    <row r="42" spans="1:40" s="213" customFormat="1" ht="15">
      <c r="A42" s="202" t="s">
        <v>474</v>
      </c>
      <c r="B42" t="s">
        <v>475</v>
      </c>
      <c r="C42" s="203" t="s">
        <v>222</v>
      </c>
      <c r="D42" s="203">
        <v>2</v>
      </c>
      <c r="E42" s="203" t="s">
        <v>976</v>
      </c>
      <c r="F42" s="204">
        <v>1</v>
      </c>
      <c r="G42" s="203" t="s">
        <v>12</v>
      </c>
      <c r="H42" s="205" t="s">
        <v>209</v>
      </c>
      <c r="I42" s="206" t="s">
        <v>977</v>
      </c>
      <c r="J42" s="206"/>
      <c r="K42" s="203" t="s">
        <v>127</v>
      </c>
      <c r="L42" s="204">
        <v>2</v>
      </c>
      <c r="M42" s="204">
        <v>2</v>
      </c>
      <c r="N42" s="286">
        <f>IF(OR(Tabelle13245689101112131415161715[[#This Row],[Pulled after Start]]="yes",Tabelle13245689101112131415161715[[#This Row],[Jira Story Points]]="-"),0,MIN(Tabelle13245689101112131415161715[[#This Row],[Jira Story Points]],Tabelle13245689101112131415161715[[#This Row],[Carry-over]]))</f>
        <v>0</v>
      </c>
      <c r="O42" s="210">
        <f>SUM(IF(ISBLANK(Tabelle13245689101112131415161715[[#This Row],[Carry-over]]),Tabelle13245689101112131415161715[[#This Row],[Jira Story Points]],Tabelle13245689101112131415161715[[#This Row],[Carry-over]]),-Tabelle13245689101112131415161715[[#This Row],[COsSP Initially Planned]])</f>
        <v>2</v>
      </c>
      <c r="P4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42" s="210">
        <f>IF(Tabelle13245689101112131415161715[[#This Row],[Status]]=$J$5,Tabelle13245689101112131415161715[[#This Row],[COsSP Initially Planned]]+Tabelle13245689101112131415161715[[#This Row],[COsSP Pulled after Start]]-Tabelle13245689101112131415161715[[#This Row],[CSOsSP Completed]],0)</f>
        <v>0</v>
      </c>
      <c r="R42" s="210">
        <f>Tabelle13245689101112131415161715[[#This Row],[COsSP Initially Planned]]+Tabelle13245689101112131415161715[[#This Row],[COsSP Pulled after Start]]-Tabelle13245689101112131415161715[[#This Row],[CSOsSP Completed]]-Tabelle13245689101112131415161715[[#This Row],[CSOsSP Removed]]</f>
        <v>2</v>
      </c>
      <c r="AB42" s="2"/>
      <c r="AC42" s="2"/>
      <c r="AD42" s="2"/>
      <c r="AE42" s="2"/>
      <c r="AF42" s="2"/>
      <c r="AG42" s="2"/>
      <c r="AH42" s="2"/>
      <c r="AI42" s="2"/>
      <c r="AJ42" s="2"/>
      <c r="AK42" s="2"/>
      <c r="AL42" s="2"/>
      <c r="AM42" s="2"/>
      <c r="AN42" s="2"/>
    </row>
    <row r="43" spans="1:40" ht="13.5" customHeight="1">
      <c r="A43" s="202" t="s">
        <v>978</v>
      </c>
      <c r="B43" t="s">
        <v>979</v>
      </c>
      <c r="C43" s="203" t="s">
        <v>222</v>
      </c>
      <c r="D43" s="203">
        <v>2</v>
      </c>
      <c r="E43" s="203" t="s">
        <v>216</v>
      </c>
      <c r="F43" s="204">
        <v>1</v>
      </c>
      <c r="G43" s="203" t="s">
        <v>12</v>
      </c>
      <c r="H43" s="205" t="s">
        <v>209</v>
      </c>
      <c r="I43" s="206" t="s">
        <v>217</v>
      </c>
      <c r="J43" s="206"/>
      <c r="K43" s="203" t="s">
        <v>125</v>
      </c>
      <c r="L43" s="204"/>
      <c r="M43" s="204"/>
      <c r="N43" s="286">
        <f>IF(OR(Tabelle13245689101112131415161715[[#This Row],[Pulled after Start]]="yes",Tabelle13245689101112131415161715[[#This Row],[Jira Story Points]]="-"),0,MIN(Tabelle13245689101112131415161715[[#This Row],[Jira Story Points]],Tabelle13245689101112131415161715[[#This Row],[Carry-over]]))</f>
        <v>0</v>
      </c>
      <c r="O43" s="210">
        <f>SUM(IF(ISBLANK(Tabelle13245689101112131415161715[[#This Row],[Carry-over]]),Tabelle13245689101112131415161715[[#This Row],[Jira Story Points]],Tabelle13245689101112131415161715[[#This Row],[Carry-over]]),-Tabelle13245689101112131415161715[[#This Row],[COsSP Initially Planned]])</f>
        <v>1</v>
      </c>
      <c r="P4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43" s="210">
        <f>IF(Tabelle13245689101112131415161715[[#This Row],[Status]]=$J$5,Tabelle13245689101112131415161715[[#This Row],[COsSP Initially Planned]]+Tabelle13245689101112131415161715[[#This Row],[COsSP Pulled after Start]]-Tabelle13245689101112131415161715[[#This Row],[CSOsSP Completed]],0)</f>
        <v>0</v>
      </c>
      <c r="R43" s="210">
        <f>Tabelle13245689101112131415161715[[#This Row],[COsSP Initially Planned]]+Tabelle13245689101112131415161715[[#This Row],[COsSP Pulled after Start]]-Tabelle13245689101112131415161715[[#This Row],[CSOsSP Completed]]-Tabelle13245689101112131415161715[[#This Row],[CSOsSP Removed]]</f>
        <v>0</v>
      </c>
    </row>
    <row r="44" spans="1:40" ht="13.5" customHeight="1">
      <c r="A44" s="202" t="s">
        <v>980</v>
      </c>
      <c r="B44" t="s">
        <v>981</v>
      </c>
      <c r="C44" s="203" t="s">
        <v>222</v>
      </c>
      <c r="D44" s="203">
        <v>3</v>
      </c>
      <c r="E44" s="203" t="s">
        <v>216</v>
      </c>
      <c r="F44" s="204">
        <v>1</v>
      </c>
      <c r="G44" s="203" t="s">
        <v>12</v>
      </c>
      <c r="H44" s="205"/>
      <c r="I44" s="206" t="s">
        <v>270</v>
      </c>
      <c r="J44" s="206"/>
      <c r="K44" s="203" t="s">
        <v>125</v>
      </c>
      <c r="L44" s="204"/>
      <c r="M44" s="204"/>
      <c r="N44" s="286">
        <f>IF(OR(Tabelle13245689101112131415161715[[#This Row],[Pulled after Start]]="yes",Tabelle13245689101112131415161715[[#This Row],[Jira Story Points]]="-"),0,MIN(Tabelle13245689101112131415161715[[#This Row],[Jira Story Points]],Tabelle13245689101112131415161715[[#This Row],[Carry-over]]))</f>
        <v>1</v>
      </c>
      <c r="O44" s="210">
        <f>SUM(IF(ISBLANK(Tabelle13245689101112131415161715[[#This Row],[Carry-over]]),Tabelle13245689101112131415161715[[#This Row],[Jira Story Points]],Tabelle13245689101112131415161715[[#This Row],[Carry-over]]),-Tabelle13245689101112131415161715[[#This Row],[COsSP Initially Planned]])</f>
        <v>0</v>
      </c>
      <c r="P4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44" s="210">
        <f>IF(Tabelle13245689101112131415161715[[#This Row],[Status]]=$J$5,Tabelle13245689101112131415161715[[#This Row],[COsSP Initially Planned]]+Tabelle13245689101112131415161715[[#This Row],[COsSP Pulled after Start]]-Tabelle13245689101112131415161715[[#This Row],[CSOsSP Completed]],0)</f>
        <v>0</v>
      </c>
      <c r="R44" s="210">
        <f>Tabelle13245689101112131415161715[[#This Row],[COsSP Initially Planned]]+Tabelle13245689101112131415161715[[#This Row],[COsSP Pulled after Start]]-Tabelle13245689101112131415161715[[#This Row],[CSOsSP Completed]]-Tabelle13245689101112131415161715[[#This Row],[CSOsSP Removed]]</f>
        <v>0</v>
      </c>
    </row>
    <row r="45" spans="1:40" ht="13.5" customHeight="1">
      <c r="A45" s="202" t="s">
        <v>470</v>
      </c>
      <c r="B45" t="s">
        <v>293</v>
      </c>
      <c r="C45" s="203" t="s">
        <v>215</v>
      </c>
      <c r="D45" s="203">
        <v>2</v>
      </c>
      <c r="E45" s="203" t="s">
        <v>976</v>
      </c>
      <c r="F45" s="204">
        <v>3</v>
      </c>
      <c r="G45" s="203" t="s">
        <v>12</v>
      </c>
      <c r="H45" s="205" t="s">
        <v>209</v>
      </c>
      <c r="I45" s="206" t="s">
        <v>217</v>
      </c>
      <c r="J45" s="206"/>
      <c r="K45" s="203" t="s">
        <v>127</v>
      </c>
      <c r="L45" s="204"/>
      <c r="M45" s="204">
        <v>3</v>
      </c>
      <c r="N45" s="286">
        <f>IF(OR(Tabelle13245689101112131415161715[[#This Row],[Pulled after Start]]="yes",Tabelle13245689101112131415161715[[#This Row],[Jira Story Points]]="-"),0,MIN(Tabelle13245689101112131415161715[[#This Row],[Jira Story Points]],Tabelle13245689101112131415161715[[#This Row],[Carry-over]]))</f>
        <v>0</v>
      </c>
      <c r="O45" s="210">
        <f>SUM(IF(ISBLANK(Tabelle13245689101112131415161715[[#This Row],[Carry-over]]),Tabelle13245689101112131415161715[[#This Row],[Jira Story Points]],Tabelle13245689101112131415161715[[#This Row],[Carry-over]]),-Tabelle13245689101112131415161715[[#This Row],[COsSP Initially Planned]])</f>
        <v>3</v>
      </c>
      <c r="P4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45" s="210">
        <f>IF(Tabelle13245689101112131415161715[[#This Row],[Status]]=$J$5,Tabelle13245689101112131415161715[[#This Row],[COsSP Initially Planned]]+Tabelle13245689101112131415161715[[#This Row],[COsSP Pulled after Start]]-Tabelle13245689101112131415161715[[#This Row],[CSOsSP Completed]],0)</f>
        <v>0</v>
      </c>
      <c r="R45" s="210">
        <f>Tabelle13245689101112131415161715[[#This Row],[COsSP Initially Planned]]+Tabelle13245689101112131415161715[[#This Row],[COsSP Pulled after Start]]-Tabelle13245689101112131415161715[[#This Row],[CSOsSP Completed]]-Tabelle13245689101112131415161715[[#This Row],[CSOsSP Removed]]</f>
        <v>3</v>
      </c>
    </row>
    <row r="46" spans="1:40" ht="13.5" customHeight="1">
      <c r="A46" s="202" t="s">
        <v>466</v>
      </c>
      <c r="B46" t="s">
        <v>467</v>
      </c>
      <c r="C46" s="203" t="s">
        <v>215</v>
      </c>
      <c r="D46" s="203">
        <v>2</v>
      </c>
      <c r="E46" s="203" t="s">
        <v>238</v>
      </c>
      <c r="F46" s="204">
        <v>2</v>
      </c>
      <c r="G46" s="203" t="s">
        <v>12</v>
      </c>
      <c r="H46" s="205" t="s">
        <v>209</v>
      </c>
      <c r="I46" s="206" t="s">
        <v>217</v>
      </c>
      <c r="J46" s="206"/>
      <c r="K46" s="203" t="s">
        <v>127</v>
      </c>
      <c r="L46" s="204"/>
      <c r="M46" s="204">
        <v>2</v>
      </c>
      <c r="N46" s="286">
        <f>IF(OR(Tabelle13245689101112131415161715[[#This Row],[Pulled after Start]]="yes",Tabelle13245689101112131415161715[[#This Row],[Jira Story Points]]="-"),0,MIN(Tabelle13245689101112131415161715[[#This Row],[Jira Story Points]],Tabelle13245689101112131415161715[[#This Row],[Carry-over]]))</f>
        <v>0</v>
      </c>
      <c r="O46" s="210">
        <f>SUM(IF(ISBLANK(Tabelle13245689101112131415161715[[#This Row],[Carry-over]]),Tabelle13245689101112131415161715[[#This Row],[Jira Story Points]],Tabelle13245689101112131415161715[[#This Row],[Carry-over]]),-Tabelle13245689101112131415161715[[#This Row],[COsSP Initially Planned]])</f>
        <v>2</v>
      </c>
      <c r="P4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46" s="210">
        <f>IF(Tabelle13245689101112131415161715[[#This Row],[Status]]=$J$5,Tabelle13245689101112131415161715[[#This Row],[COsSP Initially Planned]]+Tabelle13245689101112131415161715[[#This Row],[COsSP Pulled after Start]]-Tabelle13245689101112131415161715[[#This Row],[CSOsSP Completed]],0)</f>
        <v>0</v>
      </c>
      <c r="R46" s="210">
        <f>Tabelle13245689101112131415161715[[#This Row],[COsSP Initially Planned]]+Tabelle13245689101112131415161715[[#This Row],[COsSP Pulled after Start]]-Tabelle13245689101112131415161715[[#This Row],[CSOsSP Completed]]-Tabelle13245689101112131415161715[[#This Row],[CSOsSP Removed]]</f>
        <v>2</v>
      </c>
    </row>
    <row r="47" spans="1:40" ht="13.5" customHeight="1">
      <c r="A47" s="202" t="s">
        <v>472</v>
      </c>
      <c r="B47" t="s">
        <v>473</v>
      </c>
      <c r="C47" s="203" t="s">
        <v>222</v>
      </c>
      <c r="D47" s="203">
        <v>3</v>
      </c>
      <c r="E47" s="203" t="s">
        <v>976</v>
      </c>
      <c r="F47" s="204">
        <v>1</v>
      </c>
      <c r="G47" s="203" t="s">
        <v>12</v>
      </c>
      <c r="H47" s="205"/>
      <c r="I47" s="206" t="s">
        <v>217</v>
      </c>
      <c r="J47" s="206"/>
      <c r="K47" s="203" t="s">
        <v>127</v>
      </c>
      <c r="L47" s="204"/>
      <c r="M47" s="204">
        <v>1</v>
      </c>
      <c r="N47" s="286">
        <f>IF(OR(Tabelle13245689101112131415161715[[#This Row],[Pulled after Start]]="yes",Tabelle13245689101112131415161715[[#This Row],[Jira Story Points]]="-"),0,MIN(Tabelle13245689101112131415161715[[#This Row],[Jira Story Points]],Tabelle13245689101112131415161715[[#This Row],[Carry-over]]))</f>
        <v>1</v>
      </c>
      <c r="O47" s="210">
        <f>SUM(IF(ISBLANK(Tabelle13245689101112131415161715[[#This Row],[Carry-over]]),Tabelle13245689101112131415161715[[#This Row],[Jira Story Points]],Tabelle13245689101112131415161715[[#This Row],[Carry-over]]),-Tabelle13245689101112131415161715[[#This Row],[COsSP Initially Planned]])</f>
        <v>0</v>
      </c>
      <c r="P4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47" s="210">
        <f>IF(Tabelle13245689101112131415161715[[#This Row],[Status]]=$J$5,Tabelle13245689101112131415161715[[#This Row],[COsSP Initially Planned]]+Tabelle13245689101112131415161715[[#This Row],[COsSP Pulled after Start]]-Tabelle13245689101112131415161715[[#This Row],[CSOsSP Completed]],0)</f>
        <v>0</v>
      </c>
      <c r="R47" s="210">
        <f>Tabelle13245689101112131415161715[[#This Row],[COsSP Initially Planned]]+Tabelle13245689101112131415161715[[#This Row],[COsSP Pulled after Start]]-Tabelle13245689101112131415161715[[#This Row],[CSOsSP Completed]]-Tabelle13245689101112131415161715[[#This Row],[CSOsSP Removed]]</f>
        <v>1</v>
      </c>
    </row>
    <row r="48" spans="1:40" ht="13.5" customHeight="1">
      <c r="A48" s="202" t="s">
        <v>982</v>
      </c>
      <c r="B48" t="s">
        <v>983</v>
      </c>
      <c r="C48" s="203" t="s">
        <v>234</v>
      </c>
      <c r="D48" s="203">
        <v>3</v>
      </c>
      <c r="E48" s="203" t="s">
        <v>976</v>
      </c>
      <c r="F48" s="204" t="s">
        <v>210</v>
      </c>
      <c r="G48" s="203" t="s">
        <v>12</v>
      </c>
      <c r="H48" s="205"/>
      <c r="I48" s="206" t="s">
        <v>227</v>
      </c>
      <c r="J48" s="206"/>
      <c r="K48" s="203" t="s">
        <v>126</v>
      </c>
      <c r="L48" s="204"/>
      <c r="M48" s="204"/>
      <c r="N48" s="286">
        <f>IF(OR(Tabelle13245689101112131415161715[[#This Row],[Pulled after Start]]="yes",Tabelle13245689101112131415161715[[#This Row],[Jira Story Points]]="-"),0,MIN(Tabelle13245689101112131415161715[[#This Row],[Jira Story Points]],Tabelle13245689101112131415161715[[#This Row],[Carry-over]]))</f>
        <v>0</v>
      </c>
      <c r="O48" s="210">
        <f>SUM(IF(ISBLANK(Tabelle13245689101112131415161715[[#This Row],[Carry-over]]),Tabelle13245689101112131415161715[[#This Row],[Jira Story Points]],Tabelle13245689101112131415161715[[#This Row],[Carry-over]]),-Tabelle13245689101112131415161715[[#This Row],[COsSP Initially Planned]])</f>
        <v>0</v>
      </c>
      <c r="P4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48" s="210">
        <f>IF(Tabelle13245689101112131415161715[[#This Row],[Status]]=$J$5,Tabelle13245689101112131415161715[[#This Row],[COsSP Initially Planned]]+Tabelle13245689101112131415161715[[#This Row],[COsSP Pulled after Start]]-Tabelle13245689101112131415161715[[#This Row],[CSOsSP Completed]],0)</f>
        <v>0</v>
      </c>
      <c r="R48" s="210">
        <f>Tabelle13245689101112131415161715[[#This Row],[COsSP Initially Planned]]+Tabelle13245689101112131415161715[[#This Row],[COsSP Pulled after Start]]-Tabelle13245689101112131415161715[[#This Row],[CSOsSP Completed]]-Tabelle13245689101112131415161715[[#This Row],[CSOsSP Removed]]</f>
        <v>0</v>
      </c>
    </row>
    <row r="49" spans="1:18" ht="13.5" customHeight="1">
      <c r="A49" s="202" t="s">
        <v>984</v>
      </c>
      <c r="B49" t="s">
        <v>985</v>
      </c>
      <c r="C49" s="203" t="s">
        <v>234</v>
      </c>
      <c r="D49" s="203">
        <v>3</v>
      </c>
      <c r="E49" s="203" t="s">
        <v>976</v>
      </c>
      <c r="F49" s="204" t="s">
        <v>210</v>
      </c>
      <c r="G49" s="203" t="s">
        <v>12</v>
      </c>
      <c r="H49" s="205"/>
      <c r="I49" s="206" t="s">
        <v>217</v>
      </c>
      <c r="J49" s="206"/>
      <c r="K49" s="203" t="s">
        <v>126</v>
      </c>
      <c r="L49" s="204"/>
      <c r="M49" s="204"/>
      <c r="N49" s="286">
        <f>IF(OR(Tabelle13245689101112131415161715[[#This Row],[Pulled after Start]]="yes",Tabelle13245689101112131415161715[[#This Row],[Jira Story Points]]="-"),0,MIN(Tabelle13245689101112131415161715[[#This Row],[Jira Story Points]],Tabelle13245689101112131415161715[[#This Row],[Carry-over]]))</f>
        <v>0</v>
      </c>
      <c r="O49" s="210">
        <f>SUM(IF(ISBLANK(Tabelle13245689101112131415161715[[#This Row],[Carry-over]]),Tabelle13245689101112131415161715[[#This Row],[Jira Story Points]],Tabelle13245689101112131415161715[[#This Row],[Carry-over]]),-Tabelle13245689101112131415161715[[#This Row],[COsSP Initially Planned]])</f>
        <v>0</v>
      </c>
      <c r="P4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49" s="210">
        <f>IF(Tabelle13245689101112131415161715[[#This Row],[Status]]=$J$5,Tabelle13245689101112131415161715[[#This Row],[COsSP Initially Planned]]+Tabelle13245689101112131415161715[[#This Row],[COsSP Pulled after Start]]-Tabelle13245689101112131415161715[[#This Row],[CSOsSP Completed]],0)</f>
        <v>0</v>
      </c>
      <c r="R49" s="210">
        <f>Tabelle13245689101112131415161715[[#This Row],[COsSP Initially Planned]]+Tabelle13245689101112131415161715[[#This Row],[COsSP Pulled after Start]]-Tabelle13245689101112131415161715[[#This Row],[CSOsSP Completed]]-Tabelle13245689101112131415161715[[#This Row],[CSOsSP Removed]]</f>
        <v>0</v>
      </c>
    </row>
    <row r="50" spans="1:18" ht="13.5" customHeight="1">
      <c r="A50" s="202" t="s">
        <v>986</v>
      </c>
      <c r="B50" t="s">
        <v>483</v>
      </c>
      <c r="C50" s="203" t="s">
        <v>222</v>
      </c>
      <c r="D50" s="203">
        <v>3</v>
      </c>
      <c r="E50" s="203" t="s">
        <v>238</v>
      </c>
      <c r="F50" s="204">
        <v>1</v>
      </c>
      <c r="G50" s="203" t="s">
        <v>12</v>
      </c>
      <c r="H50" s="205"/>
      <c r="I50" s="206" t="s">
        <v>987</v>
      </c>
      <c r="J50" s="206"/>
      <c r="K50" s="203" t="s">
        <v>126</v>
      </c>
      <c r="L50" s="204"/>
      <c r="M50" s="204"/>
      <c r="N50" s="286">
        <f>IF(OR(Tabelle13245689101112131415161715[[#This Row],[Pulled after Start]]="yes",Tabelle13245689101112131415161715[[#This Row],[Jira Story Points]]="-"),0,MIN(Tabelle13245689101112131415161715[[#This Row],[Jira Story Points]],Tabelle13245689101112131415161715[[#This Row],[Carry-over]]))</f>
        <v>1</v>
      </c>
      <c r="O50" s="210">
        <f>SUM(IF(ISBLANK(Tabelle13245689101112131415161715[[#This Row],[Carry-over]]),Tabelle13245689101112131415161715[[#This Row],[Jira Story Points]],Tabelle13245689101112131415161715[[#This Row],[Carry-over]]),-Tabelle13245689101112131415161715[[#This Row],[COsSP Initially Planned]])</f>
        <v>0</v>
      </c>
      <c r="P5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50" s="210">
        <f>IF(Tabelle13245689101112131415161715[[#This Row],[Status]]=$J$5,Tabelle13245689101112131415161715[[#This Row],[COsSP Initially Planned]]+Tabelle13245689101112131415161715[[#This Row],[COsSP Pulled after Start]]-Tabelle13245689101112131415161715[[#This Row],[CSOsSP Completed]],0)</f>
        <v>1</v>
      </c>
      <c r="R50" s="210">
        <f>Tabelle13245689101112131415161715[[#This Row],[COsSP Initially Planned]]+Tabelle13245689101112131415161715[[#This Row],[COsSP Pulled after Start]]-Tabelle13245689101112131415161715[[#This Row],[CSOsSP Completed]]-Tabelle13245689101112131415161715[[#This Row],[CSOsSP Removed]]</f>
        <v>0</v>
      </c>
    </row>
    <row r="51" spans="1:18" ht="13.5" hidden="1" customHeight="1">
      <c r="A51" s="214" t="s">
        <v>988</v>
      </c>
      <c r="B51" s="47" t="s">
        <v>989</v>
      </c>
      <c r="C51" s="203" t="s">
        <v>375</v>
      </c>
      <c r="D51" s="203">
        <v>1</v>
      </c>
      <c r="E51" s="203" t="s">
        <v>324</v>
      </c>
      <c r="F51" s="204">
        <v>3</v>
      </c>
      <c r="G51" s="203" t="s">
        <v>32</v>
      </c>
      <c r="H51" s="205"/>
      <c r="I51" s="206"/>
      <c r="J51" s="206"/>
      <c r="K51" s="203" t="s">
        <v>125</v>
      </c>
      <c r="L51" s="204"/>
      <c r="M51" s="204"/>
      <c r="N51" s="286">
        <f>IF(OR(Tabelle13245689101112131415161715[[#This Row],[Pulled after Start]]="yes",Tabelle13245689101112131415161715[[#This Row],[Jira Story Points]]="-"),0,MIN(Tabelle13245689101112131415161715[[#This Row],[Jira Story Points]],Tabelle13245689101112131415161715[[#This Row],[Carry-over]]))</f>
        <v>3</v>
      </c>
      <c r="O51" s="210">
        <f>SUM(IF(ISBLANK(Tabelle13245689101112131415161715[[#This Row],[Carry-over]]),Tabelle13245689101112131415161715[[#This Row],[Jira Story Points]],Tabelle13245689101112131415161715[[#This Row],[Carry-over]]),-Tabelle13245689101112131415161715[[#This Row],[COsSP Initially Planned]])</f>
        <v>0</v>
      </c>
      <c r="P51"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51" s="210">
        <f>IF(Tabelle13245689101112131415161715[[#This Row],[Status]]=$J$5,Tabelle13245689101112131415161715[[#This Row],[COsSP Initially Planned]]+Tabelle13245689101112131415161715[[#This Row],[COsSP Pulled after Start]]-Tabelle13245689101112131415161715[[#This Row],[CSOsSP Completed]],0)</f>
        <v>0</v>
      </c>
      <c r="R51" s="210">
        <f>Tabelle13245689101112131415161715[[#This Row],[COsSP Initially Planned]]+Tabelle13245689101112131415161715[[#This Row],[COsSP Pulled after Start]]-Tabelle13245689101112131415161715[[#This Row],[CSOsSP Completed]]-Tabelle13245689101112131415161715[[#This Row],[CSOsSP Removed]]</f>
        <v>0</v>
      </c>
    </row>
    <row r="52" spans="1:18" ht="13.5" hidden="1" customHeight="1">
      <c r="A52" s="214" t="s">
        <v>990</v>
      </c>
      <c r="B52" s="47" t="s">
        <v>991</v>
      </c>
      <c r="C52" s="203" t="s">
        <v>382</v>
      </c>
      <c r="D52" s="203">
        <v>3</v>
      </c>
      <c r="E52" s="203" t="s">
        <v>324</v>
      </c>
      <c r="F52" s="204">
        <v>5</v>
      </c>
      <c r="G52" s="203" t="s">
        <v>32</v>
      </c>
      <c r="H52" s="205"/>
      <c r="I52" s="206"/>
      <c r="J52" s="206"/>
      <c r="K52" s="203" t="s">
        <v>125</v>
      </c>
      <c r="L52" s="204"/>
      <c r="M52" s="204"/>
      <c r="N52" s="286">
        <f>IF(OR(Tabelle13245689101112131415161715[[#This Row],[Pulled after Start]]="yes",Tabelle13245689101112131415161715[[#This Row],[Jira Story Points]]="-"),0,MIN(Tabelle13245689101112131415161715[[#This Row],[Jira Story Points]],Tabelle13245689101112131415161715[[#This Row],[Carry-over]]))</f>
        <v>5</v>
      </c>
      <c r="O52" s="210">
        <f>SUM(IF(ISBLANK(Tabelle13245689101112131415161715[[#This Row],[Carry-over]]),Tabelle13245689101112131415161715[[#This Row],[Jira Story Points]],Tabelle13245689101112131415161715[[#This Row],[Carry-over]]),-Tabelle13245689101112131415161715[[#This Row],[COsSP Initially Planned]])</f>
        <v>0</v>
      </c>
      <c r="P5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52" s="210">
        <f>IF(Tabelle13245689101112131415161715[[#This Row],[Status]]=$J$5,Tabelle13245689101112131415161715[[#This Row],[COsSP Initially Planned]]+Tabelle13245689101112131415161715[[#This Row],[COsSP Pulled after Start]]-Tabelle13245689101112131415161715[[#This Row],[CSOsSP Completed]],0)</f>
        <v>0</v>
      </c>
      <c r="R52" s="210">
        <f>Tabelle13245689101112131415161715[[#This Row],[COsSP Initially Planned]]+Tabelle13245689101112131415161715[[#This Row],[COsSP Pulled after Start]]-Tabelle13245689101112131415161715[[#This Row],[CSOsSP Completed]]-Tabelle13245689101112131415161715[[#This Row],[CSOsSP Removed]]</f>
        <v>0</v>
      </c>
    </row>
    <row r="53" spans="1:18" ht="13.5" hidden="1" customHeight="1">
      <c r="A53" s="214" t="s">
        <v>992</v>
      </c>
      <c r="B53" s="47" t="s">
        <v>993</v>
      </c>
      <c r="C53" s="203" t="s">
        <v>382</v>
      </c>
      <c r="D53" s="203">
        <v>3</v>
      </c>
      <c r="E53" s="203" t="s">
        <v>324</v>
      </c>
      <c r="F53" s="204">
        <v>3</v>
      </c>
      <c r="G53" s="203" t="s">
        <v>32</v>
      </c>
      <c r="H53" s="205" t="s">
        <v>209</v>
      </c>
      <c r="I53" s="206"/>
      <c r="J53" s="206"/>
      <c r="K53" s="203" t="s">
        <v>125</v>
      </c>
      <c r="L53" s="204"/>
      <c r="M53" s="204"/>
      <c r="N53" s="286">
        <f>IF(OR(Tabelle13245689101112131415161715[[#This Row],[Pulled after Start]]="yes",Tabelle13245689101112131415161715[[#This Row],[Jira Story Points]]="-"),0,MIN(Tabelle13245689101112131415161715[[#This Row],[Jira Story Points]],Tabelle13245689101112131415161715[[#This Row],[Carry-over]]))</f>
        <v>0</v>
      </c>
      <c r="O53" s="210">
        <f>SUM(IF(ISBLANK(Tabelle13245689101112131415161715[[#This Row],[Carry-over]]),Tabelle13245689101112131415161715[[#This Row],[Jira Story Points]],Tabelle13245689101112131415161715[[#This Row],[Carry-over]]),-Tabelle13245689101112131415161715[[#This Row],[COsSP Initially Planned]])</f>
        <v>3</v>
      </c>
      <c r="P5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53" s="210">
        <f>IF(Tabelle13245689101112131415161715[[#This Row],[Status]]=$J$5,Tabelle13245689101112131415161715[[#This Row],[COsSP Initially Planned]]+Tabelle13245689101112131415161715[[#This Row],[COsSP Pulled after Start]]-Tabelle13245689101112131415161715[[#This Row],[CSOsSP Completed]],0)</f>
        <v>0</v>
      </c>
      <c r="R53" s="210">
        <f>Tabelle13245689101112131415161715[[#This Row],[COsSP Initially Planned]]+Tabelle13245689101112131415161715[[#This Row],[COsSP Pulled after Start]]-Tabelle13245689101112131415161715[[#This Row],[CSOsSP Completed]]-Tabelle13245689101112131415161715[[#This Row],[CSOsSP Removed]]</f>
        <v>0</v>
      </c>
    </row>
    <row r="54" spans="1:18" ht="13.5" hidden="1" customHeight="1">
      <c r="A54" s="285" t="s">
        <v>994</v>
      </c>
      <c r="B54" t="s">
        <v>995</v>
      </c>
      <c r="C54" s="203" t="s">
        <v>382</v>
      </c>
      <c r="D54" s="203">
        <v>3</v>
      </c>
      <c r="E54" s="203" t="s">
        <v>324</v>
      </c>
      <c r="F54" s="204">
        <v>3</v>
      </c>
      <c r="G54" s="203" t="s">
        <v>32</v>
      </c>
      <c r="H54" s="205"/>
      <c r="I54" s="206"/>
      <c r="J54" s="206"/>
      <c r="K54" s="203" t="s">
        <v>125</v>
      </c>
      <c r="L54" s="207"/>
      <c r="M54" s="204"/>
      <c r="N54" s="286">
        <f>IF(OR(Tabelle13245689101112131415161715[[#This Row],[Pulled after Start]]="yes",Tabelle13245689101112131415161715[[#This Row],[Jira Story Points]]="-"),0,MIN(Tabelle13245689101112131415161715[[#This Row],[Jira Story Points]],Tabelle13245689101112131415161715[[#This Row],[Carry-over]]))</f>
        <v>3</v>
      </c>
      <c r="O54" s="210">
        <f>SUM(IF(ISBLANK(Tabelle13245689101112131415161715[[#This Row],[Carry-over]]),Tabelle13245689101112131415161715[[#This Row],[Jira Story Points]],Tabelle13245689101112131415161715[[#This Row],[Carry-over]]),-Tabelle13245689101112131415161715[[#This Row],[COsSP Initially Planned]])</f>
        <v>0</v>
      </c>
      <c r="P5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54" s="210">
        <f>IF(Tabelle13245689101112131415161715[[#This Row],[Status]]=$J$5,Tabelle13245689101112131415161715[[#This Row],[COsSP Initially Planned]]+Tabelle13245689101112131415161715[[#This Row],[COsSP Pulled after Start]]-Tabelle13245689101112131415161715[[#This Row],[CSOsSP Completed]],0)</f>
        <v>0</v>
      </c>
      <c r="R54" s="210">
        <f>Tabelle13245689101112131415161715[[#This Row],[COsSP Initially Planned]]+Tabelle13245689101112131415161715[[#This Row],[COsSP Pulled after Start]]-Tabelle13245689101112131415161715[[#This Row],[CSOsSP Completed]]-Tabelle13245689101112131415161715[[#This Row],[CSOsSP Removed]]</f>
        <v>0</v>
      </c>
    </row>
    <row r="55" spans="1:18" ht="13.5" hidden="1" customHeight="1">
      <c r="A55" s="285" t="s">
        <v>996</v>
      </c>
      <c r="B55" t="s">
        <v>997</v>
      </c>
      <c r="C55" s="212" t="s">
        <v>382</v>
      </c>
      <c r="D55" s="212">
        <v>3</v>
      </c>
      <c r="E55" s="203" t="s">
        <v>324</v>
      </c>
      <c r="F55" s="212">
        <v>3</v>
      </c>
      <c r="G55" s="203" t="s">
        <v>32</v>
      </c>
      <c r="H55" s="205"/>
      <c r="I55" s="206"/>
      <c r="J55" s="206"/>
      <c r="K55" s="203" t="s">
        <v>125</v>
      </c>
      <c r="L55" s="204"/>
      <c r="M55" s="204"/>
      <c r="N55" s="286">
        <f>IF(OR(Tabelle13245689101112131415161715[[#This Row],[Pulled after Start]]="yes",Tabelle13245689101112131415161715[[#This Row],[Jira Story Points]]="-"),0,MIN(Tabelle13245689101112131415161715[[#This Row],[Jira Story Points]],Tabelle13245689101112131415161715[[#This Row],[Carry-over]]))</f>
        <v>3</v>
      </c>
      <c r="O55" s="210">
        <f>SUM(IF(ISBLANK(Tabelle13245689101112131415161715[[#This Row],[Carry-over]]),Tabelle13245689101112131415161715[[#This Row],[Jira Story Points]],Tabelle13245689101112131415161715[[#This Row],[Carry-over]]),-Tabelle13245689101112131415161715[[#This Row],[COsSP Initially Planned]])</f>
        <v>0</v>
      </c>
      <c r="P5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55" s="210">
        <f>IF(Tabelle13245689101112131415161715[[#This Row],[Status]]=$J$5,Tabelle13245689101112131415161715[[#This Row],[COsSP Initially Planned]]+Tabelle13245689101112131415161715[[#This Row],[COsSP Pulled after Start]]-Tabelle13245689101112131415161715[[#This Row],[CSOsSP Completed]],0)</f>
        <v>0</v>
      </c>
      <c r="R55" s="210">
        <f>Tabelle13245689101112131415161715[[#This Row],[COsSP Initially Planned]]+Tabelle13245689101112131415161715[[#This Row],[COsSP Pulled after Start]]-Tabelle13245689101112131415161715[[#This Row],[CSOsSP Completed]]-Tabelle13245689101112131415161715[[#This Row],[CSOsSP Removed]]</f>
        <v>0</v>
      </c>
    </row>
    <row r="56" spans="1:18" ht="13.5" hidden="1" customHeight="1">
      <c r="A56" s="285" t="s">
        <v>998</v>
      </c>
      <c r="B56" t="s">
        <v>999</v>
      </c>
      <c r="C56" s="212" t="s">
        <v>382</v>
      </c>
      <c r="D56" s="212">
        <v>3</v>
      </c>
      <c r="E56" s="212" t="s">
        <v>324</v>
      </c>
      <c r="F56" s="212">
        <v>3</v>
      </c>
      <c r="G56" s="203" t="s">
        <v>32</v>
      </c>
      <c r="H56" s="205"/>
      <c r="I56" s="206"/>
      <c r="J56" s="206"/>
      <c r="K56" s="203" t="s">
        <v>125</v>
      </c>
      <c r="L56" s="204"/>
      <c r="M56" s="204"/>
      <c r="N56" s="286">
        <f>IF(OR(Tabelle13245689101112131415161715[[#This Row],[Pulled after Start]]="yes",Tabelle13245689101112131415161715[[#This Row],[Jira Story Points]]="-"),0,MIN(Tabelle13245689101112131415161715[[#This Row],[Jira Story Points]],Tabelle13245689101112131415161715[[#This Row],[Carry-over]]))</f>
        <v>3</v>
      </c>
      <c r="O56" s="210">
        <f>SUM(IF(ISBLANK(Tabelle13245689101112131415161715[[#This Row],[Carry-over]]),Tabelle13245689101112131415161715[[#This Row],[Jira Story Points]],Tabelle13245689101112131415161715[[#This Row],[Carry-over]]),-Tabelle13245689101112131415161715[[#This Row],[COsSP Initially Planned]])</f>
        <v>0</v>
      </c>
      <c r="P5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56" s="210">
        <f>IF(Tabelle13245689101112131415161715[[#This Row],[Status]]=$J$5,Tabelle13245689101112131415161715[[#This Row],[COsSP Initially Planned]]+Tabelle13245689101112131415161715[[#This Row],[COsSP Pulled after Start]]-Tabelle13245689101112131415161715[[#This Row],[CSOsSP Completed]],0)</f>
        <v>0</v>
      </c>
      <c r="R56" s="210">
        <f>Tabelle13245689101112131415161715[[#This Row],[COsSP Initially Planned]]+Tabelle13245689101112131415161715[[#This Row],[COsSP Pulled after Start]]-Tabelle13245689101112131415161715[[#This Row],[CSOsSP Completed]]-Tabelle13245689101112131415161715[[#This Row],[CSOsSP Removed]]</f>
        <v>0</v>
      </c>
    </row>
    <row r="57" spans="1:18" ht="13.5" hidden="1" customHeight="1">
      <c r="A57" s="285" t="s">
        <v>1000</v>
      </c>
      <c r="B57" t="s">
        <v>1001</v>
      </c>
      <c r="C57" s="212" t="s">
        <v>375</v>
      </c>
      <c r="D57" s="212">
        <v>4</v>
      </c>
      <c r="E57" s="212" t="s">
        <v>324</v>
      </c>
      <c r="F57" s="212">
        <v>3</v>
      </c>
      <c r="G57" s="203" t="s">
        <v>32</v>
      </c>
      <c r="H57" s="205"/>
      <c r="I57" s="27"/>
      <c r="J57" s="27"/>
      <c r="K57" s="203" t="s">
        <v>125</v>
      </c>
      <c r="L57" s="28"/>
      <c r="N57" s="286">
        <f>IF(OR(Tabelle13245689101112131415161715[[#This Row],[Pulled after Start]]="yes",Tabelle13245689101112131415161715[[#This Row],[Jira Story Points]]="-"),0,MIN(Tabelle13245689101112131415161715[[#This Row],[Jira Story Points]],Tabelle13245689101112131415161715[[#This Row],[Carry-over]]))</f>
        <v>3</v>
      </c>
      <c r="O57" s="210">
        <f>SUM(IF(ISBLANK(Tabelle13245689101112131415161715[[#This Row],[Carry-over]]),Tabelle13245689101112131415161715[[#This Row],[Jira Story Points]],Tabelle13245689101112131415161715[[#This Row],[Carry-over]]),-Tabelle13245689101112131415161715[[#This Row],[COsSP Initially Planned]])</f>
        <v>0</v>
      </c>
      <c r="P5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57" s="210">
        <f>IF(Tabelle13245689101112131415161715[[#This Row],[Status]]=$J$5,Tabelle13245689101112131415161715[[#This Row],[COsSP Initially Planned]]+Tabelle13245689101112131415161715[[#This Row],[COsSP Pulled after Start]]-Tabelle13245689101112131415161715[[#This Row],[CSOsSP Completed]],0)</f>
        <v>0</v>
      </c>
      <c r="R57" s="210">
        <f>Tabelle13245689101112131415161715[[#This Row],[COsSP Initially Planned]]+Tabelle13245689101112131415161715[[#This Row],[COsSP Pulled after Start]]-Tabelle13245689101112131415161715[[#This Row],[CSOsSP Completed]]-Tabelle13245689101112131415161715[[#This Row],[CSOsSP Removed]]</f>
        <v>0</v>
      </c>
    </row>
    <row r="58" spans="1:18" ht="13.5" hidden="1" customHeight="1">
      <c r="A58" s="285" t="s">
        <v>1002</v>
      </c>
      <c r="B58" t="s">
        <v>1003</v>
      </c>
      <c r="C58" s="212" t="s">
        <v>372</v>
      </c>
      <c r="D58" s="212">
        <v>3</v>
      </c>
      <c r="E58" s="212" t="s">
        <v>324</v>
      </c>
      <c r="F58" s="212">
        <v>8</v>
      </c>
      <c r="G58" s="203" t="s">
        <v>32</v>
      </c>
      <c r="H58" s="205"/>
      <c r="I58" s="206"/>
      <c r="J58" s="206"/>
      <c r="K58" s="203" t="s">
        <v>125</v>
      </c>
      <c r="L58" s="204">
        <v>3</v>
      </c>
      <c r="M58" s="204"/>
      <c r="N58" s="286">
        <f>IF(OR(Tabelle13245689101112131415161715[[#This Row],[Pulled after Start]]="yes",Tabelle13245689101112131415161715[[#This Row],[Jira Story Points]]="-"),0,MIN(Tabelle13245689101112131415161715[[#This Row],[Jira Story Points]],Tabelle13245689101112131415161715[[#This Row],[Carry-over]]))</f>
        <v>3</v>
      </c>
      <c r="O58" s="210">
        <f>SUM(IF(ISBLANK(Tabelle13245689101112131415161715[[#This Row],[Carry-over]]),Tabelle13245689101112131415161715[[#This Row],[Jira Story Points]],Tabelle13245689101112131415161715[[#This Row],[Carry-over]]),-Tabelle13245689101112131415161715[[#This Row],[COsSP Initially Planned]])</f>
        <v>0</v>
      </c>
      <c r="P5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58" s="210">
        <f>IF(Tabelle13245689101112131415161715[[#This Row],[Status]]=$J$5,Tabelle13245689101112131415161715[[#This Row],[COsSP Initially Planned]]+Tabelle13245689101112131415161715[[#This Row],[COsSP Pulled after Start]]-Tabelle13245689101112131415161715[[#This Row],[CSOsSP Completed]],0)</f>
        <v>0</v>
      </c>
      <c r="R58" s="210">
        <f>Tabelle13245689101112131415161715[[#This Row],[COsSP Initially Planned]]+Tabelle13245689101112131415161715[[#This Row],[COsSP Pulled after Start]]-Tabelle13245689101112131415161715[[#This Row],[CSOsSP Completed]]-Tabelle13245689101112131415161715[[#This Row],[CSOsSP Removed]]</f>
        <v>0</v>
      </c>
    </row>
    <row r="59" spans="1:18" ht="13.5" hidden="1" customHeight="1">
      <c r="A59" s="285" t="s">
        <v>1004</v>
      </c>
      <c r="B59" t="s">
        <v>1005</v>
      </c>
      <c r="C59" s="203" t="s">
        <v>372</v>
      </c>
      <c r="D59" s="203">
        <v>3</v>
      </c>
      <c r="E59" s="203" t="s">
        <v>324</v>
      </c>
      <c r="F59" s="204">
        <v>2</v>
      </c>
      <c r="G59" s="203" t="s">
        <v>32</v>
      </c>
      <c r="H59" s="205"/>
      <c r="I59" s="206"/>
      <c r="J59" s="206"/>
      <c r="K59" s="203" t="s">
        <v>125</v>
      </c>
      <c r="L59" s="204">
        <v>2</v>
      </c>
      <c r="M59" s="204"/>
      <c r="N59" s="286">
        <f>IF(OR(Tabelle13245689101112131415161715[[#This Row],[Pulled after Start]]="yes",Tabelle13245689101112131415161715[[#This Row],[Jira Story Points]]="-"),0,MIN(Tabelle13245689101112131415161715[[#This Row],[Jira Story Points]],Tabelle13245689101112131415161715[[#This Row],[Carry-over]]))</f>
        <v>2</v>
      </c>
      <c r="O59" s="210">
        <f>SUM(IF(ISBLANK(Tabelle13245689101112131415161715[[#This Row],[Carry-over]]),Tabelle13245689101112131415161715[[#This Row],[Jira Story Points]],Tabelle13245689101112131415161715[[#This Row],[Carry-over]]),-Tabelle13245689101112131415161715[[#This Row],[COsSP Initially Planned]])</f>
        <v>0</v>
      </c>
      <c r="P5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59" s="210">
        <f>IF(Tabelle13245689101112131415161715[[#This Row],[Status]]=$J$5,Tabelle13245689101112131415161715[[#This Row],[COsSP Initially Planned]]+Tabelle13245689101112131415161715[[#This Row],[COsSP Pulled after Start]]-Tabelle13245689101112131415161715[[#This Row],[CSOsSP Completed]],0)</f>
        <v>0</v>
      </c>
      <c r="R59" s="210">
        <f>Tabelle13245689101112131415161715[[#This Row],[COsSP Initially Planned]]+Tabelle13245689101112131415161715[[#This Row],[COsSP Pulled after Start]]-Tabelle13245689101112131415161715[[#This Row],[CSOsSP Completed]]-Tabelle13245689101112131415161715[[#This Row],[CSOsSP Removed]]</f>
        <v>0</v>
      </c>
    </row>
    <row r="60" spans="1:18" ht="13.5" hidden="1" customHeight="1">
      <c r="A60" s="285" t="s">
        <v>1006</v>
      </c>
      <c r="B60" t="s">
        <v>1007</v>
      </c>
      <c r="C60" s="212" t="s">
        <v>372</v>
      </c>
      <c r="D60" s="212">
        <v>3</v>
      </c>
      <c r="E60" s="203" t="s">
        <v>324</v>
      </c>
      <c r="F60" s="212">
        <v>5</v>
      </c>
      <c r="G60" s="203" t="s">
        <v>32</v>
      </c>
      <c r="H60" s="205"/>
      <c r="I60" s="206"/>
      <c r="J60" s="206"/>
      <c r="K60" s="203" t="s">
        <v>125</v>
      </c>
      <c r="L60" s="204"/>
      <c r="M60" s="204"/>
      <c r="N60" s="286">
        <f>IF(OR(Tabelle13245689101112131415161715[[#This Row],[Pulled after Start]]="yes",Tabelle13245689101112131415161715[[#This Row],[Jira Story Points]]="-"),0,MIN(Tabelle13245689101112131415161715[[#This Row],[Jira Story Points]],Tabelle13245689101112131415161715[[#This Row],[Carry-over]]))</f>
        <v>5</v>
      </c>
      <c r="O60" s="210">
        <f>SUM(IF(ISBLANK(Tabelle13245689101112131415161715[[#This Row],[Carry-over]]),Tabelle13245689101112131415161715[[#This Row],[Jira Story Points]],Tabelle13245689101112131415161715[[#This Row],[Carry-over]]),-Tabelle13245689101112131415161715[[#This Row],[COsSP Initially Planned]])</f>
        <v>0</v>
      </c>
      <c r="P6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60" s="210">
        <f>IF(Tabelle13245689101112131415161715[[#This Row],[Status]]=$J$5,Tabelle13245689101112131415161715[[#This Row],[COsSP Initially Planned]]+Tabelle13245689101112131415161715[[#This Row],[COsSP Pulled after Start]]-Tabelle13245689101112131415161715[[#This Row],[CSOsSP Completed]],0)</f>
        <v>0</v>
      </c>
      <c r="R60" s="210">
        <f>Tabelle13245689101112131415161715[[#This Row],[COsSP Initially Planned]]+Tabelle13245689101112131415161715[[#This Row],[COsSP Pulled after Start]]-Tabelle13245689101112131415161715[[#This Row],[CSOsSP Completed]]-Tabelle13245689101112131415161715[[#This Row],[CSOsSP Removed]]</f>
        <v>0</v>
      </c>
    </row>
    <row r="61" spans="1:18" ht="13.5" hidden="1" customHeight="1">
      <c r="A61" s="285" t="s">
        <v>1008</v>
      </c>
      <c r="B61" t="s">
        <v>1009</v>
      </c>
      <c r="C61" s="212" t="s">
        <v>382</v>
      </c>
      <c r="D61" s="212">
        <v>3</v>
      </c>
      <c r="E61" s="212" t="s">
        <v>324</v>
      </c>
      <c r="F61" s="212">
        <v>3</v>
      </c>
      <c r="G61" s="203" t="s">
        <v>32</v>
      </c>
      <c r="H61" s="205"/>
      <c r="I61" s="206"/>
      <c r="J61" s="206"/>
      <c r="K61" s="203" t="s">
        <v>125</v>
      </c>
      <c r="L61" s="204"/>
      <c r="M61" s="204"/>
      <c r="N61" s="286">
        <f>IF(OR(Tabelle13245689101112131415161715[[#This Row],[Pulled after Start]]="yes",Tabelle13245689101112131415161715[[#This Row],[Jira Story Points]]="-"),0,MIN(Tabelle13245689101112131415161715[[#This Row],[Jira Story Points]],Tabelle13245689101112131415161715[[#This Row],[Carry-over]]))</f>
        <v>3</v>
      </c>
      <c r="O61" s="210">
        <f>SUM(IF(ISBLANK(Tabelle13245689101112131415161715[[#This Row],[Carry-over]]),Tabelle13245689101112131415161715[[#This Row],[Jira Story Points]],Tabelle13245689101112131415161715[[#This Row],[Carry-over]]),-Tabelle13245689101112131415161715[[#This Row],[COsSP Initially Planned]])</f>
        <v>0</v>
      </c>
      <c r="P61"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61" s="210">
        <f>IF(Tabelle13245689101112131415161715[[#This Row],[Status]]=$J$5,Tabelle13245689101112131415161715[[#This Row],[COsSP Initially Planned]]+Tabelle13245689101112131415161715[[#This Row],[COsSP Pulled after Start]]-Tabelle13245689101112131415161715[[#This Row],[CSOsSP Completed]],0)</f>
        <v>0</v>
      </c>
      <c r="R61" s="210">
        <f>Tabelle13245689101112131415161715[[#This Row],[COsSP Initially Planned]]+Tabelle13245689101112131415161715[[#This Row],[COsSP Pulled after Start]]-Tabelle13245689101112131415161715[[#This Row],[CSOsSP Completed]]-Tabelle13245689101112131415161715[[#This Row],[CSOsSP Removed]]</f>
        <v>0</v>
      </c>
    </row>
    <row r="62" spans="1:18" ht="13.5" hidden="1" customHeight="1">
      <c r="A62" s="285" t="s">
        <v>1010</v>
      </c>
      <c r="B62" t="s">
        <v>1011</v>
      </c>
      <c r="C62" s="203" t="s">
        <v>382</v>
      </c>
      <c r="D62" s="203">
        <v>3</v>
      </c>
      <c r="E62" s="203" t="s">
        <v>324</v>
      </c>
      <c r="F62" s="204">
        <v>2</v>
      </c>
      <c r="G62" s="203" t="s">
        <v>32</v>
      </c>
      <c r="H62" s="205" t="s">
        <v>209</v>
      </c>
      <c r="I62" s="206"/>
      <c r="J62" s="206"/>
      <c r="K62" s="203" t="s">
        <v>125</v>
      </c>
      <c r="L62" s="204"/>
      <c r="M62" s="204"/>
      <c r="N62" s="286">
        <f>IF(OR(Tabelle13245689101112131415161715[[#This Row],[Pulled after Start]]="yes",Tabelle13245689101112131415161715[[#This Row],[Jira Story Points]]="-"),0,MIN(Tabelle13245689101112131415161715[[#This Row],[Jira Story Points]],Tabelle13245689101112131415161715[[#This Row],[Carry-over]]))</f>
        <v>0</v>
      </c>
      <c r="O62" s="210">
        <f>SUM(IF(ISBLANK(Tabelle13245689101112131415161715[[#This Row],[Carry-over]]),Tabelle13245689101112131415161715[[#This Row],[Jira Story Points]],Tabelle13245689101112131415161715[[#This Row],[Carry-over]]),-Tabelle13245689101112131415161715[[#This Row],[COsSP Initially Planned]])</f>
        <v>2</v>
      </c>
      <c r="P6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62" s="210">
        <f>IF(Tabelle13245689101112131415161715[[#This Row],[Status]]=$J$5,Tabelle13245689101112131415161715[[#This Row],[COsSP Initially Planned]]+Tabelle13245689101112131415161715[[#This Row],[COsSP Pulled after Start]]-Tabelle13245689101112131415161715[[#This Row],[CSOsSP Completed]],0)</f>
        <v>0</v>
      </c>
      <c r="R62" s="210">
        <f>Tabelle13245689101112131415161715[[#This Row],[COsSP Initially Planned]]+Tabelle13245689101112131415161715[[#This Row],[COsSP Pulled after Start]]-Tabelle13245689101112131415161715[[#This Row],[CSOsSP Completed]]-Tabelle13245689101112131415161715[[#This Row],[CSOsSP Removed]]</f>
        <v>0</v>
      </c>
    </row>
    <row r="63" spans="1:18" ht="13.5" hidden="1" customHeight="1">
      <c r="A63" s="285" t="s">
        <v>1012</v>
      </c>
      <c r="B63" t="s">
        <v>1013</v>
      </c>
      <c r="C63" s="203" t="s">
        <v>375</v>
      </c>
      <c r="D63" s="203">
        <v>3</v>
      </c>
      <c r="E63" s="203" t="s">
        <v>324</v>
      </c>
      <c r="F63" s="204">
        <v>3</v>
      </c>
      <c r="G63" s="203" t="s">
        <v>32</v>
      </c>
      <c r="H63" s="205" t="s">
        <v>209</v>
      </c>
      <c r="I63" s="206"/>
      <c r="J63" s="206"/>
      <c r="K63" s="203" t="s">
        <v>125</v>
      </c>
      <c r="L63" s="204"/>
      <c r="M63" s="204"/>
      <c r="N63" s="286">
        <f>IF(OR(Tabelle13245689101112131415161715[[#This Row],[Pulled after Start]]="yes",Tabelle13245689101112131415161715[[#This Row],[Jira Story Points]]="-"),0,MIN(Tabelle13245689101112131415161715[[#This Row],[Jira Story Points]],Tabelle13245689101112131415161715[[#This Row],[Carry-over]]))</f>
        <v>0</v>
      </c>
      <c r="O63" s="210">
        <f>SUM(IF(ISBLANK(Tabelle13245689101112131415161715[[#This Row],[Carry-over]]),Tabelle13245689101112131415161715[[#This Row],[Jira Story Points]],Tabelle13245689101112131415161715[[#This Row],[Carry-over]]),-Tabelle13245689101112131415161715[[#This Row],[COsSP Initially Planned]])</f>
        <v>3</v>
      </c>
      <c r="P6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63" s="210">
        <f>IF(Tabelle13245689101112131415161715[[#This Row],[Status]]=$J$5,Tabelle13245689101112131415161715[[#This Row],[COsSP Initially Planned]]+Tabelle13245689101112131415161715[[#This Row],[COsSP Pulled after Start]]-Tabelle13245689101112131415161715[[#This Row],[CSOsSP Completed]],0)</f>
        <v>0</v>
      </c>
      <c r="R63" s="210">
        <f>Tabelle13245689101112131415161715[[#This Row],[COsSP Initially Planned]]+Tabelle13245689101112131415161715[[#This Row],[COsSP Pulled after Start]]-Tabelle13245689101112131415161715[[#This Row],[CSOsSP Completed]]-Tabelle13245689101112131415161715[[#This Row],[CSOsSP Removed]]</f>
        <v>0</v>
      </c>
    </row>
    <row r="64" spans="1:18" ht="13.5" hidden="1" customHeight="1">
      <c r="A64" s="285" t="s">
        <v>1014</v>
      </c>
      <c r="B64" t="s">
        <v>1015</v>
      </c>
      <c r="C64" s="203" t="s">
        <v>375</v>
      </c>
      <c r="D64" s="203">
        <v>3</v>
      </c>
      <c r="E64" s="203" t="s">
        <v>324</v>
      </c>
      <c r="F64" s="204">
        <v>3</v>
      </c>
      <c r="G64" s="203" t="s">
        <v>32</v>
      </c>
      <c r="H64" s="205" t="s">
        <v>209</v>
      </c>
      <c r="I64" s="206"/>
      <c r="J64" s="206"/>
      <c r="K64" s="203" t="s">
        <v>125</v>
      </c>
      <c r="L64" s="204"/>
      <c r="M64" s="204"/>
      <c r="N64" s="286">
        <f>IF(OR(Tabelle13245689101112131415161715[[#This Row],[Pulled after Start]]="yes",Tabelle13245689101112131415161715[[#This Row],[Jira Story Points]]="-"),0,MIN(Tabelle13245689101112131415161715[[#This Row],[Jira Story Points]],Tabelle13245689101112131415161715[[#This Row],[Carry-over]]))</f>
        <v>0</v>
      </c>
      <c r="O64" s="210">
        <f>SUM(IF(ISBLANK(Tabelle13245689101112131415161715[[#This Row],[Carry-over]]),Tabelle13245689101112131415161715[[#This Row],[Jira Story Points]],Tabelle13245689101112131415161715[[#This Row],[Carry-over]]),-Tabelle13245689101112131415161715[[#This Row],[COsSP Initially Planned]])</f>
        <v>3</v>
      </c>
      <c r="P6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64" s="210">
        <f>IF(Tabelle13245689101112131415161715[[#This Row],[Status]]=$J$5,Tabelle13245689101112131415161715[[#This Row],[COsSP Initially Planned]]+Tabelle13245689101112131415161715[[#This Row],[COsSP Pulled after Start]]-Tabelle13245689101112131415161715[[#This Row],[CSOsSP Completed]],0)</f>
        <v>0</v>
      </c>
      <c r="R64" s="210">
        <f>Tabelle13245689101112131415161715[[#This Row],[COsSP Initially Planned]]+Tabelle13245689101112131415161715[[#This Row],[COsSP Pulled after Start]]-Tabelle13245689101112131415161715[[#This Row],[CSOsSP Completed]]-Tabelle13245689101112131415161715[[#This Row],[CSOsSP Removed]]</f>
        <v>0</v>
      </c>
    </row>
    <row r="65" spans="1:18" ht="13.5" hidden="1" customHeight="1">
      <c r="A65" s="285" t="s">
        <v>1016</v>
      </c>
      <c r="B65" s="285" t="s">
        <v>1017</v>
      </c>
      <c r="C65" s="203" t="s">
        <v>375</v>
      </c>
      <c r="D65" s="203">
        <v>3</v>
      </c>
      <c r="E65" s="203" t="s">
        <v>324</v>
      </c>
      <c r="F65" s="204">
        <v>2</v>
      </c>
      <c r="G65" s="203" t="s">
        <v>32</v>
      </c>
      <c r="H65" s="205" t="s">
        <v>209</v>
      </c>
      <c r="I65" s="206"/>
      <c r="J65" s="206"/>
      <c r="K65" s="203" t="s">
        <v>125</v>
      </c>
      <c r="L65" s="204"/>
      <c r="M65" s="204"/>
      <c r="N65" s="286">
        <f>IF(OR(Tabelle13245689101112131415161715[[#This Row],[Pulled after Start]]="yes",Tabelle13245689101112131415161715[[#This Row],[Jira Story Points]]="-"),0,MIN(Tabelle13245689101112131415161715[[#This Row],[Jira Story Points]],Tabelle13245689101112131415161715[[#This Row],[Carry-over]]))</f>
        <v>0</v>
      </c>
      <c r="O65" s="210">
        <f>SUM(IF(ISBLANK(Tabelle13245689101112131415161715[[#This Row],[Carry-over]]),Tabelle13245689101112131415161715[[#This Row],[Jira Story Points]],Tabelle13245689101112131415161715[[#This Row],[Carry-over]]),-Tabelle13245689101112131415161715[[#This Row],[COsSP Initially Planned]])</f>
        <v>2</v>
      </c>
      <c r="P6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65" s="210">
        <f>IF(Tabelle13245689101112131415161715[[#This Row],[Status]]=$J$5,Tabelle13245689101112131415161715[[#This Row],[COsSP Initially Planned]]+Tabelle13245689101112131415161715[[#This Row],[COsSP Pulled after Start]]-Tabelle13245689101112131415161715[[#This Row],[CSOsSP Completed]],0)</f>
        <v>0</v>
      </c>
      <c r="R65" s="210">
        <f>Tabelle13245689101112131415161715[[#This Row],[COsSP Initially Planned]]+Tabelle13245689101112131415161715[[#This Row],[COsSP Pulled after Start]]-Tabelle13245689101112131415161715[[#This Row],[CSOsSP Completed]]-Tabelle13245689101112131415161715[[#This Row],[CSOsSP Removed]]</f>
        <v>0</v>
      </c>
    </row>
    <row r="66" spans="1:18" ht="13.5" hidden="1" customHeight="1">
      <c r="A66" s="285" t="s">
        <v>651</v>
      </c>
      <c r="B66" s="285" t="s">
        <v>652</v>
      </c>
      <c r="C66" s="203" t="s">
        <v>372</v>
      </c>
      <c r="D66" s="203">
        <v>3</v>
      </c>
      <c r="E66" s="203" t="s">
        <v>327</v>
      </c>
      <c r="F66" s="204">
        <v>3</v>
      </c>
      <c r="G66" s="203" t="s">
        <v>32</v>
      </c>
      <c r="H66" s="205" t="s">
        <v>209</v>
      </c>
      <c r="I66" s="206"/>
      <c r="J66" s="206"/>
      <c r="K66" s="203" t="s">
        <v>127</v>
      </c>
      <c r="L66" s="204"/>
      <c r="M66" s="204">
        <v>2</v>
      </c>
      <c r="N66" s="286">
        <f>IF(OR(Tabelle13245689101112131415161715[[#This Row],[Pulled after Start]]="yes",Tabelle13245689101112131415161715[[#This Row],[Jira Story Points]]="-"),0,MIN(Tabelle13245689101112131415161715[[#This Row],[Jira Story Points]],Tabelle13245689101112131415161715[[#This Row],[Carry-over]]))</f>
        <v>0</v>
      </c>
      <c r="O66" s="210">
        <f>SUM(IF(ISBLANK(Tabelle13245689101112131415161715[[#This Row],[Carry-over]]),Tabelle13245689101112131415161715[[#This Row],[Jira Story Points]],Tabelle13245689101112131415161715[[#This Row],[Carry-over]]),-Tabelle13245689101112131415161715[[#This Row],[COsSP Initially Planned]])</f>
        <v>3</v>
      </c>
      <c r="P6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66" s="210">
        <f>IF(Tabelle13245689101112131415161715[[#This Row],[Status]]=$J$5,Tabelle13245689101112131415161715[[#This Row],[COsSP Initially Planned]]+Tabelle13245689101112131415161715[[#This Row],[COsSP Pulled after Start]]-Tabelle13245689101112131415161715[[#This Row],[CSOsSP Completed]],0)</f>
        <v>0</v>
      </c>
      <c r="R66" s="210">
        <f>Tabelle13245689101112131415161715[[#This Row],[COsSP Initially Planned]]+Tabelle13245689101112131415161715[[#This Row],[COsSP Pulled after Start]]-Tabelle13245689101112131415161715[[#This Row],[CSOsSP Completed]]-Tabelle13245689101112131415161715[[#This Row],[CSOsSP Removed]]</f>
        <v>2</v>
      </c>
    </row>
    <row r="67" spans="1:18" ht="13.5" hidden="1" customHeight="1">
      <c r="A67" s="285" t="s">
        <v>653</v>
      </c>
      <c r="B67" s="285" t="s">
        <v>654</v>
      </c>
      <c r="C67" s="203" t="s">
        <v>372</v>
      </c>
      <c r="D67" s="203">
        <v>3</v>
      </c>
      <c r="E67" s="203" t="s">
        <v>327</v>
      </c>
      <c r="F67" s="204">
        <v>3</v>
      </c>
      <c r="G67" s="203" t="s">
        <v>32</v>
      </c>
      <c r="H67" s="205" t="s">
        <v>209</v>
      </c>
      <c r="I67" s="206"/>
      <c r="J67" s="206"/>
      <c r="K67" s="203" t="s">
        <v>127</v>
      </c>
      <c r="L67" s="204"/>
      <c r="M67" s="204">
        <v>1</v>
      </c>
      <c r="N67" s="286">
        <f>IF(OR(Tabelle13245689101112131415161715[[#This Row],[Pulled after Start]]="yes",Tabelle13245689101112131415161715[[#This Row],[Jira Story Points]]="-"),0,MIN(Tabelle13245689101112131415161715[[#This Row],[Jira Story Points]],Tabelle13245689101112131415161715[[#This Row],[Carry-over]]))</f>
        <v>0</v>
      </c>
      <c r="O67" s="210">
        <f>SUM(IF(ISBLANK(Tabelle13245689101112131415161715[[#This Row],[Carry-over]]),Tabelle13245689101112131415161715[[#This Row],[Jira Story Points]],Tabelle13245689101112131415161715[[#This Row],[Carry-over]]),-Tabelle13245689101112131415161715[[#This Row],[COsSP Initially Planned]])</f>
        <v>3</v>
      </c>
      <c r="P6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67" s="210">
        <f>IF(Tabelle13245689101112131415161715[[#This Row],[Status]]=$J$5,Tabelle13245689101112131415161715[[#This Row],[COsSP Initially Planned]]+Tabelle13245689101112131415161715[[#This Row],[COsSP Pulled after Start]]-Tabelle13245689101112131415161715[[#This Row],[CSOsSP Completed]],0)</f>
        <v>0</v>
      </c>
      <c r="R67" s="210">
        <f>Tabelle13245689101112131415161715[[#This Row],[COsSP Initially Planned]]+Tabelle13245689101112131415161715[[#This Row],[COsSP Pulled after Start]]-Tabelle13245689101112131415161715[[#This Row],[CSOsSP Completed]]-Tabelle13245689101112131415161715[[#This Row],[CSOsSP Removed]]</f>
        <v>1</v>
      </c>
    </row>
    <row r="68" spans="1:18" ht="13.5" hidden="1" customHeight="1">
      <c r="A68" s="285" t="s">
        <v>657</v>
      </c>
      <c r="B68" s="285" t="s">
        <v>1018</v>
      </c>
      <c r="C68" s="203" t="s">
        <v>382</v>
      </c>
      <c r="D68" s="203">
        <v>3</v>
      </c>
      <c r="E68" s="212" t="s">
        <v>330</v>
      </c>
      <c r="F68" s="204">
        <v>1</v>
      </c>
      <c r="G68" s="203" t="s">
        <v>32</v>
      </c>
      <c r="H68" s="205" t="s">
        <v>209</v>
      </c>
      <c r="I68" s="206"/>
      <c r="J68" s="206"/>
      <c r="K68" s="203" t="s">
        <v>127</v>
      </c>
      <c r="L68" s="204"/>
      <c r="M68" s="204">
        <v>1</v>
      </c>
      <c r="N68" s="286">
        <f>IF(OR(Tabelle13245689101112131415161715[[#This Row],[Pulled after Start]]="yes",Tabelle13245689101112131415161715[[#This Row],[Jira Story Points]]="-"),0,MIN(Tabelle13245689101112131415161715[[#This Row],[Jira Story Points]],Tabelle13245689101112131415161715[[#This Row],[Carry-over]]))</f>
        <v>0</v>
      </c>
      <c r="O68" s="210">
        <f>SUM(IF(ISBLANK(Tabelle13245689101112131415161715[[#This Row],[Carry-over]]),Tabelle13245689101112131415161715[[#This Row],[Jira Story Points]],Tabelle13245689101112131415161715[[#This Row],[Carry-over]]),-Tabelle13245689101112131415161715[[#This Row],[COsSP Initially Planned]])</f>
        <v>1</v>
      </c>
      <c r="P6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68" s="210">
        <f>IF(Tabelle13245689101112131415161715[[#This Row],[Status]]=$J$5,Tabelle13245689101112131415161715[[#This Row],[COsSP Initially Planned]]+Tabelle13245689101112131415161715[[#This Row],[COsSP Pulled after Start]]-Tabelle13245689101112131415161715[[#This Row],[CSOsSP Completed]],0)</f>
        <v>0</v>
      </c>
      <c r="R68" s="210">
        <f>Tabelle13245689101112131415161715[[#This Row],[COsSP Initially Planned]]+Tabelle13245689101112131415161715[[#This Row],[COsSP Pulled after Start]]-Tabelle13245689101112131415161715[[#This Row],[CSOsSP Completed]]-Tabelle13245689101112131415161715[[#This Row],[CSOsSP Removed]]</f>
        <v>1</v>
      </c>
    </row>
    <row r="69" spans="1:18" ht="13.5" hidden="1" customHeight="1">
      <c r="A69" s="202" t="s">
        <v>1019</v>
      </c>
      <c r="B69" s="202" t="s">
        <v>1020</v>
      </c>
      <c r="C69" s="203" t="s">
        <v>375</v>
      </c>
      <c r="D69" s="203">
        <v>1</v>
      </c>
      <c r="E69" s="203" t="s">
        <v>278</v>
      </c>
      <c r="F69" s="203">
        <v>1</v>
      </c>
      <c r="G69" s="203" t="s">
        <v>17</v>
      </c>
      <c r="H69" s="202"/>
      <c r="I69" s="202"/>
      <c r="J69" s="202"/>
      <c r="K69" s="203" t="s">
        <v>125</v>
      </c>
      <c r="L69" s="204"/>
      <c r="M69" s="204"/>
      <c r="N69" s="286">
        <f>IF(OR(Tabelle13245689101112131415161715[[#This Row],[Pulled after Start]]="yes",Tabelle13245689101112131415161715[[#This Row],[Jira Story Points]]="-"),0,MIN(Tabelle13245689101112131415161715[[#This Row],[Jira Story Points]],Tabelle13245689101112131415161715[[#This Row],[Carry-over]]))</f>
        <v>1</v>
      </c>
      <c r="O69" s="210">
        <f>SUM(IF(ISBLANK(Tabelle13245689101112131415161715[[#This Row],[Carry-over]]),Tabelle13245689101112131415161715[[#This Row],[Jira Story Points]],Tabelle13245689101112131415161715[[#This Row],[Carry-over]]),-Tabelle13245689101112131415161715[[#This Row],[COsSP Initially Planned]])</f>
        <v>0</v>
      </c>
      <c r="P6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69" s="210">
        <f>IF(Tabelle13245689101112131415161715[[#This Row],[Status]]=$J$5,Tabelle13245689101112131415161715[[#This Row],[COsSP Initially Planned]]+Tabelle13245689101112131415161715[[#This Row],[COsSP Pulled after Start]]-Tabelle13245689101112131415161715[[#This Row],[CSOsSP Completed]],0)</f>
        <v>0</v>
      </c>
      <c r="R69" s="210">
        <f>Tabelle13245689101112131415161715[[#This Row],[COsSP Initially Planned]]+Tabelle13245689101112131415161715[[#This Row],[COsSP Pulled after Start]]-Tabelle13245689101112131415161715[[#This Row],[CSOsSP Completed]]-Tabelle13245689101112131415161715[[#This Row],[CSOsSP Removed]]</f>
        <v>0</v>
      </c>
    </row>
    <row r="70" spans="1:18" ht="13.5" hidden="1" customHeight="1">
      <c r="A70" s="202" t="s">
        <v>1021</v>
      </c>
      <c r="B70" s="202" t="s">
        <v>1022</v>
      </c>
      <c r="C70" s="203" t="s">
        <v>382</v>
      </c>
      <c r="D70" s="203">
        <v>3</v>
      </c>
      <c r="E70" s="203" t="s">
        <v>278</v>
      </c>
      <c r="F70" s="203">
        <v>5</v>
      </c>
      <c r="G70" s="203" t="s">
        <v>17</v>
      </c>
      <c r="H70" s="202"/>
      <c r="I70" s="202"/>
      <c r="J70" s="202"/>
      <c r="K70" s="203" t="s">
        <v>125</v>
      </c>
      <c r="L70" s="204"/>
      <c r="M70" s="204"/>
      <c r="N70" s="286">
        <f>IF(OR(Tabelle13245689101112131415161715[[#This Row],[Pulled after Start]]="yes",Tabelle13245689101112131415161715[[#This Row],[Jira Story Points]]="-"),0,MIN(Tabelle13245689101112131415161715[[#This Row],[Jira Story Points]],Tabelle13245689101112131415161715[[#This Row],[Carry-over]]))</f>
        <v>5</v>
      </c>
      <c r="O70" s="210">
        <f>SUM(IF(ISBLANK(Tabelle13245689101112131415161715[[#This Row],[Carry-over]]),Tabelle13245689101112131415161715[[#This Row],[Jira Story Points]],Tabelle13245689101112131415161715[[#This Row],[Carry-over]]),-Tabelle13245689101112131415161715[[#This Row],[COsSP Initially Planned]])</f>
        <v>0</v>
      </c>
      <c r="P7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70" s="210">
        <f>IF(Tabelle13245689101112131415161715[[#This Row],[Status]]=$J$5,Tabelle13245689101112131415161715[[#This Row],[COsSP Initially Planned]]+Tabelle13245689101112131415161715[[#This Row],[COsSP Pulled after Start]]-Tabelle13245689101112131415161715[[#This Row],[CSOsSP Completed]],0)</f>
        <v>0</v>
      </c>
      <c r="R70" s="210">
        <f>Tabelle13245689101112131415161715[[#This Row],[COsSP Initially Planned]]+Tabelle13245689101112131415161715[[#This Row],[COsSP Pulled after Start]]-Tabelle13245689101112131415161715[[#This Row],[CSOsSP Completed]]-Tabelle13245689101112131415161715[[#This Row],[CSOsSP Removed]]</f>
        <v>0</v>
      </c>
    </row>
    <row r="71" spans="1:18" ht="13.5" hidden="1" customHeight="1">
      <c r="A71" s="202" t="s">
        <v>1023</v>
      </c>
      <c r="B71" s="202" t="s">
        <v>1024</v>
      </c>
      <c r="C71" s="203" t="s">
        <v>375</v>
      </c>
      <c r="D71" s="203">
        <v>2</v>
      </c>
      <c r="E71" s="203" t="s">
        <v>278</v>
      </c>
      <c r="F71" s="203">
        <v>3</v>
      </c>
      <c r="G71" s="203" t="s">
        <v>17</v>
      </c>
      <c r="H71" s="202"/>
      <c r="I71" s="202"/>
      <c r="J71" s="202"/>
      <c r="K71" s="203" t="s">
        <v>125</v>
      </c>
      <c r="L71" s="204"/>
      <c r="M71" s="204"/>
      <c r="N71" s="286">
        <f>IF(OR(Tabelle13245689101112131415161715[[#This Row],[Pulled after Start]]="yes",Tabelle13245689101112131415161715[[#This Row],[Jira Story Points]]="-"),0,MIN(Tabelle13245689101112131415161715[[#This Row],[Jira Story Points]],Tabelle13245689101112131415161715[[#This Row],[Carry-over]]))</f>
        <v>3</v>
      </c>
      <c r="O71" s="210">
        <f>SUM(IF(ISBLANK(Tabelle13245689101112131415161715[[#This Row],[Carry-over]]),Tabelle13245689101112131415161715[[#This Row],[Jira Story Points]],Tabelle13245689101112131415161715[[#This Row],[Carry-over]]),-Tabelle13245689101112131415161715[[#This Row],[COsSP Initially Planned]])</f>
        <v>0</v>
      </c>
      <c r="P71"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71" s="210">
        <f>IF(Tabelle13245689101112131415161715[[#This Row],[Status]]=$J$5,Tabelle13245689101112131415161715[[#This Row],[COsSP Initially Planned]]+Tabelle13245689101112131415161715[[#This Row],[COsSP Pulled after Start]]-Tabelle13245689101112131415161715[[#This Row],[CSOsSP Completed]],0)</f>
        <v>0</v>
      </c>
      <c r="R71" s="210">
        <f>Tabelle13245689101112131415161715[[#This Row],[COsSP Initially Planned]]+Tabelle13245689101112131415161715[[#This Row],[COsSP Pulled after Start]]-Tabelle13245689101112131415161715[[#This Row],[CSOsSP Completed]]-Tabelle13245689101112131415161715[[#This Row],[CSOsSP Removed]]</f>
        <v>0</v>
      </c>
    </row>
    <row r="72" spans="1:18" ht="13.5" hidden="1" customHeight="1">
      <c r="A72" s="202" t="s">
        <v>1025</v>
      </c>
      <c r="B72" s="202" t="s">
        <v>1026</v>
      </c>
      <c r="C72" s="203" t="s">
        <v>375</v>
      </c>
      <c r="D72" s="203">
        <v>3</v>
      </c>
      <c r="E72" s="203" t="s">
        <v>278</v>
      </c>
      <c r="F72" s="203">
        <v>3</v>
      </c>
      <c r="G72" s="203" t="s">
        <v>17</v>
      </c>
      <c r="H72" s="202"/>
      <c r="I72" s="202"/>
      <c r="J72" s="202"/>
      <c r="K72" s="203" t="s">
        <v>125</v>
      </c>
      <c r="L72" s="204"/>
      <c r="M72" s="204"/>
      <c r="N72" s="286">
        <f>IF(OR(Tabelle13245689101112131415161715[[#This Row],[Pulled after Start]]="yes",Tabelle13245689101112131415161715[[#This Row],[Jira Story Points]]="-"),0,MIN(Tabelle13245689101112131415161715[[#This Row],[Jira Story Points]],Tabelle13245689101112131415161715[[#This Row],[Carry-over]]))</f>
        <v>3</v>
      </c>
      <c r="O72" s="210">
        <f>SUM(IF(ISBLANK(Tabelle13245689101112131415161715[[#This Row],[Carry-over]]),Tabelle13245689101112131415161715[[#This Row],[Jira Story Points]],Tabelle13245689101112131415161715[[#This Row],[Carry-over]]),-Tabelle13245689101112131415161715[[#This Row],[COsSP Initially Planned]])</f>
        <v>0</v>
      </c>
      <c r="P7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72" s="210">
        <f>IF(Tabelle13245689101112131415161715[[#This Row],[Status]]=$J$5,Tabelle13245689101112131415161715[[#This Row],[COsSP Initially Planned]]+Tabelle13245689101112131415161715[[#This Row],[COsSP Pulled after Start]]-Tabelle13245689101112131415161715[[#This Row],[CSOsSP Completed]],0)</f>
        <v>0</v>
      </c>
      <c r="R72" s="210">
        <f>Tabelle13245689101112131415161715[[#This Row],[COsSP Initially Planned]]+Tabelle13245689101112131415161715[[#This Row],[COsSP Pulled after Start]]-Tabelle13245689101112131415161715[[#This Row],[CSOsSP Completed]]-Tabelle13245689101112131415161715[[#This Row],[CSOsSP Removed]]</f>
        <v>0</v>
      </c>
    </row>
    <row r="73" spans="1:18" ht="13.5" hidden="1" customHeight="1">
      <c r="A73" s="202" t="s">
        <v>1027</v>
      </c>
      <c r="B73" s="202" t="s">
        <v>1028</v>
      </c>
      <c r="C73" s="203" t="s">
        <v>372</v>
      </c>
      <c r="D73" s="203">
        <v>3</v>
      </c>
      <c r="E73" s="203" t="s">
        <v>288</v>
      </c>
      <c r="F73" s="203">
        <v>8</v>
      </c>
      <c r="G73" s="203" t="s">
        <v>17</v>
      </c>
      <c r="H73" s="202"/>
      <c r="I73" s="202"/>
      <c r="J73" s="202"/>
      <c r="K73" s="203" t="s">
        <v>125</v>
      </c>
      <c r="L73" s="204"/>
      <c r="M73" s="204"/>
      <c r="N73" s="286">
        <f>IF(OR(Tabelle13245689101112131415161715[[#This Row],[Pulled after Start]]="yes",Tabelle13245689101112131415161715[[#This Row],[Jira Story Points]]="-"),0,MIN(Tabelle13245689101112131415161715[[#This Row],[Jira Story Points]],Tabelle13245689101112131415161715[[#This Row],[Carry-over]]))</f>
        <v>8</v>
      </c>
      <c r="O73" s="210">
        <f>SUM(IF(ISBLANK(Tabelle13245689101112131415161715[[#This Row],[Carry-over]]),Tabelle13245689101112131415161715[[#This Row],[Jira Story Points]],Tabelle13245689101112131415161715[[#This Row],[Carry-over]]),-Tabelle13245689101112131415161715[[#This Row],[COsSP Initially Planned]])</f>
        <v>0</v>
      </c>
      <c r="P7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8</v>
      </c>
      <c r="Q73" s="210">
        <f>IF(Tabelle13245689101112131415161715[[#This Row],[Status]]=$J$5,Tabelle13245689101112131415161715[[#This Row],[COsSP Initially Planned]]+Tabelle13245689101112131415161715[[#This Row],[COsSP Pulled after Start]]-Tabelle13245689101112131415161715[[#This Row],[CSOsSP Completed]],0)</f>
        <v>0</v>
      </c>
      <c r="R73" s="210">
        <f>Tabelle13245689101112131415161715[[#This Row],[COsSP Initially Planned]]+Tabelle13245689101112131415161715[[#This Row],[COsSP Pulled after Start]]-Tabelle13245689101112131415161715[[#This Row],[CSOsSP Completed]]-Tabelle13245689101112131415161715[[#This Row],[CSOsSP Removed]]</f>
        <v>0</v>
      </c>
    </row>
    <row r="74" spans="1:18" ht="13.5" hidden="1" customHeight="1">
      <c r="A74" s="202" t="s">
        <v>1029</v>
      </c>
      <c r="B74" s="202" t="s">
        <v>1030</v>
      </c>
      <c r="C74" s="203" t="s">
        <v>382</v>
      </c>
      <c r="D74" s="203">
        <v>3</v>
      </c>
      <c r="E74" s="203" t="s">
        <v>278</v>
      </c>
      <c r="F74" s="203">
        <v>1</v>
      </c>
      <c r="G74" s="203" t="s">
        <v>17</v>
      </c>
      <c r="H74" s="202"/>
      <c r="I74" s="202"/>
      <c r="J74" s="202"/>
      <c r="K74" s="203" t="s">
        <v>125</v>
      </c>
      <c r="L74" s="204"/>
      <c r="M74" s="204"/>
      <c r="N74" s="286">
        <f>IF(OR(Tabelle13245689101112131415161715[[#This Row],[Pulled after Start]]="yes",Tabelle13245689101112131415161715[[#This Row],[Jira Story Points]]="-"),0,MIN(Tabelle13245689101112131415161715[[#This Row],[Jira Story Points]],Tabelle13245689101112131415161715[[#This Row],[Carry-over]]))</f>
        <v>1</v>
      </c>
      <c r="O74" s="210">
        <f>SUM(IF(ISBLANK(Tabelle13245689101112131415161715[[#This Row],[Carry-over]]),Tabelle13245689101112131415161715[[#This Row],[Jira Story Points]],Tabelle13245689101112131415161715[[#This Row],[Carry-over]]),-Tabelle13245689101112131415161715[[#This Row],[COsSP Initially Planned]])</f>
        <v>0</v>
      </c>
      <c r="P7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74" s="210">
        <f>IF(Tabelle13245689101112131415161715[[#This Row],[Status]]=$J$5,Tabelle13245689101112131415161715[[#This Row],[COsSP Initially Planned]]+Tabelle13245689101112131415161715[[#This Row],[COsSP Pulled after Start]]-Tabelle13245689101112131415161715[[#This Row],[CSOsSP Completed]],0)</f>
        <v>0</v>
      </c>
      <c r="R74" s="210">
        <f>Tabelle13245689101112131415161715[[#This Row],[COsSP Initially Planned]]+Tabelle13245689101112131415161715[[#This Row],[COsSP Pulled after Start]]-Tabelle13245689101112131415161715[[#This Row],[CSOsSP Completed]]-Tabelle13245689101112131415161715[[#This Row],[CSOsSP Removed]]</f>
        <v>0</v>
      </c>
    </row>
    <row r="75" spans="1:18" ht="13.5" hidden="1" customHeight="1">
      <c r="A75" s="202" t="s">
        <v>1031</v>
      </c>
      <c r="B75" s="202" t="s">
        <v>1032</v>
      </c>
      <c r="C75" s="203" t="s">
        <v>372</v>
      </c>
      <c r="D75" s="203">
        <v>3</v>
      </c>
      <c r="E75" s="203" t="s">
        <v>278</v>
      </c>
      <c r="F75" s="203">
        <v>3</v>
      </c>
      <c r="G75" s="203" t="s">
        <v>17</v>
      </c>
      <c r="H75" s="202"/>
      <c r="I75" s="202"/>
      <c r="J75" s="202"/>
      <c r="K75" s="203" t="s">
        <v>125</v>
      </c>
      <c r="L75" s="204"/>
      <c r="M75" s="204"/>
      <c r="N75" s="286">
        <f>IF(OR(Tabelle13245689101112131415161715[[#This Row],[Pulled after Start]]="yes",Tabelle13245689101112131415161715[[#This Row],[Jira Story Points]]="-"),0,MIN(Tabelle13245689101112131415161715[[#This Row],[Jira Story Points]],Tabelle13245689101112131415161715[[#This Row],[Carry-over]]))</f>
        <v>3</v>
      </c>
      <c r="O75" s="210">
        <f>SUM(IF(ISBLANK(Tabelle13245689101112131415161715[[#This Row],[Carry-over]]),Tabelle13245689101112131415161715[[#This Row],[Jira Story Points]],Tabelle13245689101112131415161715[[#This Row],[Carry-over]]),-Tabelle13245689101112131415161715[[#This Row],[COsSP Initially Planned]])</f>
        <v>0</v>
      </c>
      <c r="P7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75" s="210">
        <f>IF(Tabelle13245689101112131415161715[[#This Row],[Status]]=$J$5,Tabelle13245689101112131415161715[[#This Row],[COsSP Initially Planned]]+Tabelle13245689101112131415161715[[#This Row],[COsSP Pulled after Start]]-Tabelle13245689101112131415161715[[#This Row],[CSOsSP Completed]],0)</f>
        <v>0</v>
      </c>
      <c r="R75" s="210">
        <f>Tabelle13245689101112131415161715[[#This Row],[COsSP Initially Planned]]+Tabelle13245689101112131415161715[[#This Row],[COsSP Pulled after Start]]-Tabelle13245689101112131415161715[[#This Row],[CSOsSP Completed]]-Tabelle13245689101112131415161715[[#This Row],[CSOsSP Removed]]</f>
        <v>0</v>
      </c>
    </row>
    <row r="76" spans="1:18" ht="13.5" hidden="1" customHeight="1">
      <c r="A76" s="202" t="s">
        <v>1033</v>
      </c>
      <c r="B76" s="202" t="s">
        <v>1034</v>
      </c>
      <c r="C76" s="203" t="s">
        <v>375</v>
      </c>
      <c r="D76" s="203">
        <v>3</v>
      </c>
      <c r="E76" s="203" t="s">
        <v>278</v>
      </c>
      <c r="F76" s="203">
        <v>5</v>
      </c>
      <c r="G76" s="203" t="s">
        <v>17</v>
      </c>
      <c r="H76" s="202"/>
      <c r="I76" s="202"/>
      <c r="J76" s="202"/>
      <c r="K76" s="203" t="s">
        <v>125</v>
      </c>
      <c r="L76" s="204"/>
      <c r="M76" s="204"/>
      <c r="N76" s="286">
        <f>IF(OR(Tabelle13245689101112131415161715[[#This Row],[Pulled after Start]]="yes",Tabelle13245689101112131415161715[[#This Row],[Jira Story Points]]="-"),0,MIN(Tabelle13245689101112131415161715[[#This Row],[Jira Story Points]],Tabelle13245689101112131415161715[[#This Row],[Carry-over]]))</f>
        <v>5</v>
      </c>
      <c r="O76" s="210">
        <f>SUM(IF(ISBLANK(Tabelle13245689101112131415161715[[#This Row],[Carry-over]]),Tabelle13245689101112131415161715[[#This Row],[Jira Story Points]],Tabelle13245689101112131415161715[[#This Row],[Carry-over]]),-Tabelle13245689101112131415161715[[#This Row],[COsSP Initially Planned]])</f>
        <v>0</v>
      </c>
      <c r="P7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76" s="210">
        <f>IF(Tabelle13245689101112131415161715[[#This Row],[Status]]=$J$5,Tabelle13245689101112131415161715[[#This Row],[COsSP Initially Planned]]+Tabelle13245689101112131415161715[[#This Row],[COsSP Pulled after Start]]-Tabelle13245689101112131415161715[[#This Row],[CSOsSP Completed]],0)</f>
        <v>0</v>
      </c>
      <c r="R76" s="210">
        <f>Tabelle13245689101112131415161715[[#This Row],[COsSP Initially Planned]]+Tabelle13245689101112131415161715[[#This Row],[COsSP Pulled after Start]]-Tabelle13245689101112131415161715[[#This Row],[CSOsSP Completed]]-Tabelle13245689101112131415161715[[#This Row],[CSOsSP Removed]]</f>
        <v>0</v>
      </c>
    </row>
    <row r="77" spans="1:18" ht="13.5" hidden="1" customHeight="1">
      <c r="A77" s="202" t="s">
        <v>1035</v>
      </c>
      <c r="B77" s="202" t="s">
        <v>1036</v>
      </c>
      <c r="C77" s="203" t="s">
        <v>382</v>
      </c>
      <c r="D77" s="203">
        <v>3</v>
      </c>
      <c r="E77" s="203" t="s">
        <v>278</v>
      </c>
      <c r="F77" s="203">
        <v>1</v>
      </c>
      <c r="G77" s="203" t="s">
        <v>17</v>
      </c>
      <c r="H77" s="202"/>
      <c r="I77" s="202"/>
      <c r="J77" s="202"/>
      <c r="K77" s="203" t="s">
        <v>125</v>
      </c>
      <c r="L77" s="204"/>
      <c r="M77" s="204"/>
      <c r="N77" s="286">
        <f>IF(OR(Tabelle13245689101112131415161715[[#This Row],[Pulled after Start]]="yes",Tabelle13245689101112131415161715[[#This Row],[Jira Story Points]]="-"),0,MIN(Tabelle13245689101112131415161715[[#This Row],[Jira Story Points]],Tabelle13245689101112131415161715[[#This Row],[Carry-over]]))</f>
        <v>1</v>
      </c>
      <c r="O77" s="210">
        <f>SUM(IF(ISBLANK(Tabelle13245689101112131415161715[[#This Row],[Carry-over]]),Tabelle13245689101112131415161715[[#This Row],[Jira Story Points]],Tabelle13245689101112131415161715[[#This Row],[Carry-over]]),-Tabelle13245689101112131415161715[[#This Row],[COsSP Initially Planned]])</f>
        <v>0</v>
      </c>
      <c r="P7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77" s="210">
        <f>IF(Tabelle13245689101112131415161715[[#This Row],[Status]]=$J$5,Tabelle13245689101112131415161715[[#This Row],[COsSP Initially Planned]]+Tabelle13245689101112131415161715[[#This Row],[COsSP Pulled after Start]]-Tabelle13245689101112131415161715[[#This Row],[CSOsSP Completed]],0)</f>
        <v>0</v>
      </c>
      <c r="R77" s="210">
        <f>Tabelle13245689101112131415161715[[#This Row],[COsSP Initially Planned]]+Tabelle13245689101112131415161715[[#This Row],[COsSP Pulled after Start]]-Tabelle13245689101112131415161715[[#This Row],[CSOsSP Completed]]-Tabelle13245689101112131415161715[[#This Row],[CSOsSP Removed]]</f>
        <v>0</v>
      </c>
    </row>
    <row r="78" spans="1:18" ht="13.5" hidden="1" customHeight="1">
      <c r="A78" s="202" t="s">
        <v>1037</v>
      </c>
      <c r="B78" s="202" t="s">
        <v>1038</v>
      </c>
      <c r="C78" s="203" t="s">
        <v>382</v>
      </c>
      <c r="D78" s="203">
        <v>3</v>
      </c>
      <c r="E78" s="203" t="s">
        <v>281</v>
      </c>
      <c r="F78" s="203">
        <v>3</v>
      </c>
      <c r="G78" s="203" t="s">
        <v>17</v>
      </c>
      <c r="H78" s="202"/>
      <c r="I78" s="202"/>
      <c r="J78" s="202"/>
      <c r="K78" s="203" t="s">
        <v>125</v>
      </c>
      <c r="L78" s="204"/>
      <c r="M78" s="204"/>
      <c r="N78" s="286">
        <f>IF(OR(Tabelle13245689101112131415161715[[#This Row],[Pulled after Start]]="yes",Tabelle13245689101112131415161715[[#This Row],[Jira Story Points]]="-"),0,MIN(Tabelle13245689101112131415161715[[#This Row],[Jira Story Points]],Tabelle13245689101112131415161715[[#This Row],[Carry-over]]))</f>
        <v>3</v>
      </c>
      <c r="O78" s="210">
        <f>SUM(IF(ISBLANK(Tabelle13245689101112131415161715[[#This Row],[Carry-over]]),Tabelle13245689101112131415161715[[#This Row],[Jira Story Points]],Tabelle13245689101112131415161715[[#This Row],[Carry-over]]),-Tabelle13245689101112131415161715[[#This Row],[COsSP Initially Planned]])</f>
        <v>0</v>
      </c>
      <c r="P7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78" s="210">
        <f>IF(Tabelle13245689101112131415161715[[#This Row],[Status]]=$J$5,Tabelle13245689101112131415161715[[#This Row],[COsSP Initially Planned]]+Tabelle13245689101112131415161715[[#This Row],[COsSP Pulled after Start]]-Tabelle13245689101112131415161715[[#This Row],[CSOsSP Completed]],0)</f>
        <v>0</v>
      </c>
      <c r="R78" s="210">
        <f>Tabelle13245689101112131415161715[[#This Row],[COsSP Initially Planned]]+Tabelle13245689101112131415161715[[#This Row],[COsSP Pulled after Start]]-Tabelle13245689101112131415161715[[#This Row],[CSOsSP Completed]]-Tabelle13245689101112131415161715[[#This Row],[CSOsSP Removed]]</f>
        <v>0</v>
      </c>
    </row>
    <row r="79" spans="1:18" ht="13.5" hidden="1" customHeight="1">
      <c r="A79" s="202" t="s">
        <v>1039</v>
      </c>
      <c r="B79" s="202" t="s">
        <v>1040</v>
      </c>
      <c r="C79" s="203" t="s">
        <v>382</v>
      </c>
      <c r="D79" s="203">
        <v>3</v>
      </c>
      <c r="E79" s="203" t="s">
        <v>278</v>
      </c>
      <c r="F79" s="203">
        <v>3</v>
      </c>
      <c r="G79" s="203" t="s">
        <v>17</v>
      </c>
      <c r="H79" s="202"/>
      <c r="I79" s="202"/>
      <c r="J79" s="202"/>
      <c r="K79" s="203" t="s">
        <v>125</v>
      </c>
      <c r="L79" s="204"/>
      <c r="M79" s="204"/>
      <c r="N79" s="286">
        <f>IF(OR(Tabelle13245689101112131415161715[[#This Row],[Pulled after Start]]="yes",Tabelle13245689101112131415161715[[#This Row],[Jira Story Points]]="-"),0,MIN(Tabelle13245689101112131415161715[[#This Row],[Jira Story Points]],Tabelle13245689101112131415161715[[#This Row],[Carry-over]]))</f>
        <v>3</v>
      </c>
      <c r="O79" s="210">
        <f>SUM(IF(ISBLANK(Tabelle13245689101112131415161715[[#This Row],[Carry-over]]),Tabelle13245689101112131415161715[[#This Row],[Jira Story Points]],Tabelle13245689101112131415161715[[#This Row],[Carry-over]]),-Tabelle13245689101112131415161715[[#This Row],[COsSP Initially Planned]])</f>
        <v>0</v>
      </c>
      <c r="P7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79" s="210">
        <f>IF(Tabelle13245689101112131415161715[[#This Row],[Status]]=$J$5,Tabelle13245689101112131415161715[[#This Row],[COsSP Initially Planned]]+Tabelle13245689101112131415161715[[#This Row],[COsSP Pulled after Start]]-Tabelle13245689101112131415161715[[#This Row],[CSOsSP Completed]],0)</f>
        <v>0</v>
      </c>
      <c r="R79" s="210">
        <f>Tabelle13245689101112131415161715[[#This Row],[COsSP Initially Planned]]+Tabelle13245689101112131415161715[[#This Row],[COsSP Pulled after Start]]-Tabelle13245689101112131415161715[[#This Row],[CSOsSP Completed]]-Tabelle13245689101112131415161715[[#This Row],[CSOsSP Removed]]</f>
        <v>0</v>
      </c>
    </row>
    <row r="80" spans="1:18" ht="13.5" hidden="1" customHeight="1">
      <c r="A80" s="202" t="s">
        <v>1041</v>
      </c>
      <c r="B80" s="202" t="s">
        <v>1042</v>
      </c>
      <c r="C80" s="203" t="s">
        <v>382</v>
      </c>
      <c r="D80" s="203">
        <v>3</v>
      </c>
      <c r="E80" s="203" t="s">
        <v>281</v>
      </c>
      <c r="F80" s="203">
        <v>2</v>
      </c>
      <c r="G80" s="203" t="s">
        <v>17</v>
      </c>
      <c r="H80" s="202"/>
      <c r="I80" s="202"/>
      <c r="J80" s="202"/>
      <c r="K80" s="203" t="s">
        <v>125</v>
      </c>
      <c r="L80" s="204"/>
      <c r="M80" s="204"/>
      <c r="N80" s="286">
        <f>IF(OR(Tabelle13245689101112131415161715[[#This Row],[Pulled after Start]]="yes",Tabelle13245689101112131415161715[[#This Row],[Jira Story Points]]="-"),0,MIN(Tabelle13245689101112131415161715[[#This Row],[Jira Story Points]],Tabelle13245689101112131415161715[[#This Row],[Carry-over]]))</f>
        <v>2</v>
      </c>
      <c r="O80" s="210">
        <f>SUM(IF(ISBLANK(Tabelle13245689101112131415161715[[#This Row],[Carry-over]]),Tabelle13245689101112131415161715[[#This Row],[Jira Story Points]],Tabelle13245689101112131415161715[[#This Row],[Carry-over]]),-Tabelle13245689101112131415161715[[#This Row],[COsSP Initially Planned]])</f>
        <v>0</v>
      </c>
      <c r="P8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80" s="210">
        <f>IF(Tabelle13245689101112131415161715[[#This Row],[Status]]=$J$5,Tabelle13245689101112131415161715[[#This Row],[COsSP Initially Planned]]+Tabelle13245689101112131415161715[[#This Row],[COsSP Pulled after Start]]-Tabelle13245689101112131415161715[[#This Row],[CSOsSP Completed]],0)</f>
        <v>0</v>
      </c>
      <c r="R80" s="210">
        <f>Tabelle13245689101112131415161715[[#This Row],[COsSP Initially Planned]]+Tabelle13245689101112131415161715[[#This Row],[COsSP Pulled after Start]]-Tabelle13245689101112131415161715[[#This Row],[CSOsSP Completed]]-Tabelle13245689101112131415161715[[#This Row],[CSOsSP Removed]]</f>
        <v>0</v>
      </c>
    </row>
    <row r="81" spans="1:18" ht="13.5" hidden="1" customHeight="1">
      <c r="A81" s="202" t="s">
        <v>547</v>
      </c>
      <c r="B81" s="202" t="s">
        <v>548</v>
      </c>
      <c r="C81" s="203" t="s">
        <v>372</v>
      </c>
      <c r="D81" s="203">
        <v>3</v>
      </c>
      <c r="E81" s="203" t="s">
        <v>288</v>
      </c>
      <c r="F81" s="203">
        <v>5</v>
      </c>
      <c r="G81" s="203" t="s">
        <v>17</v>
      </c>
      <c r="H81" s="202"/>
      <c r="I81" s="202"/>
      <c r="J81" s="202"/>
      <c r="K81" s="203" t="s">
        <v>127</v>
      </c>
      <c r="L81" s="204"/>
      <c r="M81" s="204">
        <v>3</v>
      </c>
      <c r="N81" s="286">
        <f>IF(OR(Tabelle13245689101112131415161715[[#This Row],[Pulled after Start]]="yes",Tabelle13245689101112131415161715[[#This Row],[Jira Story Points]]="-"),0,MIN(Tabelle13245689101112131415161715[[#This Row],[Jira Story Points]],Tabelle13245689101112131415161715[[#This Row],[Carry-over]]))</f>
        <v>5</v>
      </c>
      <c r="O81" s="210">
        <f>SUM(IF(ISBLANK(Tabelle13245689101112131415161715[[#This Row],[Carry-over]]),Tabelle13245689101112131415161715[[#This Row],[Jira Story Points]],Tabelle13245689101112131415161715[[#This Row],[Carry-over]]),-Tabelle13245689101112131415161715[[#This Row],[COsSP Initially Planned]])</f>
        <v>0</v>
      </c>
      <c r="P81"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81" s="210">
        <f>IF(Tabelle13245689101112131415161715[[#This Row],[Status]]=$J$5,Tabelle13245689101112131415161715[[#This Row],[COsSP Initially Planned]]+Tabelle13245689101112131415161715[[#This Row],[COsSP Pulled after Start]]-Tabelle13245689101112131415161715[[#This Row],[CSOsSP Completed]],0)</f>
        <v>0</v>
      </c>
      <c r="R81" s="210">
        <f>Tabelle13245689101112131415161715[[#This Row],[COsSP Initially Planned]]+Tabelle13245689101112131415161715[[#This Row],[COsSP Pulled after Start]]-Tabelle13245689101112131415161715[[#This Row],[CSOsSP Completed]]-Tabelle13245689101112131415161715[[#This Row],[CSOsSP Removed]]</f>
        <v>3</v>
      </c>
    </row>
    <row r="82" spans="1:18" ht="13.5" hidden="1" customHeight="1">
      <c r="A82" s="202" t="s">
        <v>1043</v>
      </c>
      <c r="B82" s="202" t="s">
        <v>1044</v>
      </c>
      <c r="C82" s="203" t="s">
        <v>372</v>
      </c>
      <c r="D82" s="203">
        <v>3</v>
      </c>
      <c r="E82" s="203" t="s">
        <v>278</v>
      </c>
      <c r="F82" s="203">
        <v>0</v>
      </c>
      <c r="G82" s="203" t="s">
        <v>17</v>
      </c>
      <c r="H82" s="202"/>
      <c r="I82" s="202"/>
      <c r="J82" s="202"/>
      <c r="K82" s="203" t="s">
        <v>125</v>
      </c>
      <c r="L82" s="204"/>
      <c r="M82" s="204"/>
      <c r="N82" s="286">
        <f>IF(OR(Tabelle13245689101112131415161715[[#This Row],[Pulled after Start]]="yes",Tabelle13245689101112131415161715[[#This Row],[Jira Story Points]]="-"),0,MIN(Tabelle13245689101112131415161715[[#This Row],[Jira Story Points]],Tabelle13245689101112131415161715[[#This Row],[Carry-over]]))</f>
        <v>0</v>
      </c>
      <c r="O82" s="210">
        <f>SUM(IF(ISBLANK(Tabelle13245689101112131415161715[[#This Row],[Carry-over]]),Tabelle13245689101112131415161715[[#This Row],[Jira Story Points]],Tabelle13245689101112131415161715[[#This Row],[Carry-over]]),-Tabelle13245689101112131415161715[[#This Row],[COsSP Initially Planned]])</f>
        <v>0</v>
      </c>
      <c r="P8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82" s="210">
        <f>IF(Tabelle13245689101112131415161715[[#This Row],[Status]]=$J$5,Tabelle13245689101112131415161715[[#This Row],[COsSP Initially Planned]]+Tabelle13245689101112131415161715[[#This Row],[COsSP Pulled after Start]]-Tabelle13245689101112131415161715[[#This Row],[CSOsSP Completed]],0)</f>
        <v>0</v>
      </c>
      <c r="R82" s="210">
        <f>Tabelle13245689101112131415161715[[#This Row],[COsSP Initially Planned]]+Tabelle13245689101112131415161715[[#This Row],[COsSP Pulled after Start]]-Tabelle13245689101112131415161715[[#This Row],[CSOsSP Completed]]-Tabelle13245689101112131415161715[[#This Row],[CSOsSP Removed]]</f>
        <v>0</v>
      </c>
    </row>
    <row r="83" spans="1:18" ht="13.5" hidden="1" customHeight="1">
      <c r="A83" s="202" t="s">
        <v>1045</v>
      </c>
      <c r="B83" s="202" t="s">
        <v>1046</v>
      </c>
      <c r="C83" s="203" t="s">
        <v>372</v>
      </c>
      <c r="D83" s="203">
        <v>3</v>
      </c>
      <c r="E83" s="203" t="s">
        <v>278</v>
      </c>
      <c r="F83" s="203">
        <v>2</v>
      </c>
      <c r="G83" s="203" t="s">
        <v>17</v>
      </c>
      <c r="H83" s="202"/>
      <c r="I83" s="202"/>
      <c r="J83" s="202"/>
      <c r="K83" s="203" t="s">
        <v>125</v>
      </c>
      <c r="L83" s="204"/>
      <c r="M83" s="204"/>
      <c r="N83" s="286">
        <f>IF(OR(Tabelle13245689101112131415161715[[#This Row],[Pulled after Start]]="yes",Tabelle13245689101112131415161715[[#This Row],[Jira Story Points]]="-"),0,MIN(Tabelle13245689101112131415161715[[#This Row],[Jira Story Points]],Tabelle13245689101112131415161715[[#This Row],[Carry-over]]))</f>
        <v>2</v>
      </c>
      <c r="O83" s="210">
        <f>SUM(IF(ISBLANK(Tabelle13245689101112131415161715[[#This Row],[Carry-over]]),Tabelle13245689101112131415161715[[#This Row],[Jira Story Points]],Tabelle13245689101112131415161715[[#This Row],[Carry-over]]),-Tabelle13245689101112131415161715[[#This Row],[COsSP Initially Planned]])</f>
        <v>0</v>
      </c>
      <c r="P8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83" s="210">
        <f>IF(Tabelle13245689101112131415161715[[#This Row],[Status]]=$J$5,Tabelle13245689101112131415161715[[#This Row],[COsSP Initially Planned]]+Tabelle13245689101112131415161715[[#This Row],[COsSP Pulled after Start]]-Tabelle13245689101112131415161715[[#This Row],[CSOsSP Completed]],0)</f>
        <v>0</v>
      </c>
      <c r="R83" s="210">
        <f>Tabelle13245689101112131415161715[[#This Row],[COsSP Initially Planned]]+Tabelle13245689101112131415161715[[#This Row],[COsSP Pulled after Start]]-Tabelle13245689101112131415161715[[#This Row],[CSOsSP Completed]]-Tabelle13245689101112131415161715[[#This Row],[CSOsSP Removed]]</f>
        <v>0</v>
      </c>
    </row>
    <row r="84" spans="1:18" ht="13.5" hidden="1" customHeight="1">
      <c r="A84" s="202" t="s">
        <v>1047</v>
      </c>
      <c r="B84" s="202" t="s">
        <v>1048</v>
      </c>
      <c r="C84" s="203" t="s">
        <v>372</v>
      </c>
      <c r="D84" s="203">
        <v>1</v>
      </c>
      <c r="E84" s="203" t="s">
        <v>324</v>
      </c>
      <c r="F84" s="203">
        <v>3</v>
      </c>
      <c r="G84" s="203" t="s">
        <v>27</v>
      </c>
      <c r="H84" s="205" t="s">
        <v>209</v>
      </c>
      <c r="I84" s="202"/>
      <c r="J84" s="202"/>
      <c r="K84" s="203" t="s">
        <v>125</v>
      </c>
      <c r="L84" s="204"/>
      <c r="M84" s="204"/>
      <c r="N84" s="286">
        <f>IF(OR(Tabelle13245689101112131415161715[[#This Row],[Pulled after Start]]="yes",Tabelle13245689101112131415161715[[#This Row],[Jira Story Points]]="-"),0,MIN(Tabelle13245689101112131415161715[[#This Row],[Jira Story Points]],Tabelle13245689101112131415161715[[#This Row],[Carry-over]]))</f>
        <v>0</v>
      </c>
      <c r="O84" s="210">
        <f>SUM(IF(ISBLANK(Tabelle13245689101112131415161715[[#This Row],[Carry-over]]),Tabelle13245689101112131415161715[[#This Row],[Jira Story Points]],Tabelle13245689101112131415161715[[#This Row],[Carry-over]]),-Tabelle13245689101112131415161715[[#This Row],[COsSP Initially Planned]])</f>
        <v>3</v>
      </c>
      <c r="P8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84" s="210">
        <f>IF(Tabelle13245689101112131415161715[[#This Row],[Status]]=$J$5,Tabelle13245689101112131415161715[[#This Row],[COsSP Initially Planned]]+Tabelle13245689101112131415161715[[#This Row],[COsSP Pulled after Start]]-Tabelle13245689101112131415161715[[#This Row],[CSOsSP Completed]],0)</f>
        <v>0</v>
      </c>
      <c r="R84" s="210">
        <f>Tabelle13245689101112131415161715[[#This Row],[COsSP Initially Planned]]+Tabelle13245689101112131415161715[[#This Row],[COsSP Pulled after Start]]-Tabelle13245689101112131415161715[[#This Row],[CSOsSP Completed]]-Tabelle13245689101112131415161715[[#This Row],[CSOsSP Removed]]</f>
        <v>0</v>
      </c>
    </row>
    <row r="85" spans="1:18" ht="13.5" hidden="1" customHeight="1">
      <c r="A85" s="202" t="s">
        <v>1049</v>
      </c>
      <c r="B85" s="202" t="s">
        <v>1050</v>
      </c>
      <c r="C85" s="203" t="s">
        <v>372</v>
      </c>
      <c r="D85" s="203">
        <v>1</v>
      </c>
      <c r="E85" s="203" t="s">
        <v>324</v>
      </c>
      <c r="F85" s="203">
        <v>3</v>
      </c>
      <c r="G85" s="203" t="s">
        <v>27</v>
      </c>
      <c r="H85" s="205" t="s">
        <v>209</v>
      </c>
      <c r="I85" s="202"/>
      <c r="J85" s="202"/>
      <c r="K85" s="203" t="s">
        <v>125</v>
      </c>
      <c r="L85" s="204"/>
      <c r="M85" s="204"/>
      <c r="N85" s="286">
        <f>IF(OR(Tabelle13245689101112131415161715[[#This Row],[Pulled after Start]]="yes",Tabelle13245689101112131415161715[[#This Row],[Jira Story Points]]="-"),0,MIN(Tabelle13245689101112131415161715[[#This Row],[Jira Story Points]],Tabelle13245689101112131415161715[[#This Row],[Carry-over]]))</f>
        <v>0</v>
      </c>
      <c r="O85" s="210">
        <f>SUM(IF(ISBLANK(Tabelle13245689101112131415161715[[#This Row],[Carry-over]]),Tabelle13245689101112131415161715[[#This Row],[Jira Story Points]],Tabelle13245689101112131415161715[[#This Row],[Carry-over]]),-Tabelle13245689101112131415161715[[#This Row],[COsSP Initially Planned]])</f>
        <v>3</v>
      </c>
      <c r="P8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85" s="210">
        <f>IF(Tabelle13245689101112131415161715[[#This Row],[Status]]=$J$5,Tabelle13245689101112131415161715[[#This Row],[COsSP Initially Planned]]+Tabelle13245689101112131415161715[[#This Row],[COsSP Pulled after Start]]-Tabelle13245689101112131415161715[[#This Row],[CSOsSP Completed]],0)</f>
        <v>0</v>
      </c>
      <c r="R85" s="210">
        <f>Tabelle13245689101112131415161715[[#This Row],[COsSP Initially Planned]]+Tabelle13245689101112131415161715[[#This Row],[COsSP Pulled after Start]]-Tabelle13245689101112131415161715[[#This Row],[CSOsSP Completed]]-Tabelle13245689101112131415161715[[#This Row],[CSOsSP Removed]]</f>
        <v>0</v>
      </c>
    </row>
    <row r="86" spans="1:18" ht="13.5" hidden="1" customHeight="1">
      <c r="A86" s="202" t="s">
        <v>380</v>
      </c>
      <c r="B86" s="202" t="s">
        <v>381</v>
      </c>
      <c r="C86" s="203" t="s">
        <v>382</v>
      </c>
      <c r="D86" s="203">
        <v>1</v>
      </c>
      <c r="E86" s="203" t="s">
        <v>330</v>
      </c>
      <c r="F86" s="203">
        <v>8</v>
      </c>
      <c r="G86" s="203" t="s">
        <v>27</v>
      </c>
      <c r="H86" s="205" t="s">
        <v>209</v>
      </c>
      <c r="I86" s="202"/>
      <c r="J86" s="202"/>
      <c r="K86" s="203" t="s">
        <v>127</v>
      </c>
      <c r="L86" s="204"/>
      <c r="M86" s="204">
        <v>2</v>
      </c>
      <c r="N86" s="286">
        <f>IF(OR(Tabelle13245689101112131415161715[[#This Row],[Pulled after Start]]="yes",Tabelle13245689101112131415161715[[#This Row],[Jira Story Points]]="-"),0,MIN(Tabelle13245689101112131415161715[[#This Row],[Jira Story Points]],Tabelle13245689101112131415161715[[#This Row],[Carry-over]]))</f>
        <v>0</v>
      </c>
      <c r="O86" s="210">
        <f>SUM(IF(ISBLANK(Tabelle13245689101112131415161715[[#This Row],[Carry-over]]),Tabelle13245689101112131415161715[[#This Row],[Jira Story Points]],Tabelle13245689101112131415161715[[#This Row],[Carry-over]]),-Tabelle13245689101112131415161715[[#This Row],[COsSP Initially Planned]])</f>
        <v>8</v>
      </c>
      <c r="P8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6</v>
      </c>
      <c r="Q86" s="210">
        <f>IF(Tabelle13245689101112131415161715[[#This Row],[Status]]=$J$5,Tabelle13245689101112131415161715[[#This Row],[COsSP Initially Planned]]+Tabelle13245689101112131415161715[[#This Row],[COsSP Pulled after Start]]-Tabelle13245689101112131415161715[[#This Row],[CSOsSP Completed]],0)</f>
        <v>0</v>
      </c>
      <c r="R86" s="210">
        <f>Tabelle13245689101112131415161715[[#This Row],[COsSP Initially Planned]]+Tabelle13245689101112131415161715[[#This Row],[COsSP Pulled after Start]]-Tabelle13245689101112131415161715[[#This Row],[CSOsSP Completed]]-Tabelle13245689101112131415161715[[#This Row],[CSOsSP Removed]]</f>
        <v>2</v>
      </c>
    </row>
    <row r="87" spans="1:18" ht="13.5" hidden="1" customHeight="1">
      <c r="A87" s="202" t="s">
        <v>1051</v>
      </c>
      <c r="B87" s="202" t="s">
        <v>1052</v>
      </c>
      <c r="C87" s="203" t="s">
        <v>382</v>
      </c>
      <c r="D87" s="203">
        <v>3</v>
      </c>
      <c r="E87" s="203" t="s">
        <v>324</v>
      </c>
      <c r="F87" s="203">
        <v>0</v>
      </c>
      <c r="G87" s="203" t="s">
        <v>27</v>
      </c>
      <c r="H87" s="202"/>
      <c r="I87" s="202"/>
      <c r="J87" s="202"/>
      <c r="K87" s="203" t="s">
        <v>125</v>
      </c>
      <c r="L87" s="204"/>
      <c r="M87" s="204"/>
      <c r="N87" s="286">
        <f>IF(OR(Tabelle13245689101112131415161715[[#This Row],[Pulled after Start]]="yes",Tabelle13245689101112131415161715[[#This Row],[Jira Story Points]]="-"),0,MIN(Tabelle13245689101112131415161715[[#This Row],[Jira Story Points]],Tabelle13245689101112131415161715[[#This Row],[Carry-over]]))</f>
        <v>0</v>
      </c>
      <c r="O87" s="210">
        <f>SUM(IF(ISBLANK(Tabelle13245689101112131415161715[[#This Row],[Carry-over]]),Tabelle13245689101112131415161715[[#This Row],[Jira Story Points]],Tabelle13245689101112131415161715[[#This Row],[Carry-over]]),-Tabelle13245689101112131415161715[[#This Row],[COsSP Initially Planned]])</f>
        <v>0</v>
      </c>
      <c r="P8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87" s="210">
        <f>IF(Tabelle13245689101112131415161715[[#This Row],[Status]]=$J$5,Tabelle13245689101112131415161715[[#This Row],[COsSP Initially Planned]]+Tabelle13245689101112131415161715[[#This Row],[COsSP Pulled after Start]]-Tabelle13245689101112131415161715[[#This Row],[CSOsSP Completed]],0)</f>
        <v>0</v>
      </c>
      <c r="R87" s="210">
        <f>Tabelle13245689101112131415161715[[#This Row],[COsSP Initially Planned]]+Tabelle13245689101112131415161715[[#This Row],[COsSP Pulled after Start]]-Tabelle13245689101112131415161715[[#This Row],[CSOsSP Completed]]-Tabelle13245689101112131415161715[[#This Row],[CSOsSP Removed]]</f>
        <v>0</v>
      </c>
    </row>
    <row r="88" spans="1:18" ht="13.5" hidden="1" customHeight="1">
      <c r="A88" s="202" t="s">
        <v>1053</v>
      </c>
      <c r="B88" s="202" t="s">
        <v>1054</v>
      </c>
      <c r="C88" s="203" t="s">
        <v>375</v>
      </c>
      <c r="D88" s="203">
        <v>1</v>
      </c>
      <c r="E88" s="203" t="s">
        <v>324</v>
      </c>
      <c r="F88" s="203">
        <v>1</v>
      </c>
      <c r="G88" s="203" t="s">
        <v>27</v>
      </c>
      <c r="H88" s="202"/>
      <c r="I88" s="202"/>
      <c r="J88" s="202"/>
      <c r="K88" s="203" t="s">
        <v>125</v>
      </c>
      <c r="L88" s="204"/>
      <c r="M88" s="204"/>
      <c r="N88" s="286">
        <f>IF(OR(Tabelle13245689101112131415161715[[#This Row],[Pulled after Start]]="yes",Tabelle13245689101112131415161715[[#This Row],[Jira Story Points]]="-"),0,MIN(Tabelle13245689101112131415161715[[#This Row],[Jira Story Points]],Tabelle13245689101112131415161715[[#This Row],[Carry-over]]))</f>
        <v>1</v>
      </c>
      <c r="O88" s="210">
        <f>SUM(IF(ISBLANK(Tabelle13245689101112131415161715[[#This Row],[Carry-over]]),Tabelle13245689101112131415161715[[#This Row],[Jira Story Points]],Tabelle13245689101112131415161715[[#This Row],[Carry-over]]),-Tabelle13245689101112131415161715[[#This Row],[COsSP Initially Planned]])</f>
        <v>0</v>
      </c>
      <c r="P8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88" s="210">
        <f>IF(Tabelle13245689101112131415161715[[#This Row],[Status]]=$J$5,Tabelle13245689101112131415161715[[#This Row],[COsSP Initially Planned]]+Tabelle13245689101112131415161715[[#This Row],[COsSP Pulled after Start]]-Tabelle13245689101112131415161715[[#This Row],[CSOsSP Completed]],0)</f>
        <v>0</v>
      </c>
      <c r="R88" s="210">
        <f>Tabelle13245689101112131415161715[[#This Row],[COsSP Initially Planned]]+Tabelle13245689101112131415161715[[#This Row],[COsSP Pulled after Start]]-Tabelle13245689101112131415161715[[#This Row],[CSOsSP Completed]]-Tabelle13245689101112131415161715[[#This Row],[CSOsSP Removed]]</f>
        <v>0</v>
      </c>
    </row>
    <row r="89" spans="1:18" ht="13.5" hidden="1" customHeight="1">
      <c r="A89" s="202" t="s">
        <v>1055</v>
      </c>
      <c r="B89" s="202" t="s">
        <v>1056</v>
      </c>
      <c r="C89" s="203" t="s">
        <v>375</v>
      </c>
      <c r="D89" s="203">
        <v>2</v>
      </c>
      <c r="E89" s="203" t="s">
        <v>324</v>
      </c>
      <c r="F89" s="203">
        <v>3</v>
      </c>
      <c r="G89" s="203" t="s">
        <v>27</v>
      </c>
      <c r="H89" s="205" t="s">
        <v>209</v>
      </c>
      <c r="I89" s="202"/>
      <c r="J89" s="202"/>
      <c r="K89" s="203" t="s">
        <v>125</v>
      </c>
      <c r="L89" s="204"/>
      <c r="M89" s="204"/>
      <c r="N89" s="286">
        <f>IF(OR(Tabelle13245689101112131415161715[[#This Row],[Pulled after Start]]="yes",Tabelle13245689101112131415161715[[#This Row],[Jira Story Points]]="-"),0,MIN(Tabelle13245689101112131415161715[[#This Row],[Jira Story Points]],Tabelle13245689101112131415161715[[#This Row],[Carry-over]]))</f>
        <v>0</v>
      </c>
      <c r="O89" s="210">
        <f>SUM(IF(ISBLANK(Tabelle13245689101112131415161715[[#This Row],[Carry-over]]),Tabelle13245689101112131415161715[[#This Row],[Jira Story Points]],Tabelle13245689101112131415161715[[#This Row],[Carry-over]]),-Tabelle13245689101112131415161715[[#This Row],[COsSP Initially Planned]])</f>
        <v>3</v>
      </c>
      <c r="P8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89" s="210">
        <f>IF(Tabelle13245689101112131415161715[[#This Row],[Status]]=$J$5,Tabelle13245689101112131415161715[[#This Row],[COsSP Initially Planned]]+Tabelle13245689101112131415161715[[#This Row],[COsSP Pulled after Start]]-Tabelle13245689101112131415161715[[#This Row],[CSOsSP Completed]],0)</f>
        <v>0</v>
      </c>
      <c r="R89" s="210">
        <f>Tabelle13245689101112131415161715[[#This Row],[COsSP Initially Planned]]+Tabelle13245689101112131415161715[[#This Row],[COsSP Pulled after Start]]-Tabelle13245689101112131415161715[[#This Row],[CSOsSP Completed]]-Tabelle13245689101112131415161715[[#This Row],[CSOsSP Removed]]</f>
        <v>0</v>
      </c>
    </row>
    <row r="90" spans="1:18" ht="13.5" hidden="1" customHeight="1">
      <c r="A90" s="202" t="s">
        <v>1057</v>
      </c>
      <c r="B90" s="202" t="s">
        <v>1058</v>
      </c>
      <c r="C90" s="203" t="s">
        <v>372</v>
      </c>
      <c r="D90" s="203">
        <v>3</v>
      </c>
      <c r="E90" s="203" t="s">
        <v>324</v>
      </c>
      <c r="F90" s="203">
        <v>13</v>
      </c>
      <c r="G90" s="203" t="s">
        <v>27</v>
      </c>
      <c r="H90" s="202"/>
      <c r="I90" s="202"/>
      <c r="J90" s="202"/>
      <c r="K90" s="203" t="s">
        <v>125</v>
      </c>
      <c r="L90" s="204"/>
      <c r="M90" s="204"/>
      <c r="N90" s="286">
        <f>IF(OR(Tabelle13245689101112131415161715[[#This Row],[Pulled after Start]]="yes",Tabelle13245689101112131415161715[[#This Row],[Jira Story Points]]="-"),0,MIN(Tabelle13245689101112131415161715[[#This Row],[Jira Story Points]],Tabelle13245689101112131415161715[[#This Row],[Carry-over]]))</f>
        <v>13</v>
      </c>
      <c r="O90" s="210">
        <f>SUM(IF(ISBLANK(Tabelle13245689101112131415161715[[#This Row],[Carry-over]]),Tabelle13245689101112131415161715[[#This Row],[Jira Story Points]],Tabelle13245689101112131415161715[[#This Row],[Carry-over]]),-Tabelle13245689101112131415161715[[#This Row],[COsSP Initially Planned]])</f>
        <v>0</v>
      </c>
      <c r="P9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13</v>
      </c>
      <c r="Q90" s="210">
        <f>IF(Tabelle13245689101112131415161715[[#This Row],[Status]]=$J$5,Tabelle13245689101112131415161715[[#This Row],[COsSP Initially Planned]]+Tabelle13245689101112131415161715[[#This Row],[COsSP Pulled after Start]]-Tabelle13245689101112131415161715[[#This Row],[CSOsSP Completed]],0)</f>
        <v>0</v>
      </c>
      <c r="R90" s="210">
        <f>Tabelle13245689101112131415161715[[#This Row],[COsSP Initially Planned]]+Tabelle13245689101112131415161715[[#This Row],[COsSP Pulled after Start]]-Tabelle13245689101112131415161715[[#This Row],[CSOsSP Completed]]-Tabelle13245689101112131415161715[[#This Row],[CSOsSP Removed]]</f>
        <v>0</v>
      </c>
    </row>
    <row r="91" spans="1:18" ht="13.5" hidden="1" customHeight="1">
      <c r="A91" s="202" t="s">
        <v>1059</v>
      </c>
      <c r="B91" s="202" t="s">
        <v>1060</v>
      </c>
      <c r="C91" s="203" t="s">
        <v>372</v>
      </c>
      <c r="D91" s="203">
        <v>3</v>
      </c>
      <c r="E91" s="203" t="s">
        <v>324</v>
      </c>
      <c r="F91" s="203">
        <v>8</v>
      </c>
      <c r="G91" s="203" t="s">
        <v>27</v>
      </c>
      <c r="H91" s="205" t="s">
        <v>209</v>
      </c>
      <c r="I91" s="202"/>
      <c r="J91" s="202"/>
      <c r="K91" s="203" t="s">
        <v>125</v>
      </c>
      <c r="L91" s="204"/>
      <c r="M91" s="204"/>
      <c r="N91" s="286">
        <f>IF(OR(Tabelle13245689101112131415161715[[#This Row],[Pulled after Start]]="yes",Tabelle13245689101112131415161715[[#This Row],[Jira Story Points]]="-"),0,MIN(Tabelle13245689101112131415161715[[#This Row],[Jira Story Points]],Tabelle13245689101112131415161715[[#This Row],[Carry-over]]))</f>
        <v>0</v>
      </c>
      <c r="O91" s="210">
        <f>SUM(IF(ISBLANK(Tabelle13245689101112131415161715[[#This Row],[Carry-over]]),Tabelle13245689101112131415161715[[#This Row],[Jira Story Points]],Tabelle13245689101112131415161715[[#This Row],[Carry-over]]),-Tabelle13245689101112131415161715[[#This Row],[COsSP Initially Planned]])</f>
        <v>8</v>
      </c>
      <c r="P91"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8</v>
      </c>
      <c r="Q91" s="210">
        <f>IF(Tabelle13245689101112131415161715[[#This Row],[Status]]=$J$5,Tabelle13245689101112131415161715[[#This Row],[COsSP Initially Planned]]+Tabelle13245689101112131415161715[[#This Row],[COsSP Pulled after Start]]-Tabelle13245689101112131415161715[[#This Row],[CSOsSP Completed]],0)</f>
        <v>0</v>
      </c>
      <c r="R91" s="210">
        <f>Tabelle13245689101112131415161715[[#This Row],[COsSP Initially Planned]]+Tabelle13245689101112131415161715[[#This Row],[COsSP Pulled after Start]]-Tabelle13245689101112131415161715[[#This Row],[CSOsSP Completed]]-Tabelle13245689101112131415161715[[#This Row],[CSOsSP Removed]]</f>
        <v>0</v>
      </c>
    </row>
    <row r="92" spans="1:18" ht="13.5" hidden="1" customHeight="1">
      <c r="A92" s="202" t="s">
        <v>378</v>
      </c>
      <c r="B92" s="202" t="s">
        <v>379</v>
      </c>
      <c r="C92" s="203" t="s">
        <v>372</v>
      </c>
      <c r="D92" s="203">
        <v>3</v>
      </c>
      <c r="E92" s="203" t="s">
        <v>327</v>
      </c>
      <c r="F92" s="203">
        <v>8</v>
      </c>
      <c r="G92" s="203" t="s">
        <v>27</v>
      </c>
      <c r="H92" s="205" t="s">
        <v>209</v>
      </c>
      <c r="I92" s="202"/>
      <c r="J92" s="202"/>
      <c r="K92" s="203" t="s">
        <v>127</v>
      </c>
      <c r="L92" s="204"/>
      <c r="M92" s="204">
        <v>3</v>
      </c>
      <c r="N92" s="286">
        <f>IF(OR(Tabelle13245689101112131415161715[[#This Row],[Pulled after Start]]="yes",Tabelle13245689101112131415161715[[#This Row],[Jira Story Points]]="-"),0,MIN(Tabelle13245689101112131415161715[[#This Row],[Jira Story Points]],Tabelle13245689101112131415161715[[#This Row],[Carry-over]]))</f>
        <v>0</v>
      </c>
      <c r="O92" s="210">
        <f>SUM(IF(ISBLANK(Tabelle13245689101112131415161715[[#This Row],[Carry-over]]),Tabelle13245689101112131415161715[[#This Row],[Jira Story Points]],Tabelle13245689101112131415161715[[#This Row],[Carry-over]]),-Tabelle13245689101112131415161715[[#This Row],[COsSP Initially Planned]])</f>
        <v>8</v>
      </c>
      <c r="P9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92" s="210">
        <f>IF(Tabelle13245689101112131415161715[[#This Row],[Status]]=$J$5,Tabelle13245689101112131415161715[[#This Row],[COsSP Initially Planned]]+Tabelle13245689101112131415161715[[#This Row],[COsSP Pulled after Start]]-Tabelle13245689101112131415161715[[#This Row],[CSOsSP Completed]],0)</f>
        <v>0</v>
      </c>
      <c r="R92" s="210">
        <f>Tabelle13245689101112131415161715[[#This Row],[COsSP Initially Planned]]+Tabelle13245689101112131415161715[[#This Row],[COsSP Pulled after Start]]-Tabelle13245689101112131415161715[[#This Row],[CSOsSP Completed]]-Tabelle13245689101112131415161715[[#This Row],[CSOsSP Removed]]</f>
        <v>3</v>
      </c>
    </row>
    <row r="93" spans="1:18" ht="13.5" hidden="1" customHeight="1">
      <c r="A93" s="202" t="s">
        <v>1061</v>
      </c>
      <c r="B93" s="202" t="s">
        <v>1062</v>
      </c>
      <c r="C93" s="203" t="s">
        <v>372</v>
      </c>
      <c r="D93" s="203">
        <v>3</v>
      </c>
      <c r="E93" s="203" t="s">
        <v>324</v>
      </c>
      <c r="F93" s="203">
        <v>3</v>
      </c>
      <c r="G93" s="203" t="s">
        <v>27</v>
      </c>
      <c r="H93" s="205" t="s">
        <v>209</v>
      </c>
      <c r="I93" s="202"/>
      <c r="J93" s="202"/>
      <c r="K93" s="203" t="s">
        <v>125</v>
      </c>
      <c r="L93" s="204"/>
      <c r="M93" s="204"/>
      <c r="N93" s="286">
        <f>IF(OR(Tabelle13245689101112131415161715[[#This Row],[Pulled after Start]]="yes",Tabelle13245689101112131415161715[[#This Row],[Jira Story Points]]="-"),0,MIN(Tabelle13245689101112131415161715[[#This Row],[Jira Story Points]],Tabelle13245689101112131415161715[[#This Row],[Carry-over]]))</f>
        <v>0</v>
      </c>
      <c r="O93" s="210">
        <f>SUM(IF(ISBLANK(Tabelle13245689101112131415161715[[#This Row],[Carry-over]]),Tabelle13245689101112131415161715[[#This Row],[Jira Story Points]],Tabelle13245689101112131415161715[[#This Row],[Carry-over]]),-Tabelle13245689101112131415161715[[#This Row],[COsSP Initially Planned]])</f>
        <v>3</v>
      </c>
      <c r="P9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93" s="210">
        <f>IF(Tabelle13245689101112131415161715[[#This Row],[Status]]=$J$5,Tabelle13245689101112131415161715[[#This Row],[COsSP Initially Planned]]+Tabelle13245689101112131415161715[[#This Row],[COsSP Pulled after Start]]-Tabelle13245689101112131415161715[[#This Row],[CSOsSP Completed]],0)</f>
        <v>0</v>
      </c>
      <c r="R93" s="210">
        <f>Tabelle13245689101112131415161715[[#This Row],[COsSP Initially Planned]]+Tabelle13245689101112131415161715[[#This Row],[COsSP Pulled after Start]]-Tabelle13245689101112131415161715[[#This Row],[CSOsSP Completed]]-Tabelle13245689101112131415161715[[#This Row],[CSOsSP Removed]]</f>
        <v>0</v>
      </c>
    </row>
    <row r="94" spans="1:18" ht="13.5" hidden="1" customHeight="1">
      <c r="A94" s="202" t="s">
        <v>1063</v>
      </c>
      <c r="B94" s="202" t="s">
        <v>1064</v>
      </c>
      <c r="C94" s="203" t="s">
        <v>372</v>
      </c>
      <c r="D94" s="203">
        <v>3</v>
      </c>
      <c r="E94" s="203" t="s">
        <v>324</v>
      </c>
      <c r="F94" s="203">
        <v>3</v>
      </c>
      <c r="G94" s="203" t="s">
        <v>27</v>
      </c>
      <c r="H94" s="205" t="s">
        <v>209</v>
      </c>
      <c r="I94" s="202"/>
      <c r="J94" s="202"/>
      <c r="K94" s="203" t="s">
        <v>125</v>
      </c>
      <c r="L94" s="204"/>
      <c r="M94" s="204"/>
      <c r="N94" s="286">
        <f>IF(OR(Tabelle13245689101112131415161715[[#This Row],[Pulled after Start]]="yes",Tabelle13245689101112131415161715[[#This Row],[Jira Story Points]]="-"),0,MIN(Tabelle13245689101112131415161715[[#This Row],[Jira Story Points]],Tabelle13245689101112131415161715[[#This Row],[Carry-over]]))</f>
        <v>0</v>
      </c>
      <c r="O94" s="210">
        <f>SUM(IF(ISBLANK(Tabelle13245689101112131415161715[[#This Row],[Carry-over]]),Tabelle13245689101112131415161715[[#This Row],[Jira Story Points]],Tabelle13245689101112131415161715[[#This Row],[Carry-over]]),-Tabelle13245689101112131415161715[[#This Row],[COsSP Initially Planned]])</f>
        <v>3</v>
      </c>
      <c r="P9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94" s="210">
        <f>IF(Tabelle13245689101112131415161715[[#This Row],[Status]]=$J$5,Tabelle13245689101112131415161715[[#This Row],[COsSP Initially Planned]]+Tabelle13245689101112131415161715[[#This Row],[COsSP Pulled after Start]]-Tabelle13245689101112131415161715[[#This Row],[CSOsSP Completed]],0)</f>
        <v>0</v>
      </c>
      <c r="R94" s="210">
        <f>Tabelle13245689101112131415161715[[#This Row],[COsSP Initially Planned]]+Tabelle13245689101112131415161715[[#This Row],[COsSP Pulled after Start]]-Tabelle13245689101112131415161715[[#This Row],[CSOsSP Completed]]-Tabelle13245689101112131415161715[[#This Row],[CSOsSP Removed]]</f>
        <v>0</v>
      </c>
    </row>
    <row r="95" spans="1:18" ht="13.5" hidden="1" customHeight="1">
      <c r="A95" s="202" t="s">
        <v>1065</v>
      </c>
      <c r="B95" s="202" t="s">
        <v>1066</v>
      </c>
      <c r="C95" s="203" t="s">
        <v>372</v>
      </c>
      <c r="D95" s="203">
        <v>3</v>
      </c>
      <c r="E95" s="203" t="s">
        <v>324</v>
      </c>
      <c r="F95" s="203">
        <v>5</v>
      </c>
      <c r="G95" s="203" t="s">
        <v>27</v>
      </c>
      <c r="H95" s="202"/>
      <c r="I95" s="202"/>
      <c r="J95" s="202"/>
      <c r="K95" s="203" t="s">
        <v>125</v>
      </c>
      <c r="L95" s="204"/>
      <c r="M95" s="204"/>
      <c r="N95" s="286">
        <f>IF(OR(Tabelle13245689101112131415161715[[#This Row],[Pulled after Start]]="yes",Tabelle13245689101112131415161715[[#This Row],[Jira Story Points]]="-"),0,MIN(Tabelle13245689101112131415161715[[#This Row],[Jira Story Points]],Tabelle13245689101112131415161715[[#This Row],[Carry-over]]))</f>
        <v>5</v>
      </c>
      <c r="O95" s="210">
        <f>SUM(IF(ISBLANK(Tabelle13245689101112131415161715[[#This Row],[Carry-over]]),Tabelle13245689101112131415161715[[#This Row],[Jira Story Points]],Tabelle13245689101112131415161715[[#This Row],[Carry-over]]),-Tabelle13245689101112131415161715[[#This Row],[COsSP Initially Planned]])</f>
        <v>0</v>
      </c>
      <c r="P9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95" s="210">
        <f>IF(Tabelle13245689101112131415161715[[#This Row],[Status]]=$J$5,Tabelle13245689101112131415161715[[#This Row],[COsSP Initially Planned]]+Tabelle13245689101112131415161715[[#This Row],[COsSP Pulled after Start]]-Tabelle13245689101112131415161715[[#This Row],[CSOsSP Completed]],0)</f>
        <v>0</v>
      </c>
      <c r="R95" s="210">
        <f>Tabelle13245689101112131415161715[[#This Row],[COsSP Initially Planned]]+Tabelle13245689101112131415161715[[#This Row],[COsSP Pulled after Start]]-Tabelle13245689101112131415161715[[#This Row],[CSOsSP Completed]]-Tabelle13245689101112131415161715[[#This Row],[CSOsSP Removed]]</f>
        <v>0</v>
      </c>
    </row>
    <row r="96" spans="1:18" ht="13.5" hidden="1" customHeight="1">
      <c r="A96" s="202" t="s">
        <v>1067</v>
      </c>
      <c r="B96" s="202" t="s">
        <v>1068</v>
      </c>
      <c r="C96" s="203" t="s">
        <v>375</v>
      </c>
      <c r="D96" s="203">
        <v>3</v>
      </c>
      <c r="E96" s="203" t="s">
        <v>324</v>
      </c>
      <c r="F96" s="203">
        <v>2</v>
      </c>
      <c r="G96" s="203" t="s">
        <v>27</v>
      </c>
      <c r="H96" s="202"/>
      <c r="I96" s="202"/>
      <c r="J96" s="202"/>
      <c r="K96" s="203" t="s">
        <v>125</v>
      </c>
      <c r="L96" s="204"/>
      <c r="M96" s="204"/>
      <c r="N96" s="286">
        <f>IF(OR(Tabelle13245689101112131415161715[[#This Row],[Pulled after Start]]="yes",Tabelle13245689101112131415161715[[#This Row],[Jira Story Points]]="-"),0,MIN(Tabelle13245689101112131415161715[[#This Row],[Jira Story Points]],Tabelle13245689101112131415161715[[#This Row],[Carry-over]]))</f>
        <v>2</v>
      </c>
      <c r="O96" s="210">
        <f>SUM(IF(ISBLANK(Tabelle13245689101112131415161715[[#This Row],[Carry-over]]),Tabelle13245689101112131415161715[[#This Row],[Jira Story Points]],Tabelle13245689101112131415161715[[#This Row],[Carry-over]]),-Tabelle13245689101112131415161715[[#This Row],[COsSP Initially Planned]])</f>
        <v>0</v>
      </c>
      <c r="P9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96" s="210">
        <f>IF(Tabelle13245689101112131415161715[[#This Row],[Status]]=$J$5,Tabelle13245689101112131415161715[[#This Row],[COsSP Initially Planned]]+Tabelle13245689101112131415161715[[#This Row],[COsSP Pulled after Start]]-Tabelle13245689101112131415161715[[#This Row],[CSOsSP Completed]],0)</f>
        <v>0</v>
      </c>
      <c r="R96" s="210">
        <f>Tabelle13245689101112131415161715[[#This Row],[COsSP Initially Planned]]+Tabelle13245689101112131415161715[[#This Row],[COsSP Pulled after Start]]-Tabelle13245689101112131415161715[[#This Row],[CSOsSP Completed]]-Tabelle13245689101112131415161715[[#This Row],[CSOsSP Removed]]</f>
        <v>0</v>
      </c>
    </row>
    <row r="97" spans="1:18" ht="13.5" hidden="1" customHeight="1">
      <c r="A97" s="202" t="s">
        <v>1069</v>
      </c>
      <c r="B97" s="202" t="s">
        <v>1070</v>
      </c>
      <c r="C97" s="203" t="s">
        <v>372</v>
      </c>
      <c r="D97" s="203">
        <v>3</v>
      </c>
      <c r="E97" s="203" t="s">
        <v>324</v>
      </c>
      <c r="F97" s="203">
        <v>1</v>
      </c>
      <c r="G97" s="203" t="s">
        <v>27</v>
      </c>
      <c r="H97" s="202"/>
      <c r="I97" s="202"/>
      <c r="J97" s="202"/>
      <c r="K97" s="203" t="s">
        <v>125</v>
      </c>
      <c r="L97" s="204"/>
      <c r="M97" s="204"/>
      <c r="N97" s="286">
        <f>IF(OR(Tabelle13245689101112131415161715[[#This Row],[Pulled after Start]]="yes",Tabelle13245689101112131415161715[[#This Row],[Jira Story Points]]="-"),0,MIN(Tabelle13245689101112131415161715[[#This Row],[Jira Story Points]],Tabelle13245689101112131415161715[[#This Row],[Carry-over]]))</f>
        <v>1</v>
      </c>
      <c r="O97" s="210">
        <f>SUM(IF(ISBLANK(Tabelle13245689101112131415161715[[#This Row],[Carry-over]]),Tabelle13245689101112131415161715[[#This Row],[Jira Story Points]],Tabelle13245689101112131415161715[[#This Row],[Carry-over]]),-Tabelle13245689101112131415161715[[#This Row],[COsSP Initially Planned]])</f>
        <v>0</v>
      </c>
      <c r="P9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97" s="210">
        <f>IF(Tabelle13245689101112131415161715[[#This Row],[Status]]=$J$5,Tabelle13245689101112131415161715[[#This Row],[COsSP Initially Planned]]+Tabelle13245689101112131415161715[[#This Row],[COsSP Pulled after Start]]-Tabelle13245689101112131415161715[[#This Row],[CSOsSP Completed]],0)</f>
        <v>0</v>
      </c>
      <c r="R97" s="210">
        <f>Tabelle13245689101112131415161715[[#This Row],[COsSP Initially Planned]]+Tabelle13245689101112131415161715[[#This Row],[COsSP Pulled after Start]]-Tabelle13245689101112131415161715[[#This Row],[CSOsSP Completed]]-Tabelle13245689101112131415161715[[#This Row],[CSOsSP Removed]]</f>
        <v>0</v>
      </c>
    </row>
    <row r="98" spans="1:18" ht="13.5" hidden="1" customHeight="1">
      <c r="A98" s="202" t="s">
        <v>1071</v>
      </c>
      <c r="B98" s="202" t="s">
        <v>1072</v>
      </c>
      <c r="C98" s="203" t="s">
        <v>382</v>
      </c>
      <c r="D98" s="203">
        <v>3</v>
      </c>
      <c r="E98" s="203" t="s">
        <v>324</v>
      </c>
      <c r="F98" s="203">
        <v>1</v>
      </c>
      <c r="G98" s="203" t="s">
        <v>27</v>
      </c>
      <c r="H98" s="202"/>
      <c r="I98" s="202"/>
      <c r="J98" s="202"/>
      <c r="K98" s="203" t="s">
        <v>125</v>
      </c>
      <c r="L98" s="204"/>
      <c r="M98" s="204"/>
      <c r="N98" s="286">
        <f>IF(OR(Tabelle13245689101112131415161715[[#This Row],[Pulled after Start]]="yes",Tabelle13245689101112131415161715[[#This Row],[Jira Story Points]]="-"),0,MIN(Tabelle13245689101112131415161715[[#This Row],[Jira Story Points]],Tabelle13245689101112131415161715[[#This Row],[Carry-over]]))</f>
        <v>1</v>
      </c>
      <c r="O98" s="210">
        <f>SUM(IF(ISBLANK(Tabelle13245689101112131415161715[[#This Row],[Carry-over]]),Tabelle13245689101112131415161715[[#This Row],[Jira Story Points]],Tabelle13245689101112131415161715[[#This Row],[Carry-over]]),-Tabelle13245689101112131415161715[[#This Row],[COsSP Initially Planned]])</f>
        <v>0</v>
      </c>
      <c r="P9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98" s="210">
        <f>IF(Tabelle13245689101112131415161715[[#This Row],[Status]]=$J$5,Tabelle13245689101112131415161715[[#This Row],[COsSP Initially Planned]]+Tabelle13245689101112131415161715[[#This Row],[COsSP Pulled after Start]]-Tabelle13245689101112131415161715[[#This Row],[CSOsSP Completed]],0)</f>
        <v>0</v>
      </c>
      <c r="R98" s="210">
        <f>Tabelle13245689101112131415161715[[#This Row],[COsSP Initially Planned]]+Tabelle13245689101112131415161715[[#This Row],[COsSP Pulled after Start]]-Tabelle13245689101112131415161715[[#This Row],[CSOsSP Completed]]-Tabelle13245689101112131415161715[[#This Row],[CSOsSP Removed]]</f>
        <v>0</v>
      </c>
    </row>
    <row r="99" spans="1:18" ht="13.5" hidden="1" customHeight="1">
      <c r="A99" s="202" t="s">
        <v>1073</v>
      </c>
      <c r="B99" s="202" t="s">
        <v>1074</v>
      </c>
      <c r="C99" s="203" t="s">
        <v>372</v>
      </c>
      <c r="D99" s="203">
        <v>3</v>
      </c>
      <c r="E99" s="203" t="s">
        <v>324</v>
      </c>
      <c r="F99" s="203">
        <v>3</v>
      </c>
      <c r="G99" s="203" t="s">
        <v>27</v>
      </c>
      <c r="H99" s="202"/>
      <c r="I99" s="202"/>
      <c r="J99" s="202"/>
      <c r="K99" s="203" t="s">
        <v>125</v>
      </c>
      <c r="L99" s="204"/>
      <c r="M99" s="204"/>
      <c r="N99" s="286">
        <f>IF(OR(Tabelle13245689101112131415161715[[#This Row],[Pulled after Start]]="yes",Tabelle13245689101112131415161715[[#This Row],[Jira Story Points]]="-"),0,MIN(Tabelle13245689101112131415161715[[#This Row],[Jira Story Points]],Tabelle13245689101112131415161715[[#This Row],[Carry-over]]))</f>
        <v>3</v>
      </c>
      <c r="O99" s="210">
        <f>SUM(IF(ISBLANK(Tabelle13245689101112131415161715[[#This Row],[Carry-over]]),Tabelle13245689101112131415161715[[#This Row],[Jira Story Points]],Tabelle13245689101112131415161715[[#This Row],[Carry-over]]),-Tabelle13245689101112131415161715[[#This Row],[COsSP Initially Planned]])</f>
        <v>0</v>
      </c>
      <c r="P9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99" s="210">
        <f>IF(Tabelle13245689101112131415161715[[#This Row],[Status]]=$J$5,Tabelle13245689101112131415161715[[#This Row],[COsSP Initially Planned]]+Tabelle13245689101112131415161715[[#This Row],[COsSP Pulled after Start]]-Tabelle13245689101112131415161715[[#This Row],[CSOsSP Completed]],0)</f>
        <v>0</v>
      </c>
      <c r="R99" s="210">
        <f>Tabelle13245689101112131415161715[[#This Row],[COsSP Initially Planned]]+Tabelle13245689101112131415161715[[#This Row],[COsSP Pulled after Start]]-Tabelle13245689101112131415161715[[#This Row],[CSOsSP Completed]]-Tabelle13245689101112131415161715[[#This Row],[CSOsSP Removed]]</f>
        <v>0</v>
      </c>
    </row>
    <row r="100" spans="1:18" ht="13.5" hidden="1" customHeight="1">
      <c r="A100" s="202" t="s">
        <v>1075</v>
      </c>
      <c r="B100" s="202" t="s">
        <v>1076</v>
      </c>
      <c r="C100" s="203" t="s">
        <v>372</v>
      </c>
      <c r="D100" s="203">
        <v>3</v>
      </c>
      <c r="E100" s="203" t="s">
        <v>324</v>
      </c>
      <c r="F100" s="203">
        <v>3</v>
      </c>
      <c r="G100" s="203" t="s">
        <v>27</v>
      </c>
      <c r="H100" s="202"/>
      <c r="I100" s="202"/>
      <c r="J100" s="202"/>
      <c r="K100" s="203" t="s">
        <v>125</v>
      </c>
      <c r="L100" s="204"/>
      <c r="M100" s="204"/>
      <c r="N100" s="286">
        <f>IF(OR(Tabelle13245689101112131415161715[[#This Row],[Pulled after Start]]="yes",Tabelle13245689101112131415161715[[#This Row],[Jira Story Points]]="-"),0,MIN(Tabelle13245689101112131415161715[[#This Row],[Jira Story Points]],Tabelle13245689101112131415161715[[#This Row],[Carry-over]]))</f>
        <v>3</v>
      </c>
      <c r="O100" s="210">
        <f>SUM(IF(ISBLANK(Tabelle13245689101112131415161715[[#This Row],[Carry-over]]),Tabelle13245689101112131415161715[[#This Row],[Jira Story Points]],Tabelle13245689101112131415161715[[#This Row],[Carry-over]]),-Tabelle13245689101112131415161715[[#This Row],[COsSP Initially Planned]])</f>
        <v>0</v>
      </c>
      <c r="P10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00" s="210">
        <f>IF(Tabelle13245689101112131415161715[[#This Row],[Status]]=$J$5,Tabelle13245689101112131415161715[[#This Row],[COsSP Initially Planned]]+Tabelle13245689101112131415161715[[#This Row],[COsSP Pulled after Start]]-Tabelle13245689101112131415161715[[#This Row],[CSOsSP Completed]],0)</f>
        <v>0</v>
      </c>
      <c r="R100" s="210">
        <f>Tabelle13245689101112131415161715[[#This Row],[COsSP Initially Planned]]+Tabelle13245689101112131415161715[[#This Row],[COsSP Pulled after Start]]-Tabelle13245689101112131415161715[[#This Row],[CSOsSP Completed]]-Tabelle13245689101112131415161715[[#This Row],[CSOsSP Removed]]</f>
        <v>0</v>
      </c>
    </row>
    <row r="101" spans="1:18" ht="13.5" hidden="1" customHeight="1">
      <c r="A101" s="202" t="s">
        <v>1077</v>
      </c>
      <c r="B101" s="202" t="s">
        <v>1078</v>
      </c>
      <c r="C101" s="203" t="s">
        <v>372</v>
      </c>
      <c r="D101" s="203">
        <v>3</v>
      </c>
      <c r="E101" s="203" t="s">
        <v>324</v>
      </c>
      <c r="F101" s="203">
        <v>3</v>
      </c>
      <c r="G101" s="203" t="s">
        <v>27</v>
      </c>
      <c r="H101" s="202"/>
      <c r="I101" s="202"/>
      <c r="J101" s="202"/>
      <c r="K101" s="203" t="s">
        <v>125</v>
      </c>
      <c r="L101" s="204"/>
      <c r="M101" s="204"/>
      <c r="N101" s="286">
        <f>IF(OR(Tabelle13245689101112131415161715[[#This Row],[Pulled after Start]]="yes",Tabelle13245689101112131415161715[[#This Row],[Jira Story Points]]="-"),0,MIN(Tabelle13245689101112131415161715[[#This Row],[Jira Story Points]],Tabelle13245689101112131415161715[[#This Row],[Carry-over]]))</f>
        <v>3</v>
      </c>
      <c r="O101" s="210">
        <f>SUM(IF(ISBLANK(Tabelle13245689101112131415161715[[#This Row],[Carry-over]]),Tabelle13245689101112131415161715[[#This Row],[Jira Story Points]],Tabelle13245689101112131415161715[[#This Row],[Carry-over]]),-Tabelle13245689101112131415161715[[#This Row],[COsSP Initially Planned]])</f>
        <v>0</v>
      </c>
      <c r="P101"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01" s="210">
        <f>IF(Tabelle13245689101112131415161715[[#This Row],[Status]]=$J$5,Tabelle13245689101112131415161715[[#This Row],[COsSP Initially Planned]]+Tabelle13245689101112131415161715[[#This Row],[COsSP Pulled after Start]]-Tabelle13245689101112131415161715[[#This Row],[CSOsSP Completed]],0)</f>
        <v>0</v>
      </c>
      <c r="R101" s="210">
        <f>Tabelle13245689101112131415161715[[#This Row],[COsSP Initially Planned]]+Tabelle13245689101112131415161715[[#This Row],[COsSP Pulled after Start]]-Tabelle13245689101112131415161715[[#This Row],[CSOsSP Completed]]-Tabelle13245689101112131415161715[[#This Row],[CSOsSP Removed]]</f>
        <v>0</v>
      </c>
    </row>
    <row r="102" spans="1:18" ht="13.5" hidden="1" customHeight="1">
      <c r="A102" s="202" t="s">
        <v>1079</v>
      </c>
      <c r="B102" s="202" t="s">
        <v>1080</v>
      </c>
      <c r="C102" s="203" t="s">
        <v>372</v>
      </c>
      <c r="D102" s="203">
        <v>3</v>
      </c>
      <c r="E102" s="203" t="s">
        <v>324</v>
      </c>
      <c r="F102" s="203">
        <v>2</v>
      </c>
      <c r="G102" s="203" t="s">
        <v>27</v>
      </c>
      <c r="H102" s="202"/>
      <c r="I102" s="202"/>
      <c r="J102" s="202"/>
      <c r="K102" s="203" t="s">
        <v>125</v>
      </c>
      <c r="L102" s="204"/>
      <c r="M102" s="204"/>
      <c r="N102" s="286">
        <f>IF(OR(Tabelle13245689101112131415161715[[#This Row],[Pulled after Start]]="yes",Tabelle13245689101112131415161715[[#This Row],[Jira Story Points]]="-"),0,MIN(Tabelle13245689101112131415161715[[#This Row],[Jira Story Points]],Tabelle13245689101112131415161715[[#This Row],[Carry-over]]))</f>
        <v>2</v>
      </c>
      <c r="O102" s="210">
        <f>SUM(IF(ISBLANK(Tabelle13245689101112131415161715[[#This Row],[Carry-over]]),Tabelle13245689101112131415161715[[#This Row],[Jira Story Points]],Tabelle13245689101112131415161715[[#This Row],[Carry-over]]),-Tabelle13245689101112131415161715[[#This Row],[COsSP Initially Planned]])</f>
        <v>0</v>
      </c>
      <c r="P10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02" s="210">
        <f>IF(Tabelle13245689101112131415161715[[#This Row],[Status]]=$J$5,Tabelle13245689101112131415161715[[#This Row],[COsSP Initially Planned]]+Tabelle13245689101112131415161715[[#This Row],[COsSP Pulled after Start]]-Tabelle13245689101112131415161715[[#This Row],[CSOsSP Completed]],0)</f>
        <v>0</v>
      </c>
      <c r="R102" s="210">
        <f>Tabelle13245689101112131415161715[[#This Row],[COsSP Initially Planned]]+Tabelle13245689101112131415161715[[#This Row],[COsSP Pulled after Start]]-Tabelle13245689101112131415161715[[#This Row],[CSOsSP Completed]]-Tabelle13245689101112131415161715[[#This Row],[CSOsSP Removed]]</f>
        <v>0</v>
      </c>
    </row>
    <row r="103" spans="1:18" ht="13.5" hidden="1" customHeight="1">
      <c r="A103" s="202" t="s">
        <v>1081</v>
      </c>
      <c r="B103" s="202" t="s">
        <v>1082</v>
      </c>
      <c r="C103" s="203" t="s">
        <v>375</v>
      </c>
      <c r="D103" s="203">
        <v>4</v>
      </c>
      <c r="E103" s="203" t="s">
        <v>324</v>
      </c>
      <c r="F103" s="203">
        <v>2</v>
      </c>
      <c r="G103" s="203" t="s">
        <v>27</v>
      </c>
      <c r="H103" s="202"/>
      <c r="I103" s="202"/>
      <c r="J103" s="202"/>
      <c r="K103" s="203" t="s">
        <v>125</v>
      </c>
      <c r="L103" s="204"/>
      <c r="M103" s="204"/>
      <c r="N103" s="286">
        <f>IF(OR(Tabelle13245689101112131415161715[[#This Row],[Pulled after Start]]="yes",Tabelle13245689101112131415161715[[#This Row],[Jira Story Points]]="-"),0,MIN(Tabelle13245689101112131415161715[[#This Row],[Jira Story Points]],Tabelle13245689101112131415161715[[#This Row],[Carry-over]]))</f>
        <v>2</v>
      </c>
      <c r="O103" s="210">
        <f>SUM(IF(ISBLANK(Tabelle13245689101112131415161715[[#This Row],[Carry-over]]),Tabelle13245689101112131415161715[[#This Row],[Jira Story Points]],Tabelle13245689101112131415161715[[#This Row],[Carry-over]]),-Tabelle13245689101112131415161715[[#This Row],[COsSP Initially Planned]])</f>
        <v>0</v>
      </c>
      <c r="P10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03" s="210">
        <f>IF(Tabelle13245689101112131415161715[[#This Row],[Status]]=$J$5,Tabelle13245689101112131415161715[[#This Row],[COsSP Initially Planned]]+Tabelle13245689101112131415161715[[#This Row],[COsSP Pulled after Start]]-Tabelle13245689101112131415161715[[#This Row],[CSOsSP Completed]],0)</f>
        <v>0</v>
      </c>
      <c r="R103" s="210">
        <f>Tabelle13245689101112131415161715[[#This Row],[COsSP Initially Planned]]+Tabelle13245689101112131415161715[[#This Row],[COsSP Pulled after Start]]-Tabelle13245689101112131415161715[[#This Row],[CSOsSP Completed]]-Tabelle13245689101112131415161715[[#This Row],[CSOsSP Removed]]</f>
        <v>0</v>
      </c>
    </row>
    <row r="104" spans="1:18" ht="13.5" hidden="1" customHeight="1">
      <c r="A104" s="202" t="s">
        <v>1083</v>
      </c>
      <c r="B104" s="202" t="s">
        <v>1084</v>
      </c>
      <c r="C104" s="203" t="s">
        <v>382</v>
      </c>
      <c r="D104" s="203">
        <v>3</v>
      </c>
      <c r="E104" s="203" t="s">
        <v>324</v>
      </c>
      <c r="F104" s="203">
        <v>0</v>
      </c>
      <c r="G104" s="203" t="s">
        <v>27</v>
      </c>
      <c r="H104" s="205" t="s">
        <v>209</v>
      </c>
      <c r="I104" s="202"/>
      <c r="J104" s="202"/>
      <c r="K104" s="203" t="s">
        <v>125</v>
      </c>
      <c r="L104" s="204"/>
      <c r="M104" s="204"/>
      <c r="N104" s="286">
        <f>IF(OR(Tabelle13245689101112131415161715[[#This Row],[Pulled after Start]]="yes",Tabelle13245689101112131415161715[[#This Row],[Jira Story Points]]="-"),0,MIN(Tabelle13245689101112131415161715[[#This Row],[Jira Story Points]],Tabelle13245689101112131415161715[[#This Row],[Carry-over]]))</f>
        <v>0</v>
      </c>
      <c r="O104" s="210">
        <f>SUM(IF(ISBLANK(Tabelle13245689101112131415161715[[#This Row],[Carry-over]]),Tabelle13245689101112131415161715[[#This Row],[Jira Story Points]],Tabelle13245689101112131415161715[[#This Row],[Carry-over]]),-Tabelle13245689101112131415161715[[#This Row],[COsSP Initially Planned]])</f>
        <v>0</v>
      </c>
      <c r="P10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104" s="210">
        <f>IF(Tabelle13245689101112131415161715[[#This Row],[Status]]=$J$5,Tabelle13245689101112131415161715[[#This Row],[COsSP Initially Planned]]+Tabelle13245689101112131415161715[[#This Row],[COsSP Pulled after Start]]-Tabelle13245689101112131415161715[[#This Row],[CSOsSP Completed]],0)</f>
        <v>0</v>
      </c>
      <c r="R104" s="210">
        <f>Tabelle13245689101112131415161715[[#This Row],[COsSP Initially Planned]]+Tabelle13245689101112131415161715[[#This Row],[COsSP Pulled after Start]]-Tabelle13245689101112131415161715[[#This Row],[CSOsSP Completed]]-Tabelle13245689101112131415161715[[#This Row],[CSOsSP Removed]]</f>
        <v>0</v>
      </c>
    </row>
    <row r="105" spans="1:18" ht="13.5" hidden="1" customHeight="1">
      <c r="A105" s="202" t="s">
        <v>383</v>
      </c>
      <c r="B105" s="202" t="s">
        <v>384</v>
      </c>
      <c r="C105" s="203" t="s">
        <v>375</v>
      </c>
      <c r="D105" s="203">
        <v>3</v>
      </c>
      <c r="E105" s="203" t="s">
        <v>327</v>
      </c>
      <c r="F105" s="203">
        <v>2</v>
      </c>
      <c r="G105" s="203" t="s">
        <v>27</v>
      </c>
      <c r="H105" s="205" t="s">
        <v>209</v>
      </c>
      <c r="I105" s="202"/>
      <c r="J105" s="202"/>
      <c r="K105" s="203" t="s">
        <v>127</v>
      </c>
      <c r="L105" s="204"/>
      <c r="M105" s="204"/>
      <c r="N105" s="286">
        <f>IF(OR(Tabelle13245689101112131415161715[[#This Row],[Pulled after Start]]="yes",Tabelle13245689101112131415161715[[#This Row],[Jira Story Points]]="-"),0,MIN(Tabelle13245689101112131415161715[[#This Row],[Jira Story Points]],Tabelle13245689101112131415161715[[#This Row],[Carry-over]]))</f>
        <v>0</v>
      </c>
      <c r="O105" s="210">
        <f>SUM(IF(ISBLANK(Tabelle13245689101112131415161715[[#This Row],[Carry-over]]),Tabelle13245689101112131415161715[[#This Row],[Jira Story Points]],Tabelle13245689101112131415161715[[#This Row],[Carry-over]]),-Tabelle13245689101112131415161715[[#This Row],[COsSP Initially Planned]])</f>
        <v>2</v>
      </c>
      <c r="P10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105" s="210">
        <f>IF(Tabelle13245689101112131415161715[[#This Row],[Status]]=$J$5,Tabelle13245689101112131415161715[[#This Row],[COsSP Initially Planned]]+Tabelle13245689101112131415161715[[#This Row],[COsSP Pulled after Start]]-Tabelle13245689101112131415161715[[#This Row],[CSOsSP Completed]],0)</f>
        <v>0</v>
      </c>
      <c r="R105" s="210">
        <f>Tabelle13245689101112131415161715[[#This Row],[COsSP Initially Planned]]+Tabelle13245689101112131415161715[[#This Row],[COsSP Pulled after Start]]-Tabelle13245689101112131415161715[[#This Row],[CSOsSP Completed]]-Tabelle13245689101112131415161715[[#This Row],[CSOsSP Removed]]</f>
        <v>2</v>
      </c>
    </row>
    <row r="106" spans="1:18" ht="13.5" hidden="1" customHeight="1">
      <c r="A106" s="202" t="s">
        <v>1085</v>
      </c>
      <c r="B106" s="202" t="s">
        <v>1086</v>
      </c>
      <c r="C106" s="203" t="s">
        <v>372</v>
      </c>
      <c r="D106" s="203">
        <v>3</v>
      </c>
      <c r="E106" s="203" t="s">
        <v>324</v>
      </c>
      <c r="F106" s="203">
        <v>1</v>
      </c>
      <c r="G106" s="203" t="s">
        <v>27</v>
      </c>
      <c r="H106" s="205" t="s">
        <v>209</v>
      </c>
      <c r="I106" s="202"/>
      <c r="J106" s="202"/>
      <c r="K106" s="203" t="s">
        <v>125</v>
      </c>
      <c r="L106" s="204"/>
      <c r="M106" s="204"/>
      <c r="N106" s="286">
        <f>IF(OR(Tabelle13245689101112131415161715[[#This Row],[Pulled after Start]]="yes",Tabelle13245689101112131415161715[[#This Row],[Jira Story Points]]="-"),0,MIN(Tabelle13245689101112131415161715[[#This Row],[Jira Story Points]],Tabelle13245689101112131415161715[[#This Row],[Carry-over]]))</f>
        <v>0</v>
      </c>
      <c r="O106" s="210">
        <f>SUM(IF(ISBLANK(Tabelle13245689101112131415161715[[#This Row],[Carry-over]]),Tabelle13245689101112131415161715[[#This Row],[Jira Story Points]],Tabelle13245689101112131415161715[[#This Row],[Carry-over]]),-Tabelle13245689101112131415161715[[#This Row],[COsSP Initially Planned]])</f>
        <v>1</v>
      </c>
      <c r="P10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106" s="210">
        <f>IF(Tabelle13245689101112131415161715[[#This Row],[Status]]=$J$5,Tabelle13245689101112131415161715[[#This Row],[COsSP Initially Planned]]+Tabelle13245689101112131415161715[[#This Row],[COsSP Pulled after Start]]-Tabelle13245689101112131415161715[[#This Row],[CSOsSP Completed]],0)</f>
        <v>0</v>
      </c>
      <c r="R106" s="210">
        <f>Tabelle13245689101112131415161715[[#This Row],[COsSP Initially Planned]]+Tabelle13245689101112131415161715[[#This Row],[COsSP Pulled after Start]]-Tabelle13245689101112131415161715[[#This Row],[CSOsSP Completed]]-Tabelle13245689101112131415161715[[#This Row],[CSOsSP Removed]]</f>
        <v>0</v>
      </c>
    </row>
    <row r="107" spans="1:18" ht="13.5" hidden="1" customHeight="1">
      <c r="A107" s="202" t="s">
        <v>1087</v>
      </c>
      <c r="B107" s="202" t="s">
        <v>1088</v>
      </c>
      <c r="C107" s="203" t="s">
        <v>375</v>
      </c>
      <c r="D107" s="203">
        <v>3</v>
      </c>
      <c r="E107" s="203" t="s">
        <v>324</v>
      </c>
      <c r="F107" s="204">
        <v>2</v>
      </c>
      <c r="G107" s="10" t="s">
        <v>35</v>
      </c>
      <c r="H107" s="205"/>
      <c r="I107" s="206"/>
      <c r="J107" s="206"/>
      <c r="K107" s="203" t="s">
        <v>125</v>
      </c>
      <c r="L107" s="204"/>
      <c r="M107" s="204"/>
      <c r="N107" s="286">
        <f>IF(OR(Tabelle13245689101112131415161715[[#This Row],[Pulled after Start]]="yes",Tabelle13245689101112131415161715[[#This Row],[Jira Story Points]]="-"),0,MIN(Tabelle13245689101112131415161715[[#This Row],[Jira Story Points]],Tabelle13245689101112131415161715[[#This Row],[Carry-over]]))</f>
        <v>2</v>
      </c>
      <c r="O107" s="210">
        <f>SUM(IF(ISBLANK(Tabelle13245689101112131415161715[[#This Row],[Carry-over]]),Tabelle13245689101112131415161715[[#This Row],[Jira Story Points]],Tabelle13245689101112131415161715[[#This Row],[Carry-over]]),-Tabelle13245689101112131415161715[[#This Row],[COsSP Initially Planned]])</f>
        <v>0</v>
      </c>
      <c r="P10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07" s="210">
        <f>IF(Tabelle13245689101112131415161715[[#This Row],[Status]]=$J$5,Tabelle13245689101112131415161715[[#This Row],[COsSP Initially Planned]]+Tabelle13245689101112131415161715[[#This Row],[COsSP Pulled after Start]]-Tabelle13245689101112131415161715[[#This Row],[CSOsSP Completed]],0)</f>
        <v>0</v>
      </c>
      <c r="R107" s="210">
        <f>Tabelle13245689101112131415161715[[#This Row],[COsSP Initially Planned]]+Tabelle13245689101112131415161715[[#This Row],[COsSP Pulled after Start]]-Tabelle13245689101112131415161715[[#This Row],[CSOsSP Completed]]-Tabelle13245689101112131415161715[[#This Row],[CSOsSP Removed]]</f>
        <v>0</v>
      </c>
    </row>
    <row r="108" spans="1:18" ht="13.5" hidden="1" customHeight="1">
      <c r="A108" s="202" t="s">
        <v>1089</v>
      </c>
      <c r="B108" s="202" t="s">
        <v>1090</v>
      </c>
      <c r="C108" s="203" t="s">
        <v>372</v>
      </c>
      <c r="D108" s="203">
        <v>3</v>
      </c>
      <c r="E108" s="203" t="s">
        <v>324</v>
      </c>
      <c r="F108" s="204">
        <v>3</v>
      </c>
      <c r="G108" s="10" t="s">
        <v>35</v>
      </c>
      <c r="H108" s="205"/>
      <c r="I108" s="206"/>
      <c r="J108" s="206"/>
      <c r="K108" s="203" t="s">
        <v>125</v>
      </c>
      <c r="L108" s="204"/>
      <c r="M108" s="204"/>
      <c r="N108" s="286">
        <f>IF(OR(Tabelle13245689101112131415161715[[#This Row],[Pulled after Start]]="yes",Tabelle13245689101112131415161715[[#This Row],[Jira Story Points]]="-"),0,MIN(Tabelle13245689101112131415161715[[#This Row],[Jira Story Points]],Tabelle13245689101112131415161715[[#This Row],[Carry-over]]))</f>
        <v>3</v>
      </c>
      <c r="O108" s="210">
        <f>SUM(IF(ISBLANK(Tabelle13245689101112131415161715[[#This Row],[Carry-over]]),Tabelle13245689101112131415161715[[#This Row],[Jira Story Points]],Tabelle13245689101112131415161715[[#This Row],[Carry-over]]),-Tabelle13245689101112131415161715[[#This Row],[COsSP Initially Planned]])</f>
        <v>0</v>
      </c>
      <c r="P10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08" s="210">
        <f>IF(Tabelle13245689101112131415161715[[#This Row],[Status]]=$J$5,Tabelle13245689101112131415161715[[#This Row],[COsSP Initially Planned]]+Tabelle13245689101112131415161715[[#This Row],[COsSP Pulled after Start]]-Tabelle13245689101112131415161715[[#This Row],[CSOsSP Completed]],0)</f>
        <v>0</v>
      </c>
      <c r="R108" s="210">
        <f>Tabelle13245689101112131415161715[[#This Row],[COsSP Initially Planned]]+Tabelle13245689101112131415161715[[#This Row],[COsSP Pulled after Start]]-Tabelle13245689101112131415161715[[#This Row],[CSOsSP Completed]]-Tabelle13245689101112131415161715[[#This Row],[CSOsSP Removed]]</f>
        <v>0</v>
      </c>
    </row>
    <row r="109" spans="1:18" ht="13.5" hidden="1" customHeight="1">
      <c r="A109" s="202" t="s">
        <v>1091</v>
      </c>
      <c r="B109" s="202" t="s">
        <v>1092</v>
      </c>
      <c r="C109" s="203" t="s">
        <v>375</v>
      </c>
      <c r="D109" s="203">
        <v>3</v>
      </c>
      <c r="E109" s="203" t="s">
        <v>324</v>
      </c>
      <c r="F109" s="204">
        <v>2</v>
      </c>
      <c r="G109" s="10" t="s">
        <v>35</v>
      </c>
      <c r="H109" s="205"/>
      <c r="I109" s="206"/>
      <c r="J109" s="206"/>
      <c r="K109" s="203" t="s">
        <v>125</v>
      </c>
      <c r="L109" s="204"/>
      <c r="M109" s="204"/>
      <c r="N109" s="286">
        <f>IF(OR(Tabelle13245689101112131415161715[[#This Row],[Pulled after Start]]="yes",Tabelle13245689101112131415161715[[#This Row],[Jira Story Points]]="-"),0,MIN(Tabelle13245689101112131415161715[[#This Row],[Jira Story Points]],Tabelle13245689101112131415161715[[#This Row],[Carry-over]]))</f>
        <v>2</v>
      </c>
      <c r="O109" s="210">
        <f>SUM(IF(ISBLANK(Tabelle13245689101112131415161715[[#This Row],[Carry-over]]),Tabelle13245689101112131415161715[[#This Row],[Jira Story Points]],Tabelle13245689101112131415161715[[#This Row],[Carry-over]]),-Tabelle13245689101112131415161715[[#This Row],[COsSP Initially Planned]])</f>
        <v>0</v>
      </c>
      <c r="P10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09" s="210">
        <f>IF(Tabelle13245689101112131415161715[[#This Row],[Status]]=$J$5,Tabelle13245689101112131415161715[[#This Row],[COsSP Initially Planned]]+Tabelle13245689101112131415161715[[#This Row],[COsSP Pulled after Start]]-Tabelle13245689101112131415161715[[#This Row],[CSOsSP Completed]],0)</f>
        <v>0</v>
      </c>
      <c r="R109" s="210">
        <f>Tabelle13245689101112131415161715[[#This Row],[COsSP Initially Planned]]+Tabelle13245689101112131415161715[[#This Row],[COsSP Pulled after Start]]-Tabelle13245689101112131415161715[[#This Row],[CSOsSP Completed]]-Tabelle13245689101112131415161715[[#This Row],[CSOsSP Removed]]</f>
        <v>0</v>
      </c>
    </row>
    <row r="110" spans="1:18" ht="13.5" hidden="1" customHeight="1">
      <c r="A110" s="215" t="s">
        <v>1093</v>
      </c>
      <c r="B110" s="47" t="s">
        <v>1094</v>
      </c>
      <c r="C110" s="203" t="s">
        <v>375</v>
      </c>
      <c r="D110" s="203">
        <v>1</v>
      </c>
      <c r="E110" s="203" t="s">
        <v>324</v>
      </c>
      <c r="F110" s="204">
        <v>3</v>
      </c>
      <c r="G110" s="10" t="s">
        <v>35</v>
      </c>
      <c r="H110" s="205"/>
      <c r="I110" s="206"/>
      <c r="J110" s="206"/>
      <c r="K110" s="203" t="s">
        <v>125</v>
      </c>
      <c r="L110" s="204"/>
      <c r="M110" s="204"/>
      <c r="N110" s="286">
        <f>IF(OR(Tabelle13245689101112131415161715[[#This Row],[Pulled after Start]]="yes",Tabelle13245689101112131415161715[[#This Row],[Jira Story Points]]="-"),0,MIN(Tabelle13245689101112131415161715[[#This Row],[Jira Story Points]],Tabelle13245689101112131415161715[[#This Row],[Carry-over]]))</f>
        <v>3</v>
      </c>
      <c r="O110" s="210">
        <f>SUM(IF(ISBLANK(Tabelle13245689101112131415161715[[#This Row],[Carry-over]]),Tabelle13245689101112131415161715[[#This Row],[Jira Story Points]],Tabelle13245689101112131415161715[[#This Row],[Carry-over]]),-Tabelle13245689101112131415161715[[#This Row],[COsSP Initially Planned]])</f>
        <v>0</v>
      </c>
      <c r="P11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10" s="210">
        <f>IF(Tabelle13245689101112131415161715[[#This Row],[Status]]=$J$5,Tabelle13245689101112131415161715[[#This Row],[COsSP Initially Planned]]+Tabelle13245689101112131415161715[[#This Row],[COsSP Pulled after Start]]-Tabelle13245689101112131415161715[[#This Row],[CSOsSP Completed]],0)</f>
        <v>0</v>
      </c>
      <c r="R110" s="210">
        <f>Tabelle13245689101112131415161715[[#This Row],[COsSP Initially Planned]]+Tabelle13245689101112131415161715[[#This Row],[COsSP Pulled after Start]]-Tabelle13245689101112131415161715[[#This Row],[CSOsSP Completed]]-Tabelle13245689101112131415161715[[#This Row],[CSOsSP Removed]]</f>
        <v>0</v>
      </c>
    </row>
    <row r="111" spans="1:18" ht="13.5" hidden="1" customHeight="1">
      <c r="A111" s="215" t="s">
        <v>1095</v>
      </c>
      <c r="B111" s="47" t="s">
        <v>1096</v>
      </c>
      <c r="C111" s="203" t="s">
        <v>372</v>
      </c>
      <c r="D111" s="203">
        <v>3</v>
      </c>
      <c r="E111" s="203" t="s">
        <v>324</v>
      </c>
      <c r="F111" s="204">
        <v>5</v>
      </c>
      <c r="G111" s="10" t="s">
        <v>35</v>
      </c>
      <c r="H111" s="205"/>
      <c r="I111" s="206"/>
      <c r="J111" s="206"/>
      <c r="K111" s="203" t="s">
        <v>125</v>
      </c>
      <c r="L111" s="204"/>
      <c r="M111" s="204"/>
      <c r="N111" s="286">
        <f>IF(OR(Tabelle13245689101112131415161715[[#This Row],[Pulled after Start]]="yes",Tabelle13245689101112131415161715[[#This Row],[Jira Story Points]]="-"),0,MIN(Tabelle13245689101112131415161715[[#This Row],[Jira Story Points]],Tabelle13245689101112131415161715[[#This Row],[Carry-over]]))</f>
        <v>5</v>
      </c>
      <c r="O111" s="210">
        <f>SUM(IF(ISBLANK(Tabelle13245689101112131415161715[[#This Row],[Carry-over]]),Tabelle13245689101112131415161715[[#This Row],[Jira Story Points]],Tabelle13245689101112131415161715[[#This Row],[Carry-over]]),-Tabelle13245689101112131415161715[[#This Row],[COsSP Initially Planned]])</f>
        <v>0</v>
      </c>
      <c r="P111"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111" s="210">
        <f>IF(Tabelle13245689101112131415161715[[#This Row],[Status]]=$J$5,Tabelle13245689101112131415161715[[#This Row],[COsSP Initially Planned]]+Tabelle13245689101112131415161715[[#This Row],[COsSP Pulled after Start]]-Tabelle13245689101112131415161715[[#This Row],[CSOsSP Completed]],0)</f>
        <v>0</v>
      </c>
      <c r="R111" s="210">
        <f>Tabelle13245689101112131415161715[[#This Row],[COsSP Initially Planned]]+Tabelle13245689101112131415161715[[#This Row],[COsSP Pulled after Start]]-Tabelle13245689101112131415161715[[#This Row],[CSOsSP Completed]]-Tabelle13245689101112131415161715[[#This Row],[CSOsSP Removed]]</f>
        <v>0</v>
      </c>
    </row>
    <row r="112" spans="1:18" ht="13.5" hidden="1" customHeight="1">
      <c r="A112" s="215" t="s">
        <v>1097</v>
      </c>
      <c r="B112" s="47" t="s">
        <v>1098</v>
      </c>
      <c r="C112" s="203" t="s">
        <v>372</v>
      </c>
      <c r="D112" s="203">
        <v>3</v>
      </c>
      <c r="E112" s="203" t="s">
        <v>324</v>
      </c>
      <c r="F112" s="204">
        <v>3</v>
      </c>
      <c r="G112" s="10" t="s">
        <v>35</v>
      </c>
      <c r="H112" s="205"/>
      <c r="I112" s="206"/>
      <c r="J112" s="206"/>
      <c r="K112" s="203" t="s">
        <v>125</v>
      </c>
      <c r="L112" s="204"/>
      <c r="M112" s="204"/>
      <c r="N112" s="286">
        <f>IF(OR(Tabelle13245689101112131415161715[[#This Row],[Pulled after Start]]="yes",Tabelle13245689101112131415161715[[#This Row],[Jira Story Points]]="-"),0,MIN(Tabelle13245689101112131415161715[[#This Row],[Jira Story Points]],Tabelle13245689101112131415161715[[#This Row],[Carry-over]]))</f>
        <v>3</v>
      </c>
      <c r="O112" s="210">
        <f>SUM(IF(ISBLANK(Tabelle13245689101112131415161715[[#This Row],[Carry-over]]),Tabelle13245689101112131415161715[[#This Row],[Jira Story Points]],Tabelle13245689101112131415161715[[#This Row],[Carry-over]]),-Tabelle13245689101112131415161715[[#This Row],[COsSP Initially Planned]])</f>
        <v>0</v>
      </c>
      <c r="P11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12" s="210">
        <f>IF(Tabelle13245689101112131415161715[[#This Row],[Status]]=$J$5,Tabelle13245689101112131415161715[[#This Row],[COsSP Initially Planned]]+Tabelle13245689101112131415161715[[#This Row],[COsSP Pulled after Start]]-Tabelle13245689101112131415161715[[#This Row],[CSOsSP Completed]],0)</f>
        <v>0</v>
      </c>
      <c r="R112" s="210">
        <f>Tabelle13245689101112131415161715[[#This Row],[COsSP Initially Planned]]+Tabelle13245689101112131415161715[[#This Row],[COsSP Pulled after Start]]-Tabelle13245689101112131415161715[[#This Row],[CSOsSP Completed]]-Tabelle13245689101112131415161715[[#This Row],[CSOsSP Removed]]</f>
        <v>0</v>
      </c>
    </row>
    <row r="113" spans="1:18" ht="13.5" hidden="1" customHeight="1">
      <c r="A113" s="215" t="s">
        <v>1099</v>
      </c>
      <c r="B113" s="47" t="s">
        <v>1100</v>
      </c>
      <c r="C113" s="203" t="s">
        <v>372</v>
      </c>
      <c r="D113" s="203">
        <v>3</v>
      </c>
      <c r="E113" s="203" t="s">
        <v>324</v>
      </c>
      <c r="F113" s="204">
        <v>2</v>
      </c>
      <c r="G113" s="10" t="s">
        <v>35</v>
      </c>
      <c r="H113" s="205"/>
      <c r="I113" s="206"/>
      <c r="J113" s="206"/>
      <c r="K113" s="203" t="s">
        <v>125</v>
      </c>
      <c r="L113" s="204"/>
      <c r="M113" s="204"/>
      <c r="N113" s="286">
        <f>IF(OR(Tabelle13245689101112131415161715[[#This Row],[Pulled after Start]]="yes",Tabelle13245689101112131415161715[[#This Row],[Jira Story Points]]="-"),0,MIN(Tabelle13245689101112131415161715[[#This Row],[Jira Story Points]],Tabelle13245689101112131415161715[[#This Row],[Carry-over]]))</f>
        <v>2</v>
      </c>
      <c r="O113" s="210">
        <f>SUM(IF(ISBLANK(Tabelle13245689101112131415161715[[#This Row],[Carry-over]]),Tabelle13245689101112131415161715[[#This Row],[Jira Story Points]],Tabelle13245689101112131415161715[[#This Row],[Carry-over]]),-Tabelle13245689101112131415161715[[#This Row],[COsSP Initially Planned]])</f>
        <v>0</v>
      </c>
      <c r="P11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13" s="210">
        <f>IF(Tabelle13245689101112131415161715[[#This Row],[Status]]=$J$5,Tabelle13245689101112131415161715[[#This Row],[COsSP Initially Planned]]+Tabelle13245689101112131415161715[[#This Row],[COsSP Pulled after Start]]-Tabelle13245689101112131415161715[[#This Row],[CSOsSP Completed]],0)</f>
        <v>0</v>
      </c>
      <c r="R113" s="210">
        <f>Tabelle13245689101112131415161715[[#This Row],[COsSP Initially Planned]]+Tabelle13245689101112131415161715[[#This Row],[COsSP Pulled after Start]]-Tabelle13245689101112131415161715[[#This Row],[CSOsSP Completed]]-Tabelle13245689101112131415161715[[#This Row],[CSOsSP Removed]]</f>
        <v>0</v>
      </c>
    </row>
    <row r="114" spans="1:18" ht="13.5" hidden="1" customHeight="1">
      <c r="A114" s="215" t="s">
        <v>1101</v>
      </c>
      <c r="B114" s="47" t="s">
        <v>1102</v>
      </c>
      <c r="C114" s="203" t="s">
        <v>375</v>
      </c>
      <c r="D114" s="203">
        <v>1</v>
      </c>
      <c r="E114" s="203" t="s">
        <v>324</v>
      </c>
      <c r="F114" s="204">
        <v>3</v>
      </c>
      <c r="G114" s="10" t="s">
        <v>35</v>
      </c>
      <c r="H114" s="205"/>
      <c r="I114" s="206"/>
      <c r="J114" s="206"/>
      <c r="K114" s="203" t="s">
        <v>125</v>
      </c>
      <c r="L114" s="204"/>
      <c r="M114" s="204"/>
      <c r="N114" s="286">
        <f>IF(OR(Tabelle13245689101112131415161715[[#This Row],[Pulled after Start]]="yes",Tabelle13245689101112131415161715[[#This Row],[Jira Story Points]]="-"),0,MIN(Tabelle13245689101112131415161715[[#This Row],[Jira Story Points]],Tabelle13245689101112131415161715[[#This Row],[Carry-over]]))</f>
        <v>3</v>
      </c>
      <c r="O114" s="210">
        <f>SUM(IF(ISBLANK(Tabelle13245689101112131415161715[[#This Row],[Carry-over]]),Tabelle13245689101112131415161715[[#This Row],[Jira Story Points]],Tabelle13245689101112131415161715[[#This Row],[Carry-over]]),-Tabelle13245689101112131415161715[[#This Row],[COsSP Initially Planned]])</f>
        <v>0</v>
      </c>
      <c r="P11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14" s="210">
        <f>IF(Tabelle13245689101112131415161715[[#This Row],[Status]]=$J$5,Tabelle13245689101112131415161715[[#This Row],[COsSP Initially Planned]]+Tabelle13245689101112131415161715[[#This Row],[COsSP Pulled after Start]]-Tabelle13245689101112131415161715[[#This Row],[CSOsSP Completed]],0)</f>
        <v>0</v>
      </c>
      <c r="R114" s="210">
        <f>Tabelle13245689101112131415161715[[#This Row],[COsSP Initially Planned]]+Tabelle13245689101112131415161715[[#This Row],[COsSP Pulled after Start]]-Tabelle13245689101112131415161715[[#This Row],[CSOsSP Completed]]-Tabelle13245689101112131415161715[[#This Row],[CSOsSP Removed]]</f>
        <v>0</v>
      </c>
    </row>
    <row r="115" spans="1:18" ht="13.5" hidden="1" customHeight="1">
      <c r="A115" s="215" t="s">
        <v>1103</v>
      </c>
      <c r="B115" s="47" t="s">
        <v>1104</v>
      </c>
      <c r="C115" s="203" t="s">
        <v>375</v>
      </c>
      <c r="D115" s="203">
        <v>3</v>
      </c>
      <c r="E115" s="203" t="s">
        <v>324</v>
      </c>
      <c r="F115" s="204">
        <v>3</v>
      </c>
      <c r="G115" s="10" t="s">
        <v>35</v>
      </c>
      <c r="H115" s="205"/>
      <c r="I115" s="206"/>
      <c r="J115" s="206"/>
      <c r="K115" s="203" t="s">
        <v>125</v>
      </c>
      <c r="L115" s="204"/>
      <c r="M115" s="204"/>
      <c r="N115" s="286">
        <f>IF(OR(Tabelle13245689101112131415161715[[#This Row],[Pulled after Start]]="yes",Tabelle13245689101112131415161715[[#This Row],[Jira Story Points]]="-"),0,MIN(Tabelle13245689101112131415161715[[#This Row],[Jira Story Points]],Tabelle13245689101112131415161715[[#This Row],[Carry-over]]))</f>
        <v>3</v>
      </c>
      <c r="O115" s="210">
        <f>SUM(IF(ISBLANK(Tabelle13245689101112131415161715[[#This Row],[Carry-over]]),Tabelle13245689101112131415161715[[#This Row],[Jira Story Points]],Tabelle13245689101112131415161715[[#This Row],[Carry-over]]),-Tabelle13245689101112131415161715[[#This Row],[COsSP Initially Planned]])</f>
        <v>0</v>
      </c>
      <c r="P11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15" s="210">
        <f>IF(Tabelle13245689101112131415161715[[#This Row],[Status]]=$J$5,Tabelle13245689101112131415161715[[#This Row],[COsSP Initially Planned]]+Tabelle13245689101112131415161715[[#This Row],[COsSP Pulled after Start]]-Tabelle13245689101112131415161715[[#This Row],[CSOsSP Completed]],0)</f>
        <v>0</v>
      </c>
      <c r="R115" s="210">
        <f>Tabelle13245689101112131415161715[[#This Row],[COsSP Initially Planned]]+Tabelle13245689101112131415161715[[#This Row],[COsSP Pulled after Start]]-Tabelle13245689101112131415161715[[#This Row],[CSOsSP Completed]]-Tabelle13245689101112131415161715[[#This Row],[CSOsSP Removed]]</f>
        <v>0</v>
      </c>
    </row>
    <row r="116" spans="1:18" ht="13.5" hidden="1" customHeight="1">
      <c r="A116" s="215" t="s">
        <v>1105</v>
      </c>
      <c r="B116" s="47" t="s">
        <v>1106</v>
      </c>
      <c r="C116" s="203" t="s">
        <v>375</v>
      </c>
      <c r="D116" s="203">
        <v>1</v>
      </c>
      <c r="E116" s="203" t="s">
        <v>324</v>
      </c>
      <c r="F116" s="204">
        <v>3</v>
      </c>
      <c r="G116" s="10" t="s">
        <v>35</v>
      </c>
      <c r="H116" s="205"/>
      <c r="I116" s="206"/>
      <c r="J116" s="206"/>
      <c r="K116" s="203" t="s">
        <v>125</v>
      </c>
      <c r="L116" s="204"/>
      <c r="M116" s="204"/>
      <c r="N116" s="286">
        <f>IF(OR(Tabelle13245689101112131415161715[[#This Row],[Pulled after Start]]="yes",Tabelle13245689101112131415161715[[#This Row],[Jira Story Points]]="-"),0,MIN(Tabelle13245689101112131415161715[[#This Row],[Jira Story Points]],Tabelle13245689101112131415161715[[#This Row],[Carry-over]]))</f>
        <v>3</v>
      </c>
      <c r="O116" s="210">
        <f>SUM(IF(ISBLANK(Tabelle13245689101112131415161715[[#This Row],[Carry-over]]),Tabelle13245689101112131415161715[[#This Row],[Jira Story Points]],Tabelle13245689101112131415161715[[#This Row],[Carry-over]]),-Tabelle13245689101112131415161715[[#This Row],[COsSP Initially Planned]])</f>
        <v>0</v>
      </c>
      <c r="P11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16" s="210">
        <f>IF(Tabelle13245689101112131415161715[[#This Row],[Status]]=$J$5,Tabelle13245689101112131415161715[[#This Row],[COsSP Initially Planned]]+Tabelle13245689101112131415161715[[#This Row],[COsSP Pulled after Start]]-Tabelle13245689101112131415161715[[#This Row],[CSOsSP Completed]],0)</f>
        <v>0</v>
      </c>
      <c r="R116" s="210">
        <f>Tabelle13245689101112131415161715[[#This Row],[COsSP Initially Planned]]+Tabelle13245689101112131415161715[[#This Row],[COsSP Pulled after Start]]-Tabelle13245689101112131415161715[[#This Row],[CSOsSP Completed]]-Tabelle13245689101112131415161715[[#This Row],[CSOsSP Removed]]</f>
        <v>0</v>
      </c>
    </row>
    <row r="117" spans="1:18" ht="13.5" hidden="1" customHeight="1">
      <c r="A117" s="215" t="s">
        <v>1107</v>
      </c>
      <c r="B117" s="47" t="s">
        <v>1108</v>
      </c>
      <c r="C117" s="203" t="s">
        <v>375</v>
      </c>
      <c r="D117" s="203">
        <v>1</v>
      </c>
      <c r="E117" s="203" t="s">
        <v>324</v>
      </c>
      <c r="F117" s="204">
        <v>5</v>
      </c>
      <c r="G117" s="10" t="s">
        <v>35</v>
      </c>
      <c r="H117" s="205"/>
      <c r="I117" s="206"/>
      <c r="J117" s="206"/>
      <c r="K117" s="203" t="s">
        <v>125</v>
      </c>
      <c r="L117" s="204"/>
      <c r="M117" s="204"/>
      <c r="N117" s="286">
        <f>IF(OR(Tabelle13245689101112131415161715[[#This Row],[Pulled after Start]]="yes",Tabelle13245689101112131415161715[[#This Row],[Jira Story Points]]="-"),0,MIN(Tabelle13245689101112131415161715[[#This Row],[Jira Story Points]],Tabelle13245689101112131415161715[[#This Row],[Carry-over]]))</f>
        <v>5</v>
      </c>
      <c r="O117" s="210">
        <f>SUM(IF(ISBLANK(Tabelle13245689101112131415161715[[#This Row],[Carry-over]]),Tabelle13245689101112131415161715[[#This Row],[Jira Story Points]],Tabelle13245689101112131415161715[[#This Row],[Carry-over]]),-Tabelle13245689101112131415161715[[#This Row],[COsSP Initially Planned]])</f>
        <v>0</v>
      </c>
      <c r="P11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117" s="210">
        <f>IF(Tabelle13245689101112131415161715[[#This Row],[Status]]=$J$5,Tabelle13245689101112131415161715[[#This Row],[COsSP Initially Planned]]+Tabelle13245689101112131415161715[[#This Row],[COsSP Pulled after Start]]-Tabelle13245689101112131415161715[[#This Row],[CSOsSP Completed]],0)</f>
        <v>0</v>
      </c>
      <c r="R117" s="210">
        <f>Tabelle13245689101112131415161715[[#This Row],[COsSP Initially Planned]]+Tabelle13245689101112131415161715[[#This Row],[COsSP Pulled after Start]]-Tabelle13245689101112131415161715[[#This Row],[CSOsSP Completed]]-Tabelle13245689101112131415161715[[#This Row],[CSOsSP Removed]]</f>
        <v>0</v>
      </c>
    </row>
    <row r="118" spans="1:18" ht="13.5" hidden="1" customHeight="1">
      <c r="A118" s="215" t="s">
        <v>1109</v>
      </c>
      <c r="B118" s="47" t="s">
        <v>1110</v>
      </c>
      <c r="C118" s="203" t="s">
        <v>375</v>
      </c>
      <c r="D118" s="203">
        <v>2</v>
      </c>
      <c r="E118" s="203" t="s">
        <v>324</v>
      </c>
      <c r="F118" s="204">
        <v>5</v>
      </c>
      <c r="G118" s="10" t="s">
        <v>35</v>
      </c>
      <c r="H118" s="205"/>
      <c r="I118" s="206"/>
      <c r="J118" s="206"/>
      <c r="K118" s="203" t="s">
        <v>125</v>
      </c>
      <c r="L118" s="204"/>
      <c r="M118" s="204"/>
      <c r="N118" s="286">
        <f>IF(OR(Tabelle13245689101112131415161715[[#This Row],[Pulled after Start]]="yes",Tabelle13245689101112131415161715[[#This Row],[Jira Story Points]]="-"),0,MIN(Tabelle13245689101112131415161715[[#This Row],[Jira Story Points]],Tabelle13245689101112131415161715[[#This Row],[Carry-over]]))</f>
        <v>5</v>
      </c>
      <c r="O118" s="210">
        <f>SUM(IF(ISBLANK(Tabelle13245689101112131415161715[[#This Row],[Carry-over]]),Tabelle13245689101112131415161715[[#This Row],[Jira Story Points]],Tabelle13245689101112131415161715[[#This Row],[Carry-over]]),-Tabelle13245689101112131415161715[[#This Row],[COsSP Initially Planned]])</f>
        <v>0</v>
      </c>
      <c r="P11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118" s="210">
        <f>IF(Tabelle13245689101112131415161715[[#This Row],[Status]]=$J$5,Tabelle13245689101112131415161715[[#This Row],[COsSP Initially Planned]]+Tabelle13245689101112131415161715[[#This Row],[COsSP Pulled after Start]]-Tabelle13245689101112131415161715[[#This Row],[CSOsSP Completed]],0)</f>
        <v>0</v>
      </c>
      <c r="R118" s="210">
        <f>Tabelle13245689101112131415161715[[#This Row],[COsSP Initially Planned]]+Tabelle13245689101112131415161715[[#This Row],[COsSP Pulled after Start]]-Tabelle13245689101112131415161715[[#This Row],[CSOsSP Completed]]-Tabelle13245689101112131415161715[[#This Row],[CSOsSP Removed]]</f>
        <v>0</v>
      </c>
    </row>
    <row r="119" spans="1:18" ht="13.5" hidden="1" customHeight="1">
      <c r="A119" s="215" t="s">
        <v>1111</v>
      </c>
      <c r="B119" s="47" t="s">
        <v>1112</v>
      </c>
      <c r="C119" s="203" t="s">
        <v>375</v>
      </c>
      <c r="D119" s="203">
        <v>3</v>
      </c>
      <c r="E119" s="203" t="s">
        <v>324</v>
      </c>
      <c r="F119" s="204">
        <v>8</v>
      </c>
      <c r="G119" s="10" t="s">
        <v>35</v>
      </c>
      <c r="H119" s="205"/>
      <c r="I119" s="206"/>
      <c r="J119" s="206"/>
      <c r="K119" s="203" t="s">
        <v>125</v>
      </c>
      <c r="L119" s="204"/>
      <c r="M119" s="204"/>
      <c r="N119" s="286">
        <f>IF(OR(Tabelle13245689101112131415161715[[#This Row],[Pulled after Start]]="yes",Tabelle13245689101112131415161715[[#This Row],[Jira Story Points]]="-"),0,MIN(Tabelle13245689101112131415161715[[#This Row],[Jira Story Points]],Tabelle13245689101112131415161715[[#This Row],[Carry-over]]))</f>
        <v>8</v>
      </c>
      <c r="O119" s="210">
        <f>SUM(IF(ISBLANK(Tabelle13245689101112131415161715[[#This Row],[Carry-over]]),Tabelle13245689101112131415161715[[#This Row],[Jira Story Points]],Tabelle13245689101112131415161715[[#This Row],[Carry-over]]),-Tabelle13245689101112131415161715[[#This Row],[COsSP Initially Planned]])</f>
        <v>0</v>
      </c>
      <c r="P11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8</v>
      </c>
      <c r="Q119" s="210">
        <f>IF(Tabelle13245689101112131415161715[[#This Row],[Status]]=$J$5,Tabelle13245689101112131415161715[[#This Row],[COsSP Initially Planned]]+Tabelle13245689101112131415161715[[#This Row],[COsSP Pulled after Start]]-Tabelle13245689101112131415161715[[#This Row],[CSOsSP Completed]],0)</f>
        <v>0</v>
      </c>
      <c r="R119" s="210">
        <f>Tabelle13245689101112131415161715[[#This Row],[COsSP Initially Planned]]+Tabelle13245689101112131415161715[[#This Row],[COsSP Pulled after Start]]-Tabelle13245689101112131415161715[[#This Row],[CSOsSP Completed]]-Tabelle13245689101112131415161715[[#This Row],[CSOsSP Removed]]</f>
        <v>0</v>
      </c>
    </row>
    <row r="120" spans="1:18" ht="13.5" hidden="1" customHeight="1">
      <c r="A120" s="275" t="s">
        <v>1113</v>
      </c>
      <c r="B120" s="47" t="s">
        <v>646</v>
      </c>
      <c r="C120" s="203" t="s">
        <v>382</v>
      </c>
      <c r="D120" s="203">
        <v>3</v>
      </c>
      <c r="E120" s="203" t="s">
        <v>324</v>
      </c>
      <c r="F120" s="204">
        <v>2</v>
      </c>
      <c r="G120" s="10" t="s">
        <v>35</v>
      </c>
      <c r="H120" s="205"/>
      <c r="I120" s="206"/>
      <c r="J120" s="206"/>
      <c r="K120" s="203" t="s">
        <v>125</v>
      </c>
      <c r="L120" s="204"/>
      <c r="M120" s="204"/>
      <c r="N120" s="286">
        <f>IF(OR(Tabelle13245689101112131415161715[[#This Row],[Pulled after Start]]="yes",Tabelle13245689101112131415161715[[#This Row],[Jira Story Points]]="-"),0,MIN(Tabelle13245689101112131415161715[[#This Row],[Jira Story Points]],Tabelle13245689101112131415161715[[#This Row],[Carry-over]]))</f>
        <v>2</v>
      </c>
      <c r="O120" s="210">
        <f>SUM(IF(ISBLANK(Tabelle13245689101112131415161715[[#This Row],[Carry-over]]),Tabelle13245689101112131415161715[[#This Row],[Jira Story Points]],Tabelle13245689101112131415161715[[#This Row],[Carry-over]]),-Tabelle13245689101112131415161715[[#This Row],[COsSP Initially Planned]])</f>
        <v>0</v>
      </c>
      <c r="P12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20" s="210">
        <f>IF(Tabelle13245689101112131415161715[[#This Row],[Status]]=$J$5,Tabelle13245689101112131415161715[[#This Row],[COsSP Initially Planned]]+Tabelle13245689101112131415161715[[#This Row],[COsSP Pulled after Start]]-Tabelle13245689101112131415161715[[#This Row],[CSOsSP Completed]],0)</f>
        <v>0</v>
      </c>
      <c r="R120" s="210">
        <f>Tabelle13245689101112131415161715[[#This Row],[COsSP Initially Planned]]+Tabelle13245689101112131415161715[[#This Row],[COsSP Pulled after Start]]-Tabelle13245689101112131415161715[[#This Row],[CSOsSP Completed]]-Tabelle13245689101112131415161715[[#This Row],[CSOsSP Removed]]</f>
        <v>0</v>
      </c>
    </row>
    <row r="121" spans="1:18" ht="13.5" hidden="1" customHeight="1">
      <c r="A121" s="215" t="s">
        <v>1114</v>
      </c>
      <c r="B121" s="47" t="s">
        <v>1115</v>
      </c>
      <c r="C121" s="203" t="s">
        <v>375</v>
      </c>
      <c r="D121" s="203">
        <v>2</v>
      </c>
      <c r="E121" s="203" t="s">
        <v>324</v>
      </c>
      <c r="F121" s="204">
        <v>1</v>
      </c>
      <c r="G121" s="203" t="s">
        <v>35</v>
      </c>
      <c r="H121" s="205"/>
      <c r="I121" s="206"/>
      <c r="J121" s="206"/>
      <c r="K121" s="203" t="s">
        <v>125</v>
      </c>
      <c r="L121" s="204"/>
      <c r="M121" s="204"/>
      <c r="N121" s="286">
        <f>IF(OR(Tabelle13245689101112131415161715[[#This Row],[Pulled after Start]]="yes",Tabelle13245689101112131415161715[[#This Row],[Jira Story Points]]="-"),0,MIN(Tabelle13245689101112131415161715[[#This Row],[Jira Story Points]],Tabelle13245689101112131415161715[[#This Row],[Carry-over]]))</f>
        <v>1</v>
      </c>
      <c r="O121" s="210">
        <f>SUM(IF(ISBLANK(Tabelle13245689101112131415161715[[#This Row],[Carry-over]]),Tabelle13245689101112131415161715[[#This Row],[Jira Story Points]],Tabelle13245689101112131415161715[[#This Row],[Carry-over]]),-Tabelle13245689101112131415161715[[#This Row],[COsSP Initially Planned]])</f>
        <v>0</v>
      </c>
      <c r="P121"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121" s="210">
        <f>IF(Tabelle13245689101112131415161715[[#This Row],[Status]]=$J$5,Tabelle13245689101112131415161715[[#This Row],[COsSP Initially Planned]]+Tabelle13245689101112131415161715[[#This Row],[COsSP Pulled after Start]]-Tabelle13245689101112131415161715[[#This Row],[CSOsSP Completed]],0)</f>
        <v>0</v>
      </c>
      <c r="R121" s="210">
        <f>Tabelle13245689101112131415161715[[#This Row],[COsSP Initially Planned]]+Tabelle13245689101112131415161715[[#This Row],[COsSP Pulled after Start]]-Tabelle13245689101112131415161715[[#This Row],[CSOsSP Completed]]-Tabelle13245689101112131415161715[[#This Row],[CSOsSP Removed]]</f>
        <v>0</v>
      </c>
    </row>
    <row r="122" spans="1:18" ht="13.5" hidden="1" customHeight="1">
      <c r="A122" s="215" t="s">
        <v>1116</v>
      </c>
      <c r="B122" s="47" t="s">
        <v>1117</v>
      </c>
      <c r="C122" s="203" t="s">
        <v>382</v>
      </c>
      <c r="D122" s="203">
        <v>3</v>
      </c>
      <c r="E122" s="203" t="s">
        <v>324</v>
      </c>
      <c r="F122" s="204">
        <v>2</v>
      </c>
      <c r="G122" s="203" t="s">
        <v>35</v>
      </c>
      <c r="H122" s="205"/>
      <c r="I122" s="206"/>
      <c r="J122" s="206"/>
      <c r="K122" s="203" t="s">
        <v>125</v>
      </c>
      <c r="L122" s="204"/>
      <c r="M122" s="204"/>
      <c r="N122" s="286">
        <f>IF(OR(Tabelle13245689101112131415161715[[#This Row],[Pulled after Start]]="yes",Tabelle13245689101112131415161715[[#This Row],[Jira Story Points]]="-"),0,MIN(Tabelle13245689101112131415161715[[#This Row],[Jira Story Points]],Tabelle13245689101112131415161715[[#This Row],[Carry-over]]))</f>
        <v>2</v>
      </c>
      <c r="O122" s="210">
        <f>SUM(IF(ISBLANK(Tabelle13245689101112131415161715[[#This Row],[Carry-over]]),Tabelle13245689101112131415161715[[#This Row],[Jira Story Points]],Tabelle13245689101112131415161715[[#This Row],[Carry-over]]),-Tabelle13245689101112131415161715[[#This Row],[COsSP Initially Planned]])</f>
        <v>0</v>
      </c>
      <c r="P12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22" s="210">
        <f>IF(Tabelle13245689101112131415161715[[#This Row],[Status]]=$J$5,Tabelle13245689101112131415161715[[#This Row],[COsSP Initially Planned]]+Tabelle13245689101112131415161715[[#This Row],[COsSP Pulled after Start]]-Tabelle13245689101112131415161715[[#This Row],[CSOsSP Completed]],0)</f>
        <v>0</v>
      </c>
      <c r="R122" s="210">
        <f>Tabelle13245689101112131415161715[[#This Row],[COsSP Initially Planned]]+Tabelle13245689101112131415161715[[#This Row],[COsSP Pulled after Start]]-Tabelle13245689101112131415161715[[#This Row],[CSOsSP Completed]]-Tabelle13245689101112131415161715[[#This Row],[CSOsSP Removed]]</f>
        <v>0</v>
      </c>
    </row>
    <row r="123" spans="1:18" ht="13.5" hidden="1" customHeight="1">
      <c r="A123" s="215" t="s">
        <v>1118</v>
      </c>
      <c r="B123" s="47" t="s">
        <v>1119</v>
      </c>
      <c r="C123" s="203" t="s">
        <v>375</v>
      </c>
      <c r="D123" s="203">
        <v>1</v>
      </c>
      <c r="E123" s="203" t="s">
        <v>324</v>
      </c>
      <c r="F123" s="204">
        <v>2</v>
      </c>
      <c r="G123" s="203" t="s">
        <v>35</v>
      </c>
      <c r="H123" s="205"/>
      <c r="I123" s="206"/>
      <c r="J123" s="206"/>
      <c r="K123" s="203" t="s">
        <v>125</v>
      </c>
      <c r="L123" s="204"/>
      <c r="M123" s="204"/>
      <c r="N123" s="286">
        <f>IF(OR(Tabelle13245689101112131415161715[[#This Row],[Pulled after Start]]="yes",Tabelle13245689101112131415161715[[#This Row],[Jira Story Points]]="-"),0,MIN(Tabelle13245689101112131415161715[[#This Row],[Jira Story Points]],Tabelle13245689101112131415161715[[#This Row],[Carry-over]]))</f>
        <v>2</v>
      </c>
      <c r="O123" s="210">
        <f>SUM(IF(ISBLANK(Tabelle13245689101112131415161715[[#This Row],[Carry-over]]),Tabelle13245689101112131415161715[[#This Row],[Jira Story Points]],Tabelle13245689101112131415161715[[#This Row],[Carry-over]]),-Tabelle13245689101112131415161715[[#This Row],[COsSP Initially Planned]])</f>
        <v>0</v>
      </c>
      <c r="P12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23" s="210">
        <f>IF(Tabelle13245689101112131415161715[[#This Row],[Status]]=$J$5,Tabelle13245689101112131415161715[[#This Row],[COsSP Initially Planned]]+Tabelle13245689101112131415161715[[#This Row],[COsSP Pulled after Start]]-Tabelle13245689101112131415161715[[#This Row],[CSOsSP Completed]],0)</f>
        <v>0</v>
      </c>
      <c r="R123" s="210">
        <f>Tabelle13245689101112131415161715[[#This Row],[COsSP Initially Planned]]+Tabelle13245689101112131415161715[[#This Row],[COsSP Pulled after Start]]-Tabelle13245689101112131415161715[[#This Row],[CSOsSP Completed]]-Tabelle13245689101112131415161715[[#This Row],[CSOsSP Removed]]</f>
        <v>0</v>
      </c>
    </row>
    <row r="124" spans="1:18" ht="13.5" hidden="1" customHeight="1">
      <c r="A124" s="215" t="s">
        <v>1120</v>
      </c>
      <c r="B124" s="47" t="s">
        <v>1121</v>
      </c>
      <c r="C124" s="203" t="s">
        <v>372</v>
      </c>
      <c r="D124" s="203">
        <v>3</v>
      </c>
      <c r="E124" s="203" t="s">
        <v>324</v>
      </c>
      <c r="F124" s="204">
        <v>1</v>
      </c>
      <c r="G124" s="203" t="s">
        <v>35</v>
      </c>
      <c r="H124" s="205"/>
      <c r="I124" s="206"/>
      <c r="J124" s="206"/>
      <c r="K124" s="203" t="s">
        <v>125</v>
      </c>
      <c r="L124" s="204"/>
      <c r="M124" s="204"/>
      <c r="N124" s="286">
        <f>IF(OR(Tabelle13245689101112131415161715[[#This Row],[Pulled after Start]]="yes",Tabelle13245689101112131415161715[[#This Row],[Jira Story Points]]="-"),0,MIN(Tabelle13245689101112131415161715[[#This Row],[Jira Story Points]],Tabelle13245689101112131415161715[[#This Row],[Carry-over]]))</f>
        <v>1</v>
      </c>
      <c r="O124" s="210">
        <f>SUM(IF(ISBLANK(Tabelle13245689101112131415161715[[#This Row],[Carry-over]]),Tabelle13245689101112131415161715[[#This Row],[Jira Story Points]],Tabelle13245689101112131415161715[[#This Row],[Carry-over]]),-Tabelle13245689101112131415161715[[#This Row],[COsSP Initially Planned]])</f>
        <v>0</v>
      </c>
      <c r="P12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124" s="210">
        <f>IF(Tabelle13245689101112131415161715[[#This Row],[Status]]=$J$5,Tabelle13245689101112131415161715[[#This Row],[COsSP Initially Planned]]+Tabelle13245689101112131415161715[[#This Row],[COsSP Pulled after Start]]-Tabelle13245689101112131415161715[[#This Row],[CSOsSP Completed]],0)</f>
        <v>0</v>
      </c>
      <c r="R124" s="210">
        <f>Tabelle13245689101112131415161715[[#This Row],[COsSP Initially Planned]]+Tabelle13245689101112131415161715[[#This Row],[COsSP Pulled after Start]]-Tabelle13245689101112131415161715[[#This Row],[CSOsSP Completed]]-Tabelle13245689101112131415161715[[#This Row],[CSOsSP Removed]]</f>
        <v>0</v>
      </c>
    </row>
    <row r="125" spans="1:18" ht="13.5" hidden="1" customHeight="1">
      <c r="A125" s="215" t="s">
        <v>1122</v>
      </c>
      <c r="B125" s="47" t="s">
        <v>1123</v>
      </c>
      <c r="C125" s="203" t="s">
        <v>375</v>
      </c>
      <c r="D125" s="203">
        <v>2</v>
      </c>
      <c r="E125" s="203" t="s">
        <v>324</v>
      </c>
      <c r="F125" s="204">
        <v>2</v>
      </c>
      <c r="G125" s="203" t="s">
        <v>35</v>
      </c>
      <c r="H125" s="205" t="s">
        <v>209</v>
      </c>
      <c r="I125" s="206"/>
      <c r="J125" s="206"/>
      <c r="K125" s="203" t="s">
        <v>125</v>
      </c>
      <c r="L125" s="204"/>
      <c r="M125" s="204"/>
      <c r="N125" s="286">
        <f>IF(OR(Tabelle13245689101112131415161715[[#This Row],[Pulled after Start]]="yes",Tabelle13245689101112131415161715[[#This Row],[Jira Story Points]]="-"),0,MIN(Tabelle13245689101112131415161715[[#This Row],[Jira Story Points]],Tabelle13245689101112131415161715[[#This Row],[Carry-over]]))</f>
        <v>0</v>
      </c>
      <c r="O125" s="210">
        <f>SUM(IF(ISBLANK(Tabelle13245689101112131415161715[[#This Row],[Carry-over]]),Tabelle13245689101112131415161715[[#This Row],[Jira Story Points]],Tabelle13245689101112131415161715[[#This Row],[Carry-over]]),-Tabelle13245689101112131415161715[[#This Row],[COsSP Initially Planned]])</f>
        <v>2</v>
      </c>
      <c r="P12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25" s="210">
        <f>IF(Tabelle13245689101112131415161715[[#This Row],[Status]]=$J$5,Tabelle13245689101112131415161715[[#This Row],[COsSP Initially Planned]]+Tabelle13245689101112131415161715[[#This Row],[COsSP Pulled after Start]]-Tabelle13245689101112131415161715[[#This Row],[CSOsSP Completed]],0)</f>
        <v>0</v>
      </c>
      <c r="R125" s="210">
        <f>Tabelle13245689101112131415161715[[#This Row],[COsSP Initially Planned]]+Tabelle13245689101112131415161715[[#This Row],[COsSP Pulled after Start]]-Tabelle13245689101112131415161715[[#This Row],[CSOsSP Completed]]-Tabelle13245689101112131415161715[[#This Row],[CSOsSP Removed]]</f>
        <v>0</v>
      </c>
    </row>
    <row r="126" spans="1:18" ht="13.5" hidden="1" customHeight="1">
      <c r="A126" s="215" t="s">
        <v>1124</v>
      </c>
      <c r="B126" s="47" t="s">
        <v>1125</v>
      </c>
      <c r="C126" s="203" t="s">
        <v>372</v>
      </c>
      <c r="D126" s="203">
        <v>3</v>
      </c>
      <c r="E126" s="203" t="s">
        <v>324</v>
      </c>
      <c r="F126" s="204">
        <v>2</v>
      </c>
      <c r="G126" s="203" t="s">
        <v>35</v>
      </c>
      <c r="H126" s="205"/>
      <c r="I126" s="206"/>
      <c r="J126" s="206"/>
      <c r="K126" s="203" t="s">
        <v>125</v>
      </c>
      <c r="L126" s="204"/>
      <c r="M126" s="204"/>
      <c r="N126" s="286">
        <f>IF(OR(Tabelle13245689101112131415161715[[#This Row],[Pulled after Start]]="yes",Tabelle13245689101112131415161715[[#This Row],[Jira Story Points]]="-"),0,MIN(Tabelle13245689101112131415161715[[#This Row],[Jira Story Points]],Tabelle13245689101112131415161715[[#This Row],[Carry-over]]))</f>
        <v>2</v>
      </c>
      <c r="O126" s="210">
        <f>SUM(IF(ISBLANK(Tabelle13245689101112131415161715[[#This Row],[Carry-over]]),Tabelle13245689101112131415161715[[#This Row],[Jira Story Points]],Tabelle13245689101112131415161715[[#This Row],[Carry-over]]),-Tabelle13245689101112131415161715[[#This Row],[COsSP Initially Planned]])</f>
        <v>0</v>
      </c>
      <c r="P12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26" s="210">
        <f>IF(Tabelle13245689101112131415161715[[#This Row],[Status]]=$J$5,Tabelle13245689101112131415161715[[#This Row],[COsSP Initially Planned]]+Tabelle13245689101112131415161715[[#This Row],[COsSP Pulled after Start]]-Tabelle13245689101112131415161715[[#This Row],[CSOsSP Completed]],0)</f>
        <v>0</v>
      </c>
      <c r="R126" s="210">
        <f>Tabelle13245689101112131415161715[[#This Row],[COsSP Initially Planned]]+Tabelle13245689101112131415161715[[#This Row],[COsSP Pulled after Start]]-Tabelle13245689101112131415161715[[#This Row],[CSOsSP Completed]]-Tabelle13245689101112131415161715[[#This Row],[CSOsSP Removed]]</f>
        <v>0</v>
      </c>
    </row>
    <row r="127" spans="1:18" ht="13.5" hidden="1" customHeight="1">
      <c r="A127" s="215" t="s">
        <v>1126</v>
      </c>
      <c r="B127" s="47" t="s">
        <v>1127</v>
      </c>
      <c r="C127" s="203" t="s">
        <v>375</v>
      </c>
      <c r="D127" s="203">
        <v>3</v>
      </c>
      <c r="E127" s="203" t="s">
        <v>324</v>
      </c>
      <c r="F127" s="204">
        <v>2</v>
      </c>
      <c r="G127" s="203" t="s">
        <v>35</v>
      </c>
      <c r="H127" s="205"/>
      <c r="I127" s="206"/>
      <c r="J127" s="206"/>
      <c r="K127" s="203" t="s">
        <v>125</v>
      </c>
      <c r="L127" s="204"/>
      <c r="M127" s="204"/>
      <c r="N127" s="286">
        <f>IF(OR(Tabelle13245689101112131415161715[[#This Row],[Pulled after Start]]="yes",Tabelle13245689101112131415161715[[#This Row],[Jira Story Points]]="-"),0,MIN(Tabelle13245689101112131415161715[[#This Row],[Jira Story Points]],Tabelle13245689101112131415161715[[#This Row],[Carry-over]]))</f>
        <v>2</v>
      </c>
      <c r="O127" s="210">
        <f>SUM(IF(ISBLANK(Tabelle13245689101112131415161715[[#This Row],[Carry-over]]),Tabelle13245689101112131415161715[[#This Row],[Jira Story Points]],Tabelle13245689101112131415161715[[#This Row],[Carry-over]]),-Tabelle13245689101112131415161715[[#This Row],[COsSP Initially Planned]])</f>
        <v>0</v>
      </c>
      <c r="P12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27" s="210">
        <f>IF(Tabelle13245689101112131415161715[[#This Row],[Status]]=$J$5,Tabelle13245689101112131415161715[[#This Row],[COsSP Initially Planned]]+Tabelle13245689101112131415161715[[#This Row],[COsSP Pulled after Start]]-Tabelle13245689101112131415161715[[#This Row],[CSOsSP Completed]],0)</f>
        <v>0</v>
      </c>
      <c r="R127" s="210">
        <f>Tabelle13245689101112131415161715[[#This Row],[COsSP Initially Planned]]+Tabelle13245689101112131415161715[[#This Row],[COsSP Pulled after Start]]-Tabelle13245689101112131415161715[[#This Row],[CSOsSP Completed]]-Tabelle13245689101112131415161715[[#This Row],[CSOsSP Removed]]</f>
        <v>0</v>
      </c>
    </row>
    <row r="128" spans="1:18" ht="13.5" hidden="1" customHeight="1">
      <c r="A128" s="215" t="s">
        <v>582</v>
      </c>
      <c r="B128" s="47" t="s">
        <v>583</v>
      </c>
      <c r="C128" s="203" t="s">
        <v>375</v>
      </c>
      <c r="D128" s="203">
        <v>2</v>
      </c>
      <c r="E128" s="203" t="s">
        <v>637</v>
      </c>
      <c r="F128" s="204">
        <v>8</v>
      </c>
      <c r="G128" s="203" t="s">
        <v>35</v>
      </c>
      <c r="H128" s="205"/>
      <c r="I128" s="206"/>
      <c r="J128" s="206"/>
      <c r="K128" s="203" t="s">
        <v>127</v>
      </c>
      <c r="L128" s="204"/>
      <c r="M128" s="204"/>
      <c r="N128" s="286">
        <f>IF(OR(Tabelle13245689101112131415161715[[#This Row],[Pulled after Start]]="yes",Tabelle13245689101112131415161715[[#This Row],[Jira Story Points]]="-"),0,MIN(Tabelle13245689101112131415161715[[#This Row],[Jira Story Points]],Tabelle13245689101112131415161715[[#This Row],[Carry-over]]))</f>
        <v>8</v>
      </c>
      <c r="O128" s="210">
        <f>SUM(IF(ISBLANK(Tabelle13245689101112131415161715[[#This Row],[Carry-over]]),Tabelle13245689101112131415161715[[#This Row],[Jira Story Points]],Tabelle13245689101112131415161715[[#This Row],[Carry-over]]),-Tabelle13245689101112131415161715[[#This Row],[COsSP Initially Planned]])</f>
        <v>0</v>
      </c>
      <c r="P12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128" s="210">
        <f>IF(Tabelle13245689101112131415161715[[#This Row],[Status]]=$J$5,Tabelle13245689101112131415161715[[#This Row],[COsSP Initially Planned]]+Tabelle13245689101112131415161715[[#This Row],[COsSP Pulled after Start]]-Tabelle13245689101112131415161715[[#This Row],[CSOsSP Completed]],0)</f>
        <v>0</v>
      </c>
      <c r="R128" s="210">
        <f>Tabelle13245689101112131415161715[[#This Row],[COsSP Initially Planned]]+Tabelle13245689101112131415161715[[#This Row],[COsSP Pulled after Start]]-Tabelle13245689101112131415161715[[#This Row],[CSOsSP Completed]]-Tabelle13245689101112131415161715[[#This Row],[CSOsSP Removed]]</f>
        <v>8</v>
      </c>
    </row>
    <row r="129" spans="1:40" ht="13.5" hidden="1" customHeight="1">
      <c r="A129" s="214" t="s">
        <v>620</v>
      </c>
      <c r="B129" s="47" t="s">
        <v>1128</v>
      </c>
      <c r="C129" s="203" t="s">
        <v>375</v>
      </c>
      <c r="D129" s="203">
        <v>2</v>
      </c>
      <c r="E129" s="203" t="s">
        <v>637</v>
      </c>
      <c r="F129" s="204">
        <v>3</v>
      </c>
      <c r="G129" s="203" t="s">
        <v>35</v>
      </c>
      <c r="H129" s="205"/>
      <c r="I129" s="206"/>
      <c r="J129" s="206"/>
      <c r="K129" s="203" t="s">
        <v>127</v>
      </c>
      <c r="L129" s="204"/>
      <c r="M129" s="204"/>
      <c r="N129" s="286">
        <f>IF(OR(Tabelle13245689101112131415161715[[#This Row],[Pulled after Start]]="yes",Tabelle13245689101112131415161715[[#This Row],[Jira Story Points]]="-"),0,MIN(Tabelle13245689101112131415161715[[#This Row],[Jira Story Points]],Tabelle13245689101112131415161715[[#This Row],[Carry-over]]))</f>
        <v>3</v>
      </c>
      <c r="O129" s="210">
        <f>SUM(IF(ISBLANK(Tabelle13245689101112131415161715[[#This Row],[Carry-over]]),Tabelle13245689101112131415161715[[#This Row],[Jira Story Points]],Tabelle13245689101112131415161715[[#This Row],[Carry-over]]),-Tabelle13245689101112131415161715[[#This Row],[COsSP Initially Planned]])</f>
        <v>0</v>
      </c>
      <c r="P12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129" s="210">
        <f>IF(Tabelle13245689101112131415161715[[#This Row],[Status]]=$J$5,Tabelle13245689101112131415161715[[#This Row],[COsSP Initially Planned]]+Tabelle13245689101112131415161715[[#This Row],[COsSP Pulled after Start]]-Tabelle13245689101112131415161715[[#This Row],[CSOsSP Completed]],0)</f>
        <v>0</v>
      </c>
      <c r="R129" s="210">
        <f>Tabelle13245689101112131415161715[[#This Row],[COsSP Initially Planned]]+Tabelle13245689101112131415161715[[#This Row],[COsSP Pulled after Start]]-Tabelle13245689101112131415161715[[#This Row],[CSOsSP Completed]]-Tabelle13245689101112131415161715[[#This Row],[CSOsSP Removed]]</f>
        <v>3</v>
      </c>
    </row>
    <row r="130" spans="1:40" ht="13.5" hidden="1" customHeight="1">
      <c r="A130" s="214" t="s">
        <v>596</v>
      </c>
      <c r="B130" s="47" t="s">
        <v>597</v>
      </c>
      <c r="C130" s="203" t="s">
        <v>372</v>
      </c>
      <c r="D130" s="203">
        <v>3</v>
      </c>
      <c r="E130" s="203" t="s">
        <v>642</v>
      </c>
      <c r="F130" s="204">
        <v>5</v>
      </c>
      <c r="G130" s="203" t="s">
        <v>35</v>
      </c>
      <c r="H130" s="205"/>
      <c r="I130" s="206"/>
      <c r="J130" s="206"/>
      <c r="K130" s="203" t="s">
        <v>127</v>
      </c>
      <c r="L130" s="204"/>
      <c r="M130" s="204"/>
      <c r="N130" s="286">
        <f>IF(OR(Tabelle13245689101112131415161715[[#This Row],[Pulled after Start]]="yes",Tabelle13245689101112131415161715[[#This Row],[Jira Story Points]]="-"),0,MIN(Tabelle13245689101112131415161715[[#This Row],[Jira Story Points]],Tabelle13245689101112131415161715[[#This Row],[Carry-over]]))</f>
        <v>5</v>
      </c>
      <c r="O130" s="210">
        <f>SUM(IF(ISBLANK(Tabelle13245689101112131415161715[[#This Row],[Carry-over]]),Tabelle13245689101112131415161715[[#This Row],[Jira Story Points]],Tabelle13245689101112131415161715[[#This Row],[Carry-over]]),-Tabelle13245689101112131415161715[[#This Row],[COsSP Initially Planned]])</f>
        <v>0</v>
      </c>
      <c r="P13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130" s="210">
        <f>IF(Tabelle13245689101112131415161715[[#This Row],[Status]]=$J$5,Tabelle13245689101112131415161715[[#This Row],[COsSP Initially Planned]]+Tabelle13245689101112131415161715[[#This Row],[COsSP Pulled after Start]]-Tabelle13245689101112131415161715[[#This Row],[CSOsSP Completed]],0)</f>
        <v>0</v>
      </c>
      <c r="R130" s="210">
        <f>Tabelle13245689101112131415161715[[#This Row],[COsSP Initially Planned]]+Tabelle13245689101112131415161715[[#This Row],[COsSP Pulled after Start]]-Tabelle13245689101112131415161715[[#This Row],[CSOsSP Completed]]-Tabelle13245689101112131415161715[[#This Row],[CSOsSP Removed]]</f>
        <v>5</v>
      </c>
    </row>
    <row r="131" spans="1:40" ht="13.5" hidden="1" customHeight="1">
      <c r="A131" s="214" t="s">
        <v>602</v>
      </c>
      <c r="B131" s="47" t="s">
        <v>1129</v>
      </c>
      <c r="C131" s="203" t="s">
        <v>372</v>
      </c>
      <c r="D131" s="203">
        <v>3</v>
      </c>
      <c r="E131" s="203" t="s">
        <v>327</v>
      </c>
      <c r="F131" s="204">
        <v>3</v>
      </c>
      <c r="G131" s="203" t="s">
        <v>35</v>
      </c>
      <c r="H131" s="205"/>
      <c r="I131" s="206"/>
      <c r="J131" s="206"/>
      <c r="K131" s="203" t="s">
        <v>127</v>
      </c>
      <c r="L131" s="204"/>
      <c r="M131" s="204"/>
      <c r="N131" s="286">
        <f>IF(OR(Tabelle13245689101112131415161715[[#This Row],[Pulled after Start]]="yes",Tabelle13245689101112131415161715[[#This Row],[Jira Story Points]]="-"),0,MIN(Tabelle13245689101112131415161715[[#This Row],[Jira Story Points]],Tabelle13245689101112131415161715[[#This Row],[Carry-over]]))</f>
        <v>3</v>
      </c>
      <c r="O131" s="210">
        <f>SUM(IF(ISBLANK(Tabelle13245689101112131415161715[[#This Row],[Carry-over]]),Tabelle13245689101112131415161715[[#This Row],[Jira Story Points]],Tabelle13245689101112131415161715[[#This Row],[Carry-over]]),-Tabelle13245689101112131415161715[[#This Row],[COsSP Initially Planned]])</f>
        <v>0</v>
      </c>
      <c r="P131"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131" s="210">
        <f>IF(Tabelle13245689101112131415161715[[#This Row],[Status]]=$J$5,Tabelle13245689101112131415161715[[#This Row],[COsSP Initially Planned]]+Tabelle13245689101112131415161715[[#This Row],[COsSP Pulled after Start]]-Tabelle13245689101112131415161715[[#This Row],[CSOsSP Completed]],0)</f>
        <v>0</v>
      </c>
      <c r="R131" s="210">
        <f>Tabelle13245689101112131415161715[[#This Row],[COsSP Initially Planned]]+Tabelle13245689101112131415161715[[#This Row],[COsSP Pulled after Start]]-Tabelle13245689101112131415161715[[#This Row],[CSOsSP Completed]]-Tabelle13245689101112131415161715[[#This Row],[CSOsSP Removed]]</f>
        <v>3</v>
      </c>
    </row>
    <row r="132" spans="1:40" ht="13.5" hidden="1" customHeight="1">
      <c r="A132" s="214" t="s">
        <v>604</v>
      </c>
      <c r="B132" s="47" t="s">
        <v>605</v>
      </c>
      <c r="C132" s="203" t="s">
        <v>375</v>
      </c>
      <c r="D132" s="203">
        <v>1</v>
      </c>
      <c r="E132" s="203" t="s">
        <v>637</v>
      </c>
      <c r="F132" s="204">
        <v>5</v>
      </c>
      <c r="G132" s="203" t="s">
        <v>35</v>
      </c>
      <c r="H132" s="205"/>
      <c r="I132" s="206"/>
      <c r="J132" s="206"/>
      <c r="K132" s="203" t="s">
        <v>127</v>
      </c>
      <c r="L132" s="204"/>
      <c r="M132" s="204"/>
      <c r="N132" s="286">
        <f>IF(OR(Tabelle13245689101112131415161715[[#This Row],[Pulled after Start]]="yes",Tabelle13245689101112131415161715[[#This Row],[Jira Story Points]]="-"),0,MIN(Tabelle13245689101112131415161715[[#This Row],[Jira Story Points]],Tabelle13245689101112131415161715[[#This Row],[Carry-over]]))</f>
        <v>5</v>
      </c>
      <c r="O132" s="210">
        <f>SUM(IF(ISBLANK(Tabelle13245689101112131415161715[[#This Row],[Carry-over]]),Tabelle13245689101112131415161715[[#This Row],[Jira Story Points]],Tabelle13245689101112131415161715[[#This Row],[Carry-over]]),-Tabelle13245689101112131415161715[[#This Row],[COsSP Initially Planned]])</f>
        <v>0</v>
      </c>
      <c r="P13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132" s="210">
        <f>IF(Tabelle13245689101112131415161715[[#This Row],[Status]]=$J$5,Tabelle13245689101112131415161715[[#This Row],[COsSP Initially Planned]]+Tabelle13245689101112131415161715[[#This Row],[COsSP Pulled after Start]]-Tabelle13245689101112131415161715[[#This Row],[CSOsSP Completed]],0)</f>
        <v>0</v>
      </c>
      <c r="R132" s="210">
        <f>Tabelle13245689101112131415161715[[#This Row],[COsSP Initially Planned]]+Tabelle13245689101112131415161715[[#This Row],[COsSP Pulled after Start]]-Tabelle13245689101112131415161715[[#This Row],[CSOsSP Completed]]-Tabelle13245689101112131415161715[[#This Row],[CSOsSP Removed]]</f>
        <v>5</v>
      </c>
    </row>
    <row r="133" spans="1:40" ht="13.5" hidden="1" customHeight="1">
      <c r="A133" s="214" t="s">
        <v>606</v>
      </c>
      <c r="B133" s="47" t="s">
        <v>607</v>
      </c>
      <c r="C133" s="203" t="s">
        <v>375</v>
      </c>
      <c r="D133" s="203">
        <v>2</v>
      </c>
      <c r="E133" s="203" t="s">
        <v>327</v>
      </c>
      <c r="F133" s="204">
        <v>8</v>
      </c>
      <c r="G133" s="203" t="s">
        <v>35</v>
      </c>
      <c r="H133" s="205"/>
      <c r="I133" s="206"/>
      <c r="J133" s="206"/>
      <c r="K133" s="203" t="s">
        <v>127</v>
      </c>
      <c r="L133" s="204"/>
      <c r="M133" s="204"/>
      <c r="N133" s="286">
        <f>IF(OR(Tabelle13245689101112131415161715[[#This Row],[Pulled after Start]]="yes",Tabelle13245689101112131415161715[[#This Row],[Jira Story Points]]="-"),0,MIN(Tabelle13245689101112131415161715[[#This Row],[Jira Story Points]],Tabelle13245689101112131415161715[[#This Row],[Carry-over]]))</f>
        <v>8</v>
      </c>
      <c r="O133" s="210">
        <f>SUM(IF(ISBLANK(Tabelle13245689101112131415161715[[#This Row],[Carry-over]]),Tabelle13245689101112131415161715[[#This Row],[Jira Story Points]],Tabelle13245689101112131415161715[[#This Row],[Carry-over]]),-Tabelle13245689101112131415161715[[#This Row],[COsSP Initially Planned]])</f>
        <v>0</v>
      </c>
      <c r="P13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133" s="210">
        <f>IF(Tabelle13245689101112131415161715[[#This Row],[Status]]=$J$5,Tabelle13245689101112131415161715[[#This Row],[COsSP Initially Planned]]+Tabelle13245689101112131415161715[[#This Row],[COsSP Pulled after Start]]-Tabelle13245689101112131415161715[[#This Row],[CSOsSP Completed]],0)</f>
        <v>0</v>
      </c>
      <c r="R133" s="210">
        <f>Tabelle13245689101112131415161715[[#This Row],[COsSP Initially Planned]]+Tabelle13245689101112131415161715[[#This Row],[COsSP Pulled after Start]]-Tabelle13245689101112131415161715[[#This Row],[CSOsSP Completed]]-Tabelle13245689101112131415161715[[#This Row],[CSOsSP Removed]]</f>
        <v>8</v>
      </c>
    </row>
    <row r="134" spans="1:40" ht="13.5" hidden="1" customHeight="1">
      <c r="A134" s="215" t="s">
        <v>638</v>
      </c>
      <c r="B134" s="47" t="s">
        <v>639</v>
      </c>
      <c r="C134" s="203" t="s">
        <v>375</v>
      </c>
      <c r="D134" s="203">
        <v>1</v>
      </c>
      <c r="E134" s="203" t="s">
        <v>327</v>
      </c>
      <c r="F134" s="204">
        <v>3</v>
      </c>
      <c r="G134" s="203" t="s">
        <v>35</v>
      </c>
      <c r="H134" s="205" t="s">
        <v>209</v>
      </c>
      <c r="I134" s="206"/>
      <c r="J134" s="206"/>
      <c r="K134" s="203" t="s">
        <v>127</v>
      </c>
      <c r="L134" s="204"/>
      <c r="M134" s="204"/>
      <c r="N134" s="286">
        <f>IF(OR(Tabelle13245689101112131415161715[[#This Row],[Pulled after Start]]="yes",Tabelle13245689101112131415161715[[#This Row],[Jira Story Points]]="-"),0,MIN(Tabelle13245689101112131415161715[[#This Row],[Jira Story Points]],Tabelle13245689101112131415161715[[#This Row],[Carry-over]]))</f>
        <v>0</v>
      </c>
      <c r="O134" s="210">
        <f>SUM(IF(ISBLANK(Tabelle13245689101112131415161715[[#This Row],[Carry-over]]),Tabelle13245689101112131415161715[[#This Row],[Jira Story Points]],Tabelle13245689101112131415161715[[#This Row],[Carry-over]]),-Tabelle13245689101112131415161715[[#This Row],[COsSP Initially Planned]])</f>
        <v>3</v>
      </c>
      <c r="P13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134" s="210">
        <f>IF(Tabelle13245689101112131415161715[[#This Row],[Status]]=$J$5,Tabelle13245689101112131415161715[[#This Row],[COsSP Initially Planned]]+Tabelle13245689101112131415161715[[#This Row],[COsSP Pulled after Start]]-Tabelle13245689101112131415161715[[#This Row],[CSOsSP Completed]],0)</f>
        <v>0</v>
      </c>
      <c r="R134" s="210">
        <f>Tabelle13245689101112131415161715[[#This Row],[COsSP Initially Planned]]+Tabelle13245689101112131415161715[[#This Row],[COsSP Pulled after Start]]-Tabelle13245689101112131415161715[[#This Row],[CSOsSP Completed]]-Tabelle13245689101112131415161715[[#This Row],[CSOsSP Removed]]</f>
        <v>3</v>
      </c>
    </row>
    <row r="135" spans="1:40" ht="13.5" hidden="1" customHeight="1">
      <c r="A135" s="215" t="s">
        <v>608</v>
      </c>
      <c r="B135" s="47" t="s">
        <v>609</v>
      </c>
      <c r="C135" s="203" t="s">
        <v>375</v>
      </c>
      <c r="D135" s="203">
        <v>2</v>
      </c>
      <c r="E135" s="203" t="s">
        <v>327</v>
      </c>
      <c r="F135" s="204">
        <v>5</v>
      </c>
      <c r="G135" s="203" t="s">
        <v>35</v>
      </c>
      <c r="H135" s="205"/>
      <c r="I135" s="206"/>
      <c r="J135" s="206"/>
      <c r="K135" s="203" t="s">
        <v>127</v>
      </c>
      <c r="L135" s="204"/>
      <c r="M135" s="204"/>
      <c r="N135" s="286">
        <f>IF(OR(Tabelle13245689101112131415161715[[#This Row],[Pulled after Start]]="yes",Tabelle13245689101112131415161715[[#This Row],[Jira Story Points]]="-"),0,MIN(Tabelle13245689101112131415161715[[#This Row],[Jira Story Points]],Tabelle13245689101112131415161715[[#This Row],[Carry-over]]))</f>
        <v>5</v>
      </c>
      <c r="O135" s="210">
        <f>SUM(IF(ISBLANK(Tabelle13245689101112131415161715[[#This Row],[Carry-over]]),Tabelle13245689101112131415161715[[#This Row],[Jira Story Points]],Tabelle13245689101112131415161715[[#This Row],[Carry-over]]),-Tabelle13245689101112131415161715[[#This Row],[COsSP Initially Planned]])</f>
        <v>0</v>
      </c>
      <c r="P13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135" s="210">
        <f>IF(Tabelle13245689101112131415161715[[#This Row],[Status]]=$J$5,Tabelle13245689101112131415161715[[#This Row],[COsSP Initially Planned]]+Tabelle13245689101112131415161715[[#This Row],[COsSP Pulled after Start]]-Tabelle13245689101112131415161715[[#This Row],[CSOsSP Completed]],0)</f>
        <v>0</v>
      </c>
      <c r="R135" s="210">
        <f>Tabelle13245689101112131415161715[[#This Row],[COsSP Initially Planned]]+Tabelle13245689101112131415161715[[#This Row],[COsSP Pulled after Start]]-Tabelle13245689101112131415161715[[#This Row],[CSOsSP Completed]]-Tabelle13245689101112131415161715[[#This Row],[CSOsSP Removed]]</f>
        <v>5</v>
      </c>
    </row>
    <row r="136" spans="1:40" ht="13.5" hidden="1" customHeight="1">
      <c r="A136" s="215" t="s">
        <v>610</v>
      </c>
      <c r="B136" s="47" t="s">
        <v>611</v>
      </c>
      <c r="C136" s="203" t="s">
        <v>372</v>
      </c>
      <c r="D136" s="203">
        <v>1</v>
      </c>
      <c r="E136" s="203" t="s">
        <v>642</v>
      </c>
      <c r="F136" s="204">
        <v>5</v>
      </c>
      <c r="G136" s="203" t="s">
        <v>35</v>
      </c>
      <c r="H136" s="205" t="s">
        <v>209</v>
      </c>
      <c r="I136" s="206"/>
      <c r="J136" s="206"/>
      <c r="K136" s="203" t="s">
        <v>127</v>
      </c>
      <c r="L136" s="204"/>
      <c r="M136" s="204"/>
      <c r="N136" s="286">
        <f>IF(OR(Tabelle13245689101112131415161715[[#This Row],[Pulled after Start]]="yes",Tabelle13245689101112131415161715[[#This Row],[Jira Story Points]]="-"),0,MIN(Tabelle13245689101112131415161715[[#This Row],[Jira Story Points]],Tabelle13245689101112131415161715[[#This Row],[Carry-over]]))</f>
        <v>0</v>
      </c>
      <c r="O136" s="210">
        <f>SUM(IF(ISBLANK(Tabelle13245689101112131415161715[[#This Row],[Carry-over]]),Tabelle13245689101112131415161715[[#This Row],[Jira Story Points]],Tabelle13245689101112131415161715[[#This Row],[Carry-over]]),-Tabelle13245689101112131415161715[[#This Row],[COsSP Initially Planned]])</f>
        <v>5</v>
      </c>
      <c r="P13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136" s="210">
        <f>IF(Tabelle13245689101112131415161715[[#This Row],[Status]]=$J$5,Tabelle13245689101112131415161715[[#This Row],[COsSP Initially Planned]]+Tabelle13245689101112131415161715[[#This Row],[COsSP Pulled after Start]]-Tabelle13245689101112131415161715[[#This Row],[CSOsSP Completed]],0)</f>
        <v>0</v>
      </c>
      <c r="R136" s="210">
        <f>Tabelle13245689101112131415161715[[#This Row],[COsSP Initially Planned]]+Tabelle13245689101112131415161715[[#This Row],[COsSP Pulled after Start]]-Tabelle13245689101112131415161715[[#This Row],[CSOsSP Completed]]-Tabelle13245689101112131415161715[[#This Row],[CSOsSP Removed]]</f>
        <v>5</v>
      </c>
    </row>
    <row r="137" spans="1:40" s="302" customFormat="1" ht="13.5" hidden="1" customHeight="1">
      <c r="A137" s="202" t="s">
        <v>1130</v>
      </c>
      <c r="B137" s="202" t="s">
        <v>1131</v>
      </c>
      <c r="C137" s="203" t="s">
        <v>372</v>
      </c>
      <c r="D137" s="203">
        <v>3</v>
      </c>
      <c r="E137" s="203" t="s">
        <v>324</v>
      </c>
      <c r="F137" s="204">
        <v>5</v>
      </c>
      <c r="G137" s="10" t="s">
        <v>21</v>
      </c>
      <c r="H137"/>
      <c r="I137" s="206"/>
      <c r="J137" s="206"/>
      <c r="K137" s="203" t="s">
        <v>125</v>
      </c>
      <c r="L137" s="204"/>
      <c r="M137" s="204"/>
      <c r="N137" s="286">
        <f>IF(OR(Tabelle13245689101112131415161715[[#This Row],[Pulled after Start]]="yes",Tabelle13245689101112131415161715[[#This Row],[Jira Story Points]]="-"),0,MIN(Tabelle13245689101112131415161715[[#This Row],[Jira Story Points]],Tabelle13245689101112131415161715[[#This Row],[Carry-over]]))</f>
        <v>5</v>
      </c>
      <c r="O137" s="210">
        <f>SUM(IF(ISBLANK(Tabelle13245689101112131415161715[[#This Row],[Carry-over]]),Tabelle13245689101112131415161715[[#This Row],[Jira Story Points]],Tabelle13245689101112131415161715[[#This Row],[Carry-over]]),-Tabelle13245689101112131415161715[[#This Row],[COsSP Initially Planned]])</f>
        <v>0</v>
      </c>
      <c r="P13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137" s="210">
        <f>IF(Tabelle13245689101112131415161715[[#This Row],[Status]]=$J$5,Tabelle13245689101112131415161715[[#This Row],[COsSP Initially Planned]]+Tabelle13245689101112131415161715[[#This Row],[COsSP Pulled after Start]]-Tabelle13245689101112131415161715[[#This Row],[CSOsSP Completed]],0)</f>
        <v>0</v>
      </c>
      <c r="R137" s="210">
        <f>Tabelle13245689101112131415161715[[#This Row],[COsSP Initially Planned]]+Tabelle13245689101112131415161715[[#This Row],[COsSP Pulled after Start]]-Tabelle13245689101112131415161715[[#This Row],[CSOsSP Completed]]-Tabelle13245689101112131415161715[[#This Row],[CSOsSP Removed]]</f>
        <v>0</v>
      </c>
      <c r="S137" s="1"/>
      <c r="T137" s="1"/>
      <c r="U137" s="1"/>
      <c r="V137" s="1"/>
      <c r="W137" s="1"/>
      <c r="X137" s="1"/>
      <c r="Y137" s="1"/>
      <c r="Z137" s="1"/>
      <c r="AA137" s="1"/>
      <c r="AB137" s="1"/>
      <c r="AC137" s="1"/>
      <c r="AD137" s="1"/>
      <c r="AE137" s="1"/>
      <c r="AF137" s="1"/>
      <c r="AG137" s="1"/>
      <c r="AH137" s="1"/>
      <c r="AI137" s="1"/>
      <c r="AJ137" s="1"/>
      <c r="AK137" s="1"/>
      <c r="AL137" s="1"/>
      <c r="AM137" s="1"/>
      <c r="AN137" s="1"/>
    </row>
    <row r="138" spans="1:40" s="302" customFormat="1" ht="13.5" hidden="1" customHeight="1">
      <c r="A138" s="202" t="s">
        <v>691</v>
      </c>
      <c r="B138" s="202" t="s">
        <v>692</v>
      </c>
      <c r="C138" s="203" t="s">
        <v>372</v>
      </c>
      <c r="D138" s="203">
        <v>3</v>
      </c>
      <c r="E138" s="203" t="s">
        <v>324</v>
      </c>
      <c r="F138" s="204">
        <v>2</v>
      </c>
      <c r="G138" s="10" t="s">
        <v>21</v>
      </c>
      <c r="H138"/>
      <c r="I138" s="206"/>
      <c r="J138" s="206"/>
      <c r="K138" s="203" t="s">
        <v>125</v>
      </c>
      <c r="L138" s="204"/>
      <c r="M138" s="298"/>
      <c r="N138" s="286">
        <f>IF(OR(Tabelle13245689101112131415161715[[#This Row],[Pulled after Start]]="yes",Tabelle13245689101112131415161715[[#This Row],[Jira Story Points]]="-"),0,MIN(Tabelle13245689101112131415161715[[#This Row],[Jira Story Points]],Tabelle13245689101112131415161715[[#This Row],[Carry-over]]))</f>
        <v>2</v>
      </c>
      <c r="O138" s="210">
        <f>SUM(IF(ISBLANK(Tabelle13245689101112131415161715[[#This Row],[Carry-over]]),Tabelle13245689101112131415161715[[#This Row],[Jira Story Points]],Tabelle13245689101112131415161715[[#This Row],[Carry-over]]),-Tabelle13245689101112131415161715[[#This Row],[COsSP Initially Planned]])</f>
        <v>0</v>
      </c>
      <c r="P13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38" s="210">
        <f>IF(Tabelle13245689101112131415161715[[#This Row],[Status]]=$J$5,Tabelle13245689101112131415161715[[#This Row],[COsSP Initially Planned]]+Tabelle13245689101112131415161715[[#This Row],[COsSP Pulled after Start]]-Tabelle13245689101112131415161715[[#This Row],[CSOsSP Completed]],0)</f>
        <v>0</v>
      </c>
      <c r="R138" s="210">
        <f>Tabelle13245689101112131415161715[[#This Row],[COsSP Initially Planned]]+Tabelle13245689101112131415161715[[#This Row],[COsSP Pulled after Start]]-Tabelle13245689101112131415161715[[#This Row],[CSOsSP Completed]]-Tabelle13245689101112131415161715[[#This Row],[CSOsSP Removed]]</f>
        <v>0</v>
      </c>
      <c r="S138" s="1"/>
      <c r="T138" s="1"/>
      <c r="U138" s="1"/>
      <c r="V138" s="1"/>
      <c r="W138" s="1"/>
      <c r="X138" s="1"/>
      <c r="Y138" s="1"/>
      <c r="Z138" s="1"/>
      <c r="AA138" s="1"/>
      <c r="AB138" s="1"/>
      <c r="AC138" s="1"/>
      <c r="AD138" s="1"/>
      <c r="AE138" s="1"/>
      <c r="AF138" s="1"/>
      <c r="AG138" s="1"/>
      <c r="AH138" s="1"/>
      <c r="AI138" s="1"/>
      <c r="AJ138" s="1"/>
      <c r="AK138" s="1"/>
      <c r="AL138" s="1"/>
      <c r="AM138" s="1"/>
      <c r="AN138" s="1"/>
    </row>
    <row r="139" spans="1:40" ht="13.5" hidden="1" customHeight="1">
      <c r="A139" s="202" t="s">
        <v>695</v>
      </c>
      <c r="B139" s="202" t="s">
        <v>696</v>
      </c>
      <c r="C139" s="203" t="s">
        <v>375</v>
      </c>
      <c r="D139" s="203">
        <v>3</v>
      </c>
      <c r="E139" s="203" t="s">
        <v>327</v>
      </c>
      <c r="F139" s="204">
        <v>3</v>
      </c>
      <c r="G139" s="10" t="s">
        <v>21</v>
      </c>
      <c r="H139"/>
      <c r="I139" s="206"/>
      <c r="J139" s="206"/>
      <c r="K139" s="203"/>
      <c r="L139" s="204"/>
      <c r="M139" s="204"/>
      <c r="N139" s="286">
        <f>IF(OR(Tabelle13245689101112131415161715[[#This Row],[Pulled after Start]]="yes",Tabelle13245689101112131415161715[[#This Row],[Jira Story Points]]="-"),0,MIN(Tabelle13245689101112131415161715[[#This Row],[Jira Story Points]],Tabelle13245689101112131415161715[[#This Row],[Carry-over]]))</f>
        <v>3</v>
      </c>
      <c r="O139" s="210">
        <f>SUM(IF(ISBLANK(Tabelle13245689101112131415161715[[#This Row],[Carry-over]]),Tabelle13245689101112131415161715[[#This Row],[Jira Story Points]],Tabelle13245689101112131415161715[[#This Row],[Carry-over]]),-Tabelle13245689101112131415161715[[#This Row],[COsSP Initially Planned]])</f>
        <v>0</v>
      </c>
      <c r="P13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139" s="210">
        <f>IF(Tabelle13245689101112131415161715[[#This Row],[Status]]=$J$5,Tabelle13245689101112131415161715[[#This Row],[COsSP Initially Planned]]+Tabelle13245689101112131415161715[[#This Row],[COsSP Pulled after Start]]-Tabelle13245689101112131415161715[[#This Row],[CSOsSP Completed]],0)</f>
        <v>0</v>
      </c>
      <c r="R139" s="210">
        <f>Tabelle13245689101112131415161715[[#This Row],[COsSP Initially Planned]]+Tabelle13245689101112131415161715[[#This Row],[COsSP Pulled after Start]]-Tabelle13245689101112131415161715[[#This Row],[CSOsSP Completed]]-Tabelle13245689101112131415161715[[#This Row],[CSOsSP Removed]]</f>
        <v>3</v>
      </c>
    </row>
    <row r="140" spans="1:40" ht="13.5" hidden="1" customHeight="1">
      <c r="A140" s="202" t="s">
        <v>1132</v>
      </c>
      <c r="B140" s="202" t="s">
        <v>1133</v>
      </c>
      <c r="C140" s="203" t="s">
        <v>372</v>
      </c>
      <c r="D140" s="203">
        <v>3</v>
      </c>
      <c r="E140" s="203" t="s">
        <v>324</v>
      </c>
      <c r="F140" s="204">
        <v>3</v>
      </c>
      <c r="G140" s="10" t="s">
        <v>21</v>
      </c>
      <c r="H140"/>
      <c r="I140" s="206"/>
      <c r="J140" s="206"/>
      <c r="K140" s="203" t="s">
        <v>125</v>
      </c>
      <c r="L140" s="204"/>
      <c r="M140" s="204"/>
      <c r="N140" s="286">
        <f>IF(OR(Tabelle13245689101112131415161715[[#This Row],[Pulled after Start]]="yes",Tabelle13245689101112131415161715[[#This Row],[Jira Story Points]]="-"),0,MIN(Tabelle13245689101112131415161715[[#This Row],[Jira Story Points]],Tabelle13245689101112131415161715[[#This Row],[Carry-over]]))</f>
        <v>3</v>
      </c>
      <c r="O140" s="210">
        <f>SUM(IF(ISBLANK(Tabelle13245689101112131415161715[[#This Row],[Carry-over]]),Tabelle13245689101112131415161715[[#This Row],[Jira Story Points]],Tabelle13245689101112131415161715[[#This Row],[Carry-over]]),-Tabelle13245689101112131415161715[[#This Row],[COsSP Initially Planned]])</f>
        <v>0</v>
      </c>
      <c r="P14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40" s="210">
        <f>IF(Tabelle13245689101112131415161715[[#This Row],[Status]]=$J$5,Tabelle13245689101112131415161715[[#This Row],[COsSP Initially Planned]]+Tabelle13245689101112131415161715[[#This Row],[COsSP Pulled after Start]]-Tabelle13245689101112131415161715[[#This Row],[CSOsSP Completed]],0)</f>
        <v>0</v>
      </c>
      <c r="R140" s="210">
        <f>Tabelle13245689101112131415161715[[#This Row],[COsSP Initially Planned]]+Tabelle13245689101112131415161715[[#This Row],[COsSP Pulled after Start]]-Tabelle13245689101112131415161715[[#This Row],[CSOsSP Completed]]-Tabelle13245689101112131415161715[[#This Row],[CSOsSP Removed]]</f>
        <v>0</v>
      </c>
    </row>
    <row r="141" spans="1:40" ht="13.5" hidden="1" customHeight="1">
      <c r="A141" s="202" t="s">
        <v>1134</v>
      </c>
      <c r="B141" s="202" t="s">
        <v>1135</v>
      </c>
      <c r="C141" s="203" t="s">
        <v>372</v>
      </c>
      <c r="D141" s="203">
        <v>3</v>
      </c>
      <c r="E141" s="203" t="s">
        <v>324</v>
      </c>
      <c r="F141" s="204">
        <v>3</v>
      </c>
      <c r="G141" s="10" t="s">
        <v>21</v>
      </c>
      <c r="H141"/>
      <c r="I141" s="206"/>
      <c r="J141" s="206"/>
      <c r="K141" s="203" t="s">
        <v>125</v>
      </c>
      <c r="L141" s="204"/>
      <c r="M141" s="204"/>
      <c r="N141" s="286">
        <f>IF(OR(Tabelle13245689101112131415161715[[#This Row],[Pulled after Start]]="yes",Tabelle13245689101112131415161715[[#This Row],[Jira Story Points]]="-"),0,MIN(Tabelle13245689101112131415161715[[#This Row],[Jira Story Points]],Tabelle13245689101112131415161715[[#This Row],[Carry-over]]))</f>
        <v>3</v>
      </c>
      <c r="O141" s="210">
        <f>SUM(IF(ISBLANK(Tabelle13245689101112131415161715[[#This Row],[Carry-over]]),Tabelle13245689101112131415161715[[#This Row],[Jira Story Points]],Tabelle13245689101112131415161715[[#This Row],[Carry-over]]),-Tabelle13245689101112131415161715[[#This Row],[COsSP Initially Planned]])</f>
        <v>0</v>
      </c>
      <c r="P141"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41" s="210">
        <f>IF(Tabelle13245689101112131415161715[[#This Row],[Status]]=$J$5,Tabelle13245689101112131415161715[[#This Row],[COsSP Initially Planned]]+Tabelle13245689101112131415161715[[#This Row],[COsSP Pulled after Start]]-Tabelle13245689101112131415161715[[#This Row],[CSOsSP Completed]],0)</f>
        <v>0</v>
      </c>
      <c r="R141" s="210">
        <f>Tabelle13245689101112131415161715[[#This Row],[COsSP Initially Planned]]+Tabelle13245689101112131415161715[[#This Row],[COsSP Pulled after Start]]-Tabelle13245689101112131415161715[[#This Row],[CSOsSP Completed]]-Tabelle13245689101112131415161715[[#This Row],[CSOsSP Removed]]</f>
        <v>0</v>
      </c>
    </row>
    <row r="142" spans="1:40" ht="13.5" hidden="1" customHeight="1">
      <c r="A142" s="202" t="s">
        <v>1136</v>
      </c>
      <c r="B142" s="202" t="s">
        <v>1137</v>
      </c>
      <c r="C142" s="203" t="s">
        <v>372</v>
      </c>
      <c r="D142" s="203">
        <v>3</v>
      </c>
      <c r="E142" s="203" t="s">
        <v>324</v>
      </c>
      <c r="F142" s="204">
        <v>2</v>
      </c>
      <c r="G142" s="10" t="s">
        <v>21</v>
      </c>
      <c r="H142"/>
      <c r="I142" s="206"/>
      <c r="J142" s="206"/>
      <c r="K142" s="203" t="s">
        <v>125</v>
      </c>
      <c r="L142" s="204"/>
      <c r="M142" s="204"/>
      <c r="N142" s="286">
        <f>IF(OR(Tabelle13245689101112131415161715[[#This Row],[Pulled after Start]]="yes",Tabelle13245689101112131415161715[[#This Row],[Jira Story Points]]="-"),0,MIN(Tabelle13245689101112131415161715[[#This Row],[Jira Story Points]],Tabelle13245689101112131415161715[[#This Row],[Carry-over]]))</f>
        <v>2</v>
      </c>
      <c r="O142" s="210">
        <f>SUM(IF(ISBLANK(Tabelle13245689101112131415161715[[#This Row],[Carry-over]]),Tabelle13245689101112131415161715[[#This Row],[Jira Story Points]],Tabelle13245689101112131415161715[[#This Row],[Carry-over]]),-Tabelle13245689101112131415161715[[#This Row],[COsSP Initially Planned]])</f>
        <v>0</v>
      </c>
      <c r="P14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42" s="210">
        <f>IF(Tabelle13245689101112131415161715[[#This Row],[Status]]=$J$5,Tabelle13245689101112131415161715[[#This Row],[COsSP Initially Planned]]+Tabelle13245689101112131415161715[[#This Row],[COsSP Pulled after Start]]-Tabelle13245689101112131415161715[[#This Row],[CSOsSP Completed]],0)</f>
        <v>0</v>
      </c>
      <c r="R142" s="210">
        <f>Tabelle13245689101112131415161715[[#This Row],[COsSP Initially Planned]]+Tabelle13245689101112131415161715[[#This Row],[COsSP Pulled after Start]]-Tabelle13245689101112131415161715[[#This Row],[CSOsSP Completed]]-Tabelle13245689101112131415161715[[#This Row],[CSOsSP Removed]]</f>
        <v>0</v>
      </c>
    </row>
    <row r="143" spans="1:40" ht="13.5" hidden="1" customHeight="1">
      <c r="A143" s="202" t="s">
        <v>1138</v>
      </c>
      <c r="B143" s="202" t="s">
        <v>1139</v>
      </c>
      <c r="C143" s="203" t="s">
        <v>372</v>
      </c>
      <c r="D143" s="203">
        <v>3</v>
      </c>
      <c r="E143" s="203" t="s">
        <v>324</v>
      </c>
      <c r="F143" s="204">
        <v>2</v>
      </c>
      <c r="G143" s="10" t="s">
        <v>21</v>
      </c>
      <c r="H143"/>
      <c r="I143" s="206"/>
      <c r="J143" s="206"/>
      <c r="K143" s="203" t="s">
        <v>125</v>
      </c>
      <c r="L143" s="204"/>
      <c r="M143" s="204"/>
      <c r="N143" s="286">
        <f>IF(OR(Tabelle13245689101112131415161715[[#This Row],[Pulled after Start]]="yes",Tabelle13245689101112131415161715[[#This Row],[Jira Story Points]]="-"),0,MIN(Tabelle13245689101112131415161715[[#This Row],[Jira Story Points]],Tabelle13245689101112131415161715[[#This Row],[Carry-over]]))</f>
        <v>2</v>
      </c>
      <c r="O143" s="210">
        <f>SUM(IF(ISBLANK(Tabelle13245689101112131415161715[[#This Row],[Carry-over]]),Tabelle13245689101112131415161715[[#This Row],[Jira Story Points]],Tabelle13245689101112131415161715[[#This Row],[Carry-over]]),-Tabelle13245689101112131415161715[[#This Row],[COsSP Initially Planned]])</f>
        <v>0</v>
      </c>
      <c r="P14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43" s="210">
        <f>IF(Tabelle13245689101112131415161715[[#This Row],[Status]]=$J$5,Tabelle13245689101112131415161715[[#This Row],[COsSP Initially Planned]]+Tabelle13245689101112131415161715[[#This Row],[COsSP Pulled after Start]]-Tabelle13245689101112131415161715[[#This Row],[CSOsSP Completed]],0)</f>
        <v>0</v>
      </c>
      <c r="R143" s="210">
        <f>Tabelle13245689101112131415161715[[#This Row],[COsSP Initially Planned]]+Tabelle13245689101112131415161715[[#This Row],[COsSP Pulled after Start]]-Tabelle13245689101112131415161715[[#This Row],[CSOsSP Completed]]-Tabelle13245689101112131415161715[[#This Row],[CSOsSP Removed]]</f>
        <v>0</v>
      </c>
    </row>
    <row r="144" spans="1:40" ht="13.5" hidden="1" customHeight="1">
      <c r="A144" s="202" t="s">
        <v>1140</v>
      </c>
      <c r="B144" s="202" t="s">
        <v>1141</v>
      </c>
      <c r="C144" s="203" t="s">
        <v>372</v>
      </c>
      <c r="D144" s="203">
        <v>3</v>
      </c>
      <c r="E144" s="203" t="s">
        <v>324</v>
      </c>
      <c r="F144" s="204">
        <v>3</v>
      </c>
      <c r="G144" s="10" t="s">
        <v>21</v>
      </c>
      <c r="H144"/>
      <c r="I144" s="206"/>
      <c r="J144" s="206"/>
      <c r="K144" s="203" t="s">
        <v>125</v>
      </c>
      <c r="L144" s="204"/>
      <c r="M144" s="204"/>
      <c r="N144" s="286">
        <f>IF(OR(Tabelle13245689101112131415161715[[#This Row],[Pulled after Start]]="yes",Tabelle13245689101112131415161715[[#This Row],[Jira Story Points]]="-"),0,MIN(Tabelle13245689101112131415161715[[#This Row],[Jira Story Points]],Tabelle13245689101112131415161715[[#This Row],[Carry-over]]))</f>
        <v>3</v>
      </c>
      <c r="O144" s="210">
        <f>SUM(IF(ISBLANK(Tabelle13245689101112131415161715[[#This Row],[Carry-over]]),Tabelle13245689101112131415161715[[#This Row],[Jira Story Points]],Tabelle13245689101112131415161715[[#This Row],[Carry-over]]),-Tabelle13245689101112131415161715[[#This Row],[COsSP Initially Planned]])</f>
        <v>0</v>
      </c>
      <c r="P14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44" s="210">
        <f>IF(Tabelle13245689101112131415161715[[#This Row],[Status]]=$J$5,Tabelle13245689101112131415161715[[#This Row],[COsSP Initially Planned]]+Tabelle13245689101112131415161715[[#This Row],[COsSP Pulled after Start]]-Tabelle13245689101112131415161715[[#This Row],[CSOsSP Completed]],0)</f>
        <v>0</v>
      </c>
      <c r="R144" s="210">
        <f>Tabelle13245689101112131415161715[[#This Row],[COsSP Initially Planned]]+Tabelle13245689101112131415161715[[#This Row],[COsSP Pulled after Start]]-Tabelle13245689101112131415161715[[#This Row],[CSOsSP Completed]]-Tabelle13245689101112131415161715[[#This Row],[CSOsSP Removed]]</f>
        <v>0</v>
      </c>
    </row>
    <row r="145" spans="1:18" ht="13.5" hidden="1" customHeight="1">
      <c r="A145" s="202" t="s">
        <v>1142</v>
      </c>
      <c r="B145" s="202" t="s">
        <v>1143</v>
      </c>
      <c r="C145" s="203" t="s">
        <v>372</v>
      </c>
      <c r="D145" s="203">
        <v>3</v>
      </c>
      <c r="E145" s="203" t="s">
        <v>324</v>
      </c>
      <c r="F145" s="204">
        <v>3</v>
      </c>
      <c r="G145" s="10" t="s">
        <v>21</v>
      </c>
      <c r="H145"/>
      <c r="I145" s="206"/>
      <c r="J145" s="206"/>
      <c r="K145" s="203" t="s">
        <v>125</v>
      </c>
      <c r="L145" s="204"/>
      <c r="M145" s="204"/>
      <c r="N145" s="286">
        <f>IF(OR(Tabelle13245689101112131415161715[[#This Row],[Pulled after Start]]="yes",Tabelle13245689101112131415161715[[#This Row],[Jira Story Points]]="-"),0,MIN(Tabelle13245689101112131415161715[[#This Row],[Jira Story Points]],Tabelle13245689101112131415161715[[#This Row],[Carry-over]]))</f>
        <v>3</v>
      </c>
      <c r="O145" s="210">
        <f>SUM(IF(ISBLANK(Tabelle13245689101112131415161715[[#This Row],[Carry-over]]),Tabelle13245689101112131415161715[[#This Row],[Jira Story Points]],Tabelle13245689101112131415161715[[#This Row],[Carry-over]]),-Tabelle13245689101112131415161715[[#This Row],[COsSP Initially Planned]])</f>
        <v>0</v>
      </c>
      <c r="P14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45" s="210">
        <f>IF(Tabelle13245689101112131415161715[[#This Row],[Status]]=$J$5,Tabelle13245689101112131415161715[[#This Row],[COsSP Initially Planned]]+Tabelle13245689101112131415161715[[#This Row],[COsSP Pulled after Start]]-Tabelle13245689101112131415161715[[#This Row],[CSOsSP Completed]],0)</f>
        <v>0</v>
      </c>
      <c r="R145" s="210">
        <f>Tabelle13245689101112131415161715[[#This Row],[COsSP Initially Planned]]+Tabelle13245689101112131415161715[[#This Row],[COsSP Pulled after Start]]-Tabelle13245689101112131415161715[[#This Row],[CSOsSP Completed]]-Tabelle13245689101112131415161715[[#This Row],[CSOsSP Removed]]</f>
        <v>0</v>
      </c>
    </row>
    <row r="146" spans="1:18" ht="13.5" hidden="1" customHeight="1">
      <c r="A146" s="202" t="s">
        <v>1144</v>
      </c>
      <c r="B146" s="202" t="s">
        <v>1145</v>
      </c>
      <c r="C146" s="203" t="s">
        <v>372</v>
      </c>
      <c r="D146" s="203">
        <v>3</v>
      </c>
      <c r="E146" s="203" t="s">
        <v>324</v>
      </c>
      <c r="F146" s="204">
        <v>2</v>
      </c>
      <c r="G146" s="10" t="s">
        <v>21</v>
      </c>
      <c r="H146"/>
      <c r="I146" s="206"/>
      <c r="J146" s="206"/>
      <c r="K146" s="203" t="s">
        <v>125</v>
      </c>
      <c r="L146" s="204"/>
      <c r="M146" s="204"/>
      <c r="N146" s="286">
        <f>IF(OR(Tabelle13245689101112131415161715[[#This Row],[Pulled after Start]]="yes",Tabelle13245689101112131415161715[[#This Row],[Jira Story Points]]="-"),0,MIN(Tabelle13245689101112131415161715[[#This Row],[Jira Story Points]],Tabelle13245689101112131415161715[[#This Row],[Carry-over]]))</f>
        <v>2</v>
      </c>
      <c r="O146" s="210">
        <f>SUM(IF(ISBLANK(Tabelle13245689101112131415161715[[#This Row],[Carry-over]]),Tabelle13245689101112131415161715[[#This Row],[Jira Story Points]],Tabelle13245689101112131415161715[[#This Row],[Carry-over]]),-Tabelle13245689101112131415161715[[#This Row],[COsSP Initially Planned]])</f>
        <v>0</v>
      </c>
      <c r="P14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46" s="210">
        <f>IF(Tabelle13245689101112131415161715[[#This Row],[Status]]=$J$5,Tabelle13245689101112131415161715[[#This Row],[COsSP Initially Planned]]+Tabelle13245689101112131415161715[[#This Row],[COsSP Pulled after Start]]-Tabelle13245689101112131415161715[[#This Row],[CSOsSP Completed]],0)</f>
        <v>0</v>
      </c>
      <c r="R146" s="210">
        <f>Tabelle13245689101112131415161715[[#This Row],[COsSP Initially Planned]]+Tabelle13245689101112131415161715[[#This Row],[COsSP Pulled after Start]]-Tabelle13245689101112131415161715[[#This Row],[CSOsSP Completed]]-Tabelle13245689101112131415161715[[#This Row],[CSOsSP Removed]]</f>
        <v>0</v>
      </c>
    </row>
    <row r="147" spans="1:18" ht="13.5" hidden="1" customHeight="1">
      <c r="A147" s="202" t="s">
        <v>1146</v>
      </c>
      <c r="B147" s="202" t="s">
        <v>1147</v>
      </c>
      <c r="C147" s="203" t="s">
        <v>372</v>
      </c>
      <c r="D147" s="203">
        <v>3</v>
      </c>
      <c r="E147" s="203" t="s">
        <v>324</v>
      </c>
      <c r="F147" s="204">
        <v>3</v>
      </c>
      <c r="G147" s="10" t="s">
        <v>21</v>
      </c>
      <c r="H147"/>
      <c r="I147" s="206"/>
      <c r="J147" s="206"/>
      <c r="K147" s="203" t="s">
        <v>125</v>
      </c>
      <c r="L147" s="204"/>
      <c r="M147" s="204"/>
      <c r="N147" s="286">
        <f>IF(OR(Tabelle13245689101112131415161715[[#This Row],[Pulled after Start]]="yes",Tabelle13245689101112131415161715[[#This Row],[Jira Story Points]]="-"),0,MIN(Tabelle13245689101112131415161715[[#This Row],[Jira Story Points]],Tabelle13245689101112131415161715[[#This Row],[Carry-over]]))</f>
        <v>3</v>
      </c>
      <c r="O147" s="210">
        <f>SUM(IF(ISBLANK(Tabelle13245689101112131415161715[[#This Row],[Carry-over]]),Tabelle13245689101112131415161715[[#This Row],[Jira Story Points]],Tabelle13245689101112131415161715[[#This Row],[Carry-over]]),-Tabelle13245689101112131415161715[[#This Row],[COsSP Initially Planned]])</f>
        <v>0</v>
      </c>
      <c r="P14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47" s="210">
        <f>IF(Tabelle13245689101112131415161715[[#This Row],[Status]]=$J$5,Tabelle13245689101112131415161715[[#This Row],[COsSP Initially Planned]]+Tabelle13245689101112131415161715[[#This Row],[COsSP Pulled after Start]]-Tabelle13245689101112131415161715[[#This Row],[CSOsSP Completed]],0)</f>
        <v>0</v>
      </c>
      <c r="R147" s="210">
        <f>Tabelle13245689101112131415161715[[#This Row],[COsSP Initially Planned]]+Tabelle13245689101112131415161715[[#This Row],[COsSP Pulled after Start]]-Tabelle13245689101112131415161715[[#This Row],[CSOsSP Completed]]-Tabelle13245689101112131415161715[[#This Row],[CSOsSP Removed]]</f>
        <v>0</v>
      </c>
    </row>
    <row r="148" spans="1:18" ht="13.5" hidden="1" customHeight="1">
      <c r="A148" s="202" t="s">
        <v>1148</v>
      </c>
      <c r="B148" s="202" t="s">
        <v>1149</v>
      </c>
      <c r="C148" s="203" t="s">
        <v>372</v>
      </c>
      <c r="D148" s="203">
        <v>3</v>
      </c>
      <c r="E148" s="203" t="s">
        <v>324</v>
      </c>
      <c r="F148" s="204">
        <v>5</v>
      </c>
      <c r="G148" s="10" t="s">
        <v>21</v>
      </c>
      <c r="H148"/>
      <c r="I148" s="206"/>
      <c r="J148" s="206"/>
      <c r="K148" s="203" t="s">
        <v>125</v>
      </c>
      <c r="L148" s="204"/>
      <c r="M148" s="204"/>
      <c r="N148" s="286">
        <f>IF(OR(Tabelle13245689101112131415161715[[#This Row],[Pulled after Start]]="yes",Tabelle13245689101112131415161715[[#This Row],[Jira Story Points]]="-"),0,MIN(Tabelle13245689101112131415161715[[#This Row],[Jira Story Points]],Tabelle13245689101112131415161715[[#This Row],[Carry-over]]))</f>
        <v>5</v>
      </c>
      <c r="O148" s="210">
        <f>SUM(IF(ISBLANK(Tabelle13245689101112131415161715[[#This Row],[Carry-over]]),Tabelle13245689101112131415161715[[#This Row],[Jira Story Points]],Tabelle13245689101112131415161715[[#This Row],[Carry-over]]),-Tabelle13245689101112131415161715[[#This Row],[COsSP Initially Planned]])</f>
        <v>0</v>
      </c>
      <c r="P14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148" s="210">
        <f>IF(Tabelle13245689101112131415161715[[#This Row],[Status]]=$J$5,Tabelle13245689101112131415161715[[#This Row],[COsSP Initially Planned]]+Tabelle13245689101112131415161715[[#This Row],[COsSP Pulled after Start]]-Tabelle13245689101112131415161715[[#This Row],[CSOsSP Completed]],0)</f>
        <v>0</v>
      </c>
      <c r="R148" s="210">
        <f>Tabelle13245689101112131415161715[[#This Row],[COsSP Initially Planned]]+Tabelle13245689101112131415161715[[#This Row],[COsSP Pulled after Start]]-Tabelle13245689101112131415161715[[#This Row],[CSOsSP Completed]]-Tabelle13245689101112131415161715[[#This Row],[CSOsSP Removed]]</f>
        <v>0</v>
      </c>
    </row>
    <row r="149" spans="1:18" ht="13.5" hidden="1" customHeight="1">
      <c r="A149" s="202" t="s">
        <v>1150</v>
      </c>
      <c r="B149" s="202" t="s">
        <v>1151</v>
      </c>
      <c r="C149" s="203" t="s">
        <v>372</v>
      </c>
      <c r="D149" s="203">
        <v>3</v>
      </c>
      <c r="E149" s="203" t="s">
        <v>324</v>
      </c>
      <c r="F149" s="204">
        <v>5</v>
      </c>
      <c r="G149" s="10" t="s">
        <v>21</v>
      </c>
      <c r="H149"/>
      <c r="I149" s="206"/>
      <c r="J149" s="206"/>
      <c r="K149" s="203" t="s">
        <v>125</v>
      </c>
      <c r="L149" s="204"/>
      <c r="M149" s="204"/>
      <c r="N149" s="286">
        <f>IF(OR(Tabelle13245689101112131415161715[[#This Row],[Pulled after Start]]="yes",Tabelle13245689101112131415161715[[#This Row],[Jira Story Points]]="-"),0,MIN(Tabelle13245689101112131415161715[[#This Row],[Jira Story Points]],Tabelle13245689101112131415161715[[#This Row],[Carry-over]]))</f>
        <v>5</v>
      </c>
      <c r="O149" s="210">
        <f>SUM(IF(ISBLANK(Tabelle13245689101112131415161715[[#This Row],[Carry-over]]),Tabelle13245689101112131415161715[[#This Row],[Jira Story Points]],Tabelle13245689101112131415161715[[#This Row],[Carry-over]]),-Tabelle13245689101112131415161715[[#This Row],[COsSP Initially Planned]])</f>
        <v>0</v>
      </c>
      <c r="P14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149" s="210">
        <f>IF(Tabelle13245689101112131415161715[[#This Row],[Status]]=$J$5,Tabelle13245689101112131415161715[[#This Row],[COsSP Initially Planned]]+Tabelle13245689101112131415161715[[#This Row],[COsSP Pulled after Start]]-Tabelle13245689101112131415161715[[#This Row],[CSOsSP Completed]],0)</f>
        <v>0</v>
      </c>
      <c r="R149" s="210">
        <f>Tabelle13245689101112131415161715[[#This Row],[COsSP Initially Planned]]+Tabelle13245689101112131415161715[[#This Row],[COsSP Pulled after Start]]-Tabelle13245689101112131415161715[[#This Row],[CSOsSP Completed]]-Tabelle13245689101112131415161715[[#This Row],[CSOsSP Removed]]</f>
        <v>0</v>
      </c>
    </row>
    <row r="150" spans="1:18" ht="13.5" hidden="1" customHeight="1">
      <c r="A150" s="202" t="s">
        <v>1152</v>
      </c>
      <c r="B150" s="202" t="s">
        <v>1153</v>
      </c>
      <c r="C150" s="203" t="s">
        <v>372</v>
      </c>
      <c r="D150" s="203">
        <v>3</v>
      </c>
      <c r="E150" s="203" t="s">
        <v>324</v>
      </c>
      <c r="F150" s="204">
        <v>3</v>
      </c>
      <c r="G150" s="10" t="s">
        <v>21</v>
      </c>
      <c r="H150"/>
      <c r="I150" s="206"/>
      <c r="J150" s="206"/>
      <c r="K150" s="203" t="s">
        <v>125</v>
      </c>
      <c r="L150" s="204"/>
      <c r="M150" s="204"/>
      <c r="N150" s="286">
        <f>IF(OR(Tabelle13245689101112131415161715[[#This Row],[Pulled after Start]]="yes",Tabelle13245689101112131415161715[[#This Row],[Jira Story Points]]="-"),0,MIN(Tabelle13245689101112131415161715[[#This Row],[Jira Story Points]],Tabelle13245689101112131415161715[[#This Row],[Carry-over]]))</f>
        <v>3</v>
      </c>
      <c r="O150" s="210">
        <f>SUM(IF(ISBLANK(Tabelle13245689101112131415161715[[#This Row],[Carry-over]]),Tabelle13245689101112131415161715[[#This Row],[Jira Story Points]],Tabelle13245689101112131415161715[[#This Row],[Carry-over]]),-Tabelle13245689101112131415161715[[#This Row],[COsSP Initially Planned]])</f>
        <v>0</v>
      </c>
      <c r="P15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50" s="210">
        <f>IF(Tabelle13245689101112131415161715[[#This Row],[Status]]=$J$5,Tabelle13245689101112131415161715[[#This Row],[COsSP Initially Planned]]+Tabelle13245689101112131415161715[[#This Row],[COsSP Pulled after Start]]-Tabelle13245689101112131415161715[[#This Row],[CSOsSP Completed]],0)</f>
        <v>0</v>
      </c>
      <c r="R150" s="210">
        <f>Tabelle13245689101112131415161715[[#This Row],[COsSP Initially Planned]]+Tabelle13245689101112131415161715[[#This Row],[COsSP Pulled after Start]]-Tabelle13245689101112131415161715[[#This Row],[CSOsSP Completed]]-Tabelle13245689101112131415161715[[#This Row],[CSOsSP Removed]]</f>
        <v>0</v>
      </c>
    </row>
    <row r="151" spans="1:18" ht="13.5" hidden="1" customHeight="1">
      <c r="A151" s="202" t="s">
        <v>1154</v>
      </c>
      <c r="B151" s="202" t="s">
        <v>1155</v>
      </c>
      <c r="C151" s="203" t="s">
        <v>372</v>
      </c>
      <c r="D151" s="203">
        <v>3</v>
      </c>
      <c r="E151" s="203" t="s">
        <v>324</v>
      </c>
      <c r="F151" s="204">
        <v>5</v>
      </c>
      <c r="G151" s="10" t="s">
        <v>21</v>
      </c>
      <c r="H151"/>
      <c r="I151" s="206"/>
      <c r="J151" s="206"/>
      <c r="K151" s="203" t="s">
        <v>125</v>
      </c>
      <c r="L151" s="204"/>
      <c r="M151" s="204"/>
      <c r="N151" s="286">
        <f>IF(OR(Tabelle13245689101112131415161715[[#This Row],[Pulled after Start]]="yes",Tabelle13245689101112131415161715[[#This Row],[Jira Story Points]]="-"),0,MIN(Tabelle13245689101112131415161715[[#This Row],[Jira Story Points]],Tabelle13245689101112131415161715[[#This Row],[Carry-over]]))</f>
        <v>5</v>
      </c>
      <c r="O151" s="210">
        <f>SUM(IF(ISBLANK(Tabelle13245689101112131415161715[[#This Row],[Carry-over]]),Tabelle13245689101112131415161715[[#This Row],[Jira Story Points]],Tabelle13245689101112131415161715[[#This Row],[Carry-over]]),-Tabelle13245689101112131415161715[[#This Row],[COsSP Initially Planned]])</f>
        <v>0</v>
      </c>
      <c r="P151"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151" s="210">
        <f>IF(Tabelle13245689101112131415161715[[#This Row],[Status]]=$J$5,Tabelle13245689101112131415161715[[#This Row],[COsSP Initially Planned]]+Tabelle13245689101112131415161715[[#This Row],[COsSP Pulled after Start]]-Tabelle13245689101112131415161715[[#This Row],[CSOsSP Completed]],0)</f>
        <v>0</v>
      </c>
      <c r="R151" s="210">
        <f>Tabelle13245689101112131415161715[[#This Row],[COsSP Initially Planned]]+Tabelle13245689101112131415161715[[#This Row],[COsSP Pulled after Start]]-Tabelle13245689101112131415161715[[#This Row],[CSOsSP Completed]]-Tabelle13245689101112131415161715[[#This Row],[CSOsSP Removed]]</f>
        <v>0</v>
      </c>
    </row>
    <row r="152" spans="1:18" ht="13.5" hidden="1" customHeight="1">
      <c r="A152" s="202" t="s">
        <v>1156</v>
      </c>
      <c r="B152" s="202" t="s">
        <v>1157</v>
      </c>
      <c r="C152" s="203" t="s">
        <v>375</v>
      </c>
      <c r="D152" s="203">
        <v>3</v>
      </c>
      <c r="E152" s="203" t="s">
        <v>324</v>
      </c>
      <c r="F152" s="204">
        <v>3</v>
      </c>
      <c r="G152" s="10" t="s">
        <v>21</v>
      </c>
      <c r="H152"/>
      <c r="I152" s="206"/>
      <c r="J152" s="206"/>
      <c r="K152" s="203" t="s">
        <v>125</v>
      </c>
      <c r="L152" s="204"/>
      <c r="M152" s="204"/>
      <c r="N152" s="286">
        <f>IF(OR(Tabelle13245689101112131415161715[[#This Row],[Pulled after Start]]="yes",Tabelle13245689101112131415161715[[#This Row],[Jira Story Points]]="-"),0,MIN(Tabelle13245689101112131415161715[[#This Row],[Jira Story Points]],Tabelle13245689101112131415161715[[#This Row],[Carry-over]]))</f>
        <v>3</v>
      </c>
      <c r="O152" s="210">
        <f>SUM(IF(ISBLANK(Tabelle13245689101112131415161715[[#This Row],[Carry-over]]),Tabelle13245689101112131415161715[[#This Row],[Jira Story Points]],Tabelle13245689101112131415161715[[#This Row],[Carry-over]]),-Tabelle13245689101112131415161715[[#This Row],[COsSP Initially Planned]])</f>
        <v>0</v>
      </c>
      <c r="P15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52" s="210">
        <f>IF(Tabelle13245689101112131415161715[[#This Row],[Status]]=$J$5,Tabelle13245689101112131415161715[[#This Row],[COsSP Initially Planned]]+Tabelle13245689101112131415161715[[#This Row],[COsSP Pulled after Start]]-Tabelle13245689101112131415161715[[#This Row],[CSOsSP Completed]],0)</f>
        <v>0</v>
      </c>
      <c r="R152" s="210">
        <f>Tabelle13245689101112131415161715[[#This Row],[COsSP Initially Planned]]+Tabelle13245689101112131415161715[[#This Row],[COsSP Pulled after Start]]-Tabelle13245689101112131415161715[[#This Row],[CSOsSP Completed]]-Tabelle13245689101112131415161715[[#This Row],[CSOsSP Removed]]</f>
        <v>0</v>
      </c>
    </row>
    <row r="153" spans="1:18" ht="13.5" hidden="1" customHeight="1">
      <c r="A153" s="202" t="s">
        <v>697</v>
      </c>
      <c r="B153" s="202" t="s">
        <v>698</v>
      </c>
      <c r="C153" s="203" t="s">
        <v>375</v>
      </c>
      <c r="D153" s="203">
        <v>3</v>
      </c>
      <c r="E153" s="203" t="s">
        <v>288</v>
      </c>
      <c r="F153" s="204">
        <v>2</v>
      </c>
      <c r="G153" s="10" t="s">
        <v>21</v>
      </c>
      <c r="H153"/>
      <c r="I153" s="206"/>
      <c r="J153" s="206"/>
      <c r="K153" s="203"/>
      <c r="L153" s="204"/>
      <c r="M153" s="204">
        <v>1</v>
      </c>
      <c r="N153" s="286">
        <f>IF(OR(Tabelle13245689101112131415161715[[#This Row],[Pulled after Start]]="yes",Tabelle13245689101112131415161715[[#This Row],[Jira Story Points]]="-"),0,MIN(Tabelle13245689101112131415161715[[#This Row],[Jira Story Points]],Tabelle13245689101112131415161715[[#This Row],[Carry-over]]))</f>
        <v>2</v>
      </c>
      <c r="O153" s="210">
        <f>SUM(IF(ISBLANK(Tabelle13245689101112131415161715[[#This Row],[Carry-over]]),Tabelle13245689101112131415161715[[#This Row],[Jira Story Points]],Tabelle13245689101112131415161715[[#This Row],[Carry-over]]),-Tabelle13245689101112131415161715[[#This Row],[COsSP Initially Planned]])</f>
        <v>0</v>
      </c>
      <c r="P15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153" s="210">
        <f>IF(Tabelle13245689101112131415161715[[#This Row],[Status]]=$J$5,Tabelle13245689101112131415161715[[#This Row],[COsSP Initially Planned]]+Tabelle13245689101112131415161715[[#This Row],[COsSP Pulled after Start]]-Tabelle13245689101112131415161715[[#This Row],[CSOsSP Completed]],0)</f>
        <v>0</v>
      </c>
      <c r="R153" s="210">
        <f>Tabelle13245689101112131415161715[[#This Row],[COsSP Initially Planned]]+Tabelle13245689101112131415161715[[#This Row],[COsSP Pulled after Start]]-Tabelle13245689101112131415161715[[#This Row],[CSOsSP Completed]]-Tabelle13245689101112131415161715[[#This Row],[CSOsSP Removed]]</f>
        <v>1</v>
      </c>
    </row>
    <row r="154" spans="1:18" ht="13.5" hidden="1" customHeight="1">
      <c r="A154" s="202" t="s">
        <v>687</v>
      </c>
      <c r="B154" s="202" t="s">
        <v>1158</v>
      </c>
      <c r="C154" s="203" t="s">
        <v>372</v>
      </c>
      <c r="D154" s="203">
        <v>3</v>
      </c>
      <c r="E154" s="203" t="s">
        <v>288</v>
      </c>
      <c r="F154" s="204">
        <v>2</v>
      </c>
      <c r="G154" s="10" t="s">
        <v>21</v>
      </c>
      <c r="H154"/>
      <c r="I154" s="206"/>
      <c r="J154" s="206"/>
      <c r="K154" s="203"/>
      <c r="L154" s="204"/>
      <c r="M154" s="204">
        <v>1</v>
      </c>
      <c r="N154" s="286">
        <f>IF(OR(Tabelle13245689101112131415161715[[#This Row],[Pulled after Start]]="yes",Tabelle13245689101112131415161715[[#This Row],[Jira Story Points]]="-"),0,MIN(Tabelle13245689101112131415161715[[#This Row],[Jira Story Points]],Tabelle13245689101112131415161715[[#This Row],[Carry-over]]))</f>
        <v>2</v>
      </c>
      <c r="O154" s="210">
        <f>SUM(IF(ISBLANK(Tabelle13245689101112131415161715[[#This Row],[Carry-over]]),Tabelle13245689101112131415161715[[#This Row],[Jira Story Points]],Tabelle13245689101112131415161715[[#This Row],[Carry-over]]),-Tabelle13245689101112131415161715[[#This Row],[COsSP Initially Planned]])</f>
        <v>0</v>
      </c>
      <c r="P15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154" s="210">
        <f>IF(Tabelle13245689101112131415161715[[#This Row],[Status]]=$J$5,Tabelle13245689101112131415161715[[#This Row],[COsSP Initially Planned]]+Tabelle13245689101112131415161715[[#This Row],[COsSP Pulled after Start]]-Tabelle13245689101112131415161715[[#This Row],[CSOsSP Completed]],0)</f>
        <v>0</v>
      </c>
      <c r="R154" s="210">
        <f>Tabelle13245689101112131415161715[[#This Row],[COsSP Initially Planned]]+Tabelle13245689101112131415161715[[#This Row],[COsSP Pulled after Start]]-Tabelle13245689101112131415161715[[#This Row],[CSOsSP Completed]]-Tabelle13245689101112131415161715[[#This Row],[CSOsSP Removed]]</f>
        <v>1</v>
      </c>
    </row>
    <row r="155" spans="1:18" ht="13.5" hidden="1" customHeight="1">
      <c r="A155" s="202" t="s">
        <v>693</v>
      </c>
      <c r="B155" s="202" t="s">
        <v>1159</v>
      </c>
      <c r="C155" s="203" t="s">
        <v>372</v>
      </c>
      <c r="D155" s="203">
        <v>3</v>
      </c>
      <c r="E155" s="203" t="s">
        <v>1160</v>
      </c>
      <c r="F155" s="204">
        <v>5</v>
      </c>
      <c r="G155" s="10" t="s">
        <v>21</v>
      </c>
      <c r="H155"/>
      <c r="I155" s="206"/>
      <c r="J155" s="206"/>
      <c r="K155" s="203"/>
      <c r="L155" s="204"/>
      <c r="M155" s="204"/>
      <c r="N155" s="286">
        <f>IF(OR(Tabelle13245689101112131415161715[[#This Row],[Pulled after Start]]="yes",Tabelle13245689101112131415161715[[#This Row],[Jira Story Points]]="-"),0,MIN(Tabelle13245689101112131415161715[[#This Row],[Jira Story Points]],Tabelle13245689101112131415161715[[#This Row],[Carry-over]]))</f>
        <v>5</v>
      </c>
      <c r="O155" s="210">
        <f>SUM(IF(ISBLANK(Tabelle13245689101112131415161715[[#This Row],[Carry-over]]),Tabelle13245689101112131415161715[[#This Row],[Jira Story Points]],Tabelle13245689101112131415161715[[#This Row],[Carry-over]]),-Tabelle13245689101112131415161715[[#This Row],[COsSP Initially Planned]])</f>
        <v>0</v>
      </c>
      <c r="P15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155" s="210">
        <f>IF(Tabelle13245689101112131415161715[[#This Row],[Status]]=$J$5,Tabelle13245689101112131415161715[[#This Row],[COsSP Initially Planned]]+Tabelle13245689101112131415161715[[#This Row],[COsSP Pulled after Start]]-Tabelle13245689101112131415161715[[#This Row],[CSOsSP Completed]],0)</f>
        <v>0</v>
      </c>
      <c r="R155" s="210">
        <f>Tabelle13245689101112131415161715[[#This Row],[COsSP Initially Planned]]+Tabelle13245689101112131415161715[[#This Row],[COsSP Pulled after Start]]-Tabelle13245689101112131415161715[[#This Row],[CSOsSP Completed]]-Tabelle13245689101112131415161715[[#This Row],[CSOsSP Removed]]</f>
        <v>5</v>
      </c>
    </row>
    <row r="156" spans="1:18" ht="13.5" hidden="1" customHeight="1">
      <c r="A156" s="202" t="s">
        <v>1161</v>
      </c>
      <c r="B156" s="202" t="s">
        <v>1162</v>
      </c>
      <c r="C156" s="203" t="s">
        <v>372</v>
      </c>
      <c r="D156" s="203">
        <v>3</v>
      </c>
      <c r="E156" s="203" t="s">
        <v>324</v>
      </c>
      <c r="F156" s="204">
        <v>8</v>
      </c>
      <c r="G156" s="10" t="s">
        <v>21</v>
      </c>
      <c r="H156"/>
      <c r="I156" s="206"/>
      <c r="J156" s="206"/>
      <c r="K156" s="203" t="s">
        <v>125</v>
      </c>
      <c r="L156" s="204"/>
      <c r="M156" s="204"/>
      <c r="N156" s="286">
        <f>IF(OR(Tabelle13245689101112131415161715[[#This Row],[Pulled after Start]]="yes",Tabelle13245689101112131415161715[[#This Row],[Jira Story Points]]="-"),0,MIN(Tabelle13245689101112131415161715[[#This Row],[Jira Story Points]],Tabelle13245689101112131415161715[[#This Row],[Carry-over]]))</f>
        <v>8</v>
      </c>
      <c r="O156" s="210">
        <f>SUM(IF(ISBLANK(Tabelle13245689101112131415161715[[#This Row],[Carry-over]]),Tabelle13245689101112131415161715[[#This Row],[Jira Story Points]],Tabelle13245689101112131415161715[[#This Row],[Carry-over]]),-Tabelle13245689101112131415161715[[#This Row],[COsSP Initially Planned]])</f>
        <v>0</v>
      </c>
      <c r="P15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8</v>
      </c>
      <c r="Q156" s="210">
        <f>IF(Tabelle13245689101112131415161715[[#This Row],[Status]]=$J$5,Tabelle13245689101112131415161715[[#This Row],[COsSP Initially Planned]]+Tabelle13245689101112131415161715[[#This Row],[COsSP Pulled after Start]]-Tabelle13245689101112131415161715[[#This Row],[CSOsSP Completed]],0)</f>
        <v>0</v>
      </c>
      <c r="R156" s="210">
        <f>Tabelle13245689101112131415161715[[#This Row],[COsSP Initially Planned]]+Tabelle13245689101112131415161715[[#This Row],[COsSP Pulled after Start]]-Tabelle13245689101112131415161715[[#This Row],[CSOsSP Completed]]-Tabelle13245689101112131415161715[[#This Row],[CSOsSP Removed]]</f>
        <v>0</v>
      </c>
    </row>
    <row r="157" spans="1:18" ht="13.5" hidden="1" customHeight="1">
      <c r="A157" s="202" t="s">
        <v>1163</v>
      </c>
      <c r="B157" s="202" t="s">
        <v>1164</v>
      </c>
      <c r="C157" s="203" t="s">
        <v>372</v>
      </c>
      <c r="D157" s="203">
        <v>3</v>
      </c>
      <c r="E157" s="203" t="s">
        <v>324</v>
      </c>
      <c r="F157" s="204">
        <v>3</v>
      </c>
      <c r="G157" s="10" t="s">
        <v>21</v>
      </c>
      <c r="H157"/>
      <c r="I157" s="206"/>
      <c r="J157" s="206"/>
      <c r="K157" s="203" t="s">
        <v>125</v>
      </c>
      <c r="L157" s="204"/>
      <c r="M157" s="204"/>
      <c r="N157" s="286">
        <f>IF(OR(Tabelle13245689101112131415161715[[#This Row],[Pulled after Start]]="yes",Tabelle13245689101112131415161715[[#This Row],[Jira Story Points]]="-"),0,MIN(Tabelle13245689101112131415161715[[#This Row],[Jira Story Points]],Tabelle13245689101112131415161715[[#This Row],[Carry-over]]))</f>
        <v>3</v>
      </c>
      <c r="O157" s="210">
        <f>SUM(IF(ISBLANK(Tabelle13245689101112131415161715[[#This Row],[Carry-over]]),Tabelle13245689101112131415161715[[#This Row],[Jira Story Points]],Tabelle13245689101112131415161715[[#This Row],[Carry-over]]),-Tabelle13245689101112131415161715[[#This Row],[COsSP Initially Planned]])</f>
        <v>0</v>
      </c>
      <c r="P15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57" s="210">
        <f>IF(Tabelle13245689101112131415161715[[#This Row],[Status]]=$J$5,Tabelle13245689101112131415161715[[#This Row],[COsSP Initially Planned]]+Tabelle13245689101112131415161715[[#This Row],[COsSP Pulled after Start]]-Tabelle13245689101112131415161715[[#This Row],[CSOsSP Completed]],0)</f>
        <v>0</v>
      </c>
      <c r="R157" s="210">
        <f>Tabelle13245689101112131415161715[[#This Row],[COsSP Initially Planned]]+Tabelle13245689101112131415161715[[#This Row],[COsSP Pulled after Start]]-Tabelle13245689101112131415161715[[#This Row],[CSOsSP Completed]]-Tabelle13245689101112131415161715[[#This Row],[CSOsSP Removed]]</f>
        <v>0</v>
      </c>
    </row>
    <row r="158" spans="1:18" ht="13.5" hidden="1" customHeight="1">
      <c r="A158" s="202" t="s">
        <v>1165</v>
      </c>
      <c r="B158" s="202" t="s">
        <v>1166</v>
      </c>
      <c r="C158" s="203" t="s">
        <v>372</v>
      </c>
      <c r="D158" s="203">
        <v>3</v>
      </c>
      <c r="E158" s="203" t="s">
        <v>324</v>
      </c>
      <c r="F158" s="204">
        <v>3</v>
      </c>
      <c r="G158" s="10" t="s">
        <v>21</v>
      </c>
      <c r="H158"/>
      <c r="I158" s="206"/>
      <c r="J158" s="206"/>
      <c r="K158" s="203" t="s">
        <v>125</v>
      </c>
      <c r="L158" s="204"/>
      <c r="M158" s="204"/>
      <c r="N158" s="286">
        <f>IF(OR(Tabelle13245689101112131415161715[[#This Row],[Pulled after Start]]="yes",Tabelle13245689101112131415161715[[#This Row],[Jira Story Points]]="-"),0,MIN(Tabelle13245689101112131415161715[[#This Row],[Jira Story Points]],Tabelle13245689101112131415161715[[#This Row],[Carry-over]]))</f>
        <v>3</v>
      </c>
      <c r="O158" s="210">
        <f>SUM(IF(ISBLANK(Tabelle13245689101112131415161715[[#This Row],[Carry-over]]),Tabelle13245689101112131415161715[[#This Row],[Jira Story Points]],Tabelle13245689101112131415161715[[#This Row],[Carry-over]]),-Tabelle13245689101112131415161715[[#This Row],[COsSP Initially Planned]])</f>
        <v>0</v>
      </c>
      <c r="P15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58" s="210">
        <f>IF(Tabelle13245689101112131415161715[[#This Row],[Status]]=$J$5,Tabelle13245689101112131415161715[[#This Row],[COsSP Initially Planned]]+Tabelle13245689101112131415161715[[#This Row],[COsSP Pulled after Start]]-Tabelle13245689101112131415161715[[#This Row],[CSOsSP Completed]],0)</f>
        <v>0</v>
      </c>
      <c r="R158" s="210">
        <f>Tabelle13245689101112131415161715[[#This Row],[COsSP Initially Planned]]+Tabelle13245689101112131415161715[[#This Row],[COsSP Pulled after Start]]-Tabelle13245689101112131415161715[[#This Row],[CSOsSP Completed]]-Tabelle13245689101112131415161715[[#This Row],[CSOsSP Removed]]</f>
        <v>0</v>
      </c>
    </row>
    <row r="159" spans="1:18" ht="13.5" hidden="1" customHeight="1">
      <c r="A159" s="202" t="s">
        <v>715</v>
      </c>
      <c r="B159" s="202" t="s">
        <v>690</v>
      </c>
      <c r="C159" s="203" t="s">
        <v>372</v>
      </c>
      <c r="D159" s="203">
        <v>3</v>
      </c>
      <c r="E159" s="203" t="s">
        <v>1160</v>
      </c>
      <c r="F159" s="204">
        <v>2</v>
      </c>
      <c r="G159" s="10" t="s">
        <v>21</v>
      </c>
      <c r="H159"/>
      <c r="I159" s="206"/>
      <c r="J159" s="206"/>
      <c r="K159" s="203"/>
      <c r="L159" s="204"/>
      <c r="M159" s="204"/>
      <c r="N159" s="286">
        <f>IF(OR(Tabelle13245689101112131415161715[[#This Row],[Pulled after Start]]="yes",Tabelle13245689101112131415161715[[#This Row],[Jira Story Points]]="-"),0,MIN(Tabelle13245689101112131415161715[[#This Row],[Jira Story Points]],Tabelle13245689101112131415161715[[#This Row],[Carry-over]]))</f>
        <v>2</v>
      </c>
      <c r="O159" s="210">
        <f>SUM(IF(ISBLANK(Tabelle13245689101112131415161715[[#This Row],[Carry-over]]),Tabelle13245689101112131415161715[[#This Row],[Jira Story Points]],Tabelle13245689101112131415161715[[#This Row],[Carry-over]]),-Tabelle13245689101112131415161715[[#This Row],[COsSP Initially Planned]])</f>
        <v>0</v>
      </c>
      <c r="P15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159" s="210">
        <f>IF(Tabelle13245689101112131415161715[[#This Row],[Status]]=$J$5,Tabelle13245689101112131415161715[[#This Row],[COsSP Initially Planned]]+Tabelle13245689101112131415161715[[#This Row],[COsSP Pulled after Start]]-Tabelle13245689101112131415161715[[#This Row],[CSOsSP Completed]],0)</f>
        <v>0</v>
      </c>
      <c r="R159" s="210">
        <f>Tabelle13245689101112131415161715[[#This Row],[COsSP Initially Planned]]+Tabelle13245689101112131415161715[[#This Row],[COsSP Pulled after Start]]-Tabelle13245689101112131415161715[[#This Row],[CSOsSP Completed]]-Tabelle13245689101112131415161715[[#This Row],[CSOsSP Removed]]</f>
        <v>2</v>
      </c>
    </row>
    <row r="160" spans="1:18" ht="13.5" hidden="1" customHeight="1">
      <c r="A160" s="202" t="s">
        <v>1167</v>
      </c>
      <c r="B160" s="202" t="s">
        <v>690</v>
      </c>
      <c r="C160" s="203" t="s">
        <v>372</v>
      </c>
      <c r="D160" s="203">
        <v>3</v>
      </c>
      <c r="E160" s="203" t="s">
        <v>324</v>
      </c>
      <c r="F160" s="204">
        <v>8</v>
      </c>
      <c r="G160" s="10" t="s">
        <v>21</v>
      </c>
      <c r="H160"/>
      <c r="I160" s="206"/>
      <c r="J160" s="206"/>
      <c r="K160" s="203" t="s">
        <v>125</v>
      </c>
      <c r="L160" s="204"/>
      <c r="M160" s="204"/>
      <c r="N160" s="286">
        <f>IF(OR(Tabelle13245689101112131415161715[[#This Row],[Pulled after Start]]="yes",Tabelle13245689101112131415161715[[#This Row],[Jira Story Points]]="-"),0,MIN(Tabelle13245689101112131415161715[[#This Row],[Jira Story Points]],Tabelle13245689101112131415161715[[#This Row],[Carry-over]]))</f>
        <v>8</v>
      </c>
      <c r="O160" s="210">
        <f>SUM(IF(ISBLANK(Tabelle13245689101112131415161715[[#This Row],[Carry-over]]),Tabelle13245689101112131415161715[[#This Row],[Jira Story Points]],Tabelle13245689101112131415161715[[#This Row],[Carry-over]]),-Tabelle13245689101112131415161715[[#This Row],[COsSP Initially Planned]])</f>
        <v>0</v>
      </c>
      <c r="P16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8</v>
      </c>
      <c r="Q160" s="210">
        <f>IF(Tabelle13245689101112131415161715[[#This Row],[Status]]=$J$5,Tabelle13245689101112131415161715[[#This Row],[COsSP Initially Planned]]+Tabelle13245689101112131415161715[[#This Row],[COsSP Pulled after Start]]-Tabelle13245689101112131415161715[[#This Row],[CSOsSP Completed]],0)</f>
        <v>0</v>
      </c>
      <c r="R160" s="210">
        <f>Tabelle13245689101112131415161715[[#This Row],[COsSP Initially Planned]]+Tabelle13245689101112131415161715[[#This Row],[COsSP Pulled after Start]]-Tabelle13245689101112131415161715[[#This Row],[CSOsSP Completed]]-Tabelle13245689101112131415161715[[#This Row],[CSOsSP Removed]]</f>
        <v>0</v>
      </c>
    </row>
    <row r="161" spans="1:18" ht="13.5" hidden="1" customHeight="1">
      <c r="A161" s="202" t="s">
        <v>1168</v>
      </c>
      <c r="B161" s="202" t="s">
        <v>690</v>
      </c>
      <c r="C161" s="203" t="s">
        <v>372</v>
      </c>
      <c r="D161" s="203">
        <v>3</v>
      </c>
      <c r="E161" s="203" t="s">
        <v>288</v>
      </c>
      <c r="F161" s="204">
        <v>2</v>
      </c>
      <c r="G161" s="10" t="s">
        <v>21</v>
      </c>
      <c r="H161"/>
      <c r="I161" s="206"/>
      <c r="J161" s="206"/>
      <c r="K161" s="203"/>
      <c r="L161" s="204"/>
      <c r="M161" s="204">
        <v>1</v>
      </c>
      <c r="N161" s="286">
        <f>IF(OR(Tabelle13245689101112131415161715[[#This Row],[Pulled after Start]]="yes",Tabelle13245689101112131415161715[[#This Row],[Jira Story Points]]="-"),0,MIN(Tabelle13245689101112131415161715[[#This Row],[Jira Story Points]],Tabelle13245689101112131415161715[[#This Row],[Carry-over]]))</f>
        <v>2</v>
      </c>
      <c r="O161" s="210">
        <f>SUM(IF(ISBLANK(Tabelle13245689101112131415161715[[#This Row],[Carry-over]]),Tabelle13245689101112131415161715[[#This Row],[Jira Story Points]],Tabelle13245689101112131415161715[[#This Row],[Carry-over]]),-Tabelle13245689101112131415161715[[#This Row],[COsSP Initially Planned]])</f>
        <v>0</v>
      </c>
      <c r="P161"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161" s="210">
        <f>IF(Tabelle13245689101112131415161715[[#This Row],[Status]]=$J$5,Tabelle13245689101112131415161715[[#This Row],[COsSP Initially Planned]]+Tabelle13245689101112131415161715[[#This Row],[COsSP Pulled after Start]]-Tabelle13245689101112131415161715[[#This Row],[CSOsSP Completed]],0)</f>
        <v>0</v>
      </c>
      <c r="R161" s="210">
        <f>Tabelle13245689101112131415161715[[#This Row],[COsSP Initially Planned]]+Tabelle13245689101112131415161715[[#This Row],[COsSP Pulled after Start]]-Tabelle13245689101112131415161715[[#This Row],[CSOsSP Completed]]-Tabelle13245689101112131415161715[[#This Row],[CSOsSP Removed]]</f>
        <v>1</v>
      </c>
    </row>
    <row r="162" spans="1:18" ht="13.5" hidden="1" customHeight="1">
      <c r="A162" s="202" t="s">
        <v>836</v>
      </c>
      <c r="B162" s="202" t="s">
        <v>690</v>
      </c>
      <c r="C162" s="203" t="s">
        <v>372</v>
      </c>
      <c r="D162" s="203">
        <v>3</v>
      </c>
      <c r="E162" s="203" t="s">
        <v>288</v>
      </c>
      <c r="F162" s="204">
        <v>3</v>
      </c>
      <c r="G162" s="10" t="s">
        <v>21</v>
      </c>
      <c r="H162"/>
      <c r="I162" s="206"/>
      <c r="J162" s="206"/>
      <c r="K162" s="203"/>
      <c r="L162" s="204"/>
      <c r="M162" s="204">
        <v>2</v>
      </c>
      <c r="N162" s="286">
        <f>IF(OR(Tabelle13245689101112131415161715[[#This Row],[Pulled after Start]]="yes",Tabelle13245689101112131415161715[[#This Row],[Jira Story Points]]="-"),0,MIN(Tabelle13245689101112131415161715[[#This Row],[Jira Story Points]],Tabelle13245689101112131415161715[[#This Row],[Carry-over]]))</f>
        <v>3</v>
      </c>
      <c r="O162" s="210">
        <f>SUM(IF(ISBLANK(Tabelle13245689101112131415161715[[#This Row],[Carry-over]]),Tabelle13245689101112131415161715[[#This Row],[Jira Story Points]],Tabelle13245689101112131415161715[[#This Row],[Carry-over]]),-Tabelle13245689101112131415161715[[#This Row],[COsSP Initially Planned]])</f>
        <v>0</v>
      </c>
      <c r="P16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162" s="210">
        <f>IF(Tabelle13245689101112131415161715[[#This Row],[Status]]=$J$5,Tabelle13245689101112131415161715[[#This Row],[COsSP Initially Planned]]+Tabelle13245689101112131415161715[[#This Row],[COsSP Pulled after Start]]-Tabelle13245689101112131415161715[[#This Row],[CSOsSP Completed]],0)</f>
        <v>0</v>
      </c>
      <c r="R162" s="210">
        <f>Tabelle13245689101112131415161715[[#This Row],[COsSP Initially Planned]]+Tabelle13245689101112131415161715[[#This Row],[COsSP Pulled after Start]]-Tabelle13245689101112131415161715[[#This Row],[CSOsSP Completed]]-Tabelle13245689101112131415161715[[#This Row],[CSOsSP Removed]]</f>
        <v>2</v>
      </c>
    </row>
    <row r="163" spans="1:18" ht="13.5" hidden="1" customHeight="1">
      <c r="A163" s="202" t="s">
        <v>1169</v>
      </c>
      <c r="B163" s="202" t="s">
        <v>1170</v>
      </c>
      <c r="C163" s="203" t="s">
        <v>372</v>
      </c>
      <c r="D163" s="203">
        <v>3</v>
      </c>
      <c r="E163" s="203" t="s">
        <v>324</v>
      </c>
      <c r="F163" s="204">
        <v>1</v>
      </c>
      <c r="G163" s="10" t="s">
        <v>21</v>
      </c>
      <c r="H163"/>
      <c r="I163" s="206"/>
      <c r="J163" s="206"/>
      <c r="K163" s="203" t="s">
        <v>125</v>
      </c>
      <c r="L163" s="204"/>
      <c r="M163" s="204"/>
      <c r="N163" s="286">
        <f>IF(OR(Tabelle13245689101112131415161715[[#This Row],[Pulled after Start]]="yes",Tabelle13245689101112131415161715[[#This Row],[Jira Story Points]]="-"),0,MIN(Tabelle13245689101112131415161715[[#This Row],[Jira Story Points]],Tabelle13245689101112131415161715[[#This Row],[Carry-over]]))</f>
        <v>1</v>
      </c>
      <c r="O163" s="210">
        <f>SUM(IF(ISBLANK(Tabelle13245689101112131415161715[[#This Row],[Carry-over]]),Tabelle13245689101112131415161715[[#This Row],[Jira Story Points]],Tabelle13245689101112131415161715[[#This Row],[Carry-over]]),-Tabelle13245689101112131415161715[[#This Row],[COsSP Initially Planned]])</f>
        <v>0</v>
      </c>
      <c r="P16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163" s="210">
        <f>IF(Tabelle13245689101112131415161715[[#This Row],[Status]]=$J$5,Tabelle13245689101112131415161715[[#This Row],[COsSP Initially Planned]]+Tabelle13245689101112131415161715[[#This Row],[COsSP Pulled after Start]]-Tabelle13245689101112131415161715[[#This Row],[CSOsSP Completed]],0)</f>
        <v>0</v>
      </c>
      <c r="R163" s="210">
        <f>Tabelle13245689101112131415161715[[#This Row],[COsSP Initially Planned]]+Tabelle13245689101112131415161715[[#This Row],[COsSP Pulled after Start]]-Tabelle13245689101112131415161715[[#This Row],[CSOsSP Completed]]-Tabelle13245689101112131415161715[[#This Row],[CSOsSP Removed]]</f>
        <v>0</v>
      </c>
    </row>
    <row r="164" spans="1:18" ht="13.5" hidden="1" customHeight="1">
      <c r="A164" s="202" t="s">
        <v>1171</v>
      </c>
      <c r="B164" s="202" t="s">
        <v>1172</v>
      </c>
      <c r="C164" s="203" t="s">
        <v>372</v>
      </c>
      <c r="D164" s="203">
        <v>3</v>
      </c>
      <c r="E164" s="203" t="s">
        <v>324</v>
      </c>
      <c r="F164" s="204">
        <v>3</v>
      </c>
      <c r="G164" s="10" t="s">
        <v>21</v>
      </c>
      <c r="H164"/>
      <c r="I164" s="206"/>
      <c r="J164" s="206"/>
      <c r="K164" s="203" t="s">
        <v>125</v>
      </c>
      <c r="L164" s="204"/>
      <c r="M164" s="204"/>
      <c r="N164" s="286">
        <f>IF(OR(Tabelle13245689101112131415161715[[#This Row],[Pulled after Start]]="yes",Tabelle13245689101112131415161715[[#This Row],[Jira Story Points]]="-"),0,MIN(Tabelle13245689101112131415161715[[#This Row],[Jira Story Points]],Tabelle13245689101112131415161715[[#This Row],[Carry-over]]))</f>
        <v>3</v>
      </c>
      <c r="O164" s="210">
        <f>SUM(IF(ISBLANK(Tabelle13245689101112131415161715[[#This Row],[Carry-over]]),Tabelle13245689101112131415161715[[#This Row],[Jira Story Points]],Tabelle13245689101112131415161715[[#This Row],[Carry-over]]),-Tabelle13245689101112131415161715[[#This Row],[COsSP Initially Planned]])</f>
        <v>0</v>
      </c>
      <c r="P16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64" s="210">
        <f>IF(Tabelle13245689101112131415161715[[#This Row],[Status]]=$J$5,Tabelle13245689101112131415161715[[#This Row],[COsSP Initially Planned]]+Tabelle13245689101112131415161715[[#This Row],[COsSP Pulled after Start]]-Tabelle13245689101112131415161715[[#This Row],[CSOsSP Completed]],0)</f>
        <v>0</v>
      </c>
      <c r="R164" s="210">
        <f>Tabelle13245689101112131415161715[[#This Row],[COsSP Initially Planned]]+Tabelle13245689101112131415161715[[#This Row],[COsSP Pulled after Start]]-Tabelle13245689101112131415161715[[#This Row],[CSOsSP Completed]]-Tabelle13245689101112131415161715[[#This Row],[CSOsSP Removed]]</f>
        <v>0</v>
      </c>
    </row>
    <row r="165" spans="1:18" ht="13.5" hidden="1" customHeight="1">
      <c r="A165" s="202" t="s">
        <v>1173</v>
      </c>
      <c r="B165" s="202" t="s">
        <v>1174</v>
      </c>
      <c r="C165" s="203" t="s">
        <v>372</v>
      </c>
      <c r="D165" s="203">
        <v>3</v>
      </c>
      <c r="E165" s="203" t="s">
        <v>324</v>
      </c>
      <c r="F165" s="204">
        <v>1</v>
      </c>
      <c r="G165" s="10" t="s">
        <v>21</v>
      </c>
      <c r="H165"/>
      <c r="I165" s="206"/>
      <c r="J165" s="206"/>
      <c r="K165" s="203" t="s">
        <v>125</v>
      </c>
      <c r="L165" s="204"/>
      <c r="M165" s="204"/>
      <c r="N165" s="286">
        <f>IF(OR(Tabelle13245689101112131415161715[[#This Row],[Pulled after Start]]="yes",Tabelle13245689101112131415161715[[#This Row],[Jira Story Points]]="-"),0,MIN(Tabelle13245689101112131415161715[[#This Row],[Jira Story Points]],Tabelle13245689101112131415161715[[#This Row],[Carry-over]]))</f>
        <v>1</v>
      </c>
      <c r="O165" s="210">
        <f>SUM(IF(ISBLANK(Tabelle13245689101112131415161715[[#This Row],[Carry-over]]),Tabelle13245689101112131415161715[[#This Row],[Jira Story Points]],Tabelle13245689101112131415161715[[#This Row],[Carry-over]]),-Tabelle13245689101112131415161715[[#This Row],[COsSP Initially Planned]])</f>
        <v>0</v>
      </c>
      <c r="P16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165" s="210">
        <f>IF(Tabelle13245689101112131415161715[[#This Row],[Status]]=$J$5,Tabelle13245689101112131415161715[[#This Row],[COsSP Initially Planned]]+Tabelle13245689101112131415161715[[#This Row],[COsSP Pulled after Start]]-Tabelle13245689101112131415161715[[#This Row],[CSOsSP Completed]],0)</f>
        <v>0</v>
      </c>
      <c r="R165" s="210">
        <f>Tabelle13245689101112131415161715[[#This Row],[COsSP Initially Planned]]+Tabelle13245689101112131415161715[[#This Row],[COsSP Pulled after Start]]-Tabelle13245689101112131415161715[[#This Row],[CSOsSP Completed]]-Tabelle13245689101112131415161715[[#This Row],[CSOsSP Removed]]</f>
        <v>0</v>
      </c>
    </row>
    <row r="166" spans="1:18" ht="13.5" hidden="1" customHeight="1">
      <c r="A166" s="202" t="s">
        <v>1175</v>
      </c>
      <c r="B166" s="202" t="s">
        <v>1176</v>
      </c>
      <c r="C166" s="203" t="s">
        <v>372</v>
      </c>
      <c r="D166" s="203">
        <v>3</v>
      </c>
      <c r="E166" s="203" t="s">
        <v>324</v>
      </c>
      <c r="F166" s="204">
        <v>2</v>
      </c>
      <c r="G166" s="10" t="s">
        <v>21</v>
      </c>
      <c r="H166"/>
      <c r="I166" s="206"/>
      <c r="J166" s="206"/>
      <c r="K166" s="203" t="s">
        <v>125</v>
      </c>
      <c r="L166" s="204"/>
      <c r="M166" s="204"/>
      <c r="N166" s="286">
        <f>IF(OR(Tabelle13245689101112131415161715[[#This Row],[Pulled after Start]]="yes",Tabelle13245689101112131415161715[[#This Row],[Jira Story Points]]="-"),0,MIN(Tabelle13245689101112131415161715[[#This Row],[Jira Story Points]],Tabelle13245689101112131415161715[[#This Row],[Carry-over]]))</f>
        <v>2</v>
      </c>
      <c r="O166" s="210">
        <f>SUM(IF(ISBLANK(Tabelle13245689101112131415161715[[#This Row],[Carry-over]]),Tabelle13245689101112131415161715[[#This Row],[Jira Story Points]],Tabelle13245689101112131415161715[[#This Row],[Carry-over]]),-Tabelle13245689101112131415161715[[#This Row],[COsSP Initially Planned]])</f>
        <v>0</v>
      </c>
      <c r="P16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66" s="210">
        <f>IF(Tabelle13245689101112131415161715[[#This Row],[Status]]=$J$5,Tabelle13245689101112131415161715[[#This Row],[COsSP Initially Planned]]+Tabelle13245689101112131415161715[[#This Row],[COsSP Pulled after Start]]-Tabelle13245689101112131415161715[[#This Row],[CSOsSP Completed]],0)</f>
        <v>0</v>
      </c>
      <c r="R166" s="210">
        <f>Tabelle13245689101112131415161715[[#This Row],[COsSP Initially Planned]]+Tabelle13245689101112131415161715[[#This Row],[COsSP Pulled after Start]]-Tabelle13245689101112131415161715[[#This Row],[CSOsSP Completed]]-Tabelle13245689101112131415161715[[#This Row],[CSOsSP Removed]]</f>
        <v>0</v>
      </c>
    </row>
    <row r="167" spans="1:18" ht="13.5" hidden="1" customHeight="1">
      <c r="A167" s="202" t="s">
        <v>1177</v>
      </c>
      <c r="B167" s="202" t="s">
        <v>1178</v>
      </c>
      <c r="C167" s="203" t="s">
        <v>372</v>
      </c>
      <c r="D167" s="203">
        <v>3</v>
      </c>
      <c r="E167" s="203" t="s">
        <v>324</v>
      </c>
      <c r="F167" s="204">
        <v>1</v>
      </c>
      <c r="G167" s="10" t="s">
        <v>21</v>
      </c>
      <c r="H167"/>
      <c r="I167" s="206"/>
      <c r="J167" s="206"/>
      <c r="K167" s="203" t="s">
        <v>125</v>
      </c>
      <c r="L167" s="204"/>
      <c r="M167" s="204"/>
      <c r="N167" s="286">
        <f>IF(OR(Tabelle13245689101112131415161715[[#This Row],[Pulled after Start]]="yes",Tabelle13245689101112131415161715[[#This Row],[Jira Story Points]]="-"),0,MIN(Tabelle13245689101112131415161715[[#This Row],[Jira Story Points]],Tabelle13245689101112131415161715[[#This Row],[Carry-over]]))</f>
        <v>1</v>
      </c>
      <c r="O167" s="210">
        <f>SUM(IF(ISBLANK(Tabelle13245689101112131415161715[[#This Row],[Carry-over]]),Tabelle13245689101112131415161715[[#This Row],[Jira Story Points]],Tabelle13245689101112131415161715[[#This Row],[Carry-over]]),-Tabelle13245689101112131415161715[[#This Row],[COsSP Initially Planned]])</f>
        <v>0</v>
      </c>
      <c r="P16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167" s="210">
        <f>IF(Tabelle13245689101112131415161715[[#This Row],[Status]]=$J$5,Tabelle13245689101112131415161715[[#This Row],[COsSP Initially Planned]]+Tabelle13245689101112131415161715[[#This Row],[COsSP Pulled after Start]]-Tabelle13245689101112131415161715[[#This Row],[CSOsSP Completed]],0)</f>
        <v>0</v>
      </c>
      <c r="R167" s="210">
        <f>Tabelle13245689101112131415161715[[#This Row],[COsSP Initially Planned]]+Tabelle13245689101112131415161715[[#This Row],[COsSP Pulled after Start]]-Tabelle13245689101112131415161715[[#This Row],[CSOsSP Completed]]-Tabelle13245689101112131415161715[[#This Row],[CSOsSP Removed]]</f>
        <v>0</v>
      </c>
    </row>
    <row r="168" spans="1:18" ht="13.5" hidden="1" customHeight="1">
      <c r="A168" s="202" t="s">
        <v>489</v>
      </c>
      <c r="B168" s="202" t="s">
        <v>490</v>
      </c>
      <c r="C168" s="203" t="s">
        <v>375</v>
      </c>
      <c r="D168" s="203">
        <v>1</v>
      </c>
      <c r="E168" s="203" t="s">
        <v>327</v>
      </c>
      <c r="F168" s="204">
        <v>2</v>
      </c>
      <c r="G168" s="201" t="s">
        <v>24</v>
      </c>
      <c r="H168" s="201" t="s">
        <v>209</v>
      </c>
      <c r="I168" s="206"/>
      <c r="J168" s="206"/>
      <c r="K168" s="203"/>
      <c r="L168" s="204"/>
      <c r="M168" s="204">
        <v>1</v>
      </c>
      <c r="N168" s="286">
        <f>IF(OR(Tabelle13245689101112131415161715[[#This Row],[Pulled after Start]]="yes",Tabelle13245689101112131415161715[[#This Row],[Jira Story Points]]="-"),0,MIN(Tabelle13245689101112131415161715[[#This Row],[Jira Story Points]],Tabelle13245689101112131415161715[[#This Row],[Carry-over]]))</f>
        <v>0</v>
      </c>
      <c r="O168" s="210">
        <f>SUM(IF(ISBLANK(Tabelle13245689101112131415161715[[#This Row],[Carry-over]]),Tabelle13245689101112131415161715[[#This Row],[Jira Story Points]],Tabelle13245689101112131415161715[[#This Row],[Carry-over]]),-Tabelle13245689101112131415161715[[#This Row],[COsSP Initially Planned]])</f>
        <v>2</v>
      </c>
      <c r="P16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168" s="210">
        <f>IF(Tabelle13245689101112131415161715[[#This Row],[Status]]=$J$5,Tabelle13245689101112131415161715[[#This Row],[COsSP Initially Planned]]+Tabelle13245689101112131415161715[[#This Row],[COsSP Pulled after Start]]-Tabelle13245689101112131415161715[[#This Row],[CSOsSP Completed]],0)</f>
        <v>0</v>
      </c>
      <c r="R168" s="210">
        <f>Tabelle13245689101112131415161715[[#This Row],[COsSP Initially Planned]]+Tabelle13245689101112131415161715[[#This Row],[COsSP Pulled after Start]]-Tabelle13245689101112131415161715[[#This Row],[CSOsSP Completed]]-Tabelle13245689101112131415161715[[#This Row],[CSOsSP Removed]]</f>
        <v>1</v>
      </c>
    </row>
    <row r="169" spans="1:18" ht="13.5" hidden="1" customHeight="1">
      <c r="A169" s="202" t="s">
        <v>493</v>
      </c>
      <c r="B169" s="202" t="s">
        <v>494</v>
      </c>
      <c r="C169" s="203" t="s">
        <v>372</v>
      </c>
      <c r="D169" s="203">
        <v>3</v>
      </c>
      <c r="E169" s="203" t="s">
        <v>324</v>
      </c>
      <c r="F169" s="204">
        <v>5</v>
      </c>
      <c r="G169" s="201" t="s">
        <v>24</v>
      </c>
      <c r="H169" s="201"/>
      <c r="I169" s="206"/>
      <c r="J169" s="206"/>
      <c r="K169" s="203" t="s">
        <v>125</v>
      </c>
      <c r="L169" s="204"/>
      <c r="M169" s="204"/>
      <c r="N169" s="286">
        <f>IF(OR(Tabelle13245689101112131415161715[[#This Row],[Pulled after Start]]="yes",Tabelle13245689101112131415161715[[#This Row],[Jira Story Points]]="-"),0,MIN(Tabelle13245689101112131415161715[[#This Row],[Jira Story Points]],Tabelle13245689101112131415161715[[#This Row],[Carry-over]]))</f>
        <v>5</v>
      </c>
      <c r="O169" s="210">
        <f>SUM(IF(ISBLANK(Tabelle13245689101112131415161715[[#This Row],[Carry-over]]),Tabelle13245689101112131415161715[[#This Row],[Jira Story Points]],Tabelle13245689101112131415161715[[#This Row],[Carry-over]]),-Tabelle13245689101112131415161715[[#This Row],[COsSP Initially Planned]])</f>
        <v>0</v>
      </c>
      <c r="P16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169" s="210">
        <f>IF(Tabelle13245689101112131415161715[[#This Row],[Status]]=$J$5,Tabelle13245689101112131415161715[[#This Row],[COsSP Initially Planned]]+Tabelle13245689101112131415161715[[#This Row],[COsSP Pulled after Start]]-Tabelle13245689101112131415161715[[#This Row],[CSOsSP Completed]],0)</f>
        <v>0</v>
      </c>
      <c r="R169" s="210">
        <f>Tabelle13245689101112131415161715[[#This Row],[COsSP Initially Planned]]+Tabelle13245689101112131415161715[[#This Row],[COsSP Pulled after Start]]-Tabelle13245689101112131415161715[[#This Row],[CSOsSP Completed]]-Tabelle13245689101112131415161715[[#This Row],[CSOsSP Removed]]</f>
        <v>0</v>
      </c>
    </row>
    <row r="170" spans="1:18" ht="13.5" hidden="1" customHeight="1">
      <c r="A170" s="202" t="s">
        <v>1179</v>
      </c>
      <c r="B170" s="202" t="s">
        <v>1180</v>
      </c>
      <c r="C170" s="203" t="s">
        <v>375</v>
      </c>
      <c r="D170" s="203">
        <v>2</v>
      </c>
      <c r="E170" s="203" t="s">
        <v>324</v>
      </c>
      <c r="F170" s="204">
        <v>3</v>
      </c>
      <c r="G170" s="201" t="s">
        <v>24</v>
      </c>
      <c r="H170" s="201"/>
      <c r="I170" s="206"/>
      <c r="J170" s="206"/>
      <c r="K170" s="203" t="s">
        <v>125</v>
      </c>
      <c r="L170" s="204"/>
      <c r="M170" s="204"/>
      <c r="N170" s="286">
        <f>IF(OR(Tabelle13245689101112131415161715[[#This Row],[Pulled after Start]]="yes",Tabelle13245689101112131415161715[[#This Row],[Jira Story Points]]="-"),0,MIN(Tabelle13245689101112131415161715[[#This Row],[Jira Story Points]],Tabelle13245689101112131415161715[[#This Row],[Carry-over]]))</f>
        <v>3</v>
      </c>
      <c r="O170" s="210">
        <f>SUM(IF(ISBLANK(Tabelle13245689101112131415161715[[#This Row],[Carry-over]]),Tabelle13245689101112131415161715[[#This Row],[Jira Story Points]],Tabelle13245689101112131415161715[[#This Row],[Carry-over]]),-Tabelle13245689101112131415161715[[#This Row],[COsSP Initially Planned]])</f>
        <v>0</v>
      </c>
      <c r="P17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70" s="210">
        <f>IF(Tabelle13245689101112131415161715[[#This Row],[Status]]=$J$5,Tabelle13245689101112131415161715[[#This Row],[COsSP Initially Planned]]+Tabelle13245689101112131415161715[[#This Row],[COsSP Pulled after Start]]-Tabelle13245689101112131415161715[[#This Row],[CSOsSP Completed]],0)</f>
        <v>0</v>
      </c>
      <c r="R170" s="210">
        <f>Tabelle13245689101112131415161715[[#This Row],[COsSP Initially Planned]]+Tabelle13245689101112131415161715[[#This Row],[COsSP Pulled after Start]]-Tabelle13245689101112131415161715[[#This Row],[CSOsSP Completed]]-Tabelle13245689101112131415161715[[#This Row],[CSOsSP Removed]]</f>
        <v>0</v>
      </c>
    </row>
    <row r="171" spans="1:18" ht="13.5" hidden="1" customHeight="1">
      <c r="A171" s="202" t="s">
        <v>491</v>
      </c>
      <c r="B171" s="202" t="s">
        <v>492</v>
      </c>
      <c r="C171" s="203" t="s">
        <v>375</v>
      </c>
      <c r="D171" s="203">
        <v>2</v>
      </c>
      <c r="E171" s="203" t="s">
        <v>296</v>
      </c>
      <c r="F171" s="204">
        <v>3</v>
      </c>
      <c r="G171" s="201" t="s">
        <v>24</v>
      </c>
      <c r="H171" s="201"/>
      <c r="I171" s="206"/>
      <c r="J171" s="206"/>
      <c r="K171" s="203"/>
      <c r="L171" s="204"/>
      <c r="M171" s="204"/>
      <c r="N171" s="286">
        <f>IF(OR(Tabelle13245689101112131415161715[[#This Row],[Pulled after Start]]="yes",Tabelle13245689101112131415161715[[#This Row],[Jira Story Points]]="-"),0,MIN(Tabelle13245689101112131415161715[[#This Row],[Jira Story Points]],Tabelle13245689101112131415161715[[#This Row],[Carry-over]]))</f>
        <v>3</v>
      </c>
      <c r="O171" s="210">
        <f>SUM(IF(ISBLANK(Tabelle13245689101112131415161715[[#This Row],[Carry-over]]),Tabelle13245689101112131415161715[[#This Row],[Jira Story Points]],Tabelle13245689101112131415161715[[#This Row],[Carry-over]]),-Tabelle13245689101112131415161715[[#This Row],[COsSP Initially Planned]])</f>
        <v>0</v>
      </c>
      <c r="P171"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171" s="210">
        <f>IF(Tabelle13245689101112131415161715[[#This Row],[Status]]=$J$5,Tabelle13245689101112131415161715[[#This Row],[COsSP Initially Planned]]+Tabelle13245689101112131415161715[[#This Row],[COsSP Pulled after Start]]-Tabelle13245689101112131415161715[[#This Row],[CSOsSP Completed]],0)</f>
        <v>0</v>
      </c>
      <c r="R171" s="210">
        <f>Tabelle13245689101112131415161715[[#This Row],[COsSP Initially Planned]]+Tabelle13245689101112131415161715[[#This Row],[COsSP Pulled after Start]]-Tabelle13245689101112131415161715[[#This Row],[CSOsSP Completed]]-Tabelle13245689101112131415161715[[#This Row],[CSOsSP Removed]]</f>
        <v>3</v>
      </c>
    </row>
    <row r="172" spans="1:18" ht="13.5" hidden="1" customHeight="1">
      <c r="A172" s="202" t="s">
        <v>1181</v>
      </c>
      <c r="B172" s="202" t="s">
        <v>1182</v>
      </c>
      <c r="C172" s="203" t="s">
        <v>375</v>
      </c>
      <c r="D172" s="203">
        <v>2</v>
      </c>
      <c r="E172" s="203" t="s">
        <v>324</v>
      </c>
      <c r="F172" s="204">
        <v>3</v>
      </c>
      <c r="G172" s="201" t="s">
        <v>24</v>
      </c>
      <c r="H172" s="201"/>
      <c r="I172" s="206"/>
      <c r="J172" s="206"/>
      <c r="K172" s="203" t="s">
        <v>125</v>
      </c>
      <c r="L172" s="204"/>
      <c r="M172" s="204"/>
      <c r="N172" s="286">
        <f>IF(OR(Tabelle13245689101112131415161715[[#This Row],[Pulled after Start]]="yes",Tabelle13245689101112131415161715[[#This Row],[Jira Story Points]]="-"),0,MIN(Tabelle13245689101112131415161715[[#This Row],[Jira Story Points]],Tabelle13245689101112131415161715[[#This Row],[Carry-over]]))</f>
        <v>3</v>
      </c>
      <c r="O172" s="210">
        <f>SUM(IF(ISBLANK(Tabelle13245689101112131415161715[[#This Row],[Carry-over]]),Tabelle13245689101112131415161715[[#This Row],[Jira Story Points]],Tabelle13245689101112131415161715[[#This Row],[Carry-over]]),-Tabelle13245689101112131415161715[[#This Row],[COsSP Initially Planned]])</f>
        <v>0</v>
      </c>
      <c r="P17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72" s="210">
        <f>IF(Tabelle13245689101112131415161715[[#This Row],[Status]]=$J$5,Tabelle13245689101112131415161715[[#This Row],[COsSP Initially Planned]]+Tabelle13245689101112131415161715[[#This Row],[COsSP Pulled after Start]]-Tabelle13245689101112131415161715[[#This Row],[CSOsSP Completed]],0)</f>
        <v>0</v>
      </c>
      <c r="R172" s="210">
        <f>Tabelle13245689101112131415161715[[#This Row],[COsSP Initially Planned]]+Tabelle13245689101112131415161715[[#This Row],[COsSP Pulled after Start]]-Tabelle13245689101112131415161715[[#This Row],[CSOsSP Completed]]-Tabelle13245689101112131415161715[[#This Row],[CSOsSP Removed]]</f>
        <v>0</v>
      </c>
    </row>
    <row r="173" spans="1:18" ht="13.5" hidden="1" customHeight="1">
      <c r="A173" s="202" t="s">
        <v>1183</v>
      </c>
      <c r="B173" s="202" t="s">
        <v>1184</v>
      </c>
      <c r="C173" s="203" t="s">
        <v>382</v>
      </c>
      <c r="D173" s="203">
        <v>3</v>
      </c>
      <c r="E173" s="203" t="s">
        <v>324</v>
      </c>
      <c r="F173" s="204">
        <v>5</v>
      </c>
      <c r="G173" s="201" t="s">
        <v>24</v>
      </c>
      <c r="H173" s="201" t="s">
        <v>209</v>
      </c>
      <c r="I173" s="206"/>
      <c r="J173" s="206"/>
      <c r="K173" s="203" t="s">
        <v>125</v>
      </c>
      <c r="L173" s="204"/>
      <c r="M173" s="204"/>
      <c r="N173" s="286">
        <f>IF(OR(Tabelle13245689101112131415161715[[#This Row],[Pulled after Start]]="yes",Tabelle13245689101112131415161715[[#This Row],[Jira Story Points]]="-"),0,MIN(Tabelle13245689101112131415161715[[#This Row],[Jira Story Points]],Tabelle13245689101112131415161715[[#This Row],[Carry-over]]))</f>
        <v>0</v>
      </c>
      <c r="O173" s="210">
        <f>SUM(IF(ISBLANK(Tabelle13245689101112131415161715[[#This Row],[Carry-over]]),Tabelle13245689101112131415161715[[#This Row],[Jira Story Points]],Tabelle13245689101112131415161715[[#This Row],[Carry-over]]),-Tabelle13245689101112131415161715[[#This Row],[COsSP Initially Planned]])</f>
        <v>5</v>
      </c>
      <c r="P17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173" s="210">
        <f>IF(Tabelle13245689101112131415161715[[#This Row],[Status]]=$J$5,Tabelle13245689101112131415161715[[#This Row],[COsSP Initially Planned]]+Tabelle13245689101112131415161715[[#This Row],[COsSP Pulled after Start]]-Tabelle13245689101112131415161715[[#This Row],[CSOsSP Completed]],0)</f>
        <v>0</v>
      </c>
      <c r="R173" s="210">
        <f>Tabelle13245689101112131415161715[[#This Row],[COsSP Initially Planned]]+Tabelle13245689101112131415161715[[#This Row],[COsSP Pulled after Start]]-Tabelle13245689101112131415161715[[#This Row],[CSOsSP Completed]]-Tabelle13245689101112131415161715[[#This Row],[CSOsSP Removed]]</f>
        <v>0</v>
      </c>
    </row>
    <row r="174" spans="1:18" ht="13.5" hidden="1" customHeight="1">
      <c r="A174" s="202" t="s">
        <v>1185</v>
      </c>
      <c r="B174" s="202" t="s">
        <v>1186</v>
      </c>
      <c r="C174" s="203" t="s">
        <v>382</v>
      </c>
      <c r="D174" s="203">
        <v>3</v>
      </c>
      <c r="E174" s="203" t="s">
        <v>324</v>
      </c>
      <c r="F174" s="204">
        <v>2</v>
      </c>
      <c r="G174" s="201" t="s">
        <v>24</v>
      </c>
      <c r="H174" s="201"/>
      <c r="I174" s="206"/>
      <c r="J174" s="206"/>
      <c r="K174" s="203" t="s">
        <v>125</v>
      </c>
      <c r="L174" s="204"/>
      <c r="M174" s="204"/>
      <c r="N174" s="286">
        <f>IF(OR(Tabelle13245689101112131415161715[[#This Row],[Pulled after Start]]="yes",Tabelle13245689101112131415161715[[#This Row],[Jira Story Points]]="-"),0,MIN(Tabelle13245689101112131415161715[[#This Row],[Jira Story Points]],Tabelle13245689101112131415161715[[#This Row],[Carry-over]]))</f>
        <v>2</v>
      </c>
      <c r="O174" s="210">
        <f>SUM(IF(ISBLANK(Tabelle13245689101112131415161715[[#This Row],[Carry-over]]),Tabelle13245689101112131415161715[[#This Row],[Jira Story Points]],Tabelle13245689101112131415161715[[#This Row],[Carry-over]]),-Tabelle13245689101112131415161715[[#This Row],[COsSP Initially Planned]])</f>
        <v>0</v>
      </c>
      <c r="P17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74" s="210">
        <f>IF(Tabelle13245689101112131415161715[[#This Row],[Status]]=$J$5,Tabelle13245689101112131415161715[[#This Row],[COsSP Initially Planned]]+Tabelle13245689101112131415161715[[#This Row],[COsSP Pulled after Start]]-Tabelle13245689101112131415161715[[#This Row],[CSOsSP Completed]],0)</f>
        <v>0</v>
      </c>
      <c r="R174" s="210">
        <f>Tabelle13245689101112131415161715[[#This Row],[COsSP Initially Planned]]+Tabelle13245689101112131415161715[[#This Row],[COsSP Pulled after Start]]-Tabelle13245689101112131415161715[[#This Row],[CSOsSP Completed]]-Tabelle13245689101112131415161715[[#This Row],[CSOsSP Removed]]</f>
        <v>0</v>
      </c>
    </row>
    <row r="175" spans="1:18" ht="13.5" hidden="1" customHeight="1">
      <c r="A175" s="202" t="s">
        <v>1187</v>
      </c>
      <c r="B175" s="202" t="s">
        <v>1188</v>
      </c>
      <c r="C175" s="203" t="s">
        <v>372</v>
      </c>
      <c r="D175" s="203">
        <v>3</v>
      </c>
      <c r="E175" s="203" t="s">
        <v>324</v>
      </c>
      <c r="F175" s="204">
        <v>1</v>
      </c>
      <c r="G175" s="201" t="s">
        <v>24</v>
      </c>
      <c r="H175" s="201"/>
      <c r="I175" s="206"/>
      <c r="J175" s="206"/>
      <c r="K175" s="203" t="s">
        <v>125</v>
      </c>
      <c r="L175" s="204"/>
      <c r="M175" s="204"/>
      <c r="N175" s="286">
        <f>IF(OR(Tabelle13245689101112131415161715[[#This Row],[Pulled after Start]]="yes",Tabelle13245689101112131415161715[[#This Row],[Jira Story Points]]="-"),0,MIN(Tabelle13245689101112131415161715[[#This Row],[Jira Story Points]],Tabelle13245689101112131415161715[[#This Row],[Carry-over]]))</f>
        <v>1</v>
      </c>
      <c r="O175" s="210">
        <f>SUM(IF(ISBLANK(Tabelle13245689101112131415161715[[#This Row],[Carry-over]]),Tabelle13245689101112131415161715[[#This Row],[Jira Story Points]],Tabelle13245689101112131415161715[[#This Row],[Carry-over]]),-Tabelle13245689101112131415161715[[#This Row],[COsSP Initially Planned]])</f>
        <v>0</v>
      </c>
      <c r="P17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175" s="210">
        <f>IF(Tabelle13245689101112131415161715[[#This Row],[Status]]=$J$5,Tabelle13245689101112131415161715[[#This Row],[COsSP Initially Planned]]+Tabelle13245689101112131415161715[[#This Row],[COsSP Pulled after Start]]-Tabelle13245689101112131415161715[[#This Row],[CSOsSP Completed]],0)</f>
        <v>0</v>
      </c>
      <c r="R175" s="210">
        <f>Tabelle13245689101112131415161715[[#This Row],[COsSP Initially Planned]]+Tabelle13245689101112131415161715[[#This Row],[COsSP Pulled after Start]]-Tabelle13245689101112131415161715[[#This Row],[CSOsSP Completed]]-Tabelle13245689101112131415161715[[#This Row],[CSOsSP Removed]]</f>
        <v>0</v>
      </c>
    </row>
    <row r="176" spans="1:18" ht="13.5" hidden="1" customHeight="1">
      <c r="A176" s="202" t="s">
        <v>1189</v>
      </c>
      <c r="B176" s="202" t="s">
        <v>1190</v>
      </c>
      <c r="C176" s="203" t="s">
        <v>372</v>
      </c>
      <c r="D176" s="203">
        <v>3</v>
      </c>
      <c r="E176" s="203" t="s">
        <v>324</v>
      </c>
      <c r="F176" s="204">
        <v>3</v>
      </c>
      <c r="G176" s="201" t="s">
        <v>24</v>
      </c>
      <c r="H176" s="201"/>
      <c r="I176" s="206"/>
      <c r="J176" s="206"/>
      <c r="K176" s="203" t="s">
        <v>125</v>
      </c>
      <c r="L176" s="204"/>
      <c r="M176" s="204"/>
      <c r="N176" s="286">
        <f>IF(OR(Tabelle13245689101112131415161715[[#This Row],[Pulled after Start]]="yes",Tabelle13245689101112131415161715[[#This Row],[Jira Story Points]]="-"),0,MIN(Tabelle13245689101112131415161715[[#This Row],[Jira Story Points]],Tabelle13245689101112131415161715[[#This Row],[Carry-over]]))</f>
        <v>3</v>
      </c>
      <c r="O176" s="210">
        <f>SUM(IF(ISBLANK(Tabelle13245689101112131415161715[[#This Row],[Carry-over]]),Tabelle13245689101112131415161715[[#This Row],[Jira Story Points]],Tabelle13245689101112131415161715[[#This Row],[Carry-over]]),-Tabelle13245689101112131415161715[[#This Row],[COsSP Initially Planned]])</f>
        <v>0</v>
      </c>
      <c r="P17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76" s="210">
        <f>IF(Tabelle13245689101112131415161715[[#This Row],[Status]]=$J$5,Tabelle13245689101112131415161715[[#This Row],[COsSP Initially Planned]]+Tabelle13245689101112131415161715[[#This Row],[COsSP Pulled after Start]]-Tabelle13245689101112131415161715[[#This Row],[CSOsSP Completed]],0)</f>
        <v>0</v>
      </c>
      <c r="R176" s="210">
        <f>Tabelle13245689101112131415161715[[#This Row],[COsSP Initially Planned]]+Tabelle13245689101112131415161715[[#This Row],[COsSP Pulled after Start]]-Tabelle13245689101112131415161715[[#This Row],[CSOsSP Completed]]-Tabelle13245689101112131415161715[[#This Row],[CSOsSP Removed]]</f>
        <v>0</v>
      </c>
    </row>
    <row r="177" spans="1:18" ht="13.5" hidden="1" customHeight="1">
      <c r="A177" s="202" t="s">
        <v>1191</v>
      </c>
      <c r="B177" s="202" t="s">
        <v>1192</v>
      </c>
      <c r="C177" s="203" t="s">
        <v>372</v>
      </c>
      <c r="D177" s="203">
        <v>3</v>
      </c>
      <c r="E177" s="203" t="s">
        <v>324</v>
      </c>
      <c r="F177" s="204">
        <v>3</v>
      </c>
      <c r="G177" s="201" t="s">
        <v>24</v>
      </c>
      <c r="H177" s="201"/>
      <c r="I177" s="206"/>
      <c r="J177" s="206"/>
      <c r="K177" s="203" t="s">
        <v>125</v>
      </c>
      <c r="L177" s="204"/>
      <c r="M177" s="204"/>
      <c r="N177" s="286">
        <f>IF(OR(Tabelle13245689101112131415161715[[#This Row],[Pulled after Start]]="yes",Tabelle13245689101112131415161715[[#This Row],[Jira Story Points]]="-"),0,MIN(Tabelle13245689101112131415161715[[#This Row],[Jira Story Points]],Tabelle13245689101112131415161715[[#This Row],[Carry-over]]))</f>
        <v>3</v>
      </c>
      <c r="O177" s="210">
        <f>SUM(IF(ISBLANK(Tabelle13245689101112131415161715[[#This Row],[Carry-over]]),Tabelle13245689101112131415161715[[#This Row],[Jira Story Points]],Tabelle13245689101112131415161715[[#This Row],[Carry-over]]),-Tabelle13245689101112131415161715[[#This Row],[COsSP Initially Planned]])</f>
        <v>0</v>
      </c>
      <c r="P17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77" s="210">
        <f>IF(Tabelle13245689101112131415161715[[#This Row],[Status]]=$J$5,Tabelle13245689101112131415161715[[#This Row],[COsSP Initially Planned]]+Tabelle13245689101112131415161715[[#This Row],[COsSP Pulled after Start]]-Tabelle13245689101112131415161715[[#This Row],[CSOsSP Completed]],0)</f>
        <v>0</v>
      </c>
      <c r="R177" s="210">
        <f>Tabelle13245689101112131415161715[[#This Row],[COsSP Initially Planned]]+Tabelle13245689101112131415161715[[#This Row],[COsSP Pulled after Start]]-Tabelle13245689101112131415161715[[#This Row],[CSOsSP Completed]]-Tabelle13245689101112131415161715[[#This Row],[CSOsSP Removed]]</f>
        <v>0</v>
      </c>
    </row>
    <row r="178" spans="1:18" ht="13.5" hidden="1" customHeight="1">
      <c r="A178" s="202" t="s">
        <v>1193</v>
      </c>
      <c r="B178" s="202" t="s">
        <v>1194</v>
      </c>
      <c r="C178" s="203" t="s">
        <v>382</v>
      </c>
      <c r="D178" s="203">
        <v>3</v>
      </c>
      <c r="E178" s="203" t="s">
        <v>324</v>
      </c>
      <c r="F178" s="204">
        <v>2</v>
      </c>
      <c r="G178" s="201" t="s">
        <v>24</v>
      </c>
      <c r="H178" s="201" t="s">
        <v>209</v>
      </c>
      <c r="I178" s="206"/>
      <c r="J178" s="206"/>
      <c r="K178" s="203" t="s">
        <v>125</v>
      </c>
      <c r="L178" s="204"/>
      <c r="M178" s="204"/>
      <c r="N178" s="286">
        <f>IF(OR(Tabelle13245689101112131415161715[[#This Row],[Pulled after Start]]="yes",Tabelle13245689101112131415161715[[#This Row],[Jira Story Points]]="-"),0,MIN(Tabelle13245689101112131415161715[[#This Row],[Jira Story Points]],Tabelle13245689101112131415161715[[#This Row],[Carry-over]]))</f>
        <v>0</v>
      </c>
      <c r="O178" s="210">
        <f>SUM(IF(ISBLANK(Tabelle13245689101112131415161715[[#This Row],[Carry-over]]),Tabelle13245689101112131415161715[[#This Row],[Jira Story Points]],Tabelle13245689101112131415161715[[#This Row],[Carry-over]]),-Tabelle13245689101112131415161715[[#This Row],[COsSP Initially Planned]])</f>
        <v>2</v>
      </c>
      <c r="P17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78" s="210">
        <f>IF(Tabelle13245689101112131415161715[[#This Row],[Status]]=$J$5,Tabelle13245689101112131415161715[[#This Row],[COsSP Initially Planned]]+Tabelle13245689101112131415161715[[#This Row],[COsSP Pulled after Start]]-Tabelle13245689101112131415161715[[#This Row],[CSOsSP Completed]],0)</f>
        <v>0</v>
      </c>
      <c r="R178" s="210">
        <f>Tabelle13245689101112131415161715[[#This Row],[COsSP Initially Planned]]+Tabelle13245689101112131415161715[[#This Row],[COsSP Pulled after Start]]-Tabelle13245689101112131415161715[[#This Row],[CSOsSP Completed]]-Tabelle13245689101112131415161715[[#This Row],[CSOsSP Removed]]</f>
        <v>0</v>
      </c>
    </row>
    <row r="179" spans="1:18" ht="13.5" hidden="1" customHeight="1">
      <c r="A179" s="202" t="s">
        <v>539</v>
      </c>
      <c r="B179" s="202" t="s">
        <v>540</v>
      </c>
      <c r="C179" s="203" t="s">
        <v>382</v>
      </c>
      <c r="D179" s="203">
        <v>3</v>
      </c>
      <c r="E179" s="203" t="s">
        <v>281</v>
      </c>
      <c r="F179" s="204">
        <v>3</v>
      </c>
      <c r="G179" s="201" t="s">
        <v>24</v>
      </c>
      <c r="H179" s="201"/>
      <c r="I179" s="206"/>
      <c r="J179" s="206"/>
      <c r="K179" s="203"/>
      <c r="L179" s="204"/>
      <c r="M179" s="204">
        <v>2</v>
      </c>
      <c r="N179" s="286">
        <f>IF(OR(Tabelle13245689101112131415161715[[#This Row],[Pulled after Start]]="yes",Tabelle13245689101112131415161715[[#This Row],[Jira Story Points]]="-"),0,MIN(Tabelle13245689101112131415161715[[#This Row],[Jira Story Points]],Tabelle13245689101112131415161715[[#This Row],[Carry-over]]))</f>
        <v>3</v>
      </c>
      <c r="O179" s="210">
        <f>SUM(IF(ISBLANK(Tabelle13245689101112131415161715[[#This Row],[Carry-over]]),Tabelle13245689101112131415161715[[#This Row],[Jira Story Points]],Tabelle13245689101112131415161715[[#This Row],[Carry-over]]),-Tabelle13245689101112131415161715[[#This Row],[COsSP Initially Planned]])</f>
        <v>0</v>
      </c>
      <c r="P17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179" s="210">
        <f>IF(Tabelle13245689101112131415161715[[#This Row],[Status]]=$J$5,Tabelle13245689101112131415161715[[#This Row],[COsSP Initially Planned]]+Tabelle13245689101112131415161715[[#This Row],[COsSP Pulled after Start]]-Tabelle13245689101112131415161715[[#This Row],[CSOsSP Completed]],0)</f>
        <v>0</v>
      </c>
      <c r="R179" s="210">
        <f>Tabelle13245689101112131415161715[[#This Row],[COsSP Initially Planned]]+Tabelle13245689101112131415161715[[#This Row],[COsSP Pulled after Start]]-Tabelle13245689101112131415161715[[#This Row],[CSOsSP Completed]]-Tabelle13245689101112131415161715[[#This Row],[CSOsSP Removed]]</f>
        <v>2</v>
      </c>
    </row>
    <row r="180" spans="1:18" ht="13.5" hidden="1" customHeight="1">
      <c r="A180" s="202" t="s">
        <v>1195</v>
      </c>
      <c r="B180" s="202" t="s">
        <v>1196</v>
      </c>
      <c r="C180" s="203" t="s">
        <v>382</v>
      </c>
      <c r="D180" s="203">
        <v>3</v>
      </c>
      <c r="E180" s="203" t="s">
        <v>324</v>
      </c>
      <c r="F180" s="204">
        <v>3</v>
      </c>
      <c r="G180" s="201" t="s">
        <v>24</v>
      </c>
      <c r="H180" s="201"/>
      <c r="I180" s="206"/>
      <c r="J180" s="206"/>
      <c r="K180" s="203" t="s">
        <v>125</v>
      </c>
      <c r="L180" s="204"/>
      <c r="M180" s="204"/>
      <c r="N180" s="286">
        <f>IF(OR(Tabelle13245689101112131415161715[[#This Row],[Pulled after Start]]="yes",Tabelle13245689101112131415161715[[#This Row],[Jira Story Points]]="-"),0,MIN(Tabelle13245689101112131415161715[[#This Row],[Jira Story Points]],Tabelle13245689101112131415161715[[#This Row],[Carry-over]]))</f>
        <v>3</v>
      </c>
      <c r="O180" s="210">
        <f>SUM(IF(ISBLANK(Tabelle13245689101112131415161715[[#This Row],[Carry-over]]),Tabelle13245689101112131415161715[[#This Row],[Jira Story Points]],Tabelle13245689101112131415161715[[#This Row],[Carry-over]]),-Tabelle13245689101112131415161715[[#This Row],[COsSP Initially Planned]])</f>
        <v>0</v>
      </c>
      <c r="P18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80" s="210">
        <f>IF(Tabelle13245689101112131415161715[[#This Row],[Status]]=$J$5,Tabelle13245689101112131415161715[[#This Row],[COsSP Initially Planned]]+Tabelle13245689101112131415161715[[#This Row],[COsSP Pulled after Start]]-Tabelle13245689101112131415161715[[#This Row],[CSOsSP Completed]],0)</f>
        <v>0</v>
      </c>
      <c r="R180" s="210">
        <f>Tabelle13245689101112131415161715[[#This Row],[COsSP Initially Planned]]+Tabelle13245689101112131415161715[[#This Row],[COsSP Pulled after Start]]-Tabelle13245689101112131415161715[[#This Row],[CSOsSP Completed]]-Tabelle13245689101112131415161715[[#This Row],[CSOsSP Removed]]</f>
        <v>0</v>
      </c>
    </row>
    <row r="181" spans="1:18" ht="13.5" hidden="1" customHeight="1">
      <c r="A181" s="202" t="s">
        <v>1197</v>
      </c>
      <c r="B181" s="202" t="s">
        <v>1198</v>
      </c>
      <c r="C181" s="203" t="s">
        <v>382</v>
      </c>
      <c r="D181" s="203">
        <v>3</v>
      </c>
      <c r="E181" s="203" t="s">
        <v>324</v>
      </c>
      <c r="F181" s="204">
        <v>1</v>
      </c>
      <c r="G181" s="201" t="s">
        <v>24</v>
      </c>
      <c r="H181" s="201"/>
      <c r="I181" s="206"/>
      <c r="J181" s="206"/>
      <c r="K181" s="203" t="s">
        <v>125</v>
      </c>
      <c r="L181" s="204"/>
      <c r="M181" s="204"/>
      <c r="N181" s="286">
        <f>IF(OR(Tabelle13245689101112131415161715[[#This Row],[Pulled after Start]]="yes",Tabelle13245689101112131415161715[[#This Row],[Jira Story Points]]="-"),0,MIN(Tabelle13245689101112131415161715[[#This Row],[Jira Story Points]],Tabelle13245689101112131415161715[[#This Row],[Carry-over]]))</f>
        <v>1</v>
      </c>
      <c r="O181" s="210">
        <f>SUM(IF(ISBLANK(Tabelle13245689101112131415161715[[#This Row],[Carry-over]]),Tabelle13245689101112131415161715[[#This Row],[Jira Story Points]],Tabelle13245689101112131415161715[[#This Row],[Carry-over]]),-Tabelle13245689101112131415161715[[#This Row],[COsSP Initially Planned]])</f>
        <v>0</v>
      </c>
      <c r="P181"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181" s="210">
        <f>IF(Tabelle13245689101112131415161715[[#This Row],[Status]]=$J$5,Tabelle13245689101112131415161715[[#This Row],[COsSP Initially Planned]]+Tabelle13245689101112131415161715[[#This Row],[COsSP Pulled after Start]]-Tabelle13245689101112131415161715[[#This Row],[CSOsSP Completed]],0)</f>
        <v>0</v>
      </c>
      <c r="R181" s="210">
        <f>Tabelle13245689101112131415161715[[#This Row],[COsSP Initially Planned]]+Tabelle13245689101112131415161715[[#This Row],[COsSP Pulled after Start]]-Tabelle13245689101112131415161715[[#This Row],[CSOsSP Completed]]-Tabelle13245689101112131415161715[[#This Row],[CSOsSP Removed]]</f>
        <v>0</v>
      </c>
    </row>
    <row r="182" spans="1:18" ht="13.5" hidden="1" customHeight="1">
      <c r="A182" s="202" t="s">
        <v>1199</v>
      </c>
      <c r="B182" s="202" t="s">
        <v>1200</v>
      </c>
      <c r="C182" s="203" t="s">
        <v>382</v>
      </c>
      <c r="D182" s="203">
        <v>3</v>
      </c>
      <c r="E182" s="203" t="s">
        <v>324</v>
      </c>
      <c r="F182" s="204">
        <v>3</v>
      </c>
      <c r="G182" s="201" t="s">
        <v>24</v>
      </c>
      <c r="H182" s="201"/>
      <c r="I182" s="206"/>
      <c r="J182" s="206"/>
      <c r="K182" s="203" t="s">
        <v>125</v>
      </c>
      <c r="L182" s="204"/>
      <c r="M182" s="204"/>
      <c r="N182" s="286">
        <f>IF(OR(Tabelle13245689101112131415161715[[#This Row],[Pulled after Start]]="yes",Tabelle13245689101112131415161715[[#This Row],[Jira Story Points]]="-"),0,MIN(Tabelle13245689101112131415161715[[#This Row],[Jira Story Points]],Tabelle13245689101112131415161715[[#This Row],[Carry-over]]))</f>
        <v>3</v>
      </c>
      <c r="O182" s="210">
        <f>SUM(IF(ISBLANK(Tabelle13245689101112131415161715[[#This Row],[Carry-over]]),Tabelle13245689101112131415161715[[#This Row],[Jira Story Points]],Tabelle13245689101112131415161715[[#This Row],[Carry-over]]),-Tabelle13245689101112131415161715[[#This Row],[COsSP Initially Planned]])</f>
        <v>0</v>
      </c>
      <c r="P18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82" s="210">
        <f>IF(Tabelle13245689101112131415161715[[#This Row],[Status]]=$J$5,Tabelle13245689101112131415161715[[#This Row],[COsSP Initially Planned]]+Tabelle13245689101112131415161715[[#This Row],[COsSP Pulled after Start]]-Tabelle13245689101112131415161715[[#This Row],[CSOsSP Completed]],0)</f>
        <v>0</v>
      </c>
      <c r="R182" s="210">
        <f>Tabelle13245689101112131415161715[[#This Row],[COsSP Initially Planned]]+Tabelle13245689101112131415161715[[#This Row],[COsSP Pulled after Start]]-Tabelle13245689101112131415161715[[#This Row],[CSOsSP Completed]]-Tabelle13245689101112131415161715[[#This Row],[CSOsSP Removed]]</f>
        <v>0</v>
      </c>
    </row>
    <row r="183" spans="1:18" ht="13.5" hidden="1" customHeight="1">
      <c r="A183" s="202" t="s">
        <v>525</v>
      </c>
      <c r="B183" s="202" t="s">
        <v>526</v>
      </c>
      <c r="C183" s="203" t="s">
        <v>372</v>
      </c>
      <c r="D183" s="203">
        <v>3</v>
      </c>
      <c r="E183" s="203" t="s">
        <v>288</v>
      </c>
      <c r="F183" s="204">
        <v>5</v>
      </c>
      <c r="G183" s="201" t="s">
        <v>24</v>
      </c>
      <c r="H183" s="201" t="s">
        <v>209</v>
      </c>
      <c r="I183" s="206"/>
      <c r="J183" s="206"/>
      <c r="K183" s="203"/>
      <c r="L183" s="204"/>
      <c r="M183" s="204">
        <v>3</v>
      </c>
      <c r="N183" s="286">
        <f>IF(OR(Tabelle13245689101112131415161715[[#This Row],[Pulled after Start]]="yes",Tabelle13245689101112131415161715[[#This Row],[Jira Story Points]]="-"),0,MIN(Tabelle13245689101112131415161715[[#This Row],[Jira Story Points]],Tabelle13245689101112131415161715[[#This Row],[Carry-over]]))</f>
        <v>0</v>
      </c>
      <c r="O183" s="210">
        <f>SUM(IF(ISBLANK(Tabelle13245689101112131415161715[[#This Row],[Carry-over]]),Tabelle13245689101112131415161715[[#This Row],[Jira Story Points]],Tabelle13245689101112131415161715[[#This Row],[Carry-over]]),-Tabelle13245689101112131415161715[[#This Row],[COsSP Initially Planned]])</f>
        <v>5</v>
      </c>
      <c r="P18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83" s="210">
        <f>IF(Tabelle13245689101112131415161715[[#This Row],[Status]]=$J$5,Tabelle13245689101112131415161715[[#This Row],[COsSP Initially Planned]]+Tabelle13245689101112131415161715[[#This Row],[COsSP Pulled after Start]]-Tabelle13245689101112131415161715[[#This Row],[CSOsSP Completed]],0)</f>
        <v>0</v>
      </c>
      <c r="R183" s="210">
        <f>Tabelle13245689101112131415161715[[#This Row],[COsSP Initially Planned]]+Tabelle13245689101112131415161715[[#This Row],[COsSP Pulled after Start]]-Tabelle13245689101112131415161715[[#This Row],[CSOsSP Completed]]-Tabelle13245689101112131415161715[[#This Row],[CSOsSP Removed]]</f>
        <v>3</v>
      </c>
    </row>
    <row r="184" spans="1:18" ht="13.5" hidden="1" customHeight="1">
      <c r="A184" s="202" t="s">
        <v>527</v>
      </c>
      <c r="B184" s="202" t="s">
        <v>528</v>
      </c>
      <c r="C184" s="203" t="s">
        <v>372</v>
      </c>
      <c r="D184" s="203">
        <v>2</v>
      </c>
      <c r="E184" s="203" t="s">
        <v>288</v>
      </c>
      <c r="F184" s="204">
        <v>3</v>
      </c>
      <c r="G184" s="201" t="s">
        <v>24</v>
      </c>
      <c r="H184" s="201" t="s">
        <v>209</v>
      </c>
      <c r="I184" s="206"/>
      <c r="J184" s="206"/>
      <c r="K184" s="203"/>
      <c r="L184" s="204"/>
      <c r="M184" s="204">
        <v>1</v>
      </c>
      <c r="N184" s="286">
        <f>IF(OR(Tabelle13245689101112131415161715[[#This Row],[Pulled after Start]]="yes",Tabelle13245689101112131415161715[[#This Row],[Jira Story Points]]="-"),0,MIN(Tabelle13245689101112131415161715[[#This Row],[Jira Story Points]],Tabelle13245689101112131415161715[[#This Row],[Carry-over]]))</f>
        <v>0</v>
      </c>
      <c r="O184" s="210">
        <f>SUM(IF(ISBLANK(Tabelle13245689101112131415161715[[#This Row],[Carry-over]]),Tabelle13245689101112131415161715[[#This Row],[Jira Story Points]],Tabelle13245689101112131415161715[[#This Row],[Carry-over]]),-Tabelle13245689101112131415161715[[#This Row],[COsSP Initially Planned]])</f>
        <v>3</v>
      </c>
      <c r="P18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84" s="210">
        <f>IF(Tabelle13245689101112131415161715[[#This Row],[Status]]=$J$5,Tabelle13245689101112131415161715[[#This Row],[COsSP Initially Planned]]+Tabelle13245689101112131415161715[[#This Row],[COsSP Pulled after Start]]-Tabelle13245689101112131415161715[[#This Row],[CSOsSP Completed]],0)</f>
        <v>0</v>
      </c>
      <c r="R184" s="210">
        <f>Tabelle13245689101112131415161715[[#This Row],[COsSP Initially Planned]]+Tabelle13245689101112131415161715[[#This Row],[COsSP Pulled after Start]]-Tabelle13245689101112131415161715[[#This Row],[CSOsSP Completed]]-Tabelle13245689101112131415161715[[#This Row],[CSOsSP Removed]]</f>
        <v>1</v>
      </c>
    </row>
    <row r="185" spans="1:18" ht="13.5" hidden="1" customHeight="1">
      <c r="A185" s="202" t="s">
        <v>1201</v>
      </c>
      <c r="B185" s="202" t="s">
        <v>1202</v>
      </c>
      <c r="C185" s="203" t="s">
        <v>372</v>
      </c>
      <c r="D185" s="203">
        <v>2</v>
      </c>
      <c r="E185" s="203" t="s">
        <v>324</v>
      </c>
      <c r="F185" s="204">
        <v>5</v>
      </c>
      <c r="G185" s="201" t="s">
        <v>24</v>
      </c>
      <c r="H185" s="201" t="s">
        <v>209</v>
      </c>
      <c r="I185" s="206"/>
      <c r="J185" s="206"/>
      <c r="K185" s="203" t="s">
        <v>125</v>
      </c>
      <c r="L185" s="204"/>
      <c r="M185" s="204"/>
      <c r="N185" s="286">
        <f>IF(OR(Tabelle13245689101112131415161715[[#This Row],[Pulled after Start]]="yes",Tabelle13245689101112131415161715[[#This Row],[Jira Story Points]]="-"),0,MIN(Tabelle13245689101112131415161715[[#This Row],[Jira Story Points]],Tabelle13245689101112131415161715[[#This Row],[Carry-over]]))</f>
        <v>0</v>
      </c>
      <c r="O185" s="210">
        <f>SUM(IF(ISBLANK(Tabelle13245689101112131415161715[[#This Row],[Carry-over]]),Tabelle13245689101112131415161715[[#This Row],[Jira Story Points]],Tabelle13245689101112131415161715[[#This Row],[Carry-over]]),-Tabelle13245689101112131415161715[[#This Row],[COsSP Initially Planned]])</f>
        <v>5</v>
      </c>
      <c r="P18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185" s="210">
        <f>IF(Tabelle13245689101112131415161715[[#This Row],[Status]]=$J$5,Tabelle13245689101112131415161715[[#This Row],[COsSP Initially Planned]]+Tabelle13245689101112131415161715[[#This Row],[COsSP Pulled after Start]]-Tabelle13245689101112131415161715[[#This Row],[CSOsSP Completed]],0)</f>
        <v>0</v>
      </c>
      <c r="R185" s="210">
        <f>Tabelle13245689101112131415161715[[#This Row],[COsSP Initially Planned]]+Tabelle13245689101112131415161715[[#This Row],[COsSP Pulled after Start]]-Tabelle13245689101112131415161715[[#This Row],[CSOsSP Completed]]-Tabelle13245689101112131415161715[[#This Row],[CSOsSP Removed]]</f>
        <v>0</v>
      </c>
    </row>
    <row r="186" spans="1:18" ht="13.5" hidden="1" customHeight="1">
      <c r="A186" s="202" t="s">
        <v>1203</v>
      </c>
      <c r="B186" s="202" t="s">
        <v>1204</v>
      </c>
      <c r="C186" s="203" t="s">
        <v>382</v>
      </c>
      <c r="D186" s="203">
        <v>3</v>
      </c>
      <c r="E186" s="203" t="s">
        <v>324</v>
      </c>
      <c r="F186" s="204">
        <v>2</v>
      </c>
      <c r="G186" s="201" t="s">
        <v>24</v>
      </c>
      <c r="H186" s="201" t="s">
        <v>209</v>
      </c>
      <c r="I186" s="206"/>
      <c r="J186" s="206"/>
      <c r="K186" s="203" t="s">
        <v>125</v>
      </c>
      <c r="L186" s="204"/>
      <c r="M186" s="204"/>
      <c r="N186" s="286">
        <f>IF(OR(Tabelle13245689101112131415161715[[#This Row],[Pulled after Start]]="yes",Tabelle13245689101112131415161715[[#This Row],[Jira Story Points]]="-"),0,MIN(Tabelle13245689101112131415161715[[#This Row],[Jira Story Points]],Tabelle13245689101112131415161715[[#This Row],[Carry-over]]))</f>
        <v>0</v>
      </c>
      <c r="O186" s="210">
        <f>SUM(IF(ISBLANK(Tabelle13245689101112131415161715[[#This Row],[Carry-over]]),Tabelle13245689101112131415161715[[#This Row],[Jira Story Points]],Tabelle13245689101112131415161715[[#This Row],[Carry-over]]),-Tabelle13245689101112131415161715[[#This Row],[COsSP Initially Planned]])</f>
        <v>2</v>
      </c>
      <c r="P18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86" s="210">
        <f>IF(Tabelle13245689101112131415161715[[#This Row],[Status]]=$J$5,Tabelle13245689101112131415161715[[#This Row],[COsSP Initially Planned]]+Tabelle13245689101112131415161715[[#This Row],[COsSP Pulled after Start]]-Tabelle13245689101112131415161715[[#This Row],[CSOsSP Completed]],0)</f>
        <v>0</v>
      </c>
      <c r="R186" s="210">
        <f>Tabelle13245689101112131415161715[[#This Row],[COsSP Initially Planned]]+Tabelle13245689101112131415161715[[#This Row],[COsSP Pulled after Start]]-Tabelle13245689101112131415161715[[#This Row],[CSOsSP Completed]]-Tabelle13245689101112131415161715[[#This Row],[CSOsSP Removed]]</f>
        <v>0</v>
      </c>
    </row>
    <row r="187" spans="1:18" ht="13.5" hidden="1" customHeight="1">
      <c r="A187" s="202" t="s">
        <v>497</v>
      </c>
      <c r="B187" s="202" t="s">
        <v>498</v>
      </c>
      <c r="C187" s="203" t="s">
        <v>372</v>
      </c>
      <c r="D187" s="203">
        <v>3</v>
      </c>
      <c r="E187" s="203" t="s">
        <v>288</v>
      </c>
      <c r="F187" s="204">
        <v>3</v>
      </c>
      <c r="G187" s="201" t="s">
        <v>24</v>
      </c>
      <c r="H187" s="201" t="s">
        <v>209</v>
      </c>
      <c r="I187" s="206"/>
      <c r="J187" s="206"/>
      <c r="K187" s="203"/>
      <c r="L187" s="204"/>
      <c r="M187" s="204">
        <v>2</v>
      </c>
      <c r="N187" s="286">
        <f>IF(OR(Tabelle13245689101112131415161715[[#This Row],[Pulled after Start]]="yes",Tabelle13245689101112131415161715[[#This Row],[Jira Story Points]]="-"),0,MIN(Tabelle13245689101112131415161715[[#This Row],[Jira Story Points]],Tabelle13245689101112131415161715[[#This Row],[Carry-over]]))</f>
        <v>0</v>
      </c>
      <c r="O187" s="210">
        <f>SUM(IF(ISBLANK(Tabelle13245689101112131415161715[[#This Row],[Carry-over]]),Tabelle13245689101112131415161715[[#This Row],[Jira Story Points]],Tabelle13245689101112131415161715[[#This Row],[Carry-over]]),-Tabelle13245689101112131415161715[[#This Row],[COsSP Initially Planned]])</f>
        <v>3</v>
      </c>
      <c r="P18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187" s="210">
        <f>IF(Tabelle13245689101112131415161715[[#This Row],[Status]]=$J$5,Tabelle13245689101112131415161715[[#This Row],[COsSP Initially Planned]]+Tabelle13245689101112131415161715[[#This Row],[COsSP Pulled after Start]]-Tabelle13245689101112131415161715[[#This Row],[CSOsSP Completed]],0)</f>
        <v>0</v>
      </c>
      <c r="R187" s="210">
        <f>Tabelle13245689101112131415161715[[#This Row],[COsSP Initially Planned]]+Tabelle13245689101112131415161715[[#This Row],[COsSP Pulled after Start]]-Tabelle13245689101112131415161715[[#This Row],[CSOsSP Completed]]-Tabelle13245689101112131415161715[[#This Row],[CSOsSP Removed]]</f>
        <v>2</v>
      </c>
    </row>
    <row r="188" spans="1:18" ht="13.5" hidden="1" customHeight="1">
      <c r="A188" s="202" t="s">
        <v>499</v>
      </c>
      <c r="B188" s="202" t="s">
        <v>500</v>
      </c>
      <c r="C188" s="203" t="s">
        <v>372</v>
      </c>
      <c r="D188" s="203">
        <v>3</v>
      </c>
      <c r="E188" s="203" t="s">
        <v>324</v>
      </c>
      <c r="F188" s="204">
        <v>5</v>
      </c>
      <c r="G188" s="201" t="s">
        <v>24</v>
      </c>
      <c r="H188" s="201" t="s">
        <v>209</v>
      </c>
      <c r="I188" s="206"/>
      <c r="J188" s="206"/>
      <c r="K188" s="203" t="s">
        <v>125</v>
      </c>
      <c r="L188" s="204"/>
      <c r="M188" s="204"/>
      <c r="N188" s="286">
        <f>IF(OR(Tabelle13245689101112131415161715[[#This Row],[Pulled after Start]]="yes",Tabelle13245689101112131415161715[[#This Row],[Jira Story Points]]="-"),0,MIN(Tabelle13245689101112131415161715[[#This Row],[Jira Story Points]],Tabelle13245689101112131415161715[[#This Row],[Carry-over]]))</f>
        <v>0</v>
      </c>
      <c r="O188" s="210">
        <f>SUM(IF(ISBLANK(Tabelle13245689101112131415161715[[#This Row],[Carry-over]]),Tabelle13245689101112131415161715[[#This Row],[Jira Story Points]],Tabelle13245689101112131415161715[[#This Row],[Carry-over]]),-Tabelle13245689101112131415161715[[#This Row],[COsSP Initially Planned]])</f>
        <v>5</v>
      </c>
      <c r="P18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188" s="210">
        <f>IF(Tabelle13245689101112131415161715[[#This Row],[Status]]=$J$5,Tabelle13245689101112131415161715[[#This Row],[COsSP Initially Planned]]+Tabelle13245689101112131415161715[[#This Row],[COsSP Pulled after Start]]-Tabelle13245689101112131415161715[[#This Row],[CSOsSP Completed]],0)</f>
        <v>0</v>
      </c>
      <c r="R188" s="210">
        <f>Tabelle13245689101112131415161715[[#This Row],[COsSP Initially Planned]]+Tabelle13245689101112131415161715[[#This Row],[COsSP Pulled after Start]]-Tabelle13245689101112131415161715[[#This Row],[CSOsSP Completed]]-Tabelle13245689101112131415161715[[#This Row],[CSOsSP Removed]]</f>
        <v>0</v>
      </c>
    </row>
    <row r="189" spans="1:18" ht="13.5" hidden="1" customHeight="1">
      <c r="A189" s="202" t="s">
        <v>1205</v>
      </c>
      <c r="B189" s="202" t="s">
        <v>1206</v>
      </c>
      <c r="C189" s="203" t="s">
        <v>382</v>
      </c>
      <c r="D189" s="203">
        <v>3</v>
      </c>
      <c r="E189" s="203" t="s">
        <v>324</v>
      </c>
      <c r="F189" s="204">
        <v>3</v>
      </c>
      <c r="G189" s="201" t="s">
        <v>24</v>
      </c>
      <c r="H189" s="201" t="s">
        <v>209</v>
      </c>
      <c r="I189" s="206"/>
      <c r="J189" s="206"/>
      <c r="K189" s="203" t="s">
        <v>125</v>
      </c>
      <c r="L189" s="204"/>
      <c r="M189" s="204"/>
      <c r="N189" s="286">
        <f>IF(OR(Tabelle13245689101112131415161715[[#This Row],[Pulled after Start]]="yes",Tabelle13245689101112131415161715[[#This Row],[Jira Story Points]]="-"),0,MIN(Tabelle13245689101112131415161715[[#This Row],[Jira Story Points]],Tabelle13245689101112131415161715[[#This Row],[Carry-over]]))</f>
        <v>0</v>
      </c>
      <c r="O189" s="210">
        <f>SUM(IF(ISBLANK(Tabelle13245689101112131415161715[[#This Row],[Carry-over]]),Tabelle13245689101112131415161715[[#This Row],[Jira Story Points]],Tabelle13245689101112131415161715[[#This Row],[Carry-over]]),-Tabelle13245689101112131415161715[[#This Row],[COsSP Initially Planned]])</f>
        <v>3</v>
      </c>
      <c r="P18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89" s="210">
        <f>IF(Tabelle13245689101112131415161715[[#This Row],[Status]]=$J$5,Tabelle13245689101112131415161715[[#This Row],[COsSP Initially Planned]]+Tabelle13245689101112131415161715[[#This Row],[COsSP Pulled after Start]]-Tabelle13245689101112131415161715[[#This Row],[CSOsSP Completed]],0)</f>
        <v>0</v>
      </c>
      <c r="R189" s="210">
        <f>Tabelle13245689101112131415161715[[#This Row],[COsSP Initially Planned]]+Tabelle13245689101112131415161715[[#This Row],[COsSP Pulled after Start]]-Tabelle13245689101112131415161715[[#This Row],[CSOsSP Completed]]-Tabelle13245689101112131415161715[[#This Row],[CSOsSP Removed]]</f>
        <v>0</v>
      </c>
    </row>
    <row r="190" spans="1:18" ht="13.5" hidden="1" customHeight="1">
      <c r="A190" s="202" t="s">
        <v>1207</v>
      </c>
      <c r="B190" s="202" t="s">
        <v>997</v>
      </c>
      <c r="C190" s="203" t="s">
        <v>382</v>
      </c>
      <c r="D190" s="203">
        <v>3</v>
      </c>
      <c r="E190" s="203" t="s">
        <v>324</v>
      </c>
      <c r="F190" s="204">
        <v>5</v>
      </c>
      <c r="G190" s="201" t="s">
        <v>24</v>
      </c>
      <c r="H190" s="201" t="s">
        <v>209</v>
      </c>
      <c r="I190" s="206"/>
      <c r="J190" s="206"/>
      <c r="K190" s="203" t="s">
        <v>125</v>
      </c>
      <c r="L190" s="204"/>
      <c r="M190" s="204"/>
      <c r="N190" s="286">
        <f>IF(OR(Tabelle13245689101112131415161715[[#This Row],[Pulled after Start]]="yes",Tabelle13245689101112131415161715[[#This Row],[Jira Story Points]]="-"),0,MIN(Tabelle13245689101112131415161715[[#This Row],[Jira Story Points]],Tabelle13245689101112131415161715[[#This Row],[Carry-over]]))</f>
        <v>0</v>
      </c>
      <c r="O190" s="210">
        <f>SUM(IF(ISBLANK(Tabelle13245689101112131415161715[[#This Row],[Carry-over]]),Tabelle13245689101112131415161715[[#This Row],[Jira Story Points]],Tabelle13245689101112131415161715[[#This Row],[Carry-over]]),-Tabelle13245689101112131415161715[[#This Row],[COsSP Initially Planned]])</f>
        <v>5</v>
      </c>
      <c r="P19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190" s="210">
        <f>IF(Tabelle13245689101112131415161715[[#This Row],[Status]]=$J$5,Tabelle13245689101112131415161715[[#This Row],[COsSP Initially Planned]]+Tabelle13245689101112131415161715[[#This Row],[COsSP Pulled after Start]]-Tabelle13245689101112131415161715[[#This Row],[CSOsSP Completed]],0)</f>
        <v>0</v>
      </c>
      <c r="R190" s="210">
        <f>Tabelle13245689101112131415161715[[#This Row],[COsSP Initially Planned]]+Tabelle13245689101112131415161715[[#This Row],[COsSP Pulled after Start]]-Tabelle13245689101112131415161715[[#This Row],[CSOsSP Completed]]-Tabelle13245689101112131415161715[[#This Row],[CSOsSP Removed]]</f>
        <v>0</v>
      </c>
    </row>
    <row r="191" spans="1:18" ht="13.5" hidden="1" customHeight="1">
      <c r="A191" s="202" t="s">
        <v>1208</v>
      </c>
      <c r="B191" s="202" t="s">
        <v>1209</v>
      </c>
      <c r="C191" s="203" t="s">
        <v>382</v>
      </c>
      <c r="D191" s="203">
        <v>3</v>
      </c>
      <c r="E191" s="203" t="s">
        <v>324</v>
      </c>
      <c r="F191" s="204">
        <v>1</v>
      </c>
      <c r="G191" s="201" t="s">
        <v>24</v>
      </c>
      <c r="H191" s="201" t="s">
        <v>209</v>
      </c>
      <c r="I191" s="206"/>
      <c r="J191" s="206"/>
      <c r="K191" s="203" t="s">
        <v>125</v>
      </c>
      <c r="L191" s="204"/>
      <c r="M191" s="204"/>
      <c r="N191" s="286">
        <f>IF(OR(Tabelle13245689101112131415161715[[#This Row],[Pulled after Start]]="yes",Tabelle13245689101112131415161715[[#This Row],[Jira Story Points]]="-"),0,MIN(Tabelle13245689101112131415161715[[#This Row],[Jira Story Points]],Tabelle13245689101112131415161715[[#This Row],[Carry-over]]))</f>
        <v>0</v>
      </c>
      <c r="O191" s="210">
        <f>SUM(IF(ISBLANK(Tabelle13245689101112131415161715[[#This Row],[Carry-over]]),Tabelle13245689101112131415161715[[#This Row],[Jira Story Points]],Tabelle13245689101112131415161715[[#This Row],[Carry-over]]),-Tabelle13245689101112131415161715[[#This Row],[COsSP Initially Planned]])</f>
        <v>1</v>
      </c>
      <c r="P191"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191" s="210">
        <f>IF(Tabelle13245689101112131415161715[[#This Row],[Status]]=$J$5,Tabelle13245689101112131415161715[[#This Row],[COsSP Initially Planned]]+Tabelle13245689101112131415161715[[#This Row],[COsSP Pulled after Start]]-Tabelle13245689101112131415161715[[#This Row],[CSOsSP Completed]],0)</f>
        <v>0</v>
      </c>
      <c r="R191" s="210">
        <f>Tabelle13245689101112131415161715[[#This Row],[COsSP Initially Planned]]+Tabelle13245689101112131415161715[[#This Row],[COsSP Pulled after Start]]-Tabelle13245689101112131415161715[[#This Row],[CSOsSP Completed]]-Tabelle13245689101112131415161715[[#This Row],[CSOsSP Removed]]</f>
        <v>0</v>
      </c>
    </row>
    <row r="192" spans="1:18" ht="13.5" hidden="1" customHeight="1">
      <c r="A192" s="202" t="s">
        <v>501</v>
      </c>
      <c r="B192" s="202" t="s">
        <v>502</v>
      </c>
      <c r="C192" s="203" t="s">
        <v>375</v>
      </c>
      <c r="D192" s="203">
        <v>2</v>
      </c>
      <c r="E192" s="203" t="s">
        <v>1160</v>
      </c>
      <c r="F192" s="204">
        <v>1</v>
      </c>
      <c r="G192" s="201" t="s">
        <v>24</v>
      </c>
      <c r="H192" s="201" t="s">
        <v>209</v>
      </c>
      <c r="I192" s="206"/>
      <c r="J192" s="206"/>
      <c r="K192" s="203"/>
      <c r="L192" s="204"/>
      <c r="M192" s="204">
        <v>2</v>
      </c>
      <c r="N192" s="286">
        <f>IF(OR(Tabelle13245689101112131415161715[[#This Row],[Pulled after Start]]="yes",Tabelle13245689101112131415161715[[#This Row],[Jira Story Points]]="-"),0,MIN(Tabelle13245689101112131415161715[[#This Row],[Jira Story Points]],Tabelle13245689101112131415161715[[#This Row],[Carry-over]]))</f>
        <v>0</v>
      </c>
      <c r="O192" s="210">
        <f>SUM(IF(ISBLANK(Tabelle13245689101112131415161715[[#This Row],[Carry-over]]),Tabelle13245689101112131415161715[[#This Row],[Jira Story Points]],Tabelle13245689101112131415161715[[#This Row],[Carry-over]]),-Tabelle13245689101112131415161715[[#This Row],[COsSP Initially Planned]])</f>
        <v>1</v>
      </c>
      <c r="P19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192" s="210">
        <f>IF(Tabelle13245689101112131415161715[[#This Row],[Status]]=$J$5,Tabelle13245689101112131415161715[[#This Row],[COsSP Initially Planned]]+Tabelle13245689101112131415161715[[#This Row],[COsSP Pulled after Start]]-Tabelle13245689101112131415161715[[#This Row],[CSOsSP Completed]],0)</f>
        <v>0</v>
      </c>
      <c r="R192" s="210">
        <f>Tabelle13245689101112131415161715[[#This Row],[COsSP Initially Planned]]+Tabelle13245689101112131415161715[[#This Row],[COsSP Pulled after Start]]-Tabelle13245689101112131415161715[[#This Row],[CSOsSP Completed]]-Tabelle13245689101112131415161715[[#This Row],[CSOsSP Removed]]</f>
        <v>2</v>
      </c>
    </row>
    <row r="193" spans="1:18" ht="13.5" hidden="1" customHeight="1">
      <c r="A193" s="202" t="s">
        <v>1210</v>
      </c>
      <c r="B193" s="47" t="s">
        <v>1211</v>
      </c>
      <c r="C193" s="271" t="s">
        <v>372</v>
      </c>
      <c r="D193" s="271">
        <v>3</v>
      </c>
      <c r="E193" s="203" t="s">
        <v>324</v>
      </c>
      <c r="F193" s="271">
        <v>2</v>
      </c>
      <c r="G193" s="203" t="s">
        <v>9</v>
      </c>
      <c r="H193" s="271"/>
      <c r="I193" s="206"/>
      <c r="J193" s="206"/>
      <c r="K193" s="203" t="s">
        <v>125</v>
      </c>
      <c r="L193" s="204"/>
      <c r="M193" s="204"/>
      <c r="N193" s="286">
        <f>IF(OR(Tabelle13245689101112131415161715[[#This Row],[Pulled after Start]]="yes",Tabelle13245689101112131415161715[[#This Row],[Jira Story Points]]="-"),0,MIN(Tabelle13245689101112131415161715[[#This Row],[Jira Story Points]],Tabelle13245689101112131415161715[[#This Row],[Carry-over]]))</f>
        <v>2</v>
      </c>
      <c r="O193" s="210">
        <f>SUM(IF(ISBLANK(Tabelle13245689101112131415161715[[#This Row],[Carry-over]]),Tabelle13245689101112131415161715[[#This Row],[Jira Story Points]],Tabelle13245689101112131415161715[[#This Row],[Carry-over]]),-Tabelle13245689101112131415161715[[#This Row],[COsSP Initially Planned]])</f>
        <v>0</v>
      </c>
      <c r="P19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93" s="210">
        <f>IF(Tabelle13245689101112131415161715[[#This Row],[Status]]=$J$5,Tabelle13245689101112131415161715[[#This Row],[COsSP Initially Planned]]+Tabelle13245689101112131415161715[[#This Row],[COsSP Pulled after Start]]-Tabelle13245689101112131415161715[[#This Row],[CSOsSP Completed]],0)</f>
        <v>0</v>
      </c>
      <c r="R193" s="210">
        <f>Tabelle13245689101112131415161715[[#This Row],[COsSP Initially Planned]]+Tabelle13245689101112131415161715[[#This Row],[COsSP Pulled after Start]]-Tabelle13245689101112131415161715[[#This Row],[CSOsSP Completed]]-Tabelle13245689101112131415161715[[#This Row],[CSOsSP Removed]]</f>
        <v>0</v>
      </c>
    </row>
    <row r="194" spans="1:18" ht="13.5" hidden="1" customHeight="1">
      <c r="A194" s="202" t="s">
        <v>1212</v>
      </c>
      <c r="B194" s="47" t="s">
        <v>1213</v>
      </c>
      <c r="C194" s="271" t="s">
        <v>372</v>
      </c>
      <c r="D194" s="271">
        <v>3</v>
      </c>
      <c r="E194" s="203" t="s">
        <v>324</v>
      </c>
      <c r="F194" s="271">
        <v>2</v>
      </c>
      <c r="G194" s="203" t="s">
        <v>9</v>
      </c>
      <c r="H194" s="271" t="s">
        <v>209</v>
      </c>
      <c r="I194" s="206"/>
      <c r="J194" s="206"/>
      <c r="K194" s="203" t="s">
        <v>125</v>
      </c>
      <c r="L194" s="204"/>
      <c r="M194" s="204"/>
      <c r="N194" s="286">
        <f>IF(OR(Tabelle13245689101112131415161715[[#This Row],[Pulled after Start]]="yes",Tabelle13245689101112131415161715[[#This Row],[Jira Story Points]]="-"),0,MIN(Tabelle13245689101112131415161715[[#This Row],[Jira Story Points]],Tabelle13245689101112131415161715[[#This Row],[Carry-over]]))</f>
        <v>0</v>
      </c>
      <c r="O194" s="210">
        <f>SUM(IF(ISBLANK(Tabelle13245689101112131415161715[[#This Row],[Carry-over]]),Tabelle13245689101112131415161715[[#This Row],[Jira Story Points]],Tabelle13245689101112131415161715[[#This Row],[Carry-over]]),-Tabelle13245689101112131415161715[[#This Row],[COsSP Initially Planned]])</f>
        <v>2</v>
      </c>
      <c r="P19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94" s="210">
        <f>IF(Tabelle13245689101112131415161715[[#This Row],[Status]]=$J$5,Tabelle13245689101112131415161715[[#This Row],[COsSP Initially Planned]]+Tabelle13245689101112131415161715[[#This Row],[COsSP Pulled after Start]]-Tabelle13245689101112131415161715[[#This Row],[CSOsSP Completed]],0)</f>
        <v>0</v>
      </c>
      <c r="R194" s="210">
        <f>Tabelle13245689101112131415161715[[#This Row],[COsSP Initially Planned]]+Tabelle13245689101112131415161715[[#This Row],[COsSP Pulled after Start]]-Tabelle13245689101112131415161715[[#This Row],[CSOsSP Completed]]-Tabelle13245689101112131415161715[[#This Row],[CSOsSP Removed]]</f>
        <v>0</v>
      </c>
    </row>
    <row r="195" spans="1:18" ht="13.5" hidden="1" customHeight="1">
      <c r="A195" s="202" t="s">
        <v>1214</v>
      </c>
      <c r="B195" s="47" t="s">
        <v>1215</v>
      </c>
      <c r="C195" s="271" t="s">
        <v>372</v>
      </c>
      <c r="D195" s="271">
        <v>1</v>
      </c>
      <c r="E195" s="203" t="s">
        <v>324</v>
      </c>
      <c r="F195" s="271">
        <v>2</v>
      </c>
      <c r="G195" s="203" t="s">
        <v>9</v>
      </c>
      <c r="H195" s="271" t="s">
        <v>209</v>
      </c>
      <c r="I195" s="206"/>
      <c r="J195" s="206"/>
      <c r="K195" s="203" t="s">
        <v>125</v>
      </c>
      <c r="L195" s="204"/>
      <c r="M195" s="204"/>
      <c r="N195" s="286">
        <f>IF(OR(Tabelle13245689101112131415161715[[#This Row],[Pulled after Start]]="yes",Tabelle13245689101112131415161715[[#This Row],[Jira Story Points]]="-"),0,MIN(Tabelle13245689101112131415161715[[#This Row],[Jira Story Points]],Tabelle13245689101112131415161715[[#This Row],[Carry-over]]))</f>
        <v>0</v>
      </c>
      <c r="O195" s="210">
        <f>SUM(IF(ISBLANK(Tabelle13245689101112131415161715[[#This Row],[Carry-over]]),Tabelle13245689101112131415161715[[#This Row],[Jira Story Points]],Tabelle13245689101112131415161715[[#This Row],[Carry-over]]),-Tabelle13245689101112131415161715[[#This Row],[COsSP Initially Planned]])</f>
        <v>2</v>
      </c>
      <c r="P19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195" s="210">
        <f>IF(Tabelle13245689101112131415161715[[#This Row],[Status]]=$J$5,Tabelle13245689101112131415161715[[#This Row],[COsSP Initially Planned]]+Tabelle13245689101112131415161715[[#This Row],[COsSP Pulled after Start]]-Tabelle13245689101112131415161715[[#This Row],[CSOsSP Completed]],0)</f>
        <v>0</v>
      </c>
      <c r="R195" s="210">
        <f>Tabelle13245689101112131415161715[[#This Row],[COsSP Initially Planned]]+Tabelle13245689101112131415161715[[#This Row],[COsSP Pulled after Start]]-Tabelle13245689101112131415161715[[#This Row],[CSOsSP Completed]]-Tabelle13245689101112131415161715[[#This Row],[CSOsSP Removed]]</f>
        <v>0</v>
      </c>
    </row>
    <row r="196" spans="1:18" ht="13.5" hidden="1" customHeight="1">
      <c r="A196" s="202" t="s">
        <v>1216</v>
      </c>
      <c r="B196" s="47" t="s">
        <v>1217</v>
      </c>
      <c r="C196" s="271" t="s">
        <v>382</v>
      </c>
      <c r="D196" s="271">
        <v>2</v>
      </c>
      <c r="E196" s="203" t="s">
        <v>324</v>
      </c>
      <c r="F196" s="271">
        <v>8</v>
      </c>
      <c r="G196" s="203" t="s">
        <v>9</v>
      </c>
      <c r="H196" s="271"/>
      <c r="I196" s="206"/>
      <c r="J196" s="206"/>
      <c r="K196" s="203" t="s">
        <v>125</v>
      </c>
      <c r="L196" s="204"/>
      <c r="M196" s="204"/>
      <c r="N196" s="286">
        <f>IF(OR(Tabelle13245689101112131415161715[[#This Row],[Pulled after Start]]="yes",Tabelle13245689101112131415161715[[#This Row],[Jira Story Points]]="-"),0,MIN(Tabelle13245689101112131415161715[[#This Row],[Jira Story Points]],Tabelle13245689101112131415161715[[#This Row],[Carry-over]]))</f>
        <v>8</v>
      </c>
      <c r="O196" s="210">
        <f>SUM(IF(ISBLANK(Tabelle13245689101112131415161715[[#This Row],[Carry-over]]),Tabelle13245689101112131415161715[[#This Row],[Jira Story Points]],Tabelle13245689101112131415161715[[#This Row],[Carry-over]]),-Tabelle13245689101112131415161715[[#This Row],[COsSP Initially Planned]])</f>
        <v>0</v>
      </c>
      <c r="P19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8</v>
      </c>
      <c r="Q196" s="210">
        <f>IF(Tabelle13245689101112131415161715[[#This Row],[Status]]=$J$5,Tabelle13245689101112131415161715[[#This Row],[COsSP Initially Planned]]+Tabelle13245689101112131415161715[[#This Row],[COsSP Pulled after Start]]-Tabelle13245689101112131415161715[[#This Row],[CSOsSP Completed]],0)</f>
        <v>0</v>
      </c>
      <c r="R196" s="210">
        <f>Tabelle13245689101112131415161715[[#This Row],[COsSP Initially Planned]]+Tabelle13245689101112131415161715[[#This Row],[COsSP Pulled after Start]]-Tabelle13245689101112131415161715[[#This Row],[CSOsSP Completed]]-Tabelle13245689101112131415161715[[#This Row],[CSOsSP Removed]]</f>
        <v>0</v>
      </c>
    </row>
    <row r="197" spans="1:18" ht="13.5" hidden="1" customHeight="1">
      <c r="A197" s="202" t="s">
        <v>1218</v>
      </c>
      <c r="B197" s="47" t="s">
        <v>1219</v>
      </c>
      <c r="C197" s="271" t="s">
        <v>382</v>
      </c>
      <c r="D197" s="271">
        <v>3</v>
      </c>
      <c r="E197" s="203" t="s">
        <v>324</v>
      </c>
      <c r="F197" s="271">
        <v>5</v>
      </c>
      <c r="G197" s="203" t="s">
        <v>9</v>
      </c>
      <c r="H197" s="271"/>
      <c r="I197" s="206"/>
      <c r="J197" s="206"/>
      <c r="K197" s="203" t="s">
        <v>125</v>
      </c>
      <c r="L197" s="204"/>
      <c r="M197" s="204"/>
      <c r="N197" s="286">
        <f>IF(OR(Tabelle13245689101112131415161715[[#This Row],[Pulled after Start]]="yes",Tabelle13245689101112131415161715[[#This Row],[Jira Story Points]]="-"),0,MIN(Tabelle13245689101112131415161715[[#This Row],[Jira Story Points]],Tabelle13245689101112131415161715[[#This Row],[Carry-over]]))</f>
        <v>5</v>
      </c>
      <c r="O197" s="210">
        <f>SUM(IF(ISBLANK(Tabelle13245689101112131415161715[[#This Row],[Carry-over]]),Tabelle13245689101112131415161715[[#This Row],[Jira Story Points]],Tabelle13245689101112131415161715[[#This Row],[Carry-over]]),-Tabelle13245689101112131415161715[[#This Row],[COsSP Initially Planned]])</f>
        <v>0</v>
      </c>
      <c r="P19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197" s="210">
        <f>IF(Tabelle13245689101112131415161715[[#This Row],[Status]]=$J$5,Tabelle13245689101112131415161715[[#This Row],[COsSP Initially Planned]]+Tabelle13245689101112131415161715[[#This Row],[COsSP Pulled after Start]]-Tabelle13245689101112131415161715[[#This Row],[CSOsSP Completed]],0)</f>
        <v>0</v>
      </c>
      <c r="R197" s="210">
        <f>Tabelle13245689101112131415161715[[#This Row],[COsSP Initially Planned]]+Tabelle13245689101112131415161715[[#This Row],[COsSP Pulled after Start]]-Tabelle13245689101112131415161715[[#This Row],[CSOsSP Completed]]-Tabelle13245689101112131415161715[[#This Row],[CSOsSP Removed]]</f>
        <v>0</v>
      </c>
    </row>
    <row r="198" spans="1:18" ht="13.5" hidden="1" customHeight="1">
      <c r="A198" s="202" t="s">
        <v>1220</v>
      </c>
      <c r="B198" s="47" t="s">
        <v>1221</v>
      </c>
      <c r="C198" s="271" t="s">
        <v>382</v>
      </c>
      <c r="D198" s="271">
        <v>3</v>
      </c>
      <c r="E198" s="203" t="s">
        <v>324</v>
      </c>
      <c r="F198" s="271">
        <v>3</v>
      </c>
      <c r="G198" s="203" t="s">
        <v>9</v>
      </c>
      <c r="H198" s="271"/>
      <c r="I198" s="206"/>
      <c r="J198" s="206"/>
      <c r="K198" s="203" t="s">
        <v>125</v>
      </c>
      <c r="L198" s="204"/>
      <c r="M198" s="204"/>
      <c r="N198" s="286">
        <f>IF(OR(Tabelle13245689101112131415161715[[#This Row],[Pulled after Start]]="yes",Tabelle13245689101112131415161715[[#This Row],[Jira Story Points]]="-"),0,MIN(Tabelle13245689101112131415161715[[#This Row],[Jira Story Points]],Tabelle13245689101112131415161715[[#This Row],[Carry-over]]))</f>
        <v>3</v>
      </c>
      <c r="O198" s="210">
        <f>SUM(IF(ISBLANK(Tabelle13245689101112131415161715[[#This Row],[Carry-over]]),Tabelle13245689101112131415161715[[#This Row],[Jira Story Points]],Tabelle13245689101112131415161715[[#This Row],[Carry-over]]),-Tabelle13245689101112131415161715[[#This Row],[COsSP Initially Planned]])</f>
        <v>0</v>
      </c>
      <c r="P19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198" s="210">
        <f>IF(Tabelle13245689101112131415161715[[#This Row],[Status]]=$J$5,Tabelle13245689101112131415161715[[#This Row],[COsSP Initially Planned]]+Tabelle13245689101112131415161715[[#This Row],[COsSP Pulled after Start]]-Tabelle13245689101112131415161715[[#This Row],[CSOsSP Completed]],0)</f>
        <v>0</v>
      </c>
      <c r="R198" s="210">
        <f>Tabelle13245689101112131415161715[[#This Row],[COsSP Initially Planned]]+Tabelle13245689101112131415161715[[#This Row],[COsSP Pulled after Start]]-Tabelle13245689101112131415161715[[#This Row],[CSOsSP Completed]]-Tabelle13245689101112131415161715[[#This Row],[CSOsSP Removed]]</f>
        <v>0</v>
      </c>
    </row>
    <row r="199" spans="1:18" ht="13.5" hidden="1" customHeight="1">
      <c r="A199" s="202" t="s">
        <v>1222</v>
      </c>
      <c r="B199" s="47" t="s">
        <v>1223</v>
      </c>
      <c r="C199" s="271" t="s">
        <v>382</v>
      </c>
      <c r="D199" s="271">
        <v>3</v>
      </c>
      <c r="E199" s="203" t="s">
        <v>324</v>
      </c>
      <c r="F199" s="271">
        <v>5</v>
      </c>
      <c r="G199" s="203" t="s">
        <v>9</v>
      </c>
      <c r="H199" s="271"/>
      <c r="I199" s="206"/>
      <c r="J199" s="206"/>
      <c r="K199" s="203" t="s">
        <v>125</v>
      </c>
      <c r="L199" s="204"/>
      <c r="M199" s="204"/>
      <c r="N199" s="286">
        <f>IF(OR(Tabelle13245689101112131415161715[[#This Row],[Pulled after Start]]="yes",Tabelle13245689101112131415161715[[#This Row],[Jira Story Points]]="-"),0,MIN(Tabelle13245689101112131415161715[[#This Row],[Jira Story Points]],Tabelle13245689101112131415161715[[#This Row],[Carry-over]]))</f>
        <v>5</v>
      </c>
      <c r="O199" s="210">
        <f>SUM(IF(ISBLANK(Tabelle13245689101112131415161715[[#This Row],[Carry-over]]),Tabelle13245689101112131415161715[[#This Row],[Jira Story Points]],Tabelle13245689101112131415161715[[#This Row],[Carry-over]]),-Tabelle13245689101112131415161715[[#This Row],[COsSP Initially Planned]])</f>
        <v>0</v>
      </c>
      <c r="P19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199" s="210">
        <f>IF(Tabelle13245689101112131415161715[[#This Row],[Status]]=$J$5,Tabelle13245689101112131415161715[[#This Row],[COsSP Initially Planned]]+Tabelle13245689101112131415161715[[#This Row],[COsSP Pulled after Start]]-Tabelle13245689101112131415161715[[#This Row],[CSOsSP Completed]],0)</f>
        <v>0</v>
      </c>
      <c r="R199" s="210">
        <f>Tabelle13245689101112131415161715[[#This Row],[COsSP Initially Planned]]+Tabelle13245689101112131415161715[[#This Row],[COsSP Pulled after Start]]-Tabelle13245689101112131415161715[[#This Row],[CSOsSP Completed]]-Tabelle13245689101112131415161715[[#This Row],[CSOsSP Removed]]</f>
        <v>0</v>
      </c>
    </row>
    <row r="200" spans="1:18" ht="13.5" hidden="1" customHeight="1">
      <c r="A200" s="202" t="s">
        <v>1224</v>
      </c>
      <c r="B200" s="47" t="s">
        <v>1225</v>
      </c>
      <c r="C200" s="271" t="s">
        <v>382</v>
      </c>
      <c r="D200" s="271">
        <v>3</v>
      </c>
      <c r="E200" s="203" t="s">
        <v>324</v>
      </c>
      <c r="F200" s="271">
        <v>13</v>
      </c>
      <c r="G200" s="203" t="s">
        <v>9</v>
      </c>
      <c r="H200" s="271"/>
      <c r="I200" s="206" t="s">
        <v>1226</v>
      </c>
      <c r="J200" s="206"/>
      <c r="K200" s="203" t="s">
        <v>125</v>
      </c>
      <c r="L200" s="204"/>
      <c r="M200" s="204"/>
      <c r="N200" s="286">
        <f>IF(OR(Tabelle13245689101112131415161715[[#This Row],[Pulled after Start]]="yes",Tabelle13245689101112131415161715[[#This Row],[Jira Story Points]]="-"),0,MIN(Tabelle13245689101112131415161715[[#This Row],[Jira Story Points]],Tabelle13245689101112131415161715[[#This Row],[Carry-over]]))</f>
        <v>13</v>
      </c>
      <c r="O200" s="210">
        <f>SUM(IF(ISBLANK(Tabelle13245689101112131415161715[[#This Row],[Carry-over]]),Tabelle13245689101112131415161715[[#This Row],[Jira Story Points]],Tabelle13245689101112131415161715[[#This Row],[Carry-over]]),-Tabelle13245689101112131415161715[[#This Row],[COsSP Initially Planned]])</f>
        <v>0</v>
      </c>
      <c r="P20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13</v>
      </c>
      <c r="Q200" s="210">
        <f>IF(Tabelle13245689101112131415161715[[#This Row],[Status]]=$J$5,Tabelle13245689101112131415161715[[#This Row],[COsSP Initially Planned]]+Tabelle13245689101112131415161715[[#This Row],[COsSP Pulled after Start]]-Tabelle13245689101112131415161715[[#This Row],[CSOsSP Completed]],0)</f>
        <v>0</v>
      </c>
      <c r="R200" s="210">
        <f>Tabelle13245689101112131415161715[[#This Row],[COsSP Initially Planned]]+Tabelle13245689101112131415161715[[#This Row],[COsSP Pulled after Start]]-Tabelle13245689101112131415161715[[#This Row],[CSOsSP Completed]]-Tabelle13245689101112131415161715[[#This Row],[CSOsSP Removed]]</f>
        <v>0</v>
      </c>
    </row>
    <row r="201" spans="1:18" ht="13.5" hidden="1" customHeight="1">
      <c r="A201" s="202" t="s">
        <v>1227</v>
      </c>
      <c r="B201" s="47" t="s">
        <v>1228</v>
      </c>
      <c r="C201" s="271" t="s">
        <v>375</v>
      </c>
      <c r="D201" s="271">
        <v>3</v>
      </c>
      <c r="E201" s="203" t="s">
        <v>324</v>
      </c>
      <c r="F201" s="271">
        <v>1</v>
      </c>
      <c r="G201" s="203" t="s">
        <v>9</v>
      </c>
      <c r="H201" s="271" t="s">
        <v>209</v>
      </c>
      <c r="I201" s="206"/>
      <c r="J201" s="206"/>
      <c r="K201" s="203" t="s">
        <v>125</v>
      </c>
      <c r="L201" s="204"/>
      <c r="M201" s="204"/>
      <c r="N201" s="286">
        <f>IF(OR(Tabelle13245689101112131415161715[[#This Row],[Pulled after Start]]="yes",Tabelle13245689101112131415161715[[#This Row],[Jira Story Points]]="-"),0,MIN(Tabelle13245689101112131415161715[[#This Row],[Jira Story Points]],Tabelle13245689101112131415161715[[#This Row],[Carry-over]]))</f>
        <v>0</v>
      </c>
      <c r="O201" s="210">
        <f>SUM(IF(ISBLANK(Tabelle13245689101112131415161715[[#This Row],[Carry-over]]),Tabelle13245689101112131415161715[[#This Row],[Jira Story Points]],Tabelle13245689101112131415161715[[#This Row],[Carry-over]]),-Tabelle13245689101112131415161715[[#This Row],[COsSP Initially Planned]])</f>
        <v>1</v>
      </c>
      <c r="P201"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201" s="210">
        <f>IF(Tabelle13245689101112131415161715[[#This Row],[Status]]=$J$5,Tabelle13245689101112131415161715[[#This Row],[COsSP Initially Planned]]+Tabelle13245689101112131415161715[[#This Row],[COsSP Pulled after Start]]-Tabelle13245689101112131415161715[[#This Row],[CSOsSP Completed]],0)</f>
        <v>0</v>
      </c>
      <c r="R201" s="210">
        <f>Tabelle13245689101112131415161715[[#This Row],[COsSP Initially Planned]]+Tabelle13245689101112131415161715[[#This Row],[COsSP Pulled after Start]]-Tabelle13245689101112131415161715[[#This Row],[CSOsSP Completed]]-Tabelle13245689101112131415161715[[#This Row],[CSOsSP Removed]]</f>
        <v>0</v>
      </c>
    </row>
    <row r="202" spans="1:18" ht="13.5" hidden="1" customHeight="1">
      <c r="A202" s="202" t="s">
        <v>1229</v>
      </c>
      <c r="B202" s="47" t="s">
        <v>1230</v>
      </c>
      <c r="C202" s="271" t="s">
        <v>375</v>
      </c>
      <c r="D202" s="271">
        <v>3</v>
      </c>
      <c r="E202" s="203" t="s">
        <v>324</v>
      </c>
      <c r="F202" s="271">
        <v>2</v>
      </c>
      <c r="G202" s="203" t="s">
        <v>9</v>
      </c>
      <c r="H202" s="271" t="s">
        <v>209</v>
      </c>
      <c r="I202" s="206"/>
      <c r="J202" s="206"/>
      <c r="K202" s="203" t="s">
        <v>125</v>
      </c>
      <c r="L202" s="204"/>
      <c r="M202" s="204"/>
      <c r="N202" s="286">
        <f>IF(OR(Tabelle13245689101112131415161715[[#This Row],[Pulled after Start]]="yes",Tabelle13245689101112131415161715[[#This Row],[Jira Story Points]]="-"),0,MIN(Tabelle13245689101112131415161715[[#This Row],[Jira Story Points]],Tabelle13245689101112131415161715[[#This Row],[Carry-over]]))</f>
        <v>0</v>
      </c>
      <c r="O202" s="210">
        <f>SUM(IF(ISBLANK(Tabelle13245689101112131415161715[[#This Row],[Carry-over]]),Tabelle13245689101112131415161715[[#This Row],[Jira Story Points]],Tabelle13245689101112131415161715[[#This Row],[Carry-over]]),-Tabelle13245689101112131415161715[[#This Row],[COsSP Initially Planned]])</f>
        <v>2</v>
      </c>
      <c r="P20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202" s="210">
        <f>IF(Tabelle13245689101112131415161715[[#This Row],[Status]]=$J$5,Tabelle13245689101112131415161715[[#This Row],[COsSP Initially Planned]]+Tabelle13245689101112131415161715[[#This Row],[COsSP Pulled after Start]]-Tabelle13245689101112131415161715[[#This Row],[CSOsSP Completed]],0)</f>
        <v>0</v>
      </c>
      <c r="R202" s="210">
        <f>Tabelle13245689101112131415161715[[#This Row],[COsSP Initially Planned]]+Tabelle13245689101112131415161715[[#This Row],[COsSP Pulled after Start]]-Tabelle13245689101112131415161715[[#This Row],[CSOsSP Completed]]-Tabelle13245689101112131415161715[[#This Row],[CSOsSP Removed]]</f>
        <v>0</v>
      </c>
    </row>
    <row r="203" spans="1:18" ht="13.5" hidden="1" customHeight="1">
      <c r="A203" s="202" t="s">
        <v>1231</v>
      </c>
      <c r="B203" s="47" t="s">
        <v>1232</v>
      </c>
      <c r="C203" s="271" t="s">
        <v>382</v>
      </c>
      <c r="D203" s="271">
        <v>3</v>
      </c>
      <c r="E203" s="203" t="s">
        <v>324</v>
      </c>
      <c r="F203" s="271">
        <v>8</v>
      </c>
      <c r="G203" s="203" t="s">
        <v>9</v>
      </c>
      <c r="H203" s="271" t="s">
        <v>209</v>
      </c>
      <c r="I203" s="206"/>
      <c r="J203" s="206"/>
      <c r="K203" s="203" t="s">
        <v>125</v>
      </c>
      <c r="L203" s="204"/>
      <c r="M203" s="204"/>
      <c r="N203" s="286">
        <f>IF(OR(Tabelle13245689101112131415161715[[#This Row],[Pulled after Start]]="yes",Tabelle13245689101112131415161715[[#This Row],[Jira Story Points]]="-"),0,MIN(Tabelle13245689101112131415161715[[#This Row],[Jira Story Points]],Tabelle13245689101112131415161715[[#This Row],[Carry-over]]))</f>
        <v>0</v>
      </c>
      <c r="O203" s="210">
        <f>SUM(IF(ISBLANK(Tabelle13245689101112131415161715[[#This Row],[Carry-over]]),Tabelle13245689101112131415161715[[#This Row],[Jira Story Points]],Tabelle13245689101112131415161715[[#This Row],[Carry-over]]),-Tabelle13245689101112131415161715[[#This Row],[COsSP Initially Planned]])</f>
        <v>8</v>
      </c>
      <c r="P20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8</v>
      </c>
      <c r="Q203" s="210">
        <f>IF(Tabelle13245689101112131415161715[[#This Row],[Status]]=$J$5,Tabelle13245689101112131415161715[[#This Row],[COsSP Initially Planned]]+Tabelle13245689101112131415161715[[#This Row],[COsSP Pulled after Start]]-Tabelle13245689101112131415161715[[#This Row],[CSOsSP Completed]],0)</f>
        <v>0</v>
      </c>
      <c r="R203" s="210">
        <f>Tabelle13245689101112131415161715[[#This Row],[COsSP Initially Planned]]+Tabelle13245689101112131415161715[[#This Row],[COsSP Pulled after Start]]-Tabelle13245689101112131415161715[[#This Row],[CSOsSP Completed]]-Tabelle13245689101112131415161715[[#This Row],[CSOsSP Removed]]</f>
        <v>0</v>
      </c>
    </row>
    <row r="204" spans="1:18" ht="13.5" hidden="1" customHeight="1">
      <c r="A204" s="202" t="s">
        <v>1233</v>
      </c>
      <c r="B204" s="47" t="s">
        <v>1234</v>
      </c>
      <c r="C204" s="271" t="s">
        <v>375</v>
      </c>
      <c r="D204" s="271">
        <v>2</v>
      </c>
      <c r="E204" s="203" t="s">
        <v>324</v>
      </c>
      <c r="F204" s="271">
        <v>2</v>
      </c>
      <c r="G204" s="203" t="s">
        <v>9</v>
      </c>
      <c r="H204" s="271" t="s">
        <v>209</v>
      </c>
      <c r="I204" s="206"/>
      <c r="J204" s="206"/>
      <c r="K204" s="203" t="s">
        <v>125</v>
      </c>
      <c r="L204" s="204"/>
      <c r="M204" s="204"/>
      <c r="N204" s="286">
        <f>IF(OR(Tabelle13245689101112131415161715[[#This Row],[Pulled after Start]]="yes",Tabelle13245689101112131415161715[[#This Row],[Jira Story Points]]="-"),0,MIN(Tabelle13245689101112131415161715[[#This Row],[Jira Story Points]],Tabelle13245689101112131415161715[[#This Row],[Carry-over]]))</f>
        <v>0</v>
      </c>
      <c r="O204" s="210">
        <f>SUM(IF(ISBLANK(Tabelle13245689101112131415161715[[#This Row],[Carry-over]]),Tabelle13245689101112131415161715[[#This Row],[Jira Story Points]],Tabelle13245689101112131415161715[[#This Row],[Carry-over]]),-Tabelle13245689101112131415161715[[#This Row],[COsSP Initially Planned]])</f>
        <v>2</v>
      </c>
      <c r="P20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204" s="210">
        <f>IF(Tabelle13245689101112131415161715[[#This Row],[Status]]=$J$5,Tabelle13245689101112131415161715[[#This Row],[COsSP Initially Planned]]+Tabelle13245689101112131415161715[[#This Row],[COsSP Pulled after Start]]-Tabelle13245689101112131415161715[[#This Row],[CSOsSP Completed]],0)</f>
        <v>0</v>
      </c>
      <c r="R204" s="210">
        <f>Tabelle13245689101112131415161715[[#This Row],[COsSP Initially Planned]]+Tabelle13245689101112131415161715[[#This Row],[COsSP Pulled after Start]]-Tabelle13245689101112131415161715[[#This Row],[CSOsSP Completed]]-Tabelle13245689101112131415161715[[#This Row],[CSOsSP Removed]]</f>
        <v>0</v>
      </c>
    </row>
    <row r="205" spans="1:18" ht="13.5" hidden="1" customHeight="1">
      <c r="A205" s="202" t="s">
        <v>1235</v>
      </c>
      <c r="B205" s="47" t="s">
        <v>1236</v>
      </c>
      <c r="C205" s="271" t="s">
        <v>372</v>
      </c>
      <c r="D205" s="271">
        <v>3</v>
      </c>
      <c r="E205" s="203" t="s">
        <v>324</v>
      </c>
      <c r="F205" s="271">
        <v>3</v>
      </c>
      <c r="G205" s="203" t="s">
        <v>9</v>
      </c>
      <c r="H205" s="271" t="s">
        <v>209</v>
      </c>
      <c r="I205" s="206"/>
      <c r="J205" s="206"/>
      <c r="K205" s="203" t="s">
        <v>125</v>
      </c>
      <c r="L205" s="204"/>
      <c r="M205" s="204"/>
      <c r="N205" s="210">
        <f>IF(OR(Tabelle13245689101112131415161715[[#This Row],[Pulled after Start]]="yes",Tabelle13245689101112131415161715[[#This Row],[Jira Story Points]]="-"),0,MIN(Tabelle13245689101112131415161715[[#This Row],[Jira Story Points]],Tabelle13245689101112131415161715[[#This Row],[Carry-over]]))</f>
        <v>0</v>
      </c>
      <c r="O205" s="210">
        <f>SUM(IF(ISBLANK(Tabelle13245689101112131415161715[[#This Row],[Carry-over]]),Tabelle13245689101112131415161715[[#This Row],[Jira Story Points]],Tabelle13245689101112131415161715[[#This Row],[Carry-over]]),-Tabelle13245689101112131415161715[[#This Row],[COsSP Initially Planned]])</f>
        <v>3</v>
      </c>
      <c r="P20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205" s="210">
        <f>IF(Tabelle13245689101112131415161715[[#This Row],[Status]]=$J$5,Tabelle13245689101112131415161715[[#This Row],[COsSP Initially Planned]]+Tabelle13245689101112131415161715[[#This Row],[COsSP Pulled after Start]]-Tabelle13245689101112131415161715[[#This Row],[CSOsSP Completed]],0)</f>
        <v>0</v>
      </c>
      <c r="R205" s="210">
        <f>Tabelle13245689101112131415161715[[#This Row],[COsSP Initially Planned]]+Tabelle13245689101112131415161715[[#This Row],[COsSP Pulled after Start]]-Tabelle13245689101112131415161715[[#This Row],[CSOsSP Completed]]-Tabelle13245689101112131415161715[[#This Row],[CSOsSP Removed]]</f>
        <v>0</v>
      </c>
    </row>
    <row r="206" spans="1:18" ht="13.5" hidden="1" customHeight="1">
      <c r="A206" s="202" t="s">
        <v>1237</v>
      </c>
      <c r="B206" s="47" t="s">
        <v>1238</v>
      </c>
      <c r="C206" s="271" t="s">
        <v>372</v>
      </c>
      <c r="D206" s="271">
        <v>3</v>
      </c>
      <c r="E206" s="203" t="s">
        <v>324</v>
      </c>
      <c r="F206" s="271">
        <v>2</v>
      </c>
      <c r="G206" s="203" t="s">
        <v>9</v>
      </c>
      <c r="H206" s="271" t="s">
        <v>209</v>
      </c>
      <c r="I206" s="206"/>
      <c r="J206" s="206"/>
      <c r="K206" s="203" t="s">
        <v>125</v>
      </c>
      <c r="L206" s="204"/>
      <c r="M206" s="204"/>
      <c r="N206" s="210">
        <f>IF(OR(Tabelle13245689101112131415161715[[#This Row],[Pulled after Start]]="yes",Tabelle13245689101112131415161715[[#This Row],[Jira Story Points]]="-"),0,MIN(Tabelle13245689101112131415161715[[#This Row],[Jira Story Points]],Tabelle13245689101112131415161715[[#This Row],[Carry-over]]))</f>
        <v>0</v>
      </c>
      <c r="O206" s="210">
        <f>SUM(IF(ISBLANK(Tabelle13245689101112131415161715[[#This Row],[Carry-over]]),Tabelle13245689101112131415161715[[#This Row],[Jira Story Points]],Tabelle13245689101112131415161715[[#This Row],[Carry-over]]),-Tabelle13245689101112131415161715[[#This Row],[COsSP Initially Planned]])</f>
        <v>2</v>
      </c>
      <c r="P20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206" s="210">
        <f>IF(Tabelle13245689101112131415161715[[#This Row],[Status]]=$J$5,Tabelle13245689101112131415161715[[#This Row],[COsSP Initially Planned]]+Tabelle13245689101112131415161715[[#This Row],[COsSP Pulled after Start]]-Tabelle13245689101112131415161715[[#This Row],[CSOsSP Completed]],0)</f>
        <v>0</v>
      </c>
      <c r="R206" s="210">
        <f>Tabelle13245689101112131415161715[[#This Row],[COsSP Initially Planned]]+Tabelle13245689101112131415161715[[#This Row],[COsSP Pulled after Start]]-Tabelle13245689101112131415161715[[#This Row],[CSOsSP Completed]]-Tabelle13245689101112131415161715[[#This Row],[CSOsSP Removed]]</f>
        <v>0</v>
      </c>
    </row>
    <row r="207" spans="1:18" ht="13.5" hidden="1" customHeight="1">
      <c r="A207" s="202" t="s">
        <v>1239</v>
      </c>
      <c r="B207" s="47" t="s">
        <v>1240</v>
      </c>
      <c r="C207" s="271" t="s">
        <v>372</v>
      </c>
      <c r="D207" s="271">
        <v>3</v>
      </c>
      <c r="E207" s="203" t="s">
        <v>324</v>
      </c>
      <c r="F207" s="271" t="s">
        <v>931</v>
      </c>
      <c r="G207" s="203" t="s">
        <v>9</v>
      </c>
      <c r="H207" s="271"/>
      <c r="I207" s="206"/>
      <c r="J207" s="206"/>
      <c r="K207" s="203" t="s">
        <v>125</v>
      </c>
      <c r="L207" s="204"/>
      <c r="M207" s="204"/>
      <c r="N207" s="210">
        <f>IF(OR(Tabelle13245689101112131415161715[[#This Row],[Pulled after Start]]="yes",Tabelle13245689101112131415161715[[#This Row],[Jira Story Points]]="-"),0,MIN(Tabelle13245689101112131415161715[[#This Row],[Jira Story Points]],Tabelle13245689101112131415161715[[#This Row],[Carry-over]]))</f>
        <v>0</v>
      </c>
      <c r="O207" s="210">
        <f>SUM(IF(ISBLANK(Tabelle13245689101112131415161715[[#This Row],[Carry-over]]),Tabelle13245689101112131415161715[[#This Row],[Jira Story Points]],Tabelle13245689101112131415161715[[#This Row],[Carry-over]]),-Tabelle13245689101112131415161715[[#This Row],[COsSP Initially Planned]])</f>
        <v>0</v>
      </c>
      <c r="P20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207" s="210">
        <f>IF(Tabelle13245689101112131415161715[[#This Row],[Status]]=$J$5,Tabelle13245689101112131415161715[[#This Row],[COsSP Initially Planned]]+Tabelle13245689101112131415161715[[#This Row],[COsSP Pulled after Start]]-Tabelle13245689101112131415161715[[#This Row],[CSOsSP Completed]],0)</f>
        <v>0</v>
      </c>
      <c r="R207" s="210">
        <f>Tabelle13245689101112131415161715[[#This Row],[COsSP Initially Planned]]+Tabelle13245689101112131415161715[[#This Row],[COsSP Pulled after Start]]-Tabelle13245689101112131415161715[[#This Row],[CSOsSP Completed]]-Tabelle13245689101112131415161715[[#This Row],[CSOsSP Removed]]</f>
        <v>0</v>
      </c>
    </row>
    <row r="208" spans="1:18" ht="13.5" hidden="1" customHeight="1">
      <c r="A208" s="202" t="s">
        <v>1241</v>
      </c>
      <c r="B208" s="47" t="s">
        <v>1242</v>
      </c>
      <c r="C208" s="271" t="s">
        <v>372</v>
      </c>
      <c r="D208" s="271">
        <v>3</v>
      </c>
      <c r="E208" s="203" t="s">
        <v>324</v>
      </c>
      <c r="F208" s="271">
        <v>3</v>
      </c>
      <c r="G208" s="203" t="s">
        <v>9</v>
      </c>
      <c r="H208" s="271"/>
      <c r="I208" s="206"/>
      <c r="J208" s="206"/>
      <c r="K208" s="203" t="s">
        <v>125</v>
      </c>
      <c r="L208" s="204"/>
      <c r="M208" s="204"/>
      <c r="N208" s="210">
        <f>IF(OR(Tabelle13245689101112131415161715[[#This Row],[Pulled after Start]]="yes",Tabelle13245689101112131415161715[[#This Row],[Jira Story Points]]="-"),0,MIN(Tabelle13245689101112131415161715[[#This Row],[Jira Story Points]],Tabelle13245689101112131415161715[[#This Row],[Carry-over]]))</f>
        <v>3</v>
      </c>
      <c r="O208" s="210">
        <f>SUM(IF(ISBLANK(Tabelle13245689101112131415161715[[#This Row],[Carry-over]]),Tabelle13245689101112131415161715[[#This Row],[Jira Story Points]],Tabelle13245689101112131415161715[[#This Row],[Carry-over]]),-Tabelle13245689101112131415161715[[#This Row],[COsSP Initially Planned]])</f>
        <v>0</v>
      </c>
      <c r="P20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208" s="210">
        <f>IF(Tabelle13245689101112131415161715[[#This Row],[Status]]=$J$5,Tabelle13245689101112131415161715[[#This Row],[COsSP Initially Planned]]+Tabelle13245689101112131415161715[[#This Row],[COsSP Pulled after Start]]-Tabelle13245689101112131415161715[[#This Row],[CSOsSP Completed]],0)</f>
        <v>0</v>
      </c>
      <c r="R208" s="210">
        <f>Tabelle13245689101112131415161715[[#This Row],[COsSP Initially Planned]]+Tabelle13245689101112131415161715[[#This Row],[COsSP Pulled after Start]]-Tabelle13245689101112131415161715[[#This Row],[CSOsSP Completed]]-Tabelle13245689101112131415161715[[#This Row],[CSOsSP Removed]]</f>
        <v>0</v>
      </c>
    </row>
    <row r="209" spans="1:18" ht="13.5" hidden="1" customHeight="1">
      <c r="A209" s="202" t="s">
        <v>1243</v>
      </c>
      <c r="B209" s="47" t="s">
        <v>1244</v>
      </c>
      <c r="C209" s="271" t="s">
        <v>372</v>
      </c>
      <c r="D209" s="271">
        <v>3</v>
      </c>
      <c r="E209" s="203" t="s">
        <v>324</v>
      </c>
      <c r="F209" s="271">
        <v>3</v>
      </c>
      <c r="G209" s="203" t="s">
        <v>9</v>
      </c>
      <c r="H209" s="271"/>
      <c r="I209" s="206"/>
      <c r="J209" s="206"/>
      <c r="K209" s="203" t="s">
        <v>125</v>
      </c>
      <c r="L209" s="204"/>
      <c r="M209" s="204"/>
      <c r="N209" s="210">
        <f>IF(OR(Tabelle13245689101112131415161715[[#This Row],[Pulled after Start]]="yes",Tabelle13245689101112131415161715[[#This Row],[Jira Story Points]]="-"),0,MIN(Tabelle13245689101112131415161715[[#This Row],[Jira Story Points]],Tabelle13245689101112131415161715[[#This Row],[Carry-over]]))</f>
        <v>3</v>
      </c>
      <c r="O209" s="210">
        <f>SUM(IF(ISBLANK(Tabelle13245689101112131415161715[[#This Row],[Carry-over]]),Tabelle13245689101112131415161715[[#This Row],[Jira Story Points]],Tabelle13245689101112131415161715[[#This Row],[Carry-over]]),-Tabelle13245689101112131415161715[[#This Row],[COsSP Initially Planned]])</f>
        <v>0</v>
      </c>
      <c r="P20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209" s="210">
        <f>IF(Tabelle13245689101112131415161715[[#This Row],[Status]]=$J$5,Tabelle13245689101112131415161715[[#This Row],[COsSP Initially Planned]]+Tabelle13245689101112131415161715[[#This Row],[COsSP Pulled after Start]]-Tabelle13245689101112131415161715[[#This Row],[CSOsSP Completed]],0)</f>
        <v>0</v>
      </c>
      <c r="R209" s="210">
        <f>Tabelle13245689101112131415161715[[#This Row],[COsSP Initially Planned]]+Tabelle13245689101112131415161715[[#This Row],[COsSP Pulled after Start]]-Tabelle13245689101112131415161715[[#This Row],[CSOsSP Completed]]-Tabelle13245689101112131415161715[[#This Row],[CSOsSP Removed]]</f>
        <v>0</v>
      </c>
    </row>
    <row r="210" spans="1:18" ht="13.5" hidden="1" customHeight="1">
      <c r="A210" s="202" t="s">
        <v>1245</v>
      </c>
      <c r="B210" s="47" t="s">
        <v>1246</v>
      </c>
      <c r="C210" s="271" t="s">
        <v>372</v>
      </c>
      <c r="D210" s="271">
        <v>3</v>
      </c>
      <c r="E210" s="203" t="s">
        <v>324</v>
      </c>
      <c r="F210" s="271">
        <v>3</v>
      </c>
      <c r="G210" s="203" t="s">
        <v>9</v>
      </c>
      <c r="H210" s="271" t="s">
        <v>209</v>
      </c>
      <c r="I210" s="206"/>
      <c r="J210" s="206"/>
      <c r="K210" s="203" t="s">
        <v>125</v>
      </c>
      <c r="L210" s="204"/>
      <c r="M210" s="204"/>
      <c r="N210" s="210">
        <f>IF(OR(Tabelle13245689101112131415161715[[#This Row],[Pulled after Start]]="yes",Tabelle13245689101112131415161715[[#This Row],[Jira Story Points]]="-"),0,MIN(Tabelle13245689101112131415161715[[#This Row],[Jira Story Points]],Tabelle13245689101112131415161715[[#This Row],[Carry-over]]))</f>
        <v>0</v>
      </c>
      <c r="O210" s="210">
        <f>SUM(IF(ISBLANK(Tabelle13245689101112131415161715[[#This Row],[Carry-over]]),Tabelle13245689101112131415161715[[#This Row],[Jira Story Points]],Tabelle13245689101112131415161715[[#This Row],[Carry-over]]),-Tabelle13245689101112131415161715[[#This Row],[COsSP Initially Planned]])</f>
        <v>3</v>
      </c>
      <c r="P21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210" s="210">
        <f>IF(Tabelle13245689101112131415161715[[#This Row],[Status]]=$J$5,Tabelle13245689101112131415161715[[#This Row],[COsSP Initially Planned]]+Tabelle13245689101112131415161715[[#This Row],[COsSP Pulled after Start]]-Tabelle13245689101112131415161715[[#This Row],[CSOsSP Completed]],0)</f>
        <v>0</v>
      </c>
      <c r="R210" s="210">
        <f>Tabelle13245689101112131415161715[[#This Row],[COsSP Initially Planned]]+Tabelle13245689101112131415161715[[#This Row],[COsSP Pulled after Start]]-Tabelle13245689101112131415161715[[#This Row],[CSOsSP Completed]]-Tabelle13245689101112131415161715[[#This Row],[CSOsSP Removed]]</f>
        <v>0</v>
      </c>
    </row>
    <row r="211" spans="1:18" ht="13.5" hidden="1" customHeight="1">
      <c r="A211" s="202" t="s">
        <v>899</v>
      </c>
      <c r="B211" s="47" t="s">
        <v>900</v>
      </c>
      <c r="C211" s="271" t="s">
        <v>372</v>
      </c>
      <c r="D211" s="271">
        <v>3</v>
      </c>
      <c r="E211" s="271" t="s">
        <v>1247</v>
      </c>
      <c r="F211" s="204">
        <v>5</v>
      </c>
      <c r="G211" s="203" t="s">
        <v>9</v>
      </c>
      <c r="H211" s="205"/>
      <c r="I211" s="206" t="s">
        <v>1248</v>
      </c>
      <c r="J211" s="206"/>
      <c r="K211" s="203" t="s">
        <v>127</v>
      </c>
      <c r="L211" s="204"/>
      <c r="M211" s="271">
        <v>0.5</v>
      </c>
      <c r="N211" s="210">
        <f>IF(OR(Tabelle13245689101112131415161715[[#This Row],[Pulled after Start]]="yes",Tabelle13245689101112131415161715[[#This Row],[Jira Story Points]]="-"),0,MIN(Tabelle13245689101112131415161715[[#This Row],[Jira Story Points]],Tabelle13245689101112131415161715[[#This Row],[Carry-over]]))</f>
        <v>5</v>
      </c>
      <c r="O211" s="210">
        <f>SUM(IF(ISBLANK(Tabelle13245689101112131415161715[[#This Row],[Carry-over]]),Tabelle13245689101112131415161715[[#This Row],[Jira Story Points]],Tabelle13245689101112131415161715[[#This Row],[Carry-over]]),-Tabelle13245689101112131415161715[[#This Row],[COsSP Initially Planned]])</f>
        <v>0</v>
      </c>
      <c r="P211" s="407">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4.5</v>
      </c>
      <c r="Q211" s="210">
        <f>IF(Tabelle13245689101112131415161715[[#This Row],[Status]]=$J$5,Tabelle13245689101112131415161715[[#This Row],[COsSP Initially Planned]]+Tabelle13245689101112131415161715[[#This Row],[COsSP Pulled after Start]]-Tabelle13245689101112131415161715[[#This Row],[CSOsSP Completed]],0)</f>
        <v>0</v>
      </c>
      <c r="R211" s="210">
        <f>Tabelle13245689101112131415161715[[#This Row],[COsSP Initially Planned]]+Tabelle13245689101112131415161715[[#This Row],[COsSP Pulled after Start]]-Tabelle13245689101112131415161715[[#This Row],[CSOsSP Completed]]-Tabelle13245689101112131415161715[[#This Row],[CSOsSP Removed]]</f>
        <v>0.5</v>
      </c>
    </row>
    <row r="212" spans="1:18" ht="13.5" hidden="1" customHeight="1">
      <c r="A212" s="202" t="s">
        <v>902</v>
      </c>
      <c r="B212" s="47" t="s">
        <v>903</v>
      </c>
      <c r="C212" s="271" t="s">
        <v>372</v>
      </c>
      <c r="D212" s="271">
        <v>3</v>
      </c>
      <c r="E212" s="271" t="s">
        <v>327</v>
      </c>
      <c r="F212" s="271">
        <v>8</v>
      </c>
      <c r="G212" s="203" t="s">
        <v>9</v>
      </c>
      <c r="H212" s="205"/>
      <c r="I212" s="220" t="s">
        <v>1249</v>
      </c>
      <c r="J212" s="206"/>
      <c r="K212" s="203" t="s">
        <v>127</v>
      </c>
      <c r="L212" s="204"/>
      <c r="M212" s="271">
        <v>0</v>
      </c>
      <c r="N212" s="210">
        <f>IF(OR(Tabelle13245689101112131415161715[[#This Row],[Pulled after Start]]="yes",Tabelle13245689101112131415161715[[#This Row],[Jira Story Points]]="-"),0,MIN(Tabelle13245689101112131415161715[[#This Row],[Jira Story Points]],Tabelle13245689101112131415161715[[#This Row],[Carry-over]]))</f>
        <v>8</v>
      </c>
      <c r="O212" s="210">
        <f>SUM(IF(ISBLANK(Tabelle13245689101112131415161715[[#This Row],[Carry-over]]),Tabelle13245689101112131415161715[[#This Row],[Jira Story Points]],Tabelle13245689101112131415161715[[#This Row],[Carry-over]]),-Tabelle13245689101112131415161715[[#This Row],[COsSP Initially Planned]])</f>
        <v>0</v>
      </c>
      <c r="P21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8</v>
      </c>
      <c r="Q212" s="210">
        <f>IF(Tabelle13245689101112131415161715[[#This Row],[Status]]=$J$5,Tabelle13245689101112131415161715[[#This Row],[COsSP Initially Planned]]+Tabelle13245689101112131415161715[[#This Row],[COsSP Pulled after Start]]-Tabelle13245689101112131415161715[[#This Row],[CSOsSP Completed]],0)</f>
        <v>0</v>
      </c>
      <c r="R212" s="210">
        <f>Tabelle13245689101112131415161715[[#This Row],[COsSP Initially Planned]]+Tabelle13245689101112131415161715[[#This Row],[COsSP Pulled after Start]]-Tabelle13245689101112131415161715[[#This Row],[CSOsSP Completed]]-Tabelle13245689101112131415161715[[#This Row],[CSOsSP Removed]]</f>
        <v>0</v>
      </c>
    </row>
    <row r="213" spans="1:18" ht="13.5" hidden="1" customHeight="1">
      <c r="A213" s="202" t="s">
        <v>914</v>
      </c>
      <c r="B213" s="47" t="s">
        <v>915</v>
      </c>
      <c r="C213" s="271" t="s">
        <v>382</v>
      </c>
      <c r="D213" s="271">
        <v>3</v>
      </c>
      <c r="E213" s="271" t="s">
        <v>330</v>
      </c>
      <c r="F213" s="271">
        <v>3</v>
      </c>
      <c r="G213" s="203" t="s">
        <v>9</v>
      </c>
      <c r="H213" s="205"/>
      <c r="I213" s="206"/>
      <c r="J213" s="206"/>
      <c r="K213" s="203" t="s">
        <v>127</v>
      </c>
      <c r="L213" s="204"/>
      <c r="M213" s="271">
        <v>2</v>
      </c>
      <c r="N213" s="210">
        <f>IF(OR(Tabelle13245689101112131415161715[[#This Row],[Pulled after Start]]="yes",Tabelle13245689101112131415161715[[#This Row],[Jira Story Points]]="-"),0,MIN(Tabelle13245689101112131415161715[[#This Row],[Jira Story Points]],Tabelle13245689101112131415161715[[#This Row],[Carry-over]]))</f>
        <v>3</v>
      </c>
      <c r="O213" s="210">
        <f>SUM(IF(ISBLANK(Tabelle13245689101112131415161715[[#This Row],[Carry-over]]),Tabelle13245689101112131415161715[[#This Row],[Jira Story Points]],Tabelle13245689101112131415161715[[#This Row],[Carry-over]]),-Tabelle13245689101112131415161715[[#This Row],[COsSP Initially Planned]])</f>
        <v>0</v>
      </c>
      <c r="P21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213" s="210">
        <f>IF(Tabelle13245689101112131415161715[[#This Row],[Status]]=$J$5,Tabelle13245689101112131415161715[[#This Row],[COsSP Initially Planned]]+Tabelle13245689101112131415161715[[#This Row],[COsSP Pulled after Start]]-Tabelle13245689101112131415161715[[#This Row],[CSOsSP Completed]],0)</f>
        <v>0</v>
      </c>
      <c r="R213" s="210">
        <f>Tabelle13245689101112131415161715[[#This Row],[COsSP Initially Planned]]+Tabelle13245689101112131415161715[[#This Row],[COsSP Pulled after Start]]-Tabelle13245689101112131415161715[[#This Row],[CSOsSP Completed]]-Tabelle13245689101112131415161715[[#This Row],[CSOsSP Removed]]</f>
        <v>2</v>
      </c>
    </row>
    <row r="214" spans="1:18" ht="13.5" hidden="1" customHeight="1">
      <c r="A214" s="202" t="s">
        <v>1250</v>
      </c>
      <c r="B214" s="47" t="s">
        <v>939</v>
      </c>
      <c r="C214" s="271" t="s">
        <v>382</v>
      </c>
      <c r="D214" s="271">
        <v>3</v>
      </c>
      <c r="E214" s="271" t="s">
        <v>330</v>
      </c>
      <c r="F214" s="271">
        <v>5</v>
      </c>
      <c r="G214" s="203" t="s">
        <v>9</v>
      </c>
      <c r="H214" s="205" t="s">
        <v>209</v>
      </c>
      <c r="I214" s="206"/>
      <c r="J214" s="206"/>
      <c r="K214" s="203" t="s">
        <v>127</v>
      </c>
      <c r="L214" s="204"/>
      <c r="M214" s="271">
        <v>5</v>
      </c>
      <c r="N214" s="210">
        <f>IF(OR(Tabelle13245689101112131415161715[[#This Row],[Pulled after Start]]="yes",Tabelle13245689101112131415161715[[#This Row],[Jira Story Points]]="-"),0,MIN(Tabelle13245689101112131415161715[[#This Row],[Jira Story Points]],Tabelle13245689101112131415161715[[#This Row],[Carry-over]]))</f>
        <v>0</v>
      </c>
      <c r="O214" s="210">
        <f>SUM(IF(ISBLANK(Tabelle13245689101112131415161715[[#This Row],[Carry-over]]),Tabelle13245689101112131415161715[[#This Row],[Jira Story Points]],Tabelle13245689101112131415161715[[#This Row],[Carry-over]]),-Tabelle13245689101112131415161715[[#This Row],[COsSP Initially Planned]])</f>
        <v>5</v>
      </c>
      <c r="P21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214" s="210">
        <f>IF(Tabelle13245689101112131415161715[[#This Row],[Status]]=$J$5,Tabelle13245689101112131415161715[[#This Row],[COsSP Initially Planned]]+Tabelle13245689101112131415161715[[#This Row],[COsSP Pulled after Start]]-Tabelle13245689101112131415161715[[#This Row],[CSOsSP Completed]],0)</f>
        <v>0</v>
      </c>
      <c r="R214" s="210">
        <f>Tabelle13245689101112131415161715[[#This Row],[COsSP Initially Planned]]+Tabelle13245689101112131415161715[[#This Row],[COsSP Pulled after Start]]-Tabelle13245689101112131415161715[[#This Row],[CSOsSP Completed]]-Tabelle13245689101112131415161715[[#This Row],[CSOsSP Removed]]</f>
        <v>5</v>
      </c>
    </row>
    <row r="215" spans="1:18" ht="13.5" hidden="1" customHeight="1">
      <c r="A215" s="202" t="s">
        <v>1251</v>
      </c>
      <c r="B215" s="47" t="s">
        <v>942</v>
      </c>
      <c r="C215" s="271" t="s">
        <v>382</v>
      </c>
      <c r="D215" s="271">
        <v>3</v>
      </c>
      <c r="E215" s="271" t="s">
        <v>330</v>
      </c>
      <c r="F215" s="271">
        <v>8</v>
      </c>
      <c r="G215" s="203" t="s">
        <v>9</v>
      </c>
      <c r="H215" s="205" t="s">
        <v>209</v>
      </c>
      <c r="I215" s="206"/>
      <c r="J215" s="206"/>
      <c r="K215" s="203" t="s">
        <v>127</v>
      </c>
      <c r="L215" s="204"/>
      <c r="M215" s="271">
        <v>5</v>
      </c>
      <c r="N215" s="210">
        <f>IF(OR(Tabelle13245689101112131415161715[[#This Row],[Pulled after Start]]="yes",Tabelle13245689101112131415161715[[#This Row],[Jira Story Points]]="-"),0,MIN(Tabelle13245689101112131415161715[[#This Row],[Jira Story Points]],Tabelle13245689101112131415161715[[#This Row],[Carry-over]]))</f>
        <v>0</v>
      </c>
      <c r="O215" s="210">
        <f>SUM(IF(ISBLANK(Tabelle13245689101112131415161715[[#This Row],[Carry-over]]),Tabelle13245689101112131415161715[[#This Row],[Jira Story Points]],Tabelle13245689101112131415161715[[#This Row],[Carry-over]]),-Tabelle13245689101112131415161715[[#This Row],[COsSP Initially Planned]])</f>
        <v>8</v>
      </c>
      <c r="P21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215" s="210">
        <f>IF(Tabelle13245689101112131415161715[[#This Row],[Status]]=$J$5,Tabelle13245689101112131415161715[[#This Row],[COsSP Initially Planned]]+Tabelle13245689101112131415161715[[#This Row],[COsSP Pulled after Start]]-Tabelle13245689101112131415161715[[#This Row],[CSOsSP Completed]],0)</f>
        <v>0</v>
      </c>
      <c r="R215" s="210">
        <f>Tabelle13245689101112131415161715[[#This Row],[COsSP Initially Planned]]+Tabelle13245689101112131415161715[[#This Row],[COsSP Pulled after Start]]-Tabelle13245689101112131415161715[[#This Row],[CSOsSP Completed]]-Tabelle13245689101112131415161715[[#This Row],[CSOsSP Removed]]</f>
        <v>5</v>
      </c>
    </row>
    <row r="216" spans="1:18" ht="13.5" hidden="1" customHeight="1">
      <c r="A216" s="202" t="s">
        <v>1252</v>
      </c>
      <c r="B216" s="47" t="s">
        <v>919</v>
      </c>
      <c r="C216" s="271" t="s">
        <v>375</v>
      </c>
      <c r="D216" s="271">
        <v>3</v>
      </c>
      <c r="E216" s="271" t="s">
        <v>448</v>
      </c>
      <c r="F216" s="271">
        <v>2</v>
      </c>
      <c r="G216" s="203" t="s">
        <v>9</v>
      </c>
      <c r="H216" s="205" t="s">
        <v>209</v>
      </c>
      <c r="I216" s="206"/>
      <c r="J216" s="206"/>
      <c r="K216" s="203" t="s">
        <v>127</v>
      </c>
      <c r="L216" s="204"/>
      <c r="M216" s="271">
        <v>2</v>
      </c>
      <c r="N216" s="210">
        <f>IF(OR(Tabelle13245689101112131415161715[[#This Row],[Pulled after Start]]="yes",Tabelle13245689101112131415161715[[#This Row],[Jira Story Points]]="-"),0,MIN(Tabelle13245689101112131415161715[[#This Row],[Jira Story Points]],Tabelle13245689101112131415161715[[#This Row],[Carry-over]]))</f>
        <v>0</v>
      </c>
      <c r="O216" s="210">
        <f>SUM(IF(ISBLANK(Tabelle13245689101112131415161715[[#This Row],[Carry-over]]),Tabelle13245689101112131415161715[[#This Row],[Jira Story Points]],Tabelle13245689101112131415161715[[#This Row],[Carry-over]]),-Tabelle13245689101112131415161715[[#This Row],[COsSP Initially Planned]])</f>
        <v>2</v>
      </c>
      <c r="P21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216" s="210">
        <f>IF(Tabelle13245689101112131415161715[[#This Row],[Status]]=$J$5,Tabelle13245689101112131415161715[[#This Row],[COsSP Initially Planned]]+Tabelle13245689101112131415161715[[#This Row],[COsSP Pulled after Start]]-Tabelle13245689101112131415161715[[#This Row],[CSOsSP Completed]],0)</f>
        <v>0</v>
      </c>
      <c r="R216" s="210">
        <f>Tabelle13245689101112131415161715[[#This Row],[COsSP Initially Planned]]+Tabelle13245689101112131415161715[[#This Row],[COsSP Pulled after Start]]-Tabelle13245689101112131415161715[[#This Row],[CSOsSP Completed]]-Tabelle13245689101112131415161715[[#This Row],[CSOsSP Removed]]</f>
        <v>2</v>
      </c>
    </row>
    <row r="217" spans="1:18" ht="13.5" hidden="1" customHeight="1">
      <c r="A217" s="202" t="s">
        <v>1253</v>
      </c>
      <c r="B217" s="47" t="s">
        <v>921</v>
      </c>
      <c r="C217" s="271" t="s">
        <v>372</v>
      </c>
      <c r="D217" s="271">
        <v>3</v>
      </c>
      <c r="E217" s="271" t="s">
        <v>637</v>
      </c>
      <c r="F217" s="271">
        <v>3</v>
      </c>
      <c r="G217" s="203" t="s">
        <v>9</v>
      </c>
      <c r="H217" s="205" t="s">
        <v>209</v>
      </c>
      <c r="I217" s="206"/>
      <c r="J217" s="206"/>
      <c r="K217" s="203" t="s">
        <v>127</v>
      </c>
      <c r="L217" s="204"/>
      <c r="M217" s="271">
        <v>1</v>
      </c>
      <c r="N217" s="210">
        <f>IF(OR(Tabelle13245689101112131415161715[[#This Row],[Pulled after Start]]="yes",Tabelle13245689101112131415161715[[#This Row],[Jira Story Points]]="-"),0,MIN(Tabelle13245689101112131415161715[[#This Row],[Jira Story Points]],Tabelle13245689101112131415161715[[#This Row],[Carry-over]]))</f>
        <v>0</v>
      </c>
      <c r="O217" s="210">
        <f>SUM(IF(ISBLANK(Tabelle13245689101112131415161715[[#This Row],[Carry-over]]),Tabelle13245689101112131415161715[[#This Row],[Jira Story Points]],Tabelle13245689101112131415161715[[#This Row],[Carry-over]]),-Tabelle13245689101112131415161715[[#This Row],[COsSP Initially Planned]])</f>
        <v>3</v>
      </c>
      <c r="P21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217" s="210">
        <f>IF(Tabelle13245689101112131415161715[[#This Row],[Status]]=$J$5,Tabelle13245689101112131415161715[[#This Row],[COsSP Initially Planned]]+Tabelle13245689101112131415161715[[#This Row],[COsSP Pulled after Start]]-Tabelle13245689101112131415161715[[#This Row],[CSOsSP Completed]],0)</f>
        <v>0</v>
      </c>
      <c r="R217" s="210">
        <f>Tabelle13245689101112131415161715[[#This Row],[COsSP Initially Planned]]+Tabelle13245689101112131415161715[[#This Row],[COsSP Pulled after Start]]-Tabelle13245689101112131415161715[[#This Row],[CSOsSP Completed]]-Tabelle13245689101112131415161715[[#This Row],[CSOsSP Removed]]</f>
        <v>1</v>
      </c>
    </row>
    <row r="218" spans="1:18" ht="13.5" hidden="1" customHeight="1">
      <c r="A218" s="202" t="s">
        <v>1254</v>
      </c>
      <c r="B218" s="47" t="s">
        <v>1255</v>
      </c>
      <c r="C218" s="271" t="s">
        <v>372</v>
      </c>
      <c r="D218" s="271">
        <v>3</v>
      </c>
      <c r="E218" s="271" t="s">
        <v>637</v>
      </c>
      <c r="F218" s="271">
        <v>2</v>
      </c>
      <c r="G218" s="203" t="s">
        <v>9</v>
      </c>
      <c r="H218" s="205" t="s">
        <v>209</v>
      </c>
      <c r="I218" s="206"/>
      <c r="J218" s="206"/>
      <c r="K218" s="203" t="s">
        <v>127</v>
      </c>
      <c r="L218" s="204"/>
      <c r="M218" s="271">
        <v>2</v>
      </c>
      <c r="N218" s="210">
        <f>IF(OR(Tabelle13245689101112131415161715[[#This Row],[Pulled after Start]]="yes",Tabelle13245689101112131415161715[[#This Row],[Jira Story Points]]="-"),0,MIN(Tabelle13245689101112131415161715[[#This Row],[Jira Story Points]],Tabelle13245689101112131415161715[[#This Row],[Carry-over]]))</f>
        <v>0</v>
      </c>
      <c r="O218" s="210">
        <f>SUM(IF(ISBLANK(Tabelle13245689101112131415161715[[#This Row],[Carry-over]]),Tabelle13245689101112131415161715[[#This Row],[Jira Story Points]],Tabelle13245689101112131415161715[[#This Row],[Carry-over]]),-Tabelle13245689101112131415161715[[#This Row],[COsSP Initially Planned]])</f>
        <v>2</v>
      </c>
      <c r="P21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218" s="210">
        <f>IF(Tabelle13245689101112131415161715[[#This Row],[Status]]=$J$5,Tabelle13245689101112131415161715[[#This Row],[COsSP Initially Planned]]+Tabelle13245689101112131415161715[[#This Row],[COsSP Pulled after Start]]-Tabelle13245689101112131415161715[[#This Row],[CSOsSP Completed]],0)</f>
        <v>0</v>
      </c>
      <c r="R218" s="210">
        <f>Tabelle13245689101112131415161715[[#This Row],[COsSP Initially Planned]]+Tabelle13245689101112131415161715[[#This Row],[COsSP Pulled after Start]]-Tabelle13245689101112131415161715[[#This Row],[CSOsSP Completed]]-Tabelle13245689101112131415161715[[#This Row],[CSOsSP Removed]]</f>
        <v>2</v>
      </c>
    </row>
    <row r="219" spans="1:18" ht="13.5" hidden="1" customHeight="1">
      <c r="A219" s="202" t="s">
        <v>1256</v>
      </c>
      <c r="B219" s="47" t="s">
        <v>1257</v>
      </c>
      <c r="C219" s="203" t="s">
        <v>372</v>
      </c>
      <c r="D219" s="203">
        <v>3</v>
      </c>
      <c r="E219" s="203" t="s">
        <v>1247</v>
      </c>
      <c r="F219" s="204">
        <v>8</v>
      </c>
      <c r="G219" s="203" t="s">
        <v>5</v>
      </c>
      <c r="H219" s="205" t="s">
        <v>209</v>
      </c>
      <c r="I219" s="206"/>
      <c r="J219" s="206"/>
      <c r="K219" s="203" t="s">
        <v>125</v>
      </c>
      <c r="L219" s="204"/>
      <c r="M219" s="204"/>
      <c r="N219" s="210">
        <f>IF(OR(Tabelle13245689101112131415161715[[#This Row],[Pulled after Start]]="yes",Tabelle13245689101112131415161715[[#This Row],[Jira Story Points]]="-"),0,MIN(Tabelle13245689101112131415161715[[#This Row],[Jira Story Points]],Tabelle13245689101112131415161715[[#This Row],[Carry-over]]))</f>
        <v>0</v>
      </c>
      <c r="O219" s="210">
        <f>SUM(IF(ISBLANK(Tabelle13245689101112131415161715[[#This Row],[Carry-over]]),Tabelle13245689101112131415161715[[#This Row],[Jira Story Points]],Tabelle13245689101112131415161715[[#This Row],[Carry-over]]),-Tabelle13245689101112131415161715[[#This Row],[COsSP Initially Planned]])</f>
        <v>8</v>
      </c>
      <c r="P21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8</v>
      </c>
      <c r="Q219" s="210">
        <f>IF(Tabelle13245689101112131415161715[[#This Row],[Status]]=$J$5,Tabelle13245689101112131415161715[[#This Row],[COsSP Initially Planned]]+Tabelle13245689101112131415161715[[#This Row],[COsSP Pulled after Start]]-Tabelle13245689101112131415161715[[#This Row],[CSOsSP Completed]],0)</f>
        <v>0</v>
      </c>
      <c r="R219" s="210">
        <f>Tabelle13245689101112131415161715[[#This Row],[COsSP Initially Planned]]+Tabelle13245689101112131415161715[[#This Row],[COsSP Pulled after Start]]-Tabelle13245689101112131415161715[[#This Row],[CSOsSP Completed]]-Tabelle13245689101112131415161715[[#This Row],[CSOsSP Removed]]</f>
        <v>0</v>
      </c>
    </row>
    <row r="220" spans="1:18" ht="13.5" hidden="1" customHeight="1">
      <c r="A220" s="202" t="s">
        <v>1258</v>
      </c>
      <c r="B220" s="47" t="s">
        <v>1259</v>
      </c>
      <c r="C220" s="203" t="s">
        <v>372</v>
      </c>
      <c r="D220" s="203">
        <v>3</v>
      </c>
      <c r="E220" s="203" t="s">
        <v>324</v>
      </c>
      <c r="F220" s="204">
        <v>8</v>
      </c>
      <c r="G220" s="203" t="s">
        <v>5</v>
      </c>
      <c r="H220" s="205"/>
      <c r="I220" s="206"/>
      <c r="J220" s="206"/>
      <c r="K220" s="203" t="s">
        <v>125</v>
      </c>
      <c r="L220" s="204"/>
      <c r="M220" s="204"/>
      <c r="N220" s="210">
        <f>IF(OR(Tabelle13245689101112131415161715[[#This Row],[Pulled after Start]]="yes",Tabelle13245689101112131415161715[[#This Row],[Jira Story Points]]="-"),0,MIN(Tabelle13245689101112131415161715[[#This Row],[Jira Story Points]],Tabelle13245689101112131415161715[[#This Row],[Carry-over]]))</f>
        <v>8</v>
      </c>
      <c r="O220" s="210">
        <f>SUM(IF(ISBLANK(Tabelle13245689101112131415161715[[#This Row],[Carry-over]]),Tabelle13245689101112131415161715[[#This Row],[Jira Story Points]],Tabelle13245689101112131415161715[[#This Row],[Carry-over]]),-Tabelle13245689101112131415161715[[#This Row],[COsSP Initially Planned]])</f>
        <v>0</v>
      </c>
      <c r="P22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8</v>
      </c>
      <c r="Q220" s="210">
        <f>IF(Tabelle13245689101112131415161715[[#This Row],[Status]]=$J$5,Tabelle13245689101112131415161715[[#This Row],[COsSP Initially Planned]]+Tabelle13245689101112131415161715[[#This Row],[COsSP Pulled after Start]]-Tabelle13245689101112131415161715[[#This Row],[CSOsSP Completed]],0)</f>
        <v>0</v>
      </c>
      <c r="R220" s="210">
        <f>Tabelle13245689101112131415161715[[#This Row],[COsSP Initially Planned]]+Tabelle13245689101112131415161715[[#This Row],[COsSP Pulled after Start]]-Tabelle13245689101112131415161715[[#This Row],[CSOsSP Completed]]-Tabelle13245689101112131415161715[[#This Row],[CSOsSP Removed]]</f>
        <v>0</v>
      </c>
    </row>
    <row r="221" spans="1:18" ht="13.5" hidden="1" customHeight="1">
      <c r="A221" s="202" t="s">
        <v>1260</v>
      </c>
      <c r="B221" s="47" t="s">
        <v>1261</v>
      </c>
      <c r="C221" s="203" t="s">
        <v>372</v>
      </c>
      <c r="D221" s="203">
        <v>3</v>
      </c>
      <c r="E221" s="203" t="s">
        <v>324</v>
      </c>
      <c r="F221" s="204">
        <v>8</v>
      </c>
      <c r="G221" s="203" t="s">
        <v>5</v>
      </c>
      <c r="H221" s="205"/>
      <c r="I221" s="206"/>
      <c r="J221" s="206"/>
      <c r="K221" s="203" t="s">
        <v>125</v>
      </c>
      <c r="L221" s="204"/>
      <c r="M221" s="204"/>
      <c r="N221" s="286">
        <f>IF(OR(Tabelle13245689101112131415161715[[#This Row],[Pulled after Start]]="yes",Tabelle13245689101112131415161715[[#This Row],[Jira Story Points]]="-"),0,MIN(Tabelle13245689101112131415161715[[#This Row],[Jira Story Points]],Tabelle13245689101112131415161715[[#This Row],[Carry-over]]))</f>
        <v>8</v>
      </c>
      <c r="O221" s="210">
        <f>SUM(IF(ISBLANK(Tabelle13245689101112131415161715[[#This Row],[Carry-over]]),Tabelle13245689101112131415161715[[#This Row],[Jira Story Points]],Tabelle13245689101112131415161715[[#This Row],[Carry-over]]),-Tabelle13245689101112131415161715[[#This Row],[COsSP Initially Planned]])</f>
        <v>0</v>
      </c>
      <c r="P221"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8</v>
      </c>
      <c r="Q221" s="210">
        <f>IF(Tabelle13245689101112131415161715[[#This Row],[Status]]=$J$5,Tabelle13245689101112131415161715[[#This Row],[COsSP Initially Planned]]+Tabelle13245689101112131415161715[[#This Row],[COsSP Pulled after Start]]-Tabelle13245689101112131415161715[[#This Row],[CSOsSP Completed]],0)</f>
        <v>0</v>
      </c>
      <c r="R221" s="210">
        <f>Tabelle13245689101112131415161715[[#This Row],[COsSP Initially Planned]]+Tabelle13245689101112131415161715[[#This Row],[COsSP Pulled after Start]]-Tabelle13245689101112131415161715[[#This Row],[CSOsSP Completed]]-Tabelle13245689101112131415161715[[#This Row],[CSOsSP Removed]]</f>
        <v>0</v>
      </c>
    </row>
    <row r="222" spans="1:18" ht="13.5" hidden="1" customHeight="1">
      <c r="A222" s="202" t="s">
        <v>1262</v>
      </c>
      <c r="B222" s="47" t="s">
        <v>1263</v>
      </c>
      <c r="C222" s="203" t="s">
        <v>372</v>
      </c>
      <c r="D222" s="203">
        <v>3</v>
      </c>
      <c r="E222" s="203" t="s">
        <v>324</v>
      </c>
      <c r="F222" s="204">
        <v>5</v>
      </c>
      <c r="G222" s="203" t="s">
        <v>5</v>
      </c>
      <c r="H222" s="205" t="s">
        <v>209</v>
      </c>
      <c r="I222" s="206"/>
      <c r="J222" s="206"/>
      <c r="K222" s="203" t="s">
        <v>125</v>
      </c>
      <c r="L222" s="204"/>
      <c r="M222" s="204"/>
      <c r="N222" s="286">
        <f>IF(OR(Tabelle13245689101112131415161715[[#This Row],[Pulled after Start]]="yes",Tabelle13245689101112131415161715[[#This Row],[Jira Story Points]]="-"),0,MIN(Tabelle13245689101112131415161715[[#This Row],[Jira Story Points]],Tabelle13245689101112131415161715[[#This Row],[Carry-over]]))</f>
        <v>0</v>
      </c>
      <c r="O222" s="210">
        <f>SUM(IF(ISBLANK(Tabelle13245689101112131415161715[[#This Row],[Carry-over]]),Tabelle13245689101112131415161715[[#This Row],[Jira Story Points]],Tabelle13245689101112131415161715[[#This Row],[Carry-over]]),-Tabelle13245689101112131415161715[[#This Row],[COsSP Initially Planned]])</f>
        <v>5</v>
      </c>
      <c r="P22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222" s="210">
        <f>IF(Tabelle13245689101112131415161715[[#This Row],[Status]]=$J$5,Tabelle13245689101112131415161715[[#This Row],[COsSP Initially Planned]]+Tabelle13245689101112131415161715[[#This Row],[COsSP Pulled after Start]]-Tabelle13245689101112131415161715[[#This Row],[CSOsSP Completed]],0)</f>
        <v>0</v>
      </c>
      <c r="R222" s="210">
        <f>Tabelle13245689101112131415161715[[#This Row],[COsSP Initially Planned]]+Tabelle13245689101112131415161715[[#This Row],[COsSP Pulled after Start]]-Tabelle13245689101112131415161715[[#This Row],[CSOsSP Completed]]-Tabelle13245689101112131415161715[[#This Row],[CSOsSP Removed]]</f>
        <v>0</v>
      </c>
    </row>
    <row r="223" spans="1:18" ht="13.5" hidden="1" customHeight="1">
      <c r="A223" s="202" t="s">
        <v>1264</v>
      </c>
      <c r="B223" s="47" t="s">
        <v>1265</v>
      </c>
      <c r="C223" s="203" t="s">
        <v>372</v>
      </c>
      <c r="D223" s="203">
        <v>2</v>
      </c>
      <c r="E223" s="203" t="s">
        <v>324</v>
      </c>
      <c r="F223" s="204">
        <v>3</v>
      </c>
      <c r="G223" s="203" t="s">
        <v>5</v>
      </c>
      <c r="H223" s="205" t="s">
        <v>209</v>
      </c>
      <c r="I223" s="206"/>
      <c r="J223" s="206"/>
      <c r="K223" s="203" t="s">
        <v>125</v>
      </c>
      <c r="L223" s="204">
        <v>1</v>
      </c>
      <c r="M223" s="204"/>
      <c r="N223" s="286">
        <f>IF(OR(Tabelle13245689101112131415161715[[#This Row],[Pulled after Start]]="yes",Tabelle13245689101112131415161715[[#This Row],[Jira Story Points]]="-"),0,MIN(Tabelle13245689101112131415161715[[#This Row],[Jira Story Points]],Tabelle13245689101112131415161715[[#This Row],[Carry-over]]))</f>
        <v>0</v>
      </c>
      <c r="O223" s="210">
        <f>SUM(IF(ISBLANK(Tabelle13245689101112131415161715[[#This Row],[Carry-over]]),Tabelle13245689101112131415161715[[#This Row],[Jira Story Points]],Tabelle13245689101112131415161715[[#This Row],[Carry-over]]),-Tabelle13245689101112131415161715[[#This Row],[COsSP Initially Planned]])</f>
        <v>1</v>
      </c>
      <c r="P22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223" s="210">
        <f>IF(Tabelle13245689101112131415161715[[#This Row],[Status]]=$J$5,Tabelle13245689101112131415161715[[#This Row],[COsSP Initially Planned]]+Tabelle13245689101112131415161715[[#This Row],[COsSP Pulled after Start]]-Tabelle13245689101112131415161715[[#This Row],[CSOsSP Completed]],0)</f>
        <v>0</v>
      </c>
      <c r="R223" s="210">
        <f>Tabelle13245689101112131415161715[[#This Row],[COsSP Initially Planned]]+Tabelle13245689101112131415161715[[#This Row],[COsSP Pulled after Start]]-Tabelle13245689101112131415161715[[#This Row],[CSOsSP Completed]]-Tabelle13245689101112131415161715[[#This Row],[CSOsSP Removed]]</f>
        <v>0</v>
      </c>
    </row>
    <row r="224" spans="1:18" ht="13.5" hidden="1" customHeight="1">
      <c r="A224" s="202" t="s">
        <v>1266</v>
      </c>
      <c r="B224" s="47" t="s">
        <v>1267</v>
      </c>
      <c r="C224" s="203" t="s">
        <v>372</v>
      </c>
      <c r="D224" s="203">
        <v>3</v>
      </c>
      <c r="E224" s="203" t="s">
        <v>324</v>
      </c>
      <c r="F224" s="204">
        <v>8</v>
      </c>
      <c r="G224" s="203" t="s">
        <v>5</v>
      </c>
      <c r="H224" s="205" t="s">
        <v>209</v>
      </c>
      <c r="I224" s="206"/>
      <c r="J224" s="206"/>
      <c r="K224" s="203" t="s">
        <v>125</v>
      </c>
      <c r="L224" s="204"/>
      <c r="M224" s="204"/>
      <c r="N224" s="286">
        <f>IF(OR(Tabelle13245689101112131415161715[[#This Row],[Pulled after Start]]="yes",Tabelle13245689101112131415161715[[#This Row],[Jira Story Points]]="-"),0,MIN(Tabelle13245689101112131415161715[[#This Row],[Jira Story Points]],Tabelle13245689101112131415161715[[#This Row],[Carry-over]]))</f>
        <v>0</v>
      </c>
      <c r="O224" s="210">
        <f>SUM(IF(ISBLANK(Tabelle13245689101112131415161715[[#This Row],[Carry-over]]),Tabelle13245689101112131415161715[[#This Row],[Jira Story Points]],Tabelle13245689101112131415161715[[#This Row],[Carry-over]]),-Tabelle13245689101112131415161715[[#This Row],[COsSP Initially Planned]])</f>
        <v>8</v>
      </c>
      <c r="P22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8</v>
      </c>
      <c r="Q224" s="210">
        <f>IF(Tabelle13245689101112131415161715[[#This Row],[Status]]=$J$5,Tabelle13245689101112131415161715[[#This Row],[COsSP Initially Planned]]+Tabelle13245689101112131415161715[[#This Row],[COsSP Pulled after Start]]-Tabelle13245689101112131415161715[[#This Row],[CSOsSP Completed]],0)</f>
        <v>0</v>
      </c>
      <c r="R224" s="210">
        <f>Tabelle13245689101112131415161715[[#This Row],[COsSP Initially Planned]]+Tabelle13245689101112131415161715[[#This Row],[COsSP Pulled after Start]]-Tabelle13245689101112131415161715[[#This Row],[CSOsSP Completed]]-Tabelle13245689101112131415161715[[#This Row],[CSOsSP Removed]]</f>
        <v>0</v>
      </c>
    </row>
    <row r="225" spans="1:18" ht="13.5" hidden="1" customHeight="1">
      <c r="A225" s="202" t="s">
        <v>1268</v>
      </c>
      <c r="B225" s="47" t="s">
        <v>1269</v>
      </c>
      <c r="C225" s="203" t="s">
        <v>372</v>
      </c>
      <c r="D225" s="203">
        <v>3</v>
      </c>
      <c r="E225" s="203" t="s">
        <v>324</v>
      </c>
      <c r="F225" s="204">
        <v>5</v>
      </c>
      <c r="G225" s="203" t="s">
        <v>5</v>
      </c>
      <c r="H225" s="205" t="s">
        <v>209</v>
      </c>
      <c r="I225" s="206"/>
      <c r="J225" s="206"/>
      <c r="K225" s="203" t="s">
        <v>125</v>
      </c>
      <c r="L225" s="204">
        <v>2</v>
      </c>
      <c r="M225" s="204"/>
      <c r="N225" s="286">
        <f>IF(OR(Tabelle13245689101112131415161715[[#This Row],[Pulled after Start]]="yes",Tabelle13245689101112131415161715[[#This Row],[Jira Story Points]]="-"),0,MIN(Tabelle13245689101112131415161715[[#This Row],[Jira Story Points]],Tabelle13245689101112131415161715[[#This Row],[Carry-over]]))</f>
        <v>0</v>
      </c>
      <c r="O225" s="210">
        <f>SUM(IF(ISBLANK(Tabelle13245689101112131415161715[[#This Row],[Carry-over]]),Tabelle13245689101112131415161715[[#This Row],[Jira Story Points]],Tabelle13245689101112131415161715[[#This Row],[Carry-over]]),-Tabelle13245689101112131415161715[[#This Row],[COsSP Initially Planned]])</f>
        <v>2</v>
      </c>
      <c r="P22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2</v>
      </c>
      <c r="Q225" s="210">
        <f>IF(Tabelle13245689101112131415161715[[#This Row],[Status]]=$J$5,Tabelle13245689101112131415161715[[#This Row],[COsSP Initially Planned]]+Tabelle13245689101112131415161715[[#This Row],[COsSP Pulled after Start]]-Tabelle13245689101112131415161715[[#This Row],[CSOsSP Completed]],0)</f>
        <v>0</v>
      </c>
      <c r="R225" s="210">
        <f>Tabelle13245689101112131415161715[[#This Row],[COsSP Initially Planned]]+Tabelle13245689101112131415161715[[#This Row],[COsSP Pulled after Start]]-Tabelle13245689101112131415161715[[#This Row],[CSOsSP Completed]]-Tabelle13245689101112131415161715[[#This Row],[CSOsSP Removed]]</f>
        <v>0</v>
      </c>
    </row>
    <row r="226" spans="1:18" ht="13.5" hidden="1" customHeight="1">
      <c r="A226" s="202" t="s">
        <v>1270</v>
      </c>
      <c r="B226" s="47" t="s">
        <v>1271</v>
      </c>
      <c r="C226" s="203" t="s">
        <v>372</v>
      </c>
      <c r="D226" s="203">
        <v>2</v>
      </c>
      <c r="E226" s="203" t="s">
        <v>324</v>
      </c>
      <c r="F226" s="204">
        <v>3</v>
      </c>
      <c r="G226" s="203" t="s">
        <v>5</v>
      </c>
      <c r="H226" s="205" t="s">
        <v>209</v>
      </c>
      <c r="I226" s="206"/>
      <c r="J226" s="206"/>
      <c r="K226" s="203" t="s">
        <v>125</v>
      </c>
      <c r="L226" s="204"/>
      <c r="M226" s="204"/>
      <c r="N226" s="286">
        <f>IF(OR(Tabelle13245689101112131415161715[[#This Row],[Pulled after Start]]="yes",Tabelle13245689101112131415161715[[#This Row],[Jira Story Points]]="-"),0,MIN(Tabelle13245689101112131415161715[[#This Row],[Jira Story Points]],Tabelle13245689101112131415161715[[#This Row],[Carry-over]]))</f>
        <v>0</v>
      </c>
      <c r="O226" s="210">
        <f>SUM(IF(ISBLANK(Tabelle13245689101112131415161715[[#This Row],[Carry-over]]),Tabelle13245689101112131415161715[[#This Row],[Jira Story Points]],Tabelle13245689101112131415161715[[#This Row],[Carry-over]]),-Tabelle13245689101112131415161715[[#This Row],[COsSP Initially Planned]])</f>
        <v>3</v>
      </c>
      <c r="P22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226" s="210">
        <f>IF(Tabelle13245689101112131415161715[[#This Row],[Status]]=$J$5,Tabelle13245689101112131415161715[[#This Row],[COsSP Initially Planned]]+Tabelle13245689101112131415161715[[#This Row],[COsSP Pulled after Start]]-Tabelle13245689101112131415161715[[#This Row],[CSOsSP Completed]],0)</f>
        <v>0</v>
      </c>
      <c r="R226" s="210">
        <f>Tabelle13245689101112131415161715[[#This Row],[COsSP Initially Planned]]+Tabelle13245689101112131415161715[[#This Row],[COsSP Pulled after Start]]-Tabelle13245689101112131415161715[[#This Row],[CSOsSP Completed]]-Tabelle13245689101112131415161715[[#This Row],[CSOsSP Removed]]</f>
        <v>0</v>
      </c>
    </row>
    <row r="227" spans="1:18" ht="13.5" hidden="1" customHeight="1">
      <c r="A227" s="202" t="s">
        <v>1272</v>
      </c>
      <c r="B227" s="47" t="s">
        <v>1273</v>
      </c>
      <c r="C227" s="203" t="s">
        <v>372</v>
      </c>
      <c r="D227" s="203">
        <v>3</v>
      </c>
      <c r="E227" s="203" t="s">
        <v>324</v>
      </c>
      <c r="F227" s="204">
        <v>5</v>
      </c>
      <c r="G227" s="203" t="s">
        <v>5</v>
      </c>
      <c r="H227" s="205"/>
      <c r="I227" s="206"/>
      <c r="J227" s="206"/>
      <c r="K227" s="203" t="s">
        <v>125</v>
      </c>
      <c r="L227" s="204"/>
      <c r="M227" s="204"/>
      <c r="N227" s="286">
        <f>IF(OR(Tabelle13245689101112131415161715[[#This Row],[Pulled after Start]]="yes",Tabelle13245689101112131415161715[[#This Row],[Jira Story Points]]="-"),0,MIN(Tabelle13245689101112131415161715[[#This Row],[Jira Story Points]],Tabelle13245689101112131415161715[[#This Row],[Carry-over]]))</f>
        <v>5</v>
      </c>
      <c r="O227" s="210">
        <f>SUM(IF(ISBLANK(Tabelle13245689101112131415161715[[#This Row],[Carry-over]]),Tabelle13245689101112131415161715[[#This Row],[Jira Story Points]],Tabelle13245689101112131415161715[[#This Row],[Carry-over]]),-Tabelle13245689101112131415161715[[#This Row],[COsSP Initially Planned]])</f>
        <v>0</v>
      </c>
      <c r="P22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227" s="210">
        <f>IF(Tabelle13245689101112131415161715[[#This Row],[Status]]=$J$5,Tabelle13245689101112131415161715[[#This Row],[COsSP Initially Planned]]+Tabelle13245689101112131415161715[[#This Row],[COsSP Pulled after Start]]-Tabelle13245689101112131415161715[[#This Row],[CSOsSP Completed]],0)</f>
        <v>0</v>
      </c>
      <c r="R227" s="210">
        <f>Tabelle13245689101112131415161715[[#This Row],[COsSP Initially Planned]]+Tabelle13245689101112131415161715[[#This Row],[COsSP Pulled after Start]]-Tabelle13245689101112131415161715[[#This Row],[CSOsSP Completed]]-Tabelle13245689101112131415161715[[#This Row],[CSOsSP Removed]]</f>
        <v>0</v>
      </c>
    </row>
    <row r="228" spans="1:18" ht="13.5" hidden="1" customHeight="1">
      <c r="A228" s="202" t="s">
        <v>1274</v>
      </c>
      <c r="B228" s="47" t="s">
        <v>1275</v>
      </c>
      <c r="C228" s="203" t="s">
        <v>372</v>
      </c>
      <c r="D228" s="203">
        <v>3</v>
      </c>
      <c r="E228" s="203" t="s">
        <v>324</v>
      </c>
      <c r="F228" s="204">
        <v>5</v>
      </c>
      <c r="G228" s="203" t="s">
        <v>5</v>
      </c>
      <c r="H228" s="205" t="s">
        <v>209</v>
      </c>
      <c r="I228" s="206"/>
      <c r="J228" s="206"/>
      <c r="K228" s="203" t="s">
        <v>125</v>
      </c>
      <c r="L228" s="204"/>
      <c r="M228" s="204"/>
      <c r="N228" s="286">
        <f>IF(OR(Tabelle13245689101112131415161715[[#This Row],[Pulled after Start]]="yes",Tabelle13245689101112131415161715[[#This Row],[Jira Story Points]]="-"),0,MIN(Tabelle13245689101112131415161715[[#This Row],[Jira Story Points]],Tabelle13245689101112131415161715[[#This Row],[Carry-over]]))</f>
        <v>0</v>
      </c>
      <c r="O228" s="210">
        <f>SUM(IF(ISBLANK(Tabelle13245689101112131415161715[[#This Row],[Carry-over]]),Tabelle13245689101112131415161715[[#This Row],[Jira Story Points]],Tabelle13245689101112131415161715[[#This Row],[Carry-over]]),-Tabelle13245689101112131415161715[[#This Row],[COsSP Initially Planned]])</f>
        <v>5</v>
      </c>
      <c r="P22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228" s="210">
        <f>IF(Tabelle13245689101112131415161715[[#This Row],[Status]]=$J$5,Tabelle13245689101112131415161715[[#This Row],[COsSP Initially Planned]]+Tabelle13245689101112131415161715[[#This Row],[COsSP Pulled after Start]]-Tabelle13245689101112131415161715[[#This Row],[CSOsSP Completed]],0)</f>
        <v>0</v>
      </c>
      <c r="R228" s="210">
        <f>Tabelle13245689101112131415161715[[#This Row],[COsSP Initially Planned]]+Tabelle13245689101112131415161715[[#This Row],[COsSP Pulled after Start]]-Tabelle13245689101112131415161715[[#This Row],[CSOsSP Completed]]-Tabelle13245689101112131415161715[[#This Row],[CSOsSP Removed]]</f>
        <v>0</v>
      </c>
    </row>
    <row r="229" spans="1:18" ht="13.5" hidden="1" customHeight="1">
      <c r="A229" s="202" t="s">
        <v>1276</v>
      </c>
      <c r="B229" s="47" t="s">
        <v>1277</v>
      </c>
      <c r="C229" s="203" t="s">
        <v>372</v>
      </c>
      <c r="D229" s="203">
        <v>3</v>
      </c>
      <c r="E229" s="203" t="s">
        <v>324</v>
      </c>
      <c r="F229" s="204">
        <v>5</v>
      </c>
      <c r="G229" s="203" t="s">
        <v>5</v>
      </c>
      <c r="H229" s="205" t="s">
        <v>209</v>
      </c>
      <c r="I229" s="206"/>
      <c r="J229" s="206"/>
      <c r="K229" s="203" t="s">
        <v>125</v>
      </c>
      <c r="L229" s="204"/>
      <c r="M229" s="204"/>
      <c r="N229" s="286">
        <f>IF(OR(Tabelle13245689101112131415161715[[#This Row],[Pulled after Start]]="yes",Tabelle13245689101112131415161715[[#This Row],[Jira Story Points]]="-"),0,MIN(Tabelle13245689101112131415161715[[#This Row],[Jira Story Points]],Tabelle13245689101112131415161715[[#This Row],[Carry-over]]))</f>
        <v>0</v>
      </c>
      <c r="O229" s="210">
        <f>SUM(IF(ISBLANK(Tabelle13245689101112131415161715[[#This Row],[Carry-over]]),Tabelle13245689101112131415161715[[#This Row],[Jira Story Points]],Tabelle13245689101112131415161715[[#This Row],[Carry-over]]),-Tabelle13245689101112131415161715[[#This Row],[COsSP Initially Planned]])</f>
        <v>5</v>
      </c>
      <c r="P22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229" s="210">
        <f>IF(Tabelle13245689101112131415161715[[#This Row],[Status]]=$J$5,Tabelle13245689101112131415161715[[#This Row],[COsSP Initially Planned]]+Tabelle13245689101112131415161715[[#This Row],[COsSP Pulled after Start]]-Tabelle13245689101112131415161715[[#This Row],[CSOsSP Completed]],0)</f>
        <v>0</v>
      </c>
      <c r="R229" s="210">
        <f>Tabelle13245689101112131415161715[[#This Row],[COsSP Initially Planned]]+Tabelle13245689101112131415161715[[#This Row],[COsSP Pulled after Start]]-Tabelle13245689101112131415161715[[#This Row],[CSOsSP Completed]]-Tabelle13245689101112131415161715[[#This Row],[CSOsSP Removed]]</f>
        <v>0</v>
      </c>
    </row>
    <row r="230" spans="1:18" ht="13.5" hidden="1" customHeight="1">
      <c r="A230" s="202" t="s">
        <v>1278</v>
      </c>
      <c r="B230" s="47" t="s">
        <v>1279</v>
      </c>
      <c r="C230" s="203" t="s">
        <v>372</v>
      </c>
      <c r="D230" s="203">
        <v>3</v>
      </c>
      <c r="E230" s="203" t="s">
        <v>324</v>
      </c>
      <c r="F230" s="204">
        <v>5</v>
      </c>
      <c r="G230" s="203" t="s">
        <v>5</v>
      </c>
      <c r="H230" s="205" t="s">
        <v>209</v>
      </c>
      <c r="I230" s="206" t="s">
        <v>1280</v>
      </c>
      <c r="J230" s="206"/>
      <c r="K230" s="203" t="s">
        <v>125</v>
      </c>
      <c r="L230" s="204"/>
      <c r="M230" s="204"/>
      <c r="N230" s="286">
        <f>IF(OR(Tabelle13245689101112131415161715[[#This Row],[Pulled after Start]]="yes",Tabelle13245689101112131415161715[[#This Row],[Jira Story Points]]="-"),0,MIN(Tabelle13245689101112131415161715[[#This Row],[Jira Story Points]],Tabelle13245689101112131415161715[[#This Row],[Carry-over]]))</f>
        <v>0</v>
      </c>
      <c r="O230" s="210">
        <f>SUM(IF(ISBLANK(Tabelle13245689101112131415161715[[#This Row],[Carry-over]]),Tabelle13245689101112131415161715[[#This Row],[Jira Story Points]],Tabelle13245689101112131415161715[[#This Row],[Carry-over]]),-Tabelle13245689101112131415161715[[#This Row],[COsSP Initially Planned]])</f>
        <v>5</v>
      </c>
      <c r="P23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230" s="210">
        <f>IF(Tabelle13245689101112131415161715[[#This Row],[Status]]=$J$5,Tabelle13245689101112131415161715[[#This Row],[COsSP Initially Planned]]+Tabelle13245689101112131415161715[[#This Row],[COsSP Pulled after Start]]-Tabelle13245689101112131415161715[[#This Row],[CSOsSP Completed]],0)</f>
        <v>0</v>
      </c>
      <c r="R230" s="210">
        <f>Tabelle13245689101112131415161715[[#This Row],[COsSP Initially Planned]]+Tabelle13245689101112131415161715[[#This Row],[COsSP Pulled after Start]]-Tabelle13245689101112131415161715[[#This Row],[CSOsSP Completed]]-Tabelle13245689101112131415161715[[#This Row],[CSOsSP Removed]]</f>
        <v>0</v>
      </c>
    </row>
    <row r="231" spans="1:18" ht="13.5" hidden="1" customHeight="1">
      <c r="A231" s="202" t="s">
        <v>1281</v>
      </c>
      <c r="B231" s="47" t="s">
        <v>1282</v>
      </c>
      <c r="C231" s="203" t="s">
        <v>372</v>
      </c>
      <c r="D231" s="203">
        <v>3</v>
      </c>
      <c r="E231" s="203" t="s">
        <v>324</v>
      </c>
      <c r="F231" s="204">
        <v>3</v>
      </c>
      <c r="G231" s="203" t="s">
        <v>5</v>
      </c>
      <c r="H231" s="205" t="s">
        <v>209</v>
      </c>
      <c r="I231" s="206" t="s">
        <v>1283</v>
      </c>
      <c r="J231" s="206"/>
      <c r="K231" s="203" t="s">
        <v>125</v>
      </c>
      <c r="L231" s="204"/>
      <c r="M231" s="204"/>
      <c r="N231" s="286">
        <f>IF(OR(Tabelle13245689101112131415161715[[#This Row],[Pulled after Start]]="yes",Tabelle13245689101112131415161715[[#This Row],[Jira Story Points]]="-"),0,MIN(Tabelle13245689101112131415161715[[#This Row],[Jira Story Points]],Tabelle13245689101112131415161715[[#This Row],[Carry-over]]))</f>
        <v>0</v>
      </c>
      <c r="O231" s="210">
        <f>SUM(IF(ISBLANK(Tabelle13245689101112131415161715[[#This Row],[Carry-over]]),Tabelle13245689101112131415161715[[#This Row],[Jira Story Points]],Tabelle13245689101112131415161715[[#This Row],[Carry-over]]),-Tabelle13245689101112131415161715[[#This Row],[COsSP Initially Planned]])</f>
        <v>3</v>
      </c>
      <c r="P231"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231" s="210">
        <f>IF(Tabelle13245689101112131415161715[[#This Row],[Status]]=$J$5,Tabelle13245689101112131415161715[[#This Row],[COsSP Initially Planned]]+Tabelle13245689101112131415161715[[#This Row],[COsSP Pulled after Start]]-Tabelle13245689101112131415161715[[#This Row],[CSOsSP Completed]],0)</f>
        <v>0</v>
      </c>
      <c r="R231" s="210">
        <f>Tabelle13245689101112131415161715[[#This Row],[COsSP Initially Planned]]+Tabelle13245689101112131415161715[[#This Row],[COsSP Pulled after Start]]-Tabelle13245689101112131415161715[[#This Row],[CSOsSP Completed]]-Tabelle13245689101112131415161715[[#This Row],[CSOsSP Removed]]</f>
        <v>0</v>
      </c>
    </row>
    <row r="232" spans="1:18" ht="13.5" hidden="1" customHeight="1">
      <c r="A232" s="202" t="s">
        <v>1284</v>
      </c>
      <c r="B232" s="47" t="s">
        <v>1285</v>
      </c>
      <c r="C232" s="203" t="s">
        <v>372</v>
      </c>
      <c r="D232" s="203">
        <v>2</v>
      </c>
      <c r="E232" s="203" t="s">
        <v>324</v>
      </c>
      <c r="F232" s="204">
        <v>3</v>
      </c>
      <c r="G232" s="203" t="s">
        <v>5</v>
      </c>
      <c r="H232" s="205" t="s">
        <v>209</v>
      </c>
      <c r="I232" s="206"/>
      <c r="J232" s="206"/>
      <c r="K232" s="203" t="s">
        <v>125</v>
      </c>
      <c r="L232" s="204"/>
      <c r="M232" s="204"/>
      <c r="N232" s="286">
        <f>IF(OR(Tabelle13245689101112131415161715[[#This Row],[Pulled after Start]]="yes",Tabelle13245689101112131415161715[[#This Row],[Jira Story Points]]="-"),0,MIN(Tabelle13245689101112131415161715[[#This Row],[Jira Story Points]],Tabelle13245689101112131415161715[[#This Row],[Carry-over]]))</f>
        <v>0</v>
      </c>
      <c r="O232" s="210">
        <f>SUM(IF(ISBLANK(Tabelle13245689101112131415161715[[#This Row],[Carry-over]]),Tabelle13245689101112131415161715[[#This Row],[Jira Story Points]],Tabelle13245689101112131415161715[[#This Row],[Carry-over]]),-Tabelle13245689101112131415161715[[#This Row],[COsSP Initially Planned]])</f>
        <v>3</v>
      </c>
      <c r="P23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232" s="210">
        <f>IF(Tabelle13245689101112131415161715[[#This Row],[Status]]=$J$5,Tabelle13245689101112131415161715[[#This Row],[COsSP Initially Planned]]+Tabelle13245689101112131415161715[[#This Row],[COsSP Pulled after Start]]-Tabelle13245689101112131415161715[[#This Row],[CSOsSP Completed]],0)</f>
        <v>0</v>
      </c>
      <c r="R232" s="210">
        <f>Tabelle13245689101112131415161715[[#This Row],[COsSP Initially Planned]]+Tabelle13245689101112131415161715[[#This Row],[COsSP Pulled after Start]]-Tabelle13245689101112131415161715[[#This Row],[CSOsSP Completed]]-Tabelle13245689101112131415161715[[#This Row],[CSOsSP Removed]]</f>
        <v>0</v>
      </c>
    </row>
    <row r="233" spans="1:18" ht="13.5" hidden="1" customHeight="1">
      <c r="A233" s="202" t="s">
        <v>1286</v>
      </c>
      <c r="B233" s="47" t="s">
        <v>1287</v>
      </c>
      <c r="C233" s="203" t="s">
        <v>372</v>
      </c>
      <c r="D233" s="203">
        <v>1</v>
      </c>
      <c r="E233" s="203" t="s">
        <v>324</v>
      </c>
      <c r="F233" s="204">
        <v>3</v>
      </c>
      <c r="G233" s="203" t="s">
        <v>5</v>
      </c>
      <c r="H233" s="205" t="s">
        <v>209</v>
      </c>
      <c r="I233" s="206"/>
      <c r="J233" s="206"/>
      <c r="K233" s="203" t="s">
        <v>125</v>
      </c>
      <c r="L233" s="204"/>
      <c r="M233" s="204"/>
      <c r="N233" s="286">
        <f>IF(OR(Tabelle13245689101112131415161715[[#This Row],[Pulled after Start]]="yes",Tabelle13245689101112131415161715[[#This Row],[Jira Story Points]]="-"),0,MIN(Tabelle13245689101112131415161715[[#This Row],[Jira Story Points]],Tabelle13245689101112131415161715[[#This Row],[Carry-over]]))</f>
        <v>0</v>
      </c>
      <c r="O233" s="210">
        <f>SUM(IF(ISBLANK(Tabelle13245689101112131415161715[[#This Row],[Carry-over]]),Tabelle13245689101112131415161715[[#This Row],[Jira Story Points]],Tabelle13245689101112131415161715[[#This Row],[Carry-over]]),-Tabelle13245689101112131415161715[[#This Row],[COsSP Initially Planned]])</f>
        <v>3</v>
      </c>
      <c r="P23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233" s="210">
        <f>IF(Tabelle13245689101112131415161715[[#This Row],[Status]]=$J$5,Tabelle13245689101112131415161715[[#This Row],[COsSP Initially Planned]]+Tabelle13245689101112131415161715[[#This Row],[COsSP Pulled after Start]]-Tabelle13245689101112131415161715[[#This Row],[CSOsSP Completed]],0)</f>
        <v>0</v>
      </c>
      <c r="R233" s="210">
        <f>Tabelle13245689101112131415161715[[#This Row],[COsSP Initially Planned]]+Tabelle13245689101112131415161715[[#This Row],[COsSP Pulled after Start]]-Tabelle13245689101112131415161715[[#This Row],[CSOsSP Completed]]-Tabelle13245689101112131415161715[[#This Row],[CSOsSP Removed]]</f>
        <v>0</v>
      </c>
    </row>
    <row r="234" spans="1:18" ht="13.5" hidden="1" customHeight="1">
      <c r="A234" s="202" t="s">
        <v>1288</v>
      </c>
      <c r="B234" s="47" t="s">
        <v>1289</v>
      </c>
      <c r="C234" s="203" t="s">
        <v>372</v>
      </c>
      <c r="D234" s="203">
        <v>3</v>
      </c>
      <c r="E234" s="203" t="s">
        <v>327</v>
      </c>
      <c r="F234" s="204">
        <v>13</v>
      </c>
      <c r="G234" s="203" t="s">
        <v>5</v>
      </c>
      <c r="H234" s="205" t="s">
        <v>209</v>
      </c>
      <c r="I234" s="206"/>
      <c r="J234" s="206"/>
      <c r="K234" s="203" t="s">
        <v>127</v>
      </c>
      <c r="L234" s="204">
        <v>5</v>
      </c>
      <c r="M234" s="204">
        <v>2</v>
      </c>
      <c r="N234" s="286">
        <f>IF(OR(Tabelle13245689101112131415161715[[#This Row],[Pulled after Start]]="yes",Tabelle13245689101112131415161715[[#This Row],[Jira Story Points]]="-"),0,MIN(Tabelle13245689101112131415161715[[#This Row],[Jira Story Points]],Tabelle13245689101112131415161715[[#This Row],[Carry-over]]))</f>
        <v>0</v>
      </c>
      <c r="O234" s="210">
        <f>SUM(IF(ISBLANK(Tabelle13245689101112131415161715[[#This Row],[Carry-over]]),Tabelle13245689101112131415161715[[#This Row],[Jira Story Points]],Tabelle13245689101112131415161715[[#This Row],[Carry-over]]),-Tabelle13245689101112131415161715[[#This Row],[COsSP Initially Planned]])</f>
        <v>5</v>
      </c>
      <c r="P23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234" s="210">
        <f>IF(Tabelle13245689101112131415161715[[#This Row],[Status]]=$J$5,Tabelle13245689101112131415161715[[#This Row],[COsSP Initially Planned]]+Tabelle13245689101112131415161715[[#This Row],[COsSP Pulled after Start]]-Tabelle13245689101112131415161715[[#This Row],[CSOsSP Completed]],0)</f>
        <v>0</v>
      </c>
      <c r="R234" s="210">
        <f>Tabelle13245689101112131415161715[[#This Row],[COsSP Initially Planned]]+Tabelle13245689101112131415161715[[#This Row],[COsSP Pulled after Start]]-Tabelle13245689101112131415161715[[#This Row],[CSOsSP Completed]]-Tabelle13245689101112131415161715[[#This Row],[CSOsSP Removed]]</f>
        <v>2</v>
      </c>
    </row>
    <row r="235" spans="1:18" ht="13.5" hidden="1" customHeight="1">
      <c r="A235" s="202" t="s">
        <v>1290</v>
      </c>
      <c r="B235" s="47" t="s">
        <v>1291</v>
      </c>
      <c r="C235" s="203" t="s">
        <v>372</v>
      </c>
      <c r="D235" s="203">
        <v>3</v>
      </c>
      <c r="E235" s="203" t="s">
        <v>324</v>
      </c>
      <c r="F235" s="204">
        <v>1</v>
      </c>
      <c r="G235" s="203" t="s">
        <v>5</v>
      </c>
      <c r="H235" s="205"/>
      <c r="I235" s="206"/>
      <c r="J235" s="206"/>
      <c r="K235" s="203" t="s">
        <v>125</v>
      </c>
      <c r="L235" s="204"/>
      <c r="M235" s="204"/>
      <c r="N235" s="286">
        <f>IF(OR(Tabelle13245689101112131415161715[[#This Row],[Pulled after Start]]="yes",Tabelle13245689101112131415161715[[#This Row],[Jira Story Points]]="-"),0,MIN(Tabelle13245689101112131415161715[[#This Row],[Jira Story Points]],Tabelle13245689101112131415161715[[#This Row],[Carry-over]]))</f>
        <v>1</v>
      </c>
      <c r="O235" s="210">
        <f>SUM(IF(ISBLANK(Tabelle13245689101112131415161715[[#This Row],[Carry-over]]),Tabelle13245689101112131415161715[[#This Row],[Jira Story Points]],Tabelle13245689101112131415161715[[#This Row],[Carry-over]]),-Tabelle13245689101112131415161715[[#This Row],[COsSP Initially Planned]])</f>
        <v>0</v>
      </c>
      <c r="P235"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1</v>
      </c>
      <c r="Q235" s="210">
        <f>IF(Tabelle13245689101112131415161715[[#This Row],[Status]]=$J$5,Tabelle13245689101112131415161715[[#This Row],[COsSP Initially Planned]]+Tabelle13245689101112131415161715[[#This Row],[COsSP Pulled after Start]]-Tabelle13245689101112131415161715[[#This Row],[CSOsSP Completed]],0)</f>
        <v>0</v>
      </c>
      <c r="R235" s="210">
        <f>Tabelle13245689101112131415161715[[#This Row],[COsSP Initially Planned]]+Tabelle13245689101112131415161715[[#This Row],[COsSP Pulled after Start]]-Tabelle13245689101112131415161715[[#This Row],[CSOsSP Completed]]-Tabelle13245689101112131415161715[[#This Row],[CSOsSP Removed]]</f>
        <v>0</v>
      </c>
    </row>
    <row r="236" spans="1:18" ht="13.5" hidden="1" customHeight="1">
      <c r="A236" s="202" t="s">
        <v>1292</v>
      </c>
      <c r="B236" s="47" t="s">
        <v>1293</v>
      </c>
      <c r="C236" s="203" t="s">
        <v>372</v>
      </c>
      <c r="D236" s="203">
        <v>3</v>
      </c>
      <c r="E236" s="203" t="s">
        <v>327</v>
      </c>
      <c r="F236" s="204">
        <v>5</v>
      </c>
      <c r="G236" s="203" t="s">
        <v>5</v>
      </c>
      <c r="H236" s="205" t="s">
        <v>209</v>
      </c>
      <c r="I236" s="206" t="s">
        <v>1294</v>
      </c>
      <c r="J236" s="206"/>
      <c r="K236" s="203" t="s">
        <v>125</v>
      </c>
      <c r="L236" s="204"/>
      <c r="M236" s="204"/>
      <c r="N236" s="286">
        <f>IF(OR(Tabelle13245689101112131415161715[[#This Row],[Pulled after Start]]="yes",Tabelle13245689101112131415161715[[#This Row],[Jira Story Points]]="-"),0,MIN(Tabelle13245689101112131415161715[[#This Row],[Jira Story Points]],Tabelle13245689101112131415161715[[#This Row],[Carry-over]]))</f>
        <v>0</v>
      </c>
      <c r="O236" s="210">
        <f>SUM(IF(ISBLANK(Tabelle13245689101112131415161715[[#This Row],[Carry-over]]),Tabelle13245689101112131415161715[[#This Row],[Jira Story Points]],Tabelle13245689101112131415161715[[#This Row],[Carry-over]]),-Tabelle13245689101112131415161715[[#This Row],[COsSP Initially Planned]])</f>
        <v>5</v>
      </c>
      <c r="P236"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5</v>
      </c>
      <c r="Q236" s="210">
        <f>IF(Tabelle13245689101112131415161715[[#This Row],[Status]]=$J$5,Tabelle13245689101112131415161715[[#This Row],[COsSP Initially Planned]]+Tabelle13245689101112131415161715[[#This Row],[COsSP Pulled after Start]]-Tabelle13245689101112131415161715[[#This Row],[CSOsSP Completed]],0)</f>
        <v>0</v>
      </c>
      <c r="R236" s="210">
        <f>Tabelle13245689101112131415161715[[#This Row],[COsSP Initially Planned]]+Tabelle13245689101112131415161715[[#This Row],[COsSP Pulled after Start]]-Tabelle13245689101112131415161715[[#This Row],[CSOsSP Completed]]-Tabelle13245689101112131415161715[[#This Row],[CSOsSP Removed]]</f>
        <v>0</v>
      </c>
    </row>
    <row r="237" spans="1:18" ht="13.5" hidden="1" customHeight="1">
      <c r="A237" s="202" t="s">
        <v>1295</v>
      </c>
      <c r="B237" s="47" t="s">
        <v>886</v>
      </c>
      <c r="C237" s="203" t="s">
        <v>372</v>
      </c>
      <c r="D237" s="203">
        <v>3</v>
      </c>
      <c r="E237" s="203" t="s">
        <v>327</v>
      </c>
      <c r="F237" s="204">
        <v>3</v>
      </c>
      <c r="G237" s="203" t="s">
        <v>5</v>
      </c>
      <c r="H237" s="205" t="s">
        <v>209</v>
      </c>
      <c r="I237" s="206"/>
      <c r="J237" s="206"/>
      <c r="K237" s="203" t="s">
        <v>127</v>
      </c>
      <c r="L237" s="204"/>
      <c r="M237" s="204">
        <v>3</v>
      </c>
      <c r="N237" s="286">
        <f>IF(OR(Tabelle13245689101112131415161715[[#This Row],[Pulled after Start]]="yes",Tabelle13245689101112131415161715[[#This Row],[Jira Story Points]]="-"),0,MIN(Tabelle13245689101112131415161715[[#This Row],[Jira Story Points]],Tabelle13245689101112131415161715[[#This Row],[Carry-over]]))</f>
        <v>0</v>
      </c>
      <c r="O237" s="210">
        <f>SUM(IF(ISBLANK(Tabelle13245689101112131415161715[[#This Row],[Carry-over]]),Tabelle13245689101112131415161715[[#This Row],[Jira Story Points]],Tabelle13245689101112131415161715[[#This Row],[Carry-over]]),-Tabelle13245689101112131415161715[[#This Row],[COsSP Initially Planned]])</f>
        <v>3</v>
      </c>
      <c r="P237"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237" s="210">
        <f>IF(Tabelle13245689101112131415161715[[#This Row],[Status]]=$J$5,Tabelle13245689101112131415161715[[#This Row],[COsSP Initially Planned]]+Tabelle13245689101112131415161715[[#This Row],[COsSP Pulled after Start]]-Tabelle13245689101112131415161715[[#This Row],[CSOsSP Completed]],0)</f>
        <v>0</v>
      </c>
      <c r="R237" s="210">
        <f>Tabelle13245689101112131415161715[[#This Row],[COsSP Initially Planned]]+Tabelle13245689101112131415161715[[#This Row],[COsSP Pulled after Start]]-Tabelle13245689101112131415161715[[#This Row],[CSOsSP Completed]]-Tabelle13245689101112131415161715[[#This Row],[CSOsSP Removed]]</f>
        <v>3</v>
      </c>
    </row>
    <row r="238" spans="1:18" ht="13.5" hidden="1" customHeight="1">
      <c r="A238" s="202" t="s">
        <v>1296</v>
      </c>
      <c r="B238" s="47" t="s">
        <v>1297</v>
      </c>
      <c r="C238" s="203" t="s">
        <v>372</v>
      </c>
      <c r="D238" s="203">
        <v>3</v>
      </c>
      <c r="E238" s="203" t="s">
        <v>327</v>
      </c>
      <c r="F238" s="204">
        <v>8</v>
      </c>
      <c r="G238" s="203" t="s">
        <v>5</v>
      </c>
      <c r="H238" s="205" t="s">
        <v>209</v>
      </c>
      <c r="I238" s="206"/>
      <c r="J238" s="206"/>
      <c r="K238" s="203" t="s">
        <v>125</v>
      </c>
      <c r="L238" s="204"/>
      <c r="M238" s="204"/>
      <c r="N238" s="286">
        <f>IF(OR(Tabelle13245689101112131415161715[[#This Row],[Pulled after Start]]="yes",Tabelle13245689101112131415161715[[#This Row],[Jira Story Points]]="-"),0,MIN(Tabelle13245689101112131415161715[[#This Row],[Jira Story Points]],Tabelle13245689101112131415161715[[#This Row],[Carry-over]]))</f>
        <v>0</v>
      </c>
      <c r="O238" s="210">
        <f>SUM(IF(ISBLANK(Tabelle13245689101112131415161715[[#This Row],[Carry-over]]),Tabelle13245689101112131415161715[[#This Row],[Jira Story Points]],Tabelle13245689101112131415161715[[#This Row],[Carry-over]]),-Tabelle13245689101112131415161715[[#This Row],[COsSP Initially Planned]])</f>
        <v>8</v>
      </c>
      <c r="P238"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8</v>
      </c>
      <c r="Q238" s="210">
        <f>IF(Tabelle13245689101112131415161715[[#This Row],[Status]]=$J$5,Tabelle13245689101112131415161715[[#This Row],[COsSP Initially Planned]]+Tabelle13245689101112131415161715[[#This Row],[COsSP Pulled after Start]]-Tabelle13245689101112131415161715[[#This Row],[CSOsSP Completed]],0)</f>
        <v>0</v>
      </c>
      <c r="R238" s="210">
        <f>Tabelle13245689101112131415161715[[#This Row],[COsSP Initially Planned]]+Tabelle13245689101112131415161715[[#This Row],[COsSP Pulled after Start]]-Tabelle13245689101112131415161715[[#This Row],[CSOsSP Completed]]-Tabelle13245689101112131415161715[[#This Row],[CSOsSP Removed]]</f>
        <v>0</v>
      </c>
    </row>
    <row r="239" spans="1:18" ht="13.5" hidden="1" customHeight="1">
      <c r="A239" s="202" t="s">
        <v>1298</v>
      </c>
      <c r="B239" s="47" t="s">
        <v>892</v>
      </c>
      <c r="C239" s="203" t="s">
        <v>372</v>
      </c>
      <c r="D239" s="203">
        <v>1</v>
      </c>
      <c r="E239" s="203" t="s">
        <v>327</v>
      </c>
      <c r="F239" s="204">
        <v>3</v>
      </c>
      <c r="G239" s="203" t="s">
        <v>5</v>
      </c>
      <c r="H239" s="205" t="s">
        <v>209</v>
      </c>
      <c r="I239" s="206"/>
      <c r="J239" s="206"/>
      <c r="K239" s="203" t="s">
        <v>127</v>
      </c>
      <c r="L239" s="204"/>
      <c r="M239" s="204">
        <v>3</v>
      </c>
      <c r="N239" s="286">
        <f>IF(OR(Tabelle13245689101112131415161715[[#This Row],[Pulled after Start]]="yes",Tabelle13245689101112131415161715[[#This Row],[Jira Story Points]]="-"),0,MIN(Tabelle13245689101112131415161715[[#This Row],[Jira Story Points]],Tabelle13245689101112131415161715[[#This Row],[Carry-over]]))</f>
        <v>0</v>
      </c>
      <c r="O239" s="210">
        <f>SUM(IF(ISBLANK(Tabelle13245689101112131415161715[[#This Row],[Carry-over]]),Tabelle13245689101112131415161715[[#This Row],[Jira Story Points]],Tabelle13245689101112131415161715[[#This Row],[Carry-over]]),-Tabelle13245689101112131415161715[[#This Row],[COsSP Initially Planned]])</f>
        <v>3</v>
      </c>
      <c r="P239"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239" s="210">
        <f>IF(Tabelle13245689101112131415161715[[#This Row],[Status]]=$J$5,Tabelle13245689101112131415161715[[#This Row],[COsSP Initially Planned]]+Tabelle13245689101112131415161715[[#This Row],[COsSP Pulled after Start]]-Tabelle13245689101112131415161715[[#This Row],[CSOsSP Completed]],0)</f>
        <v>0</v>
      </c>
      <c r="R239" s="210">
        <f>Tabelle13245689101112131415161715[[#This Row],[COsSP Initially Planned]]+Tabelle13245689101112131415161715[[#This Row],[COsSP Pulled after Start]]-Tabelle13245689101112131415161715[[#This Row],[CSOsSP Completed]]-Tabelle13245689101112131415161715[[#This Row],[CSOsSP Removed]]</f>
        <v>3</v>
      </c>
    </row>
    <row r="240" spans="1:18" ht="13.5" hidden="1" customHeight="1">
      <c r="A240" s="202" t="s">
        <v>1299</v>
      </c>
      <c r="B240" s="47" t="s">
        <v>1300</v>
      </c>
      <c r="C240" s="203" t="s">
        <v>372</v>
      </c>
      <c r="D240" s="203">
        <v>2</v>
      </c>
      <c r="E240" s="203" t="s">
        <v>327</v>
      </c>
      <c r="F240" s="204">
        <v>3</v>
      </c>
      <c r="G240" s="203" t="s">
        <v>5</v>
      </c>
      <c r="H240" s="205" t="s">
        <v>209</v>
      </c>
      <c r="I240" s="206"/>
      <c r="J240" s="206"/>
      <c r="K240" s="203" t="s">
        <v>125</v>
      </c>
      <c r="L240" s="204"/>
      <c r="M240" s="204"/>
      <c r="N240" s="286">
        <f>IF(OR(Tabelle13245689101112131415161715[[#This Row],[Pulled after Start]]="yes",Tabelle13245689101112131415161715[[#This Row],[Jira Story Points]]="-"),0,MIN(Tabelle13245689101112131415161715[[#This Row],[Jira Story Points]],Tabelle13245689101112131415161715[[#This Row],[Carry-over]]))</f>
        <v>0</v>
      </c>
      <c r="O240" s="210">
        <f>SUM(IF(ISBLANK(Tabelle13245689101112131415161715[[#This Row],[Carry-over]]),Tabelle13245689101112131415161715[[#This Row],[Jira Story Points]],Tabelle13245689101112131415161715[[#This Row],[Carry-over]]),-Tabelle13245689101112131415161715[[#This Row],[COsSP Initially Planned]])</f>
        <v>3</v>
      </c>
      <c r="P240"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3</v>
      </c>
      <c r="Q240" s="210">
        <f>IF(Tabelle13245689101112131415161715[[#This Row],[Status]]=$J$5,Tabelle13245689101112131415161715[[#This Row],[COsSP Initially Planned]]+Tabelle13245689101112131415161715[[#This Row],[COsSP Pulled after Start]]-Tabelle13245689101112131415161715[[#This Row],[CSOsSP Completed]],0)</f>
        <v>0</v>
      </c>
      <c r="R240" s="210">
        <f>Tabelle13245689101112131415161715[[#This Row],[COsSP Initially Planned]]+Tabelle13245689101112131415161715[[#This Row],[COsSP Pulled after Start]]-Tabelle13245689101112131415161715[[#This Row],[CSOsSP Completed]]-Tabelle13245689101112131415161715[[#This Row],[CSOsSP Removed]]</f>
        <v>0</v>
      </c>
    </row>
    <row r="241" spans="1:18" ht="13.5" hidden="1" customHeight="1">
      <c r="A241" s="268"/>
      <c r="B241" s="47"/>
      <c r="C241" s="203"/>
      <c r="D241" s="203"/>
      <c r="E241" s="203"/>
      <c r="F241" s="204"/>
      <c r="G241" s="203"/>
      <c r="H241" s="205"/>
      <c r="I241" s="206"/>
      <c r="J241" s="206"/>
      <c r="K241" s="203"/>
      <c r="L241" s="204"/>
      <c r="M241" s="204"/>
      <c r="N241" s="286">
        <f>IF(OR(Tabelle13245689101112131415161715[[#This Row],[Pulled after Start]]="yes",Tabelle13245689101112131415161715[[#This Row],[Jira Story Points]]="-"),0,MIN(Tabelle13245689101112131415161715[[#This Row],[Jira Story Points]],Tabelle13245689101112131415161715[[#This Row],[Carry-over]]))</f>
        <v>0</v>
      </c>
      <c r="O241" s="210">
        <f>SUM(IF(ISBLANK(Tabelle13245689101112131415161715[[#This Row],[Carry-over]]),Tabelle13245689101112131415161715[[#This Row],[Jira Story Points]],Tabelle13245689101112131415161715[[#This Row],[Carry-over]]),-Tabelle13245689101112131415161715[[#This Row],[COsSP Initially Planned]])</f>
        <v>0</v>
      </c>
      <c r="P241"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241" s="210">
        <f>IF(Tabelle13245689101112131415161715[[#This Row],[Status]]=$J$5,Tabelle13245689101112131415161715[[#This Row],[COsSP Initially Planned]]+Tabelle13245689101112131415161715[[#This Row],[COsSP Pulled after Start]]-Tabelle13245689101112131415161715[[#This Row],[CSOsSP Completed]],0)</f>
        <v>0</v>
      </c>
      <c r="R241" s="210">
        <f>Tabelle13245689101112131415161715[[#This Row],[COsSP Initially Planned]]+Tabelle13245689101112131415161715[[#This Row],[COsSP Pulled after Start]]-Tabelle13245689101112131415161715[[#This Row],[CSOsSP Completed]]-Tabelle13245689101112131415161715[[#This Row],[CSOsSP Removed]]</f>
        <v>0</v>
      </c>
    </row>
    <row r="242" spans="1:18" ht="13.5" hidden="1" customHeight="1">
      <c r="A242" s="268"/>
      <c r="B242" s="47"/>
      <c r="C242" s="203"/>
      <c r="D242" s="203"/>
      <c r="E242" s="203"/>
      <c r="F242" s="204"/>
      <c r="G242" s="203"/>
      <c r="H242" s="205"/>
      <c r="I242" s="206"/>
      <c r="J242" s="206"/>
      <c r="K242" s="203"/>
      <c r="L242" s="204"/>
      <c r="M242" s="204"/>
      <c r="N242" s="286">
        <f>IF(OR(Tabelle13245689101112131415161715[[#This Row],[Pulled after Start]]="yes",Tabelle13245689101112131415161715[[#This Row],[Jira Story Points]]="-"),0,MIN(Tabelle13245689101112131415161715[[#This Row],[Jira Story Points]],Tabelle13245689101112131415161715[[#This Row],[Carry-over]]))</f>
        <v>0</v>
      </c>
      <c r="O242" s="210">
        <f>SUM(IF(ISBLANK(Tabelle13245689101112131415161715[[#This Row],[Carry-over]]),Tabelle13245689101112131415161715[[#This Row],[Jira Story Points]],Tabelle13245689101112131415161715[[#This Row],[Carry-over]]),-Tabelle13245689101112131415161715[[#This Row],[COsSP Initially Planned]])</f>
        <v>0</v>
      </c>
      <c r="P242"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242" s="210">
        <f>IF(Tabelle13245689101112131415161715[[#This Row],[Status]]=$J$5,Tabelle13245689101112131415161715[[#This Row],[COsSP Initially Planned]]+Tabelle13245689101112131415161715[[#This Row],[COsSP Pulled after Start]]-Tabelle13245689101112131415161715[[#This Row],[CSOsSP Completed]],0)</f>
        <v>0</v>
      </c>
      <c r="R242" s="210">
        <f>Tabelle13245689101112131415161715[[#This Row],[COsSP Initially Planned]]+Tabelle13245689101112131415161715[[#This Row],[COsSP Pulled after Start]]-Tabelle13245689101112131415161715[[#This Row],[CSOsSP Completed]]-Tabelle13245689101112131415161715[[#This Row],[CSOsSP Removed]]</f>
        <v>0</v>
      </c>
    </row>
    <row r="243" spans="1:18" ht="13.5" hidden="1" customHeight="1">
      <c r="A243" s="214"/>
      <c r="B243" s="47"/>
      <c r="C243" s="203"/>
      <c r="D243" s="203"/>
      <c r="E243" s="203"/>
      <c r="F243" s="204"/>
      <c r="G243" s="203"/>
      <c r="H243" s="205"/>
      <c r="I243" s="206"/>
      <c r="J243" s="206"/>
      <c r="K243" s="203"/>
      <c r="L243" s="204"/>
      <c r="M243" s="204"/>
      <c r="N243" s="286">
        <f>IF(OR(Tabelle13245689101112131415161715[[#This Row],[Pulled after Start]]="yes",Tabelle13245689101112131415161715[[#This Row],[Jira Story Points]]="-"),0,MIN(Tabelle13245689101112131415161715[[#This Row],[Jira Story Points]],Tabelle13245689101112131415161715[[#This Row],[Carry-over]]))</f>
        <v>0</v>
      </c>
      <c r="O243" s="210">
        <f>SUM(IF(ISBLANK(Tabelle13245689101112131415161715[[#This Row],[Carry-over]]),Tabelle13245689101112131415161715[[#This Row],[Jira Story Points]],Tabelle13245689101112131415161715[[#This Row],[Carry-over]]),-Tabelle13245689101112131415161715[[#This Row],[COsSP Initially Planned]])</f>
        <v>0</v>
      </c>
      <c r="P243"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243" s="210">
        <f>IF(Tabelle13245689101112131415161715[[#This Row],[Status]]=$J$5,Tabelle13245689101112131415161715[[#This Row],[COsSP Initially Planned]]+Tabelle13245689101112131415161715[[#This Row],[COsSP Pulled after Start]]-Tabelle13245689101112131415161715[[#This Row],[CSOsSP Completed]],0)</f>
        <v>0</v>
      </c>
      <c r="R243" s="210">
        <f>Tabelle13245689101112131415161715[[#This Row],[COsSP Initially Planned]]+Tabelle13245689101112131415161715[[#This Row],[COsSP Pulled after Start]]-Tabelle13245689101112131415161715[[#This Row],[CSOsSP Completed]]-Tabelle13245689101112131415161715[[#This Row],[CSOsSP Removed]]</f>
        <v>0</v>
      </c>
    </row>
    <row r="244" spans="1:18" ht="13.5" hidden="1" customHeight="1">
      <c r="A244" s="214"/>
      <c r="B244" s="47"/>
      <c r="C244" s="203"/>
      <c r="D244" s="203"/>
      <c r="E244" s="203"/>
      <c r="F244" s="204"/>
      <c r="G244" s="203"/>
      <c r="H244" s="205"/>
      <c r="I244" s="206"/>
      <c r="J244" s="206"/>
      <c r="K244" s="203"/>
      <c r="L244" s="204"/>
      <c r="M244" s="204"/>
      <c r="N244" s="286">
        <f>IF(OR(Tabelle13245689101112131415161715[[#This Row],[Pulled after Start]]="yes",Tabelle13245689101112131415161715[[#This Row],[Jira Story Points]]="-"),0,MIN(Tabelle13245689101112131415161715[[#This Row],[Jira Story Points]],Tabelle13245689101112131415161715[[#This Row],[Carry-over]]))</f>
        <v>0</v>
      </c>
      <c r="O244" s="210">
        <f>SUM(IF(ISBLANK(Tabelle13245689101112131415161715[[#This Row],[Carry-over]]),Tabelle13245689101112131415161715[[#This Row],[Jira Story Points]],Tabelle13245689101112131415161715[[#This Row],[Carry-over]]),-Tabelle13245689101112131415161715[[#This Row],[COsSP Initially Planned]])</f>
        <v>0</v>
      </c>
      <c r="P244" s="210">
        <f>IF(Tabelle13245689101112131415161715[[#This Row],[Status]]=$H$5,Tabelle13245689101112131415161715[[#This Row],[COsSP Initially Planned]]+Tabelle13245689101112131415161715[[#This Row],[COsSP Pulled after Start]],IF(ISBLANK(Tabelle13245689101112131415161715[[#This Row],[Spill-over]]),0,Tabelle13245689101112131415161715[[#This Row],[COsSP Initially Planned]]+Tabelle13245689101112131415161715[[#This Row],[COsSP Pulled after Start]]-Tabelle13245689101112131415161715[[#This Row],[Spill-over]]))</f>
        <v>0</v>
      </c>
      <c r="Q244" s="210">
        <f>IF(Tabelle13245689101112131415161715[[#This Row],[Status]]=$J$5,Tabelle13245689101112131415161715[[#This Row],[COsSP Initially Planned]]+Tabelle13245689101112131415161715[[#This Row],[COsSP Pulled after Start]]-Tabelle13245689101112131415161715[[#This Row],[CSOsSP Completed]],0)</f>
        <v>0</v>
      </c>
      <c r="R244" s="210">
        <f>Tabelle13245689101112131415161715[[#This Row],[COsSP Initially Planned]]+Tabelle13245689101112131415161715[[#This Row],[COsSP Pulled after Start]]-Tabelle13245689101112131415161715[[#This Row],[CSOsSP Completed]]-Tabelle13245689101112131415161715[[#This Row],[CSOsSP Removed]]</f>
        <v>0</v>
      </c>
    </row>
    <row r="245" spans="1:18" ht="13.5" customHeight="1">
      <c r="A245" s="214" t="s">
        <v>1301</v>
      </c>
      <c r="B245" s="47"/>
      <c r="C245" s="203"/>
      <c r="D245" s="203"/>
      <c r="E245" s="203"/>
      <c r="F245" s="204"/>
      <c r="G245" s="203"/>
      <c r="H245" s="205"/>
      <c r="I245" s="206"/>
      <c r="J245" s="206"/>
      <c r="K245" s="203"/>
      <c r="L245" s="204"/>
      <c r="M245" s="204"/>
      <c r="N245" s="286"/>
      <c r="O245" s="210"/>
      <c r="P245" s="210">
        <f>SUBTOTAL(103,Tabelle13245689101112131415161715[CSOsSP Completed])</f>
        <v>19</v>
      </c>
      <c r="Q245" s="210"/>
      <c r="R245" s="210"/>
    </row>
    <row r="254" spans="1:18" ht="13.5" customHeight="1">
      <c r="K254" s="309"/>
    </row>
    <row r="263" spans="12:12" ht="13.5" customHeight="1">
      <c r="L263" s="253"/>
    </row>
  </sheetData>
  <mergeCells count="12">
    <mergeCell ref="B6:B15"/>
    <mergeCell ref="N22:O22"/>
    <mergeCell ref="C1:J1"/>
    <mergeCell ref="H3:J3"/>
    <mergeCell ref="D4:E4"/>
    <mergeCell ref="F4:K4"/>
    <mergeCell ref="M4:R4"/>
    <mergeCell ref="D22:E22"/>
    <mergeCell ref="F22:G22"/>
    <mergeCell ref="H22:I22"/>
    <mergeCell ref="J22:K22"/>
    <mergeCell ref="L22:M22"/>
  </mergeCells>
  <dataValidations count="4">
    <dataValidation type="list" allowBlank="1" showErrorMessage="1" sqref="K32:K244" xr:uid="{C7FA7312-64FE-4F8D-B5C8-BB62575C4921}">
      <formula1>$H$5:$J$5</formula1>
    </dataValidation>
    <dataValidation type="list" allowBlank="1" showErrorMessage="1" sqref="G32:G42" xr:uid="{5F8C50E9-D196-47D4-92B0-77BCB163651A}">
      <formula1>$C$6:$C$15</formula1>
    </dataValidation>
    <dataValidation allowBlank="1" showInputMessage="1" showErrorMessage="1" sqref="L33:L37 M38:M42 N33:O244" xr:uid="{F43E9833-E7BB-4CC6-A49A-B717EF43C6FD}"/>
    <dataValidation type="list" allowBlank="1" showErrorMessage="1" sqref="H32:H68 H89 H91:H94 H84:H86 H104:H106" xr:uid="{D365AD3A-094F-436D-9A24-63D7B9147337}">
      <formula1>"yes"</formula1>
    </dataValidation>
  </dataValidations>
  <hyperlinks>
    <hyperlink ref="A32" r:id="rId1" display="[ANP-25421] EFT - Foreign cards transactions (Carrefour France, Ukraine) were not successful according to cash register, but charged to customer - Jira" xr:uid="{EC810CDD-0DA8-4E6F-A1DD-CB41F28B98DF}"/>
    <hyperlink ref="A33" r:id="rId2" display="[ANP-25572] Display Separate Receipt Total and Cashback Amount in Switzerland at Monolane and Multilane Till - Jira" xr:uid="{D7736495-9C47-4884-B3DC-97226BC43C0D}"/>
    <hyperlink ref="A34" r:id="rId3" display="[ANP-25550] [CHOP] 90+CODE does not print printer and terminal information - Jira" xr:uid="{7AA340C0-A942-45AF-BC39-88B83CCD61F0}"/>
    <hyperlink ref="A35" r:id="rId4" display="[ANP-26616] Analysis of ANP-25064: Store- credit card payments against signature, the merchant receipt will no longer be printed- EM: no - Jira" xr:uid="{B8DE2765-1973-4508-8B34-512A620ABCA5}"/>
    <hyperlink ref="A36" r:id="rId5" display="[ANP-25453] [CHOP] The 1st in-sale Subtotal line on receipt is incorrect ( = the final subtotal amount of the receipt, which has additional items ringed after pressing the subtotal button) - Jira" xr:uid="{964F3813-A993-42D6-AB21-B37DBC1352D8}"/>
    <hyperlink ref="A37" r:id="rId6" display="[ANP-25440] Logfiles: Multi-Lane Till Development - Jira" xr:uid="{DDAD07A5-D56D-4265-BB7C-6260BA683097}"/>
    <hyperlink ref="A38" r:id="rId7" display="[ANP-27102] CHOP: Clean up Multilane dependencies and move OSGI Runtime dependencies to maven - Jira" xr:uid="{5BB810C7-4DC6-4E54-A7F5-7846658F974A}"/>
    <hyperlink ref="A39" r:id="rId8" display="[ANP-27106] Missing ressources/translations for CHOP CH Italian/French language for cashback - Jira" xr:uid="{04DC2F5D-914B-45D2-95D4-E423044694EF}"/>
    <hyperlink ref="A40" r:id="rId9" display="[ANP-27464] Pick Ticket for 4.7.11 Release - Jira" xr:uid="{17772B80-5D0A-44EE-81C6-D6F17778CBDB}"/>
    <hyperlink ref="A41" r:id="rId10" display="[ANP-27463] Set up terminal for TIM middleware - Jira" xr:uid="{0D38661C-C0ED-4B4B-B86B-B1A8FD68AF3C}"/>
    <hyperlink ref="A42" r:id="rId11" display="[ANP-27245] additional Analysis of ANP-25541: [CHOP] Global Blue (12+Code) not working for card payments and last receipt - Jira" xr:uid="{333B20B0-04AB-4163-AD7C-6B998F3F3A52}"/>
    <hyperlink ref="A43" r:id="rId12" display="[ANP-27241] Analysis of ANP-27238: EFT data is missing with autocommit = false in the tim config - Jira" xr:uid="{A910AB63-A5C5-463D-A997-321D6B4A96F3}"/>
    <hyperlink ref="A44" r:id="rId13" display="[ANP-27565] Pick Till Application Test 19941 and 19414 to Version 4.7 - Jira" xr:uid="{1CC62169-4C7E-428F-B065-F38F4CA3219E}"/>
    <hyperlink ref="A47" r:id="rId14" display="[ANP-27564] Analysis of ANP-24330: POS3 - CHOP - NCR 7199 PinPrinting not correct - Jira" xr:uid="{881D07C0-57D7-4241-A1DD-4EA27FD9DF4F}"/>
    <hyperlink ref="A48" r:id="rId15" display="[ANP-27521] analyse debug-info shortcut script for inclusion of multilane logs from var/log/newposs - Jira" xr:uid="{5E329D73-108B-46E9-B766-534B8A428E92}"/>
    <hyperlink ref="A49" r:id="rId16" display="[ANP-26706] check if refactoring for getHighestPiorityState is needed - Jira" xr:uid="{BF6E5DE0-689A-4E74-B7B7-D8261ADCB6B0}"/>
    <hyperlink ref="A50" r:id="rId17" display="[ANP-26704] [SPIKE] Multilane Mock improvement for application tests - Jira" xr:uid="{7EA85861-6032-460E-9A85-2A758C061A93}"/>
    <hyperlink ref="A45" r:id="rId18" display="[ANP-27238] EFT data is missing with autocommit = false in the tim config - Jira" xr:uid="{29D7E0E6-AE46-4275-9DAD-55D732047A85}"/>
    <hyperlink ref="A69" r:id="rId19" xr:uid="{FBD15FCC-53B2-4E5B-92B3-B1573502F6A0}"/>
    <hyperlink ref="B69" r:id="rId20" xr:uid="{B56E570E-FA78-4140-A62B-C0ED9DC2EB29}"/>
    <hyperlink ref="A70" r:id="rId21" xr:uid="{4A6E258E-B172-4BE3-884E-782C5AAC8E16}"/>
    <hyperlink ref="B70" r:id="rId22" xr:uid="{C3832739-D395-4202-A8DA-7D6EC3C8FD66}"/>
    <hyperlink ref="A71" r:id="rId23" xr:uid="{D43F33C0-34D5-4033-B344-36AEA62E7620}"/>
    <hyperlink ref="B71" r:id="rId24" xr:uid="{29319597-8C05-4A06-BF30-3AD5CB46749B}"/>
    <hyperlink ref="A72" r:id="rId25" xr:uid="{D5E623FD-FB06-4201-8645-7E71A9EC7B8C}"/>
    <hyperlink ref="B72" r:id="rId26" xr:uid="{64FF3A3B-5BC4-40AE-A935-AF03A4680039}"/>
    <hyperlink ref="A73" r:id="rId27" xr:uid="{70D2D5EC-8839-4DD8-B7F5-C26FAB37EF60}"/>
    <hyperlink ref="B73" r:id="rId28" xr:uid="{3EB55B80-F171-4E08-B907-E25ABF31E87E}"/>
    <hyperlink ref="A74" r:id="rId29" xr:uid="{6317F72B-0926-4253-86B9-302D4F1D5B96}"/>
    <hyperlink ref="B74" r:id="rId30" xr:uid="{53A3383D-0A2A-4C78-9AD0-6E5CFC1A5235}"/>
    <hyperlink ref="A75" r:id="rId31" xr:uid="{EF477383-803D-457F-8BDC-5EDFCC475997}"/>
    <hyperlink ref="B75" r:id="rId32" xr:uid="{A46E5184-4DEC-4AEE-815B-FDC71A10B55F}"/>
    <hyperlink ref="A76" r:id="rId33" xr:uid="{04A6DB2D-7D36-4789-B3DA-194FD5DF23E2}"/>
    <hyperlink ref="B76" r:id="rId34" xr:uid="{93B489D8-06AF-4B5D-92C7-372D0D78EE23}"/>
    <hyperlink ref="A77" r:id="rId35" xr:uid="{F4AD56C5-973A-4A80-9876-89B2C8C1B9EB}"/>
    <hyperlink ref="B77" r:id="rId36" xr:uid="{F5021324-9F8D-48BD-909D-97A0C8DE39A5}"/>
    <hyperlink ref="A78" r:id="rId37" xr:uid="{E7C65F17-6AAF-4DE7-AD9C-76103D60D74F}"/>
    <hyperlink ref="B78" r:id="rId38" xr:uid="{C3B17793-B114-435A-B48C-21CC382FC2DE}"/>
    <hyperlink ref="A79" r:id="rId39" xr:uid="{F45CA8EC-193F-46D3-A5B3-154D88826590}"/>
    <hyperlink ref="B79" r:id="rId40" xr:uid="{1CC07973-19B9-465A-B4DE-D77EFC3BC7F1}"/>
    <hyperlink ref="A80" r:id="rId41" xr:uid="{52AA933F-6718-456B-8A53-3213E97B65F3}"/>
    <hyperlink ref="B80" r:id="rId42" xr:uid="{E8D2FA1C-6C14-458D-B45A-143DC95EBFDA}"/>
    <hyperlink ref="A81" r:id="rId43" xr:uid="{F3157E4E-9C1F-4450-BB5D-62AF3171F8FC}"/>
    <hyperlink ref="B81" r:id="rId44" xr:uid="{287D2D50-8E12-4022-BCE9-E126A8249A27}"/>
    <hyperlink ref="A82" r:id="rId45" xr:uid="{4DF3C020-FD33-41E6-AD21-B6915E979377}"/>
    <hyperlink ref="B82" r:id="rId46" xr:uid="{00B9E995-C586-49BE-94AA-70BB3E4E8293}"/>
    <hyperlink ref="A83" r:id="rId47" xr:uid="{D23524E8-13AB-44DA-AAFF-B45F5E2EC706}"/>
    <hyperlink ref="B83" r:id="rId48" xr:uid="{1F96275B-AE08-4225-9BF6-BA13E61EA824}"/>
    <hyperlink ref="A46" r:id="rId49" display="[ANP-27669] [UK] Integrate POS Core for OPI boolean fix - Jira" xr:uid="{7CA6A7B7-3849-452C-B69B-174165F9C1EA}"/>
    <hyperlink ref="A84" r:id="rId50" display="https://aldi-sued.atlassian.net/browse/ANP-27490" xr:uid="{8DC7E6B2-1B2B-4CF1-A2A5-8C19809EBD6F}"/>
    <hyperlink ref="B84" r:id="rId51" display="https://aldi-sued.atlassian.net/browse/ANP-27490" xr:uid="{BD691178-5574-46A0-BE67-84F017F135B8}"/>
    <hyperlink ref="G84" r:id="rId52" display="https://aldi-sued.atlassian.net/issues/?jql=cf%5B12600%5D%20%3D%20%22Checkout_Base%22" xr:uid="{B820F4C2-217E-4EE5-807A-572E40622C91}"/>
    <hyperlink ref="A85" r:id="rId53" display="https://aldi-sued.atlassian.net/browse/ANP-27678" xr:uid="{F52E4EAD-6419-4F3A-B16E-059DE7F2BD47}"/>
    <hyperlink ref="B85" r:id="rId54" display="https://aldi-sued.atlassian.net/browse/ANP-27678" xr:uid="{687E04A9-2022-4EC8-A279-38D06E4A4DB2}"/>
    <hyperlink ref="A86" r:id="rId55" display="https://aldi-sued.atlassian.net/browse/ANP-27468" xr:uid="{5461FBB8-CF03-48F6-B279-9F09B4224EC3}"/>
    <hyperlink ref="B86" r:id="rId56" display="https://aldi-sued.atlassian.net/browse/ANP-27468" xr:uid="{AE3EC6E5-F665-4EB9-B740-42FE4E067088}"/>
    <hyperlink ref="A87" r:id="rId57" display="https://aldi-sued.atlassian.net/browse/ANP-27559" xr:uid="{25638695-D445-4A10-948B-21F0C3226DD9}"/>
    <hyperlink ref="B87" r:id="rId58" display="https://aldi-sued.atlassian.net/browse/ANP-27559" xr:uid="{0A87859F-CDE1-495D-A7C9-EB22FA8E20B3}"/>
    <hyperlink ref="A88" r:id="rId59" display="https://aldi-sued.atlassian.net/browse/ANP-27138" xr:uid="{37864C91-D8E8-42C1-8725-86F5CA8A7810}"/>
    <hyperlink ref="B88" r:id="rId60" display="https://aldi-sued.atlassian.net/browse/ANP-27138" xr:uid="{886A9B93-E50B-4649-9E2B-8D76655F1086}"/>
    <hyperlink ref="A89" r:id="rId61" display="https://aldi-sued.atlassian.net/browse/ANP-27230" xr:uid="{F9DBA87B-AD5B-4F87-8DF8-5AF04722B169}"/>
    <hyperlink ref="B89" r:id="rId62" display="https://aldi-sued.atlassian.net/browse/ANP-27230" xr:uid="{2818078D-9393-4209-949A-F3A63A3B5949}"/>
    <hyperlink ref="A90" r:id="rId63" display="https://aldi-sued.atlassian.net/browse/ANP-27221" xr:uid="{023B62A7-FC4D-4D97-988F-8FAEECC74E70}"/>
    <hyperlink ref="B90" r:id="rId64" display="https://aldi-sued.atlassian.net/browse/ANP-27221" xr:uid="{D809293B-89D0-4A7F-9B14-8CA0C580075F}"/>
    <hyperlink ref="A91" r:id="rId65" display="https://aldi-sued.atlassian.net/browse/ANP-27466" xr:uid="{F5806926-A7E3-430C-9565-27A2FC0778F4}"/>
    <hyperlink ref="B91" r:id="rId66" display="https://aldi-sued.atlassian.net/browse/ANP-27466" xr:uid="{AC8A5B95-F5AD-4C51-B855-6D9F924341D2}"/>
    <hyperlink ref="A92" r:id="rId67" display="https://aldi-sued.atlassian.net/browse/ANP-27424" xr:uid="{5274359E-556F-4687-A960-91F9FF655E87}"/>
    <hyperlink ref="B92" r:id="rId68" display="https://aldi-sued.atlassian.net/browse/ANP-27424" xr:uid="{97F79C37-7C80-4502-BFE7-38D35CAE5E79}"/>
    <hyperlink ref="A93" r:id="rId69" display="https://aldi-sued.atlassian.net/browse/ANP-27471" xr:uid="{E2B7BBEB-0FCE-49C5-BA4F-F7DF73A40BBF}"/>
    <hyperlink ref="B93" r:id="rId70" display="https://aldi-sued.atlassian.net/browse/ANP-27471" xr:uid="{A1A93292-4E67-44D0-BF6A-0C50959C24E7}"/>
    <hyperlink ref="A94" r:id="rId71" display="https://aldi-sued.atlassian.net/browse/ANP-27472" xr:uid="{9031A75B-94A1-489E-AD5A-D5CE785E2B80}"/>
    <hyperlink ref="B94" r:id="rId72" display="https://aldi-sued.atlassian.net/browse/ANP-27472" xr:uid="{0EC024FC-D290-446B-92F8-ED8EBCF2B926}"/>
    <hyperlink ref="A95" r:id="rId73" display="https://aldi-sued.atlassian.net/browse/ANP-26752" xr:uid="{D6269261-7474-4B35-A835-CE56E6F85833}"/>
    <hyperlink ref="B95" r:id="rId74" display="https://aldi-sued.atlassian.net/browse/ANP-26752" xr:uid="{84B2688D-14B5-4582-BFEA-CE05D8B9DBD4}"/>
    <hyperlink ref="A96" r:id="rId75" display="https://aldi-sued.atlassian.net/browse/ANP-26423" xr:uid="{110A59F7-A468-4207-BB3E-1B22C962FCFF}"/>
    <hyperlink ref="B96" r:id="rId76" display="https://aldi-sued.atlassian.net/browse/ANP-26423" xr:uid="{F6E94946-1479-4549-96E8-38B1CE445829}"/>
    <hyperlink ref="A97" r:id="rId77" display="https://aldi-sued.atlassian.net/browse/ANP-26978" xr:uid="{A9321F94-72CB-4E1A-98FF-AA3C2CAA6A9D}"/>
    <hyperlink ref="B97" r:id="rId78" display="https://aldi-sued.atlassian.net/browse/ANP-26978" xr:uid="{168B7162-8FC1-4EBA-8D8D-7C82D0CFBD42}"/>
    <hyperlink ref="A98" r:id="rId79" display="https://aldi-sued.atlassian.net/browse/ANP-26961" xr:uid="{3D0F3B45-F30E-42F4-8C2F-1A7CA05EE59B}"/>
    <hyperlink ref="B98" r:id="rId80" display="https://aldi-sued.atlassian.net/browse/ANP-26961" xr:uid="{8FC4B1D5-F6C3-4737-9F3A-D2BDBA491E4D}"/>
    <hyperlink ref="A99" r:id="rId81" display="https://aldi-sued.atlassian.net/browse/ANP-26889" xr:uid="{DBE4D831-2DDC-4AE4-8BB6-F58DD7089D42}"/>
    <hyperlink ref="B99" r:id="rId82" display="https://aldi-sued.atlassian.net/browse/ANP-26889" xr:uid="{E9F47D22-63E3-4E33-9A50-C4A0446A7F51}"/>
    <hyperlink ref="A100" r:id="rId83" display="https://aldi-sued.atlassian.net/browse/ANP-27172" xr:uid="{057D876B-F6DE-48F9-A15D-D782FDDF9C4B}"/>
    <hyperlink ref="B100" r:id="rId84" display="https://aldi-sued.atlassian.net/browse/ANP-27172" xr:uid="{3F2E4275-1768-448A-B38E-E084070F1ECB}"/>
    <hyperlink ref="A101" r:id="rId85" display="https://aldi-sued.atlassian.net/browse/ANP-27175" xr:uid="{3226592F-81DB-4A5A-A961-FF6C26D33B8C}"/>
    <hyperlink ref="B101" r:id="rId86" display="https://aldi-sued.atlassian.net/browse/ANP-27175" xr:uid="{6ECCB050-BD30-4B21-8C2A-677D398E0F7C}"/>
    <hyperlink ref="A102" r:id="rId87" display="https://aldi-sued.atlassian.net/browse/ANP-27196" xr:uid="{DFE9BC5F-252E-4BAA-9070-35D3BBE449D9}"/>
    <hyperlink ref="B102" r:id="rId88" display="https://aldi-sued.atlassian.net/browse/ANP-27196" xr:uid="{492719B1-4166-458B-907B-E39915A81093}"/>
    <hyperlink ref="A103" r:id="rId89" display="https://aldi-sued.atlassian.net/browse/ANP-27064" xr:uid="{933CCAAD-D780-4DC2-B6A2-C12DDB424558}"/>
    <hyperlink ref="B103" r:id="rId90" display="https://aldi-sued.atlassian.net/browse/ANP-27064" xr:uid="{27892CB9-78D9-47E2-A19E-1C30B7D4C071}"/>
    <hyperlink ref="A104" r:id="rId91" display="https://aldi-sued.atlassian.net/browse/ANP-27413" xr:uid="{D3CE1706-12EC-439B-A3D4-5D27523D7A31}"/>
    <hyperlink ref="B104" r:id="rId92" display="https://aldi-sued.atlassian.net/browse/ANP-27413" xr:uid="{79576E04-2927-4A1F-BB2A-83A5BA03E4DD}"/>
    <hyperlink ref="A105" r:id="rId93" display="https://aldi-sued.atlassian.net/browse/ANP-27483" xr:uid="{50324585-F19B-44DF-B667-646B08C21FE1}"/>
    <hyperlink ref="B105" r:id="rId94" display="https://aldi-sued.atlassian.net/browse/ANP-27483" xr:uid="{2DFADEA3-1B2A-4C7E-9AD2-EC2D2DB9EA85}"/>
    <hyperlink ref="G85:G105" r:id="rId95" display="https://aldi-sued.atlassian.net/issues/?jql=cf%5B12600%5D%20%3D%20%22Checkout_Base%22" xr:uid="{34A8D3BA-23BD-41B6-A79D-7D2E342BF1B1}"/>
    <hyperlink ref="A137" r:id="rId96" display="https://aldi-sued.atlassian.net/browse/ANP-25637" xr:uid="{BE27F015-CFC7-43A1-A4F4-C82984017107}"/>
    <hyperlink ref="B137" r:id="rId97" display="https://aldi-sued.atlassian.net/browse/ANP-25637" xr:uid="{26856E6E-8819-4F9E-9DAD-99D234E336A3}"/>
    <hyperlink ref="A138" r:id="rId98" display="https://aldi-sued.atlassian.net/browse/ANP-25832" xr:uid="{5CDD4CD6-C3C3-4FB3-A2E9-0655FB293AF6}"/>
    <hyperlink ref="B138" r:id="rId99" display="https://aldi-sued.atlassian.net/browse/ANP-25832" xr:uid="{B37080AC-EA9E-4C08-A4DB-1DD3F536236C}"/>
    <hyperlink ref="A139" r:id="rId100" display="https://aldi-sued.atlassian.net/browse/ANP-26502" xr:uid="{5749E97C-8EAE-48CB-85CF-FEB8D70F715D}"/>
    <hyperlink ref="B139" r:id="rId101" display="https://aldi-sued.atlassian.net/browse/ANP-26502" xr:uid="{0804DC1A-4326-4060-89BD-9F07BEB42F29}"/>
    <hyperlink ref="A140" r:id="rId102" display="https://aldi-sued.atlassian.net/browse/ANP-26295" xr:uid="{C213B898-A430-4A78-9D76-2D75F868C1F6}"/>
    <hyperlink ref="B140" r:id="rId103" display="https://aldi-sued.atlassian.net/browse/ANP-26295" xr:uid="{8EDB8FEA-0372-4FE1-B581-09B8767AA0A2}"/>
    <hyperlink ref="A141" r:id="rId104" display="https://aldi-sued.atlassian.net/browse/ANP-25776" xr:uid="{AD316762-7DA8-4291-91FC-8F0B3E51AFF6}"/>
    <hyperlink ref="B141" r:id="rId105" display="https://aldi-sued.atlassian.net/browse/ANP-25776" xr:uid="{5B3544C8-4ADA-4642-89BD-987751BACC52}"/>
    <hyperlink ref="A142" r:id="rId106" display="https://aldi-sued.atlassian.net/browse/ANP-26771" xr:uid="{00F8140C-85EB-4CE0-97ED-543E3550DAE6}"/>
    <hyperlink ref="B142" r:id="rId107" display="https://aldi-sued.atlassian.net/browse/ANP-26771" xr:uid="{B5CE5B7E-04D1-4C82-BC5E-11410130A2AC}"/>
    <hyperlink ref="A143" r:id="rId108" display="https://aldi-sued.atlassian.net/browse/ANP-26715" xr:uid="{BD7279B9-BEFE-458A-898E-C130ADE7B0B4}"/>
    <hyperlink ref="B143" r:id="rId109" display="https://aldi-sued.atlassian.net/browse/ANP-26715" xr:uid="{1C2A4E4F-C54D-46AE-BF47-78DB862E0CE3}"/>
    <hyperlink ref="A144" r:id="rId110" display="https://aldi-sued.atlassian.net/browse/ANP-26450" xr:uid="{A941305E-A2C9-4442-A724-861F60C88DC9}"/>
    <hyperlink ref="B144" r:id="rId111" display="https://aldi-sued.atlassian.net/browse/ANP-26450" xr:uid="{D74817E2-B18E-4A49-9458-FB6E0129AD17}"/>
    <hyperlink ref="A145" r:id="rId112" display="https://aldi-sued.atlassian.net/browse/ANP-26891" xr:uid="{474D4A93-C76C-4A9E-BE06-C60F85509B01}"/>
    <hyperlink ref="B145" r:id="rId113" display="https://aldi-sued.atlassian.net/browse/ANP-26891" xr:uid="{A22A3A1D-FF8E-4E9E-982D-873B7E031BD9}"/>
    <hyperlink ref="A146" r:id="rId114" display="https://aldi-sued.atlassian.net/browse/ANP-25831" xr:uid="{88756CBB-C89A-45B4-AE72-94B7E0257348}"/>
    <hyperlink ref="B146" r:id="rId115" display="https://aldi-sued.atlassian.net/browse/ANP-25831" xr:uid="{1D64BF0E-8C2D-4D25-9D48-2327B1DE811B}"/>
    <hyperlink ref="A147" r:id="rId116" display="https://aldi-sued.atlassian.net/browse/ANP-26893" xr:uid="{484BD872-C189-412A-9C14-3DC7D2CD10A9}"/>
    <hyperlink ref="B147" r:id="rId117" display="https://aldi-sued.atlassian.net/browse/ANP-26893" xr:uid="{ADBAE503-5D54-4096-8C4F-70173BAE7D0E}"/>
    <hyperlink ref="A148" r:id="rId118" display="https://aldi-sued.atlassian.net/browse/ANP-25834" xr:uid="{A7DAE67A-1B51-4264-B05E-CFEFC8EAF84F}"/>
    <hyperlink ref="B148" r:id="rId119" display="https://aldi-sued.atlassian.net/browse/ANP-25834" xr:uid="{5AC3169A-33C6-4D90-964D-B6F69EF6554C}"/>
    <hyperlink ref="A149" r:id="rId120" display="https://aldi-sued.atlassian.net/browse/ANP-25627" xr:uid="{F415C11E-7B16-43AD-98CA-F22F2EFDE4F4}"/>
    <hyperlink ref="B149" r:id="rId121" display="https://aldi-sued.atlassian.net/browse/ANP-25627" xr:uid="{3E064300-8F34-4F4A-B054-D5FF1BF4A9EC}"/>
    <hyperlink ref="A150" r:id="rId122" display="https://aldi-sued.atlassian.net/browse/ANP-25824" xr:uid="{4876210F-6568-48F1-AD25-33F2AB7C666E}"/>
    <hyperlink ref="B150" r:id="rId123" display="https://aldi-sued.atlassian.net/browse/ANP-25824" xr:uid="{77FD3B31-0478-48DD-A953-0F67C9394DA3}"/>
    <hyperlink ref="A151" r:id="rId124" display="https://aldi-sued.atlassian.net/browse/ANP-26892" xr:uid="{B4A8657C-49FD-46BD-94B5-25C7D25178FF}"/>
    <hyperlink ref="B151" r:id="rId125" display="https://aldi-sued.atlassian.net/browse/ANP-26892" xr:uid="{DBACAB51-C56A-446A-AE3F-60E8400D589C}"/>
    <hyperlink ref="A152" r:id="rId126" display="https://aldi-sued.atlassian.net/browse/ANP-25987" xr:uid="{1DBBB908-E140-4076-BF90-BE8E927A0DC7}"/>
    <hyperlink ref="B152" r:id="rId127" display="https://aldi-sued.atlassian.net/browse/ANP-25987" xr:uid="{0947B04C-BE3A-47BF-A448-7D5A03C092E2}"/>
    <hyperlink ref="A153" r:id="rId128" display="https://aldi-sued.atlassian.net/browse/ANP-26746" xr:uid="{7126A8B0-6C29-4925-A4C2-61DCBB3F0DD4}"/>
    <hyperlink ref="B153" r:id="rId129" display="https://aldi-sued.atlassian.net/browse/ANP-26746" xr:uid="{FDBF0E52-47B3-45E8-BCD3-C7583C043703}"/>
    <hyperlink ref="A154" r:id="rId130" display="https://aldi-sued.atlassian.net/browse/ANP-25386" xr:uid="{B60D4676-2F38-4634-923B-55D5600CDED7}"/>
    <hyperlink ref="B154" r:id="rId131" display="https://aldi-sued.atlassian.net/browse/ANP-25386" xr:uid="{EA031718-095A-496B-9EEF-B9E0E7B3091D}"/>
    <hyperlink ref="A155" r:id="rId132" display="https://aldi-sued.atlassian.net/browse/ANP-25915" xr:uid="{07299740-CE9B-4C0F-8C31-84D295B8185F}"/>
    <hyperlink ref="B155" r:id="rId133" display="https://aldi-sued.atlassian.net/browse/ANP-25915" xr:uid="{36B651CD-CB8D-4A55-A217-0D5DAAE89FFD}"/>
    <hyperlink ref="A156" r:id="rId134" display="https://aldi-sued.atlassian.net/browse/ANP-27538" xr:uid="{077357AC-4801-4180-9050-E187C0A009A3}"/>
    <hyperlink ref="B156" r:id="rId135" display="https://aldi-sued.atlassian.net/browse/ANP-27538" xr:uid="{D01A4A05-B5B2-4A3A-A0F1-362F87107B58}"/>
    <hyperlink ref="A157" r:id="rId136" display="https://aldi-sued.atlassian.net/browse/ANP-27187" xr:uid="{044A405E-3EC1-475B-81F4-E4D4B4E9074E}"/>
    <hyperlink ref="B157" r:id="rId137" display="https://aldi-sued.atlassian.net/browse/ANP-27187" xr:uid="{4FFDEB3D-6378-4ED9-909C-F402058BA811}"/>
    <hyperlink ref="A158" r:id="rId138" display="https://aldi-sued.atlassian.net/browse/ANP-27184" xr:uid="{82A8D0F2-04F6-4AAA-AA4D-94421ABB7F5D}"/>
    <hyperlink ref="B158" r:id="rId139" display="https://aldi-sued.atlassian.net/browse/ANP-27184" xr:uid="{8AAF8DDB-CC9E-4EA1-9E19-0095B0F3B555}"/>
    <hyperlink ref="A159" r:id="rId140" display="https://aldi-sued.atlassian.net/browse/ANP-27555" xr:uid="{B805AEF3-7828-4787-9E2E-6BCFFC6BD153}"/>
    <hyperlink ref="B159" r:id="rId141" display="https://aldi-sued.atlassian.net/browse/ANP-27555" xr:uid="{64DEB13B-D9AA-42AD-8B79-BF36941152D5}"/>
    <hyperlink ref="A160" r:id="rId142" display="https://aldi-sued.atlassian.net/browse/ANP-27554" xr:uid="{B2B3ACF0-3139-4CDB-ADA0-49F759D889E9}"/>
    <hyperlink ref="B160" r:id="rId143" display="https://aldi-sued.atlassian.net/browse/ANP-27554" xr:uid="{6A41E4E4-3655-4F7C-A675-03EA98249AF7}"/>
    <hyperlink ref="A161" r:id="rId144" display="https://aldi-sued.atlassian.net/browse/ANP-27556" xr:uid="{348D8532-361F-4EB3-82FD-BF112A4C1CF3}"/>
    <hyperlink ref="B161" r:id="rId145" display="https://aldi-sued.atlassian.net/browse/ANP-27556" xr:uid="{EC6BED11-6CE4-467A-AFB4-73F7BC056CF9}"/>
    <hyperlink ref="A162" r:id="rId146" display="https://aldi-sued.atlassian.net/browse/ANP-27557" xr:uid="{6A229D96-171D-49D1-9FF8-214853010878}"/>
    <hyperlink ref="B162" r:id="rId147" display="https://aldi-sued.atlassian.net/browse/ANP-27557" xr:uid="{A6FC7786-6769-499B-8049-5EB28FA2A533}"/>
    <hyperlink ref="A163" r:id="rId148" display="https://aldi-sued.atlassian.net/browse/ANP-25461" xr:uid="{70DF5C5A-F05D-4440-A9D5-1D60E5A4CBDD}"/>
    <hyperlink ref="B163" r:id="rId149" display="https://aldi-sued.atlassian.net/browse/ANP-25461" xr:uid="{2BBB2783-4F87-47D7-B565-15DFBD376AFB}"/>
    <hyperlink ref="A164" r:id="rId150" display="https://aldi-sued.atlassian.net/browse/ANP-26798" xr:uid="{682C9A29-4E04-4FB1-958A-247697051A3D}"/>
    <hyperlink ref="B164" r:id="rId151" display="https://aldi-sued.atlassian.net/browse/ANP-26798" xr:uid="{DEE85817-C9AE-491E-A13A-26EB8109D7A9}"/>
    <hyperlink ref="A165" r:id="rId152" display="https://aldi-sued.atlassian.net/browse/ANP-26774" xr:uid="{53EF9908-772F-4CD0-A688-A52BD60FBE2A}"/>
    <hyperlink ref="B165" r:id="rId153" display="https://aldi-sued.atlassian.net/browse/ANP-26774" xr:uid="{1F3A7C45-7FBF-4801-83F0-9A7638FE84FB}"/>
    <hyperlink ref="A166" r:id="rId154" display="https://aldi-sued.atlassian.net/browse/ANP-26794" xr:uid="{AD5E6313-C80B-4C4E-9347-CD0B8BC74FC0}"/>
    <hyperlink ref="B166" r:id="rId155" display="https://aldi-sued.atlassian.net/browse/ANP-26794" xr:uid="{C6305DA6-C1C1-423D-B7E4-BDCF2FE1D9A2}"/>
    <hyperlink ref="A167" r:id="rId156" display="https://aldi-sued.atlassian.net/browse/ANP-26105" xr:uid="{D02EA1B7-C07D-4A38-9347-286D26581851}"/>
    <hyperlink ref="B167" r:id="rId157" display="https://aldi-sued.atlassian.net/browse/ANP-26105" xr:uid="{0CC511DD-EBC5-48EF-8939-56A924EE1516}"/>
    <hyperlink ref="A168" r:id="rId158" display="https://aldi-sued.atlassian.net/browse/NPSCO-20626" xr:uid="{80223C16-FF13-4B81-BD5E-9453DE804E27}"/>
    <hyperlink ref="B168" r:id="rId159" display="https://aldi-sued.atlassian.net/browse/NPSCO-20626" xr:uid="{31CF820A-5E0F-43D3-A119-7E983570FEB1}"/>
    <hyperlink ref="A169" r:id="rId160" display="https://aldi-sued.atlassian.net/browse/NPSCO-19395" xr:uid="{83641C3D-80EE-4518-B093-45E7209D61EF}"/>
    <hyperlink ref="B169" r:id="rId161" display="https://aldi-sued.atlassian.net/browse/NPSCO-19395" xr:uid="{18027F77-EC62-40C9-A9FC-A06A5D9BCC56}"/>
    <hyperlink ref="A170" r:id="rId162" display="https://aldi-sued.atlassian.net/browse/NPSCO-19728" xr:uid="{F8BADE31-94E6-46E1-989C-D0EC76848543}"/>
    <hyperlink ref="B170" r:id="rId163" display="https://aldi-sued.atlassian.net/browse/NPSCO-19728" xr:uid="{C14C1282-05FE-4C0D-A0BC-ED54B72EE784}"/>
    <hyperlink ref="A171" r:id="rId164" display="https://aldi-sued.atlassian.net/browse/NPSCO-19917" xr:uid="{F4E16EBB-ADA6-4375-803E-723B792F4DBD}"/>
    <hyperlink ref="B171" r:id="rId165" display="https://aldi-sued.atlassian.net/browse/NPSCO-19917" xr:uid="{FD524559-ED4C-4D80-955C-B4A98B649C75}"/>
    <hyperlink ref="A172" r:id="rId166" display="https://aldi-sued.atlassian.net/browse/NPSCO-20365" xr:uid="{F206B42E-4CEC-4E7E-87E1-A1615FA81558}"/>
    <hyperlink ref="B172" r:id="rId167" display="https://aldi-sued.atlassian.net/browse/NPSCO-20365" xr:uid="{F12840E4-2D04-4810-804F-518ECFC26274}"/>
    <hyperlink ref="A173" r:id="rId168" display="https://aldi-sued.atlassian.net/browse/NPSCO-20569" xr:uid="{3100BDCD-1E3A-413D-AAEE-94028F3F93F1}"/>
    <hyperlink ref="B173" r:id="rId169" display="https://aldi-sued.atlassian.net/browse/NPSCO-20569" xr:uid="{3C23B93B-6210-4095-BDFE-711469314E33}"/>
    <hyperlink ref="A174" r:id="rId170" display="https://aldi-sued.atlassian.net/browse/NPSCO-15234" xr:uid="{D2C535E6-3DB7-409B-AD63-8CF6F0610B1D}"/>
    <hyperlink ref="B174" r:id="rId171" display="https://aldi-sued.atlassian.net/browse/NPSCO-15234" xr:uid="{6045D46B-680E-48DF-BBB6-CFA43F534FBE}"/>
    <hyperlink ref="A175" r:id="rId172" display="https://aldi-sued.atlassian.net/browse/NPSCO-17559" xr:uid="{B4D883C1-3B43-4F70-A2F5-984E40D96A4E}"/>
    <hyperlink ref="B175" r:id="rId173" display="https://aldi-sued.atlassian.net/browse/NPSCO-17559" xr:uid="{26583DC8-42B5-47AD-93B8-BA634950E0A1}"/>
    <hyperlink ref="A176" r:id="rId174" display="https://aldi-sued.atlassian.net/browse/NPSCO-20127" xr:uid="{CF9B4721-224B-47A2-A06B-0F22CC3504A1}"/>
    <hyperlink ref="B176" r:id="rId175" display="https://aldi-sued.atlassian.net/browse/NPSCO-20127" xr:uid="{5EC14E77-3DF9-41C3-9CF9-FCF233165469}"/>
    <hyperlink ref="A177" r:id="rId176" display="https://aldi-sued.atlassian.net/browse/NPSCO-19998" xr:uid="{AB4C1750-EB91-47A1-A7AE-9E362074FC32}"/>
    <hyperlink ref="B177" r:id="rId177" display="https://aldi-sued.atlassian.net/browse/NPSCO-19998" xr:uid="{9911183C-FBCD-415C-BE29-72B0A79207CF}"/>
    <hyperlink ref="A178" r:id="rId178" display="https://aldi-sued.atlassian.net/browse/NPSCO-18835" xr:uid="{B5096477-1F61-485D-AC8F-81CF7D35D011}"/>
    <hyperlink ref="B178" r:id="rId179" display="https://aldi-sued.atlassian.net/browse/NPSCO-18835" xr:uid="{850B7829-5EAC-4B7D-BD58-37B708EFCBB0}"/>
    <hyperlink ref="A179" r:id="rId180" display="https://aldi-sued.atlassian.net/browse/NPSCO-17408" xr:uid="{DF0A2D44-F2B6-486E-974F-784C81341B63}"/>
    <hyperlink ref="B179" r:id="rId181" display="https://aldi-sued.atlassian.net/browse/NPSCO-17408" xr:uid="{EE34ABDB-9AE0-4A0E-8532-8487FC01CEB7}"/>
    <hyperlink ref="A180" r:id="rId182" display="https://aldi-sued.atlassian.net/browse/NPSCO-20318" xr:uid="{B438E1EC-459F-4C4A-BCD5-91A900DE3712}"/>
    <hyperlink ref="B180" r:id="rId183" display="https://aldi-sued.atlassian.net/browse/NPSCO-20318" xr:uid="{8A5E5518-512C-4EB0-B59E-F91AEB4C81E9}"/>
    <hyperlink ref="A181" r:id="rId184" display="https://aldi-sued.atlassian.net/browse/NPSCO-20459" xr:uid="{1F04D995-D4A3-4A18-8E26-AC46F6BF2CE6}"/>
    <hyperlink ref="B181" r:id="rId185" display="https://aldi-sued.atlassian.net/browse/NPSCO-20459" xr:uid="{E8599569-9DAE-4C84-BE78-579F2F1F1B9A}"/>
    <hyperlink ref="A182" r:id="rId186" display="https://aldi-sued.atlassian.net/browse/NPSCO-20465" xr:uid="{CBA5FDC6-1F3B-4529-BC04-431A5CAC90D8}"/>
    <hyperlink ref="B182" r:id="rId187" display="https://aldi-sued.atlassian.net/browse/NPSCO-20465" xr:uid="{4ACCBCD9-A28E-4438-82D1-CAF0DF46C01A}"/>
    <hyperlink ref="A183" r:id="rId188" display="https://aldi-sued.atlassian.net/browse/NPSCO-19202" xr:uid="{A8A93C01-B3AD-4877-B318-F8C9EB65B505}"/>
    <hyperlink ref="B183" r:id="rId189" display="https://aldi-sued.atlassian.net/browse/NPSCO-19202" xr:uid="{1B8D0B45-4882-4BB3-BF74-5499D020F3B4}"/>
    <hyperlink ref="A184" r:id="rId190" display="https://aldi-sued.atlassian.net/browse/NPSCO-15567" xr:uid="{B6FBCFE1-12A0-4882-8A0D-074AB8ADFE57}"/>
    <hyperlink ref="B184" r:id="rId191" display="https://aldi-sued.atlassian.net/browse/NPSCO-15567" xr:uid="{10C2B641-8749-4DD5-849D-87693FDC98F2}"/>
    <hyperlink ref="A185" r:id="rId192" display="https://aldi-sued.atlassian.net/browse/NPSCO-20672" xr:uid="{30743693-7C33-4D15-B460-7C2E8CAD8F72}"/>
    <hyperlink ref="B185" r:id="rId193" display="https://aldi-sued.atlassian.net/browse/NPSCO-20672" xr:uid="{9E0889A9-0BC2-43F7-B491-47C5EFA6C22E}"/>
    <hyperlink ref="A186" r:id="rId194" display="https://aldi-sued.atlassian.net/browse/NPSCO-20814" xr:uid="{527516F0-F9A3-4B84-A48B-180B27719E91}"/>
    <hyperlink ref="B186" r:id="rId195" display="https://aldi-sued.atlassian.net/browse/NPSCO-20814" xr:uid="{F75CDBC0-8E91-4C95-8E57-7564DADA832A}"/>
    <hyperlink ref="A187" r:id="rId196" display="https://aldi-sued.atlassian.net/browse/NPSCO-20363" xr:uid="{90CCBB96-6417-453A-9E82-2CDA0920C3EB}"/>
    <hyperlink ref="B187" r:id="rId197" display="https://aldi-sued.atlassian.net/browse/NPSCO-20363" xr:uid="{9075EC62-FEE2-4550-A31C-54F98D89AECD}"/>
    <hyperlink ref="A188" r:id="rId198" display="https://aldi-sued.atlassian.net/browse/NPSCO-20806" xr:uid="{3ADAFBBF-EA6B-45B4-AA2C-5AE987F423CA}"/>
    <hyperlink ref="B188" r:id="rId199" display="https://aldi-sued.atlassian.net/browse/NPSCO-20806" xr:uid="{03D393E8-36F9-4793-9BD9-85B3146015EA}"/>
    <hyperlink ref="A189" r:id="rId200" display="https://aldi-sued.atlassian.net/browse/NPSCO-21016" xr:uid="{9ECC5EEF-842B-468B-9DEC-CF5234D16F62}"/>
    <hyperlink ref="B189" r:id="rId201" display="https://aldi-sued.atlassian.net/browse/NPSCO-21016" xr:uid="{D918772A-4C5E-4D36-BE8A-428EB87B93C5}"/>
    <hyperlink ref="A190" r:id="rId202" display="https://aldi-sued.atlassian.net/browse/NPSCO-21023" xr:uid="{529DA04F-66FB-49C9-8A83-7E592B5DFCC8}"/>
    <hyperlink ref="B190" r:id="rId203" display="https://aldi-sued.atlassian.net/browse/NPSCO-21023" xr:uid="{7952C76D-3AAA-40F3-A33C-23322D44329D}"/>
    <hyperlink ref="A191" r:id="rId204" display="https://aldi-sued.atlassian.net/browse/NPSCO-21058" xr:uid="{BEA5ACB7-C7E6-48EC-9026-1126A73CE0B5}"/>
    <hyperlink ref="B191" r:id="rId205" display="https://aldi-sued.atlassian.net/browse/NPSCO-21058" xr:uid="{6CA90295-B4B0-4FFA-B9C6-2B232F8F0621}"/>
    <hyperlink ref="A192" r:id="rId206" display="https://aldi-sued.atlassian.net/browse/NPSCO-20799" xr:uid="{1000A156-66FD-448D-80B4-FA6C1EB89C8B}"/>
    <hyperlink ref="B192" r:id="rId207" display="https://aldi-sued.atlassian.net/browse/NPSCO-20799" xr:uid="{16C2571D-5328-4327-907B-ABCE74E2C05F}"/>
    <hyperlink ref="A193" r:id="rId208" display="https://aldi-sued.atlassian.net/browse/BF-1530" xr:uid="{8BD92E91-7D03-434D-86DD-9FAF04AA0FA8}"/>
    <hyperlink ref="A194" r:id="rId209" display="https://aldi-sued.atlassian.net/browse/BF-1549" xr:uid="{79D916AA-7FB9-49DC-9321-9728868DFCF6}"/>
    <hyperlink ref="A195" r:id="rId210" display="https://aldi-sued.atlassian.net/browse/BF-1561" xr:uid="{4BE8CB6E-EE06-4CAD-ABBD-38D06CD38FF2}"/>
    <hyperlink ref="A196" r:id="rId211" display="https://aldi-sued.atlassian.net/browse/NPSCO-18029" xr:uid="{6A941804-BF83-44B7-93C4-8BC7BFB3B3EB}"/>
    <hyperlink ref="A197" r:id="rId212" display="https://aldi-sued.atlassian.net/browse/NPSCO-18531" xr:uid="{A186CC95-666E-46F4-910A-9F286ED18365}"/>
    <hyperlink ref="A198" r:id="rId213" display="https://aldi-sued.atlassian.net/browse/NPSCO-18556" xr:uid="{573027EB-6989-4193-8EE0-272199F005A7}"/>
    <hyperlink ref="A199" r:id="rId214" display="https://aldi-sued.atlassian.net/browse/NPSCO-18806" xr:uid="{981652B2-A700-4D21-ADA8-A30583CC4F01}"/>
    <hyperlink ref="A200" r:id="rId215" display="https://aldi-sued.atlassian.net/browse/NPSCO-19363" xr:uid="{CB651AD9-8C5E-4203-ABD0-0571D977244C}"/>
    <hyperlink ref="A201" r:id="rId216" display="https://aldi-sued.atlassian.net/browse/NPSCO-20600" xr:uid="{09D25A74-2FAE-46B3-B12F-17853C4F9712}"/>
    <hyperlink ref="A202" r:id="rId217" display="https://aldi-sued.atlassian.net/browse/NPSCO-20711" xr:uid="{14427E9D-3418-4D09-823F-4F7CCF4A9D28}"/>
    <hyperlink ref="A203" r:id="rId218" display="https://aldi-sued.atlassian.net/browse/NPSCO-20775" xr:uid="{58EC95F6-2EDC-48C9-9C18-A66782A29C6B}"/>
    <hyperlink ref="A204" r:id="rId219" display="https://aldi-sued.atlassian.net/browse/NPSCO-21002" xr:uid="{BB8A9E79-11A8-46C3-9038-467F5CB030FE}"/>
    <hyperlink ref="A205" r:id="rId220" display="https://aldi-sued.atlassian.net/browse/NPSCO-21102" xr:uid="{C494F190-6F99-4D4B-832F-27ADCFA4CC27}"/>
    <hyperlink ref="A206" r:id="rId221" display="https://aldi-sued.atlassian.net/browse/NPSCO-21104" xr:uid="{0FA5BCD9-F337-4AC2-B111-3EEF39E27EC8}"/>
    <hyperlink ref="A207" r:id="rId222" display="https://aldi-sued.atlassian.net/browse/BF-1532" xr:uid="{03A03A04-4215-4D0A-8CA8-DE86B24ACBF1}"/>
    <hyperlink ref="A208" r:id="rId223" display="https://aldi-sued.atlassian.net/browse/BF-1533" xr:uid="{3AAE5CB0-7275-420F-9AA9-FC6C96408575}"/>
    <hyperlink ref="A209" r:id="rId224" display="https://aldi-sued.atlassian.net/browse/BF-1534" xr:uid="{AD24E8BC-953D-4C49-97AA-0846C43914FE}"/>
    <hyperlink ref="A210" r:id="rId225" display="https://aldi-sued.atlassian.net/browse/BF-1550" xr:uid="{77A34C95-91C8-4405-BD91-52F2950EEE40}"/>
    <hyperlink ref="A211" r:id="rId226" display="https://aldi-sued.atlassian.net/browse/BF-507" xr:uid="{DC876299-1E2C-42D9-8A1D-2696119666D2}"/>
    <hyperlink ref="A212" r:id="rId227" display="https://aldi-sued.atlassian.net/browse/BF-1412" xr:uid="{C30DEBC1-1C86-44D5-B078-96642EC23BDB}"/>
    <hyperlink ref="A213" r:id="rId228" display="https://aldi-sued.atlassian.net/browse/NPSCO-8198" xr:uid="{A67B0AA1-D802-4C65-92AD-D19FD4B1C70D}"/>
    <hyperlink ref="A214" r:id="rId229" display="https://aldi-sued.atlassian.net/browse/NPSCO-12862" xr:uid="{6ED2D5A0-901C-4F07-830C-3F86D64D0619}"/>
    <hyperlink ref="A215" r:id="rId230" display="https://aldi-sued.atlassian.net/browse/NPSCO-13007" xr:uid="{757BC286-C97E-4B81-9ED5-DE573577FF53}"/>
    <hyperlink ref="A216" r:id="rId231" display="https://aldi-sued.atlassian.net/browse/NPSCO-20671" xr:uid="{8027A245-2F3A-4EB8-A00B-7A33385A881B}"/>
    <hyperlink ref="A217" r:id="rId232" display="https://aldi-sued.atlassian.net/browse/NPSCO-20701" xr:uid="{060CC59F-C3F3-40A1-ADEA-579C20E66DCA}"/>
    <hyperlink ref="A218" r:id="rId233" display="https://aldi-sued.atlassian.net/browse/NPSCO-20798" xr:uid="{A355C18E-73BE-424E-A6BF-9EF60FAAB575}"/>
    <hyperlink ref="J32" r:id="rId234" display="[ANP-26021] OPS &amp; Support Initiative - Jira" xr:uid="{B71456D5-924F-4A84-B940-E4C30FE1F5C5}"/>
    <hyperlink ref="J33" r:id="rId235" display="[ANP-25743] Fix critical CHOP SIT/UAT findings (Payment) - Jira" xr:uid="{35C8E604-E1C6-44E6-B220-F1200B862536}"/>
    <hyperlink ref="J34" r:id="rId236" display="[ANP-25743] Fix critical CHOP SIT/UAT findings (Payment) - Jira" xr:uid="{0DD0C8C7-EACF-4096-9162-841D0026E18A}"/>
    <hyperlink ref="J37" r:id="rId237" display="[ANP-22244] Collect Logfiles in /var/log - Jira" xr:uid="{6C785C55-12CA-452B-BD55-7F0988CA61AE}"/>
    <hyperlink ref="J38" r:id="rId238" display="[ANP-25418] Hypercare for CHOP AT/CH Pilots (Payment) - Q2 - Jira" xr:uid="{FAA3322D-310A-4D27-AA18-374A9DCF9341}"/>
    <hyperlink ref="A106" r:id="rId239" xr:uid="{3C161360-DB9A-4D64-AA01-16B9C2F2FFCA}"/>
    <hyperlink ref="G106" r:id="rId240" display="https://aldi-sued.atlassian.net/issues/?jql=cf%5B12600%5D%20%3D%20%22Checkout_Base%22" xr:uid="{84A600DF-2C94-41C1-955A-8A0145F43051}"/>
  </hyperlinks>
  <pageMargins left="0.23622047244094491" right="0.23622047244094491" top="0.35433070866141736" bottom="0.35433070866141736" header="0" footer="0"/>
  <pageSetup paperSize="9" scale="88" fitToHeight="0" orientation="landscape"/>
  <headerFooter>
    <oddFooter>&amp;CS. &amp;P / &amp;N</oddFooter>
  </headerFooter>
  <tableParts count="1">
    <tablePart r:id="rId24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034EF-95EA-4587-8D8F-970D6AC85796}">
  <sheetPr>
    <outlinePr summaryBelow="0" summaryRight="0"/>
    <pageSetUpPr fitToPage="1"/>
  </sheetPr>
  <dimension ref="A1:AM215"/>
  <sheetViews>
    <sheetView zoomScale="80" zoomScaleNormal="80" workbookViewId="0"/>
  </sheetViews>
  <sheetFormatPr baseColWidth="10" defaultColWidth="8.85546875" defaultRowHeight="13.5" customHeight="1"/>
  <cols>
    <col min="1" max="1" width="16" style="27" customWidth="1"/>
    <col min="2" max="2" width="72.85546875" style="27" customWidth="1"/>
    <col min="3" max="8" width="15.42578125" style="28" customWidth="1"/>
    <col min="9" max="9" width="19" style="29" customWidth="1"/>
    <col min="10" max="11" width="15.42578125" style="29" customWidth="1"/>
    <col min="12" max="12" width="15.42578125" style="30" customWidth="1"/>
    <col min="13" max="13" width="15.42578125" style="28" customWidth="1"/>
    <col min="14" max="18" width="15.42578125" style="1" customWidth="1"/>
    <col min="19" max="28" width="10.42578125" style="1" customWidth="1"/>
    <col min="29" max="34" width="8.42578125" style="1" customWidth="1"/>
    <col min="35" max="35" width="3.42578125" style="1" customWidth="1"/>
    <col min="36" max="36" width="8.42578125" style="1" customWidth="1"/>
    <col min="37" max="16384" width="8.85546875" style="1"/>
  </cols>
  <sheetData>
    <row r="1" spans="2:22" ht="13.5" customHeight="1">
      <c r="C1" s="417" t="s">
        <v>1302</v>
      </c>
      <c r="D1" s="417"/>
      <c r="E1" s="417"/>
      <c r="F1" s="417"/>
      <c r="G1" s="417"/>
      <c r="H1" s="417"/>
      <c r="I1" s="417"/>
      <c r="J1" s="417"/>
      <c r="K1" s="2"/>
      <c r="L1" s="2"/>
      <c r="M1" s="2"/>
    </row>
    <row r="2" spans="2:22" ht="13.5" customHeight="1">
      <c r="C2" s="1"/>
      <c r="D2" s="1"/>
      <c r="E2" s="2"/>
      <c r="F2" s="2"/>
      <c r="G2" s="2"/>
      <c r="H2" s="2"/>
      <c r="I2" s="2"/>
      <c r="J2" s="1"/>
      <c r="K2" s="2"/>
      <c r="L2" s="2"/>
      <c r="M2" s="1"/>
    </row>
    <row r="3" spans="2:22" ht="13.5" customHeight="1" thickBot="1">
      <c r="C3" s="3" t="s">
        <v>162</v>
      </c>
      <c r="D3" s="66"/>
      <c r="E3" s="10"/>
      <c r="F3" s="10"/>
      <c r="H3" s="418" t="s">
        <v>163</v>
      </c>
      <c r="I3" s="418"/>
      <c r="J3" s="418"/>
      <c r="K3" s="4"/>
      <c r="L3" s="4"/>
      <c r="M3" s="2"/>
    </row>
    <row r="4" spans="2:22" ht="13.5" customHeight="1">
      <c r="C4" s="10"/>
      <c r="D4" s="419" t="s">
        <v>164</v>
      </c>
      <c r="E4" s="420"/>
      <c r="F4" s="421" t="s">
        <v>165</v>
      </c>
      <c r="G4" s="422"/>
      <c r="H4" s="422"/>
      <c r="I4" s="422"/>
      <c r="J4" s="422"/>
      <c r="K4" s="423"/>
      <c r="M4" s="424" t="s">
        <v>1303</v>
      </c>
      <c r="N4" s="424"/>
      <c r="O4" s="424"/>
      <c r="P4" s="424"/>
      <c r="Q4" s="424"/>
      <c r="R4" s="424"/>
    </row>
    <row r="5" spans="2:22" ht="27" customHeight="1">
      <c r="C5" s="63" t="s">
        <v>167</v>
      </c>
      <c r="D5" s="60" t="s">
        <v>171</v>
      </c>
      <c r="E5" s="73" t="str">
        <f>H5</f>
        <v>Completed</v>
      </c>
      <c r="F5" s="60" t="s">
        <v>105</v>
      </c>
      <c r="G5" s="21" t="s">
        <v>106</v>
      </c>
      <c r="H5" s="20" t="s">
        <v>125</v>
      </c>
      <c r="I5" s="20" t="s">
        <v>127</v>
      </c>
      <c r="J5" s="20" t="s">
        <v>126</v>
      </c>
      <c r="K5" s="67" t="s">
        <v>172</v>
      </c>
      <c r="M5" s="21" t="s">
        <v>105</v>
      </c>
      <c r="N5" s="21" t="s">
        <v>106</v>
      </c>
      <c r="O5" s="31" t="s">
        <v>125</v>
      </c>
      <c r="P5" s="31" t="str">
        <f>J5</f>
        <v>Removed</v>
      </c>
      <c r="Q5" s="31" t="s">
        <v>127</v>
      </c>
      <c r="R5" s="39" t="s">
        <v>173</v>
      </c>
    </row>
    <row r="6" spans="2:22" ht="13.5" customHeight="1">
      <c r="B6" s="415" t="s">
        <v>174</v>
      </c>
      <c r="C6" s="59" t="s">
        <v>35</v>
      </c>
      <c r="D6" s="61">
        <f>COUNTIFS(Tabelle13245689101112131415[Team],$C6)</f>
        <v>13</v>
      </c>
      <c r="E6" s="74">
        <f>COUNTIFS(Tabelle13245689101112131415[Team],$C6,Tabelle13245689101112131415[Status],$E$5)</f>
        <v>8</v>
      </c>
      <c r="F6" s="68">
        <f>SUMIFS(Tabelle13245689101112131415[Jira Story Points],Tabelle13245689101112131415[Pulled after Start],"",Tabelle13245689101112131415[Team],$C6)</f>
        <v>41</v>
      </c>
      <c r="G6" s="6">
        <f>SUMIFS(Tabelle13245689101112131415[Jira Story Points],Tabelle13245689101112131415[Pulled after Start],"yes",Tabelle13245689101112131415[Team],$C6)</f>
        <v>2</v>
      </c>
      <c r="H6" s="7">
        <f>SUMIFS(Tabelle13245689101112131415[Jira Story Points],Tabelle13245689101112131415[Status],$H$5,Tabelle13245689101112131415[Team],$C6)</f>
        <v>21</v>
      </c>
      <c r="I6" s="6">
        <f>SUMIFS(Tabelle13245689101112131415[Jira Story Points],Tabelle13245689101112131415[Status],$I$5,Tabelle13245689101112131415[Team],$C6)</f>
        <v>22</v>
      </c>
      <c r="J6" s="6">
        <f>SUMIFS(Tabelle13245689101112131415[Jira Story Points],Tabelle13245689101112131415[Status],$J$5,Tabelle13245689101112131415[Team],$C6)</f>
        <v>0</v>
      </c>
      <c r="K6" s="69">
        <f>SUMIFS(Tabelle13245689101112131415[Jira Story Points],Tabelle13245689101112131415[Team],$C6)</f>
        <v>43</v>
      </c>
      <c r="M6" s="6">
        <f>SUMIFS(Tabelle13245689101112131415[SP Initially Planned (COS)],Tabelle13245689101112131415[Pulled after Start],"",Tabelle13245689101112131415[Team],$C6)</f>
        <v>41</v>
      </c>
      <c r="N6" s="6">
        <f>SUMIFS(Tabelle13245689101112131415[SP Pulled after Start (COS)],Tabelle13245689101112131415[Team],$C6)</f>
        <v>2</v>
      </c>
      <c r="O6" s="25">
        <f>SUMIFS(Tabelle13245689101112131415[SP Completed (COS &amp; SOS)],Tabelle13245689101112131415[Team],$C6)</f>
        <v>21</v>
      </c>
      <c r="P6" s="25">
        <f>SUMIFS(Tabelle13245689101112131415[SP Removed (COS &amp; SOS)],Tabelle13245689101112131415[Team],$C6)</f>
        <v>0</v>
      </c>
      <c r="Q6" s="41">
        <f>SUMIFS(Tabelle13245689101112131415[SP Not Completed (COS &amp; SOS)],Tabelle13245689101112131415[Team],$C6)</f>
        <v>22</v>
      </c>
      <c r="R6" s="40">
        <f t="shared" ref="R6:R15" si="0">IFERROR(O6/$M6," ")</f>
        <v>0.51219512195121952</v>
      </c>
      <c r="T6" s="43"/>
    </row>
    <row r="7" spans="2:22" ht="13.5" customHeight="1">
      <c r="B7" s="415"/>
      <c r="C7" s="59" t="s">
        <v>12</v>
      </c>
      <c r="D7" s="61">
        <f>COUNTIFS(Tabelle13245689101112131415[Team],$C7)</f>
        <v>12</v>
      </c>
      <c r="E7" s="74">
        <f>COUNTIFS(Tabelle13245689101112131415[Team],$C7,Tabelle13245689101112131415[Status],$E$5)</f>
        <v>8</v>
      </c>
      <c r="F7" s="68">
        <f>SUMIFS(Tabelle13245689101112131415[Jira Story Points],Tabelle13245689101112131415[Pulled after Start],"",Tabelle13245689101112131415[Team],$C7)</f>
        <v>13</v>
      </c>
      <c r="G7" s="6">
        <f>SUMIFS(Tabelle13245689101112131415[Jira Story Points],Tabelle13245689101112131415[Pulled after Start],"yes",Tabelle13245689101112131415[Team],$C7)</f>
        <v>13</v>
      </c>
      <c r="H7" s="7">
        <f>SUMIFS(Tabelle13245689101112131415[Jira Story Points],Tabelle13245689101112131415[Status],$H$5,Tabelle13245689101112131415[Team],$C7)</f>
        <v>18</v>
      </c>
      <c r="I7" s="6">
        <f>SUMIFS(Tabelle13245689101112131415[Jira Story Points],Tabelle13245689101112131415[Status],$I$5,Tabelle13245689101112131415[Team],$C7)</f>
        <v>8</v>
      </c>
      <c r="J7" s="6">
        <f>SUMIFS(Tabelle13245689101112131415[Jira Story Points],Tabelle13245689101112131415[Status],$J$5,Tabelle13245689101112131415[Team],$C7)</f>
        <v>0</v>
      </c>
      <c r="K7" s="69">
        <f>SUMIFS(Tabelle13245689101112131415[Jira Story Points],Tabelle13245689101112131415[Team],$C7)</f>
        <v>26</v>
      </c>
      <c r="M7" s="6">
        <f>SUMIFS(Tabelle13245689101112131415[SP Initially Planned (COS)],Tabelle13245689101112131415[Pulled after Start],"",Tabelle13245689101112131415[Team],$C7)</f>
        <v>13</v>
      </c>
      <c r="N7" s="6">
        <f>SUMIFS(Tabelle13245689101112131415[SP Pulled after Start (COS)],Tabelle13245689101112131415[Team],$C7)</f>
        <v>13</v>
      </c>
      <c r="O7" s="25">
        <f>SUMIFS(Tabelle13245689101112131415[SP Completed (COS &amp; SOS)],Tabelle13245689101112131415[Team],$C7)</f>
        <v>21</v>
      </c>
      <c r="P7" s="25">
        <f>SUMIFS(Tabelle13245689101112131415[SP Removed (COS &amp; SOS)],Tabelle13245689101112131415[Team],$C7)</f>
        <v>0</v>
      </c>
      <c r="Q7" s="41">
        <f>SUMIFS(Tabelle13245689101112131415[SP Not Completed (COS &amp; SOS)],Tabelle13245689101112131415[Team],$C7)</f>
        <v>5</v>
      </c>
      <c r="R7" s="40">
        <f t="shared" si="0"/>
        <v>1.6153846153846154</v>
      </c>
      <c r="T7" s="43"/>
    </row>
    <row r="8" spans="2:22" ht="13.5" customHeight="1">
      <c r="B8" s="415"/>
      <c r="C8" s="59" t="s">
        <v>27</v>
      </c>
      <c r="D8" s="61">
        <f>COUNTIFS(Tabelle13245689101112131415[Team],$C8)</f>
        <v>13</v>
      </c>
      <c r="E8" s="74">
        <f>COUNTIFS(Tabelle13245689101112131415[Team],$C8,Tabelle13245689101112131415[Status],$E$5)</f>
        <v>10</v>
      </c>
      <c r="F8" s="68">
        <f>SUMIFS(Tabelle13245689101112131415[Jira Story Points],Tabelle13245689101112131415[Pulled after Start],"",Tabelle13245689101112131415[Team],$C8)</f>
        <v>46</v>
      </c>
      <c r="G8" s="6">
        <f>SUMIFS(Tabelle13245689101112131415[Jira Story Points],Tabelle13245689101112131415[Pulled after Start],"yes",Tabelle13245689101112131415[Team],$C8)</f>
        <v>11</v>
      </c>
      <c r="H8" s="7">
        <f>SUMIFS(Tabelle13245689101112131415[Jira Story Points],Tabelle13245689101112131415[Status],$H$5,Tabelle13245689101112131415[Team],$C8)</f>
        <v>39</v>
      </c>
      <c r="I8" s="6">
        <f>SUMIFS(Tabelle13245689101112131415[Jira Story Points],Tabelle13245689101112131415[Status],$I$5,Tabelle13245689101112131415[Team],$C8)</f>
        <v>10</v>
      </c>
      <c r="J8" s="6">
        <f>SUMIFS(Tabelle13245689101112131415[Jira Story Points],Tabelle13245689101112131415[Status],$J$5,Tabelle13245689101112131415[Team],$C8)</f>
        <v>8</v>
      </c>
      <c r="K8" s="69">
        <f>SUMIFS(Tabelle13245689101112131415[Jira Story Points],Tabelle13245689101112131415[Team],$C8)</f>
        <v>57</v>
      </c>
      <c r="M8" s="6">
        <f>SUMIFS(Tabelle13245689101112131415[SP Initially Planned (COS)],Tabelle13245689101112131415[Pulled after Start],"",Tabelle13245689101112131415[Team],$C8)</f>
        <v>46</v>
      </c>
      <c r="N8" s="6">
        <f>SUMIFS(Tabelle13245689101112131415[SP Pulled after Start (COS)],Tabelle13245689101112131415[Team],$C8)</f>
        <v>11</v>
      </c>
      <c r="O8" s="25">
        <f>SUMIFS(Tabelle13245689101112131415[SP Completed (COS &amp; SOS)],Tabelle13245689101112131415[Team],$C8)</f>
        <v>42</v>
      </c>
      <c r="P8" s="25">
        <f>SUMIFS(Tabelle13245689101112131415[SP Removed (COS &amp; SOS)],Tabelle13245689101112131415[Team],$C8)</f>
        <v>8</v>
      </c>
      <c r="Q8" s="41">
        <f>SUMIFS(Tabelle13245689101112131415[SP Not Completed (COS &amp; SOS)],Tabelle13245689101112131415[Team],$C8)</f>
        <v>7</v>
      </c>
      <c r="R8" s="40">
        <f t="shared" si="0"/>
        <v>0.91304347826086951</v>
      </c>
      <c r="T8" s="43"/>
    </row>
    <row r="9" spans="2:22" ht="13.5" customHeight="1">
      <c r="B9" s="415"/>
      <c r="C9" s="59" t="s">
        <v>5</v>
      </c>
      <c r="D9" s="61">
        <f>COUNTIFS(Tabelle13245689101112131415[Team],$C9)</f>
        <v>11</v>
      </c>
      <c r="E9" s="74">
        <f>COUNTIFS(Tabelle13245689101112131415[Team],$C9,Tabelle13245689101112131415[Status],$E$5)</f>
        <v>6</v>
      </c>
      <c r="F9" s="68">
        <f>SUMIFS(Tabelle13245689101112131415[Jira Story Points],Tabelle13245689101112131415[Pulled after Start],"",Tabelle13245689101112131415[Team],$C9)</f>
        <v>39</v>
      </c>
      <c r="G9" s="6">
        <f>SUMIFS(Tabelle13245689101112131415[Jira Story Points],Tabelle13245689101112131415[Pulled after Start],"yes",Tabelle13245689101112131415[Team],$C9)</f>
        <v>9</v>
      </c>
      <c r="H9" s="7">
        <f>SUMIFS(Tabelle13245689101112131415[Jira Story Points],Tabelle13245689101112131415[Status],$H$5,Tabelle13245689101112131415[Team],$C9)</f>
        <v>21</v>
      </c>
      <c r="I9" s="6">
        <f>SUMIFS(Tabelle13245689101112131415[Jira Story Points],Tabelle13245689101112131415[Status],$I$5,Tabelle13245689101112131415[Team],$C9)</f>
        <v>27</v>
      </c>
      <c r="J9" s="6">
        <f>SUMIFS(Tabelle13245689101112131415[Jira Story Points],Tabelle13245689101112131415[Status],$J$5,Tabelle13245689101112131415[Team],$C9)</f>
        <v>0</v>
      </c>
      <c r="K9" s="69">
        <f>SUMIFS(Tabelle13245689101112131415[Jira Story Points],Tabelle13245689101112131415[Team],$C9)</f>
        <v>48</v>
      </c>
      <c r="M9" s="6">
        <f>SUMIFS(Tabelle13245689101112131415[SP Initially Planned (COS)],Tabelle13245689101112131415[Pulled after Start],"",Tabelle13245689101112131415[Team],$C9)</f>
        <v>25</v>
      </c>
      <c r="N9" s="6">
        <f>SUMIFS(Tabelle13245689101112131415[SP Pulled after Start (COS)],Tabelle13245689101112131415[Team],$C9)</f>
        <v>5</v>
      </c>
      <c r="O9" s="25">
        <f>SUMIFS(Tabelle13245689101112131415[SP Completed (COS &amp; SOS)],Tabelle13245689101112131415[Team],$C9)</f>
        <v>16</v>
      </c>
      <c r="P9" s="25">
        <f>SUMIFS(Tabelle13245689101112131415[SP Removed (COS &amp; SOS)],Tabelle13245689101112131415[Team],$C9)</f>
        <v>0</v>
      </c>
      <c r="Q9" s="41">
        <f>SUMIFS(Tabelle13245689101112131415[SP Not Completed (COS &amp; SOS)],Tabelle13245689101112131415[Team],$C9)</f>
        <v>14</v>
      </c>
      <c r="R9" s="40">
        <f t="shared" si="0"/>
        <v>0.64</v>
      </c>
      <c r="T9" s="43"/>
    </row>
    <row r="10" spans="2:22" ht="13.5" customHeight="1">
      <c r="B10" s="415"/>
      <c r="C10" s="59" t="s">
        <v>32</v>
      </c>
      <c r="D10" s="61">
        <f>COUNTIFS(Tabelle13245689101112131415[Team],$C10)</f>
        <v>13</v>
      </c>
      <c r="E10" s="74">
        <f>COUNTIFS(Tabelle13245689101112131415[Team],$C10,Tabelle13245689101112131415[Status],$E$5)</f>
        <v>10</v>
      </c>
      <c r="F10" s="68">
        <f>SUMIFS(Tabelle13245689101112131415[Jira Story Points],Tabelle13245689101112131415[Pulled after Start],"",Tabelle13245689101112131415[Team],$C10)</f>
        <v>36</v>
      </c>
      <c r="G10" s="6">
        <f>SUMIFS(Tabelle13245689101112131415[Jira Story Points],Tabelle13245689101112131415[Pulled after Start],"yes",Tabelle13245689101112131415[Team],$C10)</f>
        <v>1</v>
      </c>
      <c r="H10" s="7">
        <f>SUMIFS(Tabelle13245689101112131415[Jira Story Points],Tabelle13245689101112131415[Status],$H$5,Tabelle13245689101112131415[Team],$C10)</f>
        <v>25</v>
      </c>
      <c r="I10" s="6">
        <f>SUMIFS(Tabelle13245689101112131415[Jira Story Points],Tabelle13245689101112131415[Status],$I$5,Tabelle13245689101112131415[Team],$C10)</f>
        <v>12</v>
      </c>
      <c r="J10" s="6">
        <f>SUMIFS(Tabelle13245689101112131415[Jira Story Points],Tabelle13245689101112131415[Status],$J$5,Tabelle13245689101112131415[Team],$C10)</f>
        <v>0</v>
      </c>
      <c r="K10" s="69">
        <f>SUMIFS(Tabelle13245689101112131415[Jira Story Points],Tabelle13245689101112131415[Team],$C10)</f>
        <v>37</v>
      </c>
      <c r="M10" s="6">
        <f>SUMIFS(Tabelle13245689101112131415[SP Initially Planned (COS)],Tabelle13245689101112131415[Pulled after Start],"",Tabelle13245689101112131415[Team],$C10)</f>
        <v>33</v>
      </c>
      <c r="N10" s="6">
        <f>SUMIFS(Tabelle13245689101112131415[SP Pulled after Start (COS)],Tabelle13245689101112131415[Team],$C10)</f>
        <v>1</v>
      </c>
      <c r="O10" s="25">
        <f>SUMIFS(Tabelle13245689101112131415[SP Completed (COS &amp; SOS)],Tabelle13245689101112131415[Team],$C10)</f>
        <v>24</v>
      </c>
      <c r="P10" s="25">
        <f>SUMIFS(Tabelle13245689101112131415[SP Removed (COS &amp; SOS)],Tabelle13245689101112131415[Team],$C10)</f>
        <v>0</v>
      </c>
      <c r="Q10" s="41">
        <f>SUMIFS(Tabelle13245689101112131415[SP Not Completed (COS &amp; SOS)],Tabelle13245689101112131415[Team],$C10)</f>
        <v>10</v>
      </c>
      <c r="R10" s="40">
        <f>IFERROR(O10/$M10," ")</f>
        <v>0.72727272727272729</v>
      </c>
      <c r="T10" s="43"/>
    </row>
    <row r="11" spans="2:22" ht="13.5" customHeight="1">
      <c r="B11" s="415"/>
      <c r="C11" s="59" t="s">
        <v>24</v>
      </c>
      <c r="D11" s="61">
        <f>COUNTIFS(Tabelle13245689101112131415[Team],$C11)</f>
        <v>13</v>
      </c>
      <c r="E11" s="74">
        <f>COUNTIFS(Tabelle13245689101112131415[Team],$C11,Tabelle13245689101112131415[Status],$E$5)</f>
        <v>9</v>
      </c>
      <c r="F11" s="68">
        <f>SUMIFS(Tabelle13245689101112131415[Jira Story Points],Tabelle13245689101112131415[Pulled after Start],"",Tabelle13245689101112131415[Team],$C11)</f>
        <v>36</v>
      </c>
      <c r="G11" s="6">
        <f>SUMIFS(Tabelle13245689101112131415[Jira Story Points],Tabelle13245689101112131415[Pulled after Start],"yes",Tabelle13245689101112131415[Team],$C11)</f>
        <v>8</v>
      </c>
      <c r="H11" s="7">
        <f>SUMIFS(Tabelle13245689101112131415[Jira Story Points],Tabelle13245689101112131415[Status],$H$5,Tabelle13245689101112131415[Team],$C11)</f>
        <v>30</v>
      </c>
      <c r="I11" s="6">
        <f>SUMIFS(Tabelle13245689101112131415[Jira Story Points],Tabelle13245689101112131415[Status],$I$5,Tabelle13245689101112131415[Team],$C11)</f>
        <v>14</v>
      </c>
      <c r="J11" s="6">
        <f>SUMIFS(Tabelle13245689101112131415[Jira Story Points],Tabelle13245689101112131415[Status],$J$5,Tabelle13245689101112131415[Team],$C11)</f>
        <v>0</v>
      </c>
      <c r="K11" s="69">
        <f>SUMIFS(Tabelle13245689101112131415[Jira Story Points],Tabelle13245689101112131415[Team],$C11)</f>
        <v>44</v>
      </c>
      <c r="M11" s="6">
        <f>SUMIFS(Tabelle13245689101112131415[SP Initially Planned (COS)],Tabelle13245689101112131415[Pulled after Start],"",Tabelle13245689101112131415[Team],$C11)</f>
        <v>34</v>
      </c>
      <c r="N11" s="6">
        <f>SUMIFS(Tabelle13245689101112131415[SP Pulled after Start (COS)],Tabelle13245689101112131415[Team],$C11)</f>
        <v>8</v>
      </c>
      <c r="O11" s="25">
        <f>SUMIFS(Tabelle13245689101112131415[SP Completed (COS &amp; SOS)],Tabelle13245689101112131415[Team],$C11)</f>
        <v>33</v>
      </c>
      <c r="P11" s="25">
        <f>SUMIFS(Tabelle13245689101112131415[SP Removed (COS &amp; SOS)],Tabelle13245689101112131415[Team],$C11)</f>
        <v>0</v>
      </c>
      <c r="Q11" s="41">
        <f>SUMIFS(Tabelle13245689101112131415[SP Not Completed (COS &amp; SOS)],Tabelle13245689101112131415[Team],$C11)</f>
        <v>9</v>
      </c>
      <c r="R11" s="40">
        <f t="shared" si="0"/>
        <v>0.97058823529411764</v>
      </c>
      <c r="T11" s="43"/>
    </row>
    <row r="12" spans="2:22" ht="13.5" customHeight="1">
      <c r="B12" s="415"/>
      <c r="C12" s="59" t="s">
        <v>17</v>
      </c>
      <c r="D12" s="61">
        <f>COUNTIFS(Tabelle13245689101112131415[Team],$C12)</f>
        <v>8</v>
      </c>
      <c r="E12" s="74">
        <f>COUNTIFS(Tabelle13245689101112131415[Team],$C12,Tabelle13245689101112131415[Status],$E$5)</f>
        <v>7</v>
      </c>
      <c r="F12" s="68">
        <f>SUMIFS(Tabelle13245689101112131415[Jira Story Points],Tabelle13245689101112131415[Pulled after Start],"",Tabelle13245689101112131415[Team],$C12)</f>
        <v>21</v>
      </c>
      <c r="G12" s="6">
        <f>SUMIFS(Tabelle13245689101112131415[Jira Story Points],Tabelle13245689101112131415[Pulled after Start],"yes",Tabelle13245689101112131415[Team],$C12)</f>
        <v>2</v>
      </c>
      <c r="H12" s="7">
        <f>SUMIFS(Tabelle13245689101112131415[Jira Story Points],Tabelle13245689101112131415[Status],$H$5,Tabelle13245689101112131415[Team],$C12)</f>
        <v>20</v>
      </c>
      <c r="I12" s="6">
        <f>SUMIFS(Tabelle13245689101112131415[Jira Story Points],Tabelle13245689101112131415[Status],$I$5,Tabelle13245689101112131415[Team],$C12)</f>
        <v>3</v>
      </c>
      <c r="J12" s="6">
        <f>SUMIFS(Tabelle13245689101112131415[Jira Story Points],Tabelle13245689101112131415[Status],$J$5,Tabelle13245689101112131415[Team],$C12)</f>
        <v>0</v>
      </c>
      <c r="K12" s="69">
        <f>SUMIFS(Tabelle13245689101112131415[Jira Story Points],Tabelle13245689101112131415[Team],$C12)</f>
        <v>23</v>
      </c>
      <c r="M12" s="6">
        <f>SUMIFS(Tabelle13245689101112131415[SP Initially Planned (COS)],Tabelle13245689101112131415[Pulled after Start],"",Tabelle13245689101112131415[Team],$C12)</f>
        <v>21</v>
      </c>
      <c r="N12" s="6">
        <f>SUMIFS(Tabelle13245689101112131415[SP Pulled after Start (COS)],Tabelle13245689101112131415[Team],$C12)</f>
        <v>2</v>
      </c>
      <c r="O12" s="25">
        <f>SUMIFS(Tabelle13245689101112131415[SP Completed (COS &amp; SOS)],Tabelle13245689101112131415[Team],$C12)</f>
        <v>22</v>
      </c>
      <c r="P12" s="25">
        <f>SUMIFS(Tabelle13245689101112131415[SP Removed (COS &amp; SOS)],Tabelle13245689101112131415[Team],$C12)</f>
        <v>0</v>
      </c>
      <c r="Q12" s="41">
        <f>SUMIFS(Tabelle13245689101112131415[SP Not Completed (COS &amp; SOS)],Tabelle13245689101112131415[Team],$C12)</f>
        <v>1</v>
      </c>
      <c r="R12" s="40">
        <f t="shared" si="0"/>
        <v>1.0476190476190477</v>
      </c>
      <c r="T12" s="43"/>
    </row>
    <row r="13" spans="2:22" ht="13.5" customHeight="1">
      <c r="B13" s="415"/>
      <c r="C13" s="64" t="s">
        <v>107</v>
      </c>
      <c r="D13" s="61">
        <f>COUNTIFS(Tabelle13245689101112131415[Team],$C13)</f>
        <v>0</v>
      </c>
      <c r="E13" s="74">
        <f>COUNTIFS(Tabelle13245689101112131415[Team],$C13,Tabelle13245689101112131415[Status],$E$5)</f>
        <v>0</v>
      </c>
      <c r="F13" s="68">
        <f>SUMIFS(Tabelle13245689101112131415[Jira Story Points],Tabelle13245689101112131415[Pulled after Start],"",Tabelle13245689101112131415[Team],$C13)</f>
        <v>0</v>
      </c>
      <c r="G13" s="6">
        <f>SUMIFS(Tabelle13245689101112131415[Jira Story Points],Tabelle13245689101112131415[Pulled after Start],"yes",Tabelle13245689101112131415[Team],$C13)</f>
        <v>0</v>
      </c>
      <c r="H13" s="7">
        <f>SUMIFS(Tabelle13245689101112131415[Jira Story Points],Tabelle13245689101112131415[Status],$H$5,Tabelle13245689101112131415[Team],$C13)</f>
        <v>0</v>
      </c>
      <c r="I13" s="6">
        <f>SUMIFS(Tabelle13245689101112131415[Jira Story Points],Tabelle13245689101112131415[Status],$I$5,Tabelle13245689101112131415[Team],$C13)</f>
        <v>0</v>
      </c>
      <c r="J13" s="6">
        <f>SUMIFS(Tabelle13245689101112131415[Jira Story Points],Tabelle13245689101112131415[Status],$J$5,Tabelle13245689101112131415[Team],$C13)</f>
        <v>0</v>
      </c>
      <c r="K13" s="69">
        <f>SUMIFS(Tabelle13245689101112131415[Jira Story Points],Tabelle13245689101112131415[Team],$C13)</f>
        <v>0</v>
      </c>
      <c r="M13" s="6">
        <f>SUMIFS(Tabelle13245689101112131415[SP Initially Planned (COS)],Tabelle13245689101112131415[Pulled after Start],"",Tabelle13245689101112131415[Team],$C13)</f>
        <v>0</v>
      </c>
      <c r="N13" s="6">
        <f>SUMIFS(Tabelle13245689101112131415[SP Pulled after Start (COS)],Tabelle13245689101112131415[Team],$C13)</f>
        <v>0</v>
      </c>
      <c r="O13" s="25">
        <f>SUMIFS(Tabelle13245689101112131415[SP Completed (COS &amp; SOS)],Tabelle13245689101112131415[Team],$C13)</f>
        <v>0</v>
      </c>
      <c r="P13" s="25">
        <f>SUMIFS(Tabelle13245689101112131415[SP Removed (COS &amp; SOS)],Tabelle13245689101112131415[Team],$C13)</f>
        <v>0</v>
      </c>
      <c r="Q13" s="41">
        <f>SUMIFS(Tabelle13245689101112131415[SP Not Completed (COS &amp; SOS)],Tabelle13245689101112131415[Team],$C13)</f>
        <v>0</v>
      </c>
      <c r="R13" s="40" t="str">
        <f>IFERROR(O13/$M13," ")</f>
        <v xml:space="preserve"> </v>
      </c>
      <c r="T13" s="43"/>
    </row>
    <row r="14" spans="2:22" ht="13.5" customHeight="1">
      <c r="B14" s="415"/>
      <c r="C14" s="41" t="s">
        <v>21</v>
      </c>
      <c r="D14" s="61">
        <f>COUNTIFS(Tabelle13245689101112131415[Team],$C14)</f>
        <v>21</v>
      </c>
      <c r="E14" s="74">
        <f>COUNTIFS(Tabelle13245689101112131415[Team],$C14,Tabelle13245689101112131415[Status],$E$5)</f>
        <v>18</v>
      </c>
      <c r="F14" s="68">
        <f>SUMIFS(Tabelle13245689101112131415[Jira Story Points],Tabelle13245689101112131415[Pulled after Start],"",Tabelle13245689101112131415[Team],$C14)</f>
        <v>50</v>
      </c>
      <c r="G14" s="6">
        <f>SUMIFS(Tabelle13245689101112131415[Jira Story Points],Tabelle13245689101112131415[Pulled after Start],"yes",Tabelle13245689101112131415[Team],$C14)</f>
        <v>9</v>
      </c>
      <c r="H14" s="7">
        <f>SUMIFS(Tabelle13245689101112131415[Jira Story Points],Tabelle13245689101112131415[Status],$H$5,Tabelle13245689101112131415[Team],$C14)</f>
        <v>49</v>
      </c>
      <c r="I14" s="6">
        <f>SUMIFS(Tabelle13245689101112131415[Jira Story Points],Tabelle13245689101112131415[Status],$I$5,Tabelle13245689101112131415[Team],$C14)</f>
        <v>10</v>
      </c>
      <c r="J14" s="6">
        <f>SUMIFS(Tabelle13245689101112131415[Jira Story Points],Tabelle13245689101112131415[Status],$J$5,Tabelle13245689101112131415[Team],$C14)</f>
        <v>0</v>
      </c>
      <c r="K14" s="69">
        <f>SUMIFS(Tabelle13245689101112131415[Jira Story Points],Tabelle13245689101112131415[Team],$C14)</f>
        <v>59</v>
      </c>
      <c r="M14" s="6">
        <f>SUMIFS(Tabelle13245689101112131415[SP Initially Planned (COS)],Tabelle13245689101112131415[Pulled after Start],"",Tabelle13245689101112131415[Team],$C14)</f>
        <v>50</v>
      </c>
      <c r="N14" s="6">
        <f>SUMIFS(Tabelle13245689101112131415[SP Pulled after Start (COS)],Tabelle13245689101112131415[Team],$C14)</f>
        <v>9</v>
      </c>
      <c r="O14" s="25">
        <f>SUMIFS(Tabelle13245689101112131415[SP Completed (COS &amp; SOS)],Tabelle13245689101112131415[Team],$C14)</f>
        <v>52</v>
      </c>
      <c r="P14" s="25">
        <f>SUMIFS(Tabelle13245689101112131415[SP Removed (COS &amp; SOS)],Tabelle13245689101112131415[Team],$C14)</f>
        <v>0</v>
      </c>
      <c r="Q14" s="41">
        <f>SUMIFS(Tabelle13245689101112131415[SP Not Completed (COS &amp; SOS)],Tabelle13245689101112131415[Team],$C14)</f>
        <v>7</v>
      </c>
      <c r="R14" s="40">
        <f t="shared" si="0"/>
        <v>1.04</v>
      </c>
      <c r="T14" s="43"/>
    </row>
    <row r="15" spans="2:22" ht="13.5" customHeight="1">
      <c r="B15" s="415"/>
      <c r="C15" s="41" t="s">
        <v>9</v>
      </c>
      <c r="D15" s="61">
        <f>COUNTIFS(Tabelle13245689101112131415[Team],$C15)</f>
        <v>22</v>
      </c>
      <c r="E15" s="74">
        <f>COUNTIFS(Tabelle13245689101112131415[Team],$C15,Tabelle13245689101112131415[Status],$E$5)</f>
        <v>16</v>
      </c>
      <c r="F15" s="68">
        <f>SUMIFS(Tabelle13245689101112131415[Jira Story Points],Tabelle13245689101112131415[Pulled after Start],"",Tabelle13245689101112131415[Team],$C15)</f>
        <v>60</v>
      </c>
      <c r="G15" s="6">
        <f>SUMIFS(Tabelle13245689101112131415[Jira Story Points],Tabelle13245689101112131415[Pulled after Start],"yes",Tabelle13245689101112131415[Team],$C15)</f>
        <v>16</v>
      </c>
      <c r="H15" s="7">
        <f>SUMIFS(Tabelle13245689101112131415[Jira Story Points],Tabelle13245689101112131415[Status],$H$5,Tabelle13245689101112131415[Team],$C15)</f>
        <v>43</v>
      </c>
      <c r="I15" s="6">
        <f>SUMIFS(Tabelle13245689101112131415[Jira Story Points],Tabelle13245689101112131415[Status],$I$5,Tabelle13245689101112131415[Team],$C15)</f>
        <v>33</v>
      </c>
      <c r="J15" s="6">
        <f>SUMIFS(Tabelle13245689101112131415[Jira Story Points],Tabelle13245689101112131415[Status],$J$5,Tabelle13245689101112131415[Team],$C15)</f>
        <v>0</v>
      </c>
      <c r="K15" s="69">
        <f>SUMIFS(Tabelle13245689101112131415[Jira Story Points],Tabelle13245689101112131415[Team],$C15)</f>
        <v>76</v>
      </c>
      <c r="M15" s="6">
        <f>SUMIFS(Tabelle13245689101112131415[SP Initially Planned (COS)],Tabelle13245689101112131415[Pulled after Start],"",Tabelle13245689101112131415[Team],$C15)</f>
        <v>43</v>
      </c>
      <c r="N15" s="6">
        <f>SUMIFS(Tabelle13245689101112131415[SP Pulled after Start (COS)],Tabelle13245689101112131415[Team],$C15)</f>
        <v>16</v>
      </c>
      <c r="O15" s="25">
        <f>SUMIFS(Tabelle13245689101112131415[SP Completed (COS &amp; SOS)],Tabelle13245689101112131415[Team],$C15)</f>
        <v>40</v>
      </c>
      <c r="P15" s="25">
        <f>SUMIFS(Tabelle13245689101112131415[SP Removed (COS &amp; SOS)],Tabelle13245689101112131415[Team],$C15)</f>
        <v>0</v>
      </c>
      <c r="Q15" s="41">
        <f>SUMIFS(Tabelle13245689101112131415[SP Not Completed (COS &amp; SOS)],Tabelle13245689101112131415[Team],$C15)</f>
        <v>7</v>
      </c>
      <c r="R15" s="40">
        <f t="shared" si="0"/>
        <v>0.93023255813953487</v>
      </c>
      <c r="T15" s="43"/>
    </row>
    <row r="16" spans="2:22" ht="13.5" customHeight="1" thickBot="1">
      <c r="C16" s="65" t="s">
        <v>172</v>
      </c>
      <c r="D16" s="62">
        <f t="shared" ref="D16:K16" si="1">SUM(D6:D13)</f>
        <v>83</v>
      </c>
      <c r="E16" s="75">
        <f t="shared" si="1"/>
        <v>58</v>
      </c>
      <c r="F16" s="62">
        <f t="shared" si="1"/>
        <v>232</v>
      </c>
      <c r="G16" s="70">
        <f t="shared" si="1"/>
        <v>46</v>
      </c>
      <c r="H16" s="71">
        <f t="shared" si="1"/>
        <v>174</v>
      </c>
      <c r="I16" s="71">
        <f t="shared" si="1"/>
        <v>96</v>
      </c>
      <c r="J16" s="71">
        <f t="shared" si="1"/>
        <v>8</v>
      </c>
      <c r="K16" s="72">
        <f t="shared" si="1"/>
        <v>278</v>
      </c>
      <c r="M16" s="23">
        <f t="shared" ref="M16:N16" si="2">SUM(M6:M13)</f>
        <v>213</v>
      </c>
      <c r="N16" s="21">
        <f t="shared" si="2"/>
        <v>42</v>
      </c>
      <c r="O16" s="31">
        <f>SUM(O6:O13)</f>
        <v>179</v>
      </c>
      <c r="P16" s="31">
        <f>SUM(P6:P13)</f>
        <v>8</v>
      </c>
      <c r="Q16" s="22">
        <f>SUM(Q6:Q13)</f>
        <v>68</v>
      </c>
      <c r="R16" s="38" t="s">
        <v>185</v>
      </c>
      <c r="T16" s="42"/>
      <c r="U16" s="42"/>
      <c r="V16" s="42"/>
    </row>
    <row r="17" spans="1:22" ht="13.5" customHeight="1">
      <c r="T17" s="5"/>
      <c r="U17" s="5"/>
      <c r="V17" s="5"/>
    </row>
    <row r="18" spans="1:22" ht="13.5" customHeight="1">
      <c r="T18" s="5"/>
      <c r="U18" s="5"/>
      <c r="V18" s="5"/>
    </row>
    <row r="19" spans="1:22" ht="13.5" customHeight="1">
      <c r="T19" s="5"/>
      <c r="U19" s="5"/>
      <c r="V19" s="5"/>
    </row>
    <row r="20" spans="1:22" ht="13.5" customHeight="1">
      <c r="T20" s="5"/>
      <c r="U20" s="5"/>
      <c r="V20" s="5"/>
    </row>
    <row r="21" spans="1:22" ht="13.5" customHeight="1">
      <c r="C21" s="33" t="s">
        <v>186</v>
      </c>
      <c r="D21" s="9"/>
      <c r="E21" s="9"/>
      <c r="F21" s="9"/>
      <c r="G21" s="9"/>
      <c r="H21" s="9"/>
      <c r="I21" s="9"/>
      <c r="J21" s="9"/>
      <c r="K21" s="9"/>
      <c r="L21" s="9"/>
      <c r="M21" s="9"/>
      <c r="N21" s="9"/>
      <c r="O21" s="9"/>
      <c r="T21" s="5"/>
      <c r="U21" s="5"/>
      <c r="V21" s="5"/>
    </row>
    <row r="22" spans="1:22" ht="13.5" customHeight="1">
      <c r="C22" s="10"/>
      <c r="D22" s="425" t="s">
        <v>187</v>
      </c>
      <c r="E22" s="425"/>
      <c r="F22" s="425" t="s">
        <v>106</v>
      </c>
      <c r="G22" s="425"/>
      <c r="H22" s="425" t="s">
        <v>172</v>
      </c>
      <c r="I22" s="425"/>
      <c r="J22" s="426" t="s">
        <v>188</v>
      </c>
      <c r="K22" s="426"/>
      <c r="L22" s="426" t="s">
        <v>189</v>
      </c>
      <c r="M22" s="426"/>
      <c r="N22" s="416" t="s">
        <v>172</v>
      </c>
      <c r="O22" s="416"/>
    </row>
    <row r="23" spans="1:22" ht="13.5" customHeight="1">
      <c r="C23" s="10"/>
      <c r="D23" s="11" t="s">
        <v>190</v>
      </c>
      <c r="E23" s="12" t="s">
        <v>191</v>
      </c>
      <c r="F23" s="11" t="s">
        <v>190</v>
      </c>
      <c r="G23" s="12" t="s">
        <v>191</v>
      </c>
      <c r="H23" s="12" t="s">
        <v>190</v>
      </c>
      <c r="I23" s="12" t="s">
        <v>191</v>
      </c>
      <c r="J23" s="34" t="s">
        <v>190</v>
      </c>
      <c r="K23" s="13" t="s">
        <v>191</v>
      </c>
      <c r="L23" s="14" t="s">
        <v>190</v>
      </c>
      <c r="M23" s="14" t="s">
        <v>191</v>
      </c>
      <c r="N23" s="14" t="s">
        <v>190</v>
      </c>
      <c r="O23" s="14" t="s">
        <v>191</v>
      </c>
    </row>
    <row r="24" spans="1:22" ht="13.5" customHeight="1">
      <c r="C24" s="15" t="s">
        <v>192</v>
      </c>
      <c r="D24" s="7">
        <f>COUNTIFS(Tabelle13245689101112131415[Team],"*",Tabelle13245689101112131415[Pulled after Start],"&lt;&gt;yes")</f>
        <v>95</v>
      </c>
      <c r="E24" s="7">
        <f>SUMIFS(Tabelle13245689101112131415[Jira Story Points],Tabelle13245689101112131415[Team],"*",Tabelle13245689101112131415[Pulled after Start],"&lt;&gt;yes")+COUNTIFS(Tabelle13245689101112131415[Team],"*",Tabelle13245689101112131415[Jira Story Points],"-",Tabelle13245689101112131415[Pulled after Start],"&lt;&gt;yes")*$M$28</f>
        <v>342</v>
      </c>
      <c r="F24" s="7">
        <f>COUNTIF(Tabelle13245689101112131415[Pulled after Start],"yes")</f>
        <v>31</v>
      </c>
      <c r="G24" s="7">
        <f>SUMIFS(Tabelle13245689101112131415[Jira Story Points],Tabelle13245689101112131415[Team],"*",Tabelle13245689101112131415[Pulled after Start],"yes")+COUNTIFS(Tabelle13245689101112131415[Team],"*",Tabelle13245689101112131415[Jira Story Points],"-",Tabelle13245689101112131415[Pulled after Start],"yes")*$M$28</f>
        <v>71</v>
      </c>
      <c r="H24" s="7">
        <f t="shared" ref="H24:I27" si="3">D24+F24</f>
        <v>126</v>
      </c>
      <c r="I24" s="7">
        <f t="shared" si="3"/>
        <v>413</v>
      </c>
      <c r="J24" s="7">
        <f>COUNTIFS(Tabelle13245689101112131415[Team],"*",Tabelle13245689101112131415[Jira Story Points],"&lt;&gt;-")</f>
        <v>126</v>
      </c>
      <c r="K24" s="16">
        <f>SUMIFS(Tabelle13245689101112131415[Jira Story Points],Tabelle13245689101112131415[Team],"*",Tabelle13245689101112131415[Jira Story Points],"&lt;&gt;-")</f>
        <v>413</v>
      </c>
      <c r="L24" s="8">
        <f>COUNTIFS(Tabelle13245689101112131415[Team],"*",Tabelle13245689101112131415[Jira Story Points],"-")</f>
        <v>0</v>
      </c>
      <c r="M24" s="8">
        <f>L24*$M$28</f>
        <v>0</v>
      </c>
      <c r="N24" s="35">
        <f t="shared" ref="N24:O27" si="4">J24+L24</f>
        <v>126</v>
      </c>
      <c r="O24" s="7">
        <f t="shared" si="4"/>
        <v>413</v>
      </c>
    </row>
    <row r="25" spans="1:22" ht="13.5" customHeight="1">
      <c r="C25" s="15" t="s">
        <v>125</v>
      </c>
      <c r="D25" s="7">
        <f>COUNTIFS(Tabelle13245689101112131415[Team],"*",Tabelle13245689101112131415[Pulled after Start],"&lt;&gt;yes",Tabelle13245689101112131415[Status],H5)</f>
        <v>71</v>
      </c>
      <c r="E25" s="7">
        <f>SUMIFS(Tabelle13245689101112131415[Jira Story Points],Tabelle13245689101112131415[Team],"*",Tabelle13245689101112131415[Pulled after Start],"&lt;&gt;yes",Tabelle13245689101112131415[Status],H5)+COUNTIFS(Tabelle13245689101112131415[Team],"*",Tabelle13245689101112131415[Jira Story Points],"-",Tabelle13245689101112131415[Pulled after Start],"&lt;&gt;yes",Tabelle13245689101112131415[Status],H5)*$M$28</f>
        <v>222</v>
      </c>
      <c r="F25" s="7">
        <f>COUNTIFS(Tabelle13245689101112131415[Pulled after Start],"yes",Tabelle13245689101112131415[Status],H5)</f>
        <v>21</v>
      </c>
      <c r="G25" s="7">
        <f>SUMIFS(Tabelle13245689101112131415[Jira Story Points],Tabelle13245689101112131415[Team],"*",Tabelle13245689101112131415[Pulled after Start],"yes",Tabelle13245689101112131415[Status],H5)+COUNTIFS(Tabelle13245689101112131415[Team],"*",Tabelle13245689101112131415[Jira Story Points],"-",Tabelle13245689101112131415[Pulled after Start],"yes",Tabelle13245689101112131415[Status],H5)*$M$28</f>
        <v>44</v>
      </c>
      <c r="H25" s="7">
        <f t="shared" si="3"/>
        <v>92</v>
      </c>
      <c r="I25" s="7">
        <f t="shared" si="3"/>
        <v>266</v>
      </c>
      <c r="J25" s="7">
        <f>COUNTIFS(Tabelle13245689101112131415[Team],"*",Tabelle13245689101112131415[Jira Story Points],"&lt;&gt;-",Tabelle13245689101112131415[Status],H5)</f>
        <v>92</v>
      </c>
      <c r="K25" s="7">
        <f>SUMIFS(Tabelle13245689101112131415[Jira Story Points],Tabelle13245689101112131415[Team],"*",Tabelle13245689101112131415[Jira Story Points],"&lt;&gt;-",Tabelle13245689101112131415[Status],H5)</f>
        <v>266</v>
      </c>
      <c r="L25" s="17">
        <f>COUNTIFS(Tabelle13245689101112131415[Team],"*",Tabelle13245689101112131415[Jira Story Points],"-",Tabelle13245689101112131415[Status],H5)</f>
        <v>0</v>
      </c>
      <c r="M25" s="8">
        <f>L25*$M$28</f>
        <v>0</v>
      </c>
      <c r="N25" s="7">
        <f t="shared" si="4"/>
        <v>92</v>
      </c>
      <c r="O25" s="7">
        <f t="shared" si="4"/>
        <v>266</v>
      </c>
    </row>
    <row r="26" spans="1:22" ht="13.5" customHeight="1">
      <c r="C26" s="15" t="s">
        <v>127</v>
      </c>
      <c r="D26" s="7">
        <f>COUNTIFS(Tabelle13245689101112131415[Team],"*",Tabelle13245689101112131415[Pulled after Start],"&lt;&gt;yes",Tabelle13245689101112131415[Status],I5)</f>
        <v>23</v>
      </c>
      <c r="E26" s="7">
        <f>SUMIFS(Tabelle13245689101112131415[Jira Story Points],Tabelle13245689101112131415[Team],"*",Tabelle13245689101112131415[Pulled after Start],"&lt;&gt;yes",Tabelle13245689101112131415[Status],I5)+COUNTIFS(Tabelle13245689101112131415[Team],"*",Tabelle13245689101112131415[Jira Story Points],"-",Tabelle13245689101112131415[Pulled after Start],"&lt;&gt;yes",Tabelle13245689101112131415[Status],I5)*$M$28</f>
        <v>112</v>
      </c>
      <c r="F26" s="7">
        <f>COUNTIFS(Tabelle13245689101112131415[Pulled after Start],"yes",Tabelle13245689101112131415[Status],I5)</f>
        <v>10</v>
      </c>
      <c r="G26" s="7">
        <f>SUMIFS(Tabelle13245689101112131415[Jira Story Points],Tabelle13245689101112131415[Team],"*",Tabelle13245689101112131415[Pulled after Start],"yes",Tabelle13245689101112131415[Status],I5)+COUNTIFS(Tabelle13245689101112131415[Team],"*",Tabelle13245689101112131415[Jira Story Points],"-",Tabelle13245689101112131415[Pulled after Start],"yes",Tabelle13245689101112131415[Status],I5)*$M$28</f>
        <v>27</v>
      </c>
      <c r="H26" s="7">
        <f t="shared" si="3"/>
        <v>33</v>
      </c>
      <c r="I26" s="7">
        <f t="shared" si="3"/>
        <v>139</v>
      </c>
      <c r="J26" s="7">
        <f>COUNTIFS(Tabelle13245689101112131415[Team],"*",Tabelle13245689101112131415[Jira Story Points],"&lt;&gt;-",Tabelle13245689101112131415[Status],I5)</f>
        <v>33</v>
      </c>
      <c r="K26" s="7">
        <f>SUMIFS(Tabelle13245689101112131415[Jira Story Points],Tabelle13245689101112131415[Team],"*",Tabelle13245689101112131415[Jira Story Points],"&lt;&gt;-",Tabelle13245689101112131415[Status],I5)</f>
        <v>139</v>
      </c>
      <c r="L26" s="17">
        <f>COUNTIFS(Tabelle13245689101112131415[Team],"*",Tabelle13245689101112131415[Jira Story Points],"-",Tabelle13245689101112131415[Status],I5)</f>
        <v>0</v>
      </c>
      <c r="M26" s="8">
        <f>L26*$M$28</f>
        <v>0</v>
      </c>
      <c r="N26" s="7">
        <f t="shared" si="4"/>
        <v>33</v>
      </c>
      <c r="O26" s="7">
        <f t="shared" si="4"/>
        <v>139</v>
      </c>
    </row>
    <row r="27" spans="1:22" ht="13.5" customHeight="1">
      <c r="C27" s="15" t="s">
        <v>126</v>
      </c>
      <c r="D27" s="7">
        <f>COUNTIFS(Tabelle13245689101112131415[Team],"*",Tabelle13245689101112131415[Pulled after Start],"&lt;&gt;yes",Tabelle13245689101112131415[Status],J5)</f>
        <v>1</v>
      </c>
      <c r="E27" s="7">
        <f>SUMIFS(Tabelle13245689101112131415[Jira Story Points],Tabelle13245689101112131415[Team],"*",Tabelle13245689101112131415[Pulled after Start],"&lt;&gt;yes",Tabelle13245689101112131415[Status],J5)+COUNTIFS(Tabelle13245689101112131415[Team],"*",Tabelle13245689101112131415[Jira Story Points],"-",Tabelle13245689101112131415[Pulled after Start],"&lt;&gt;yes",Tabelle13245689101112131415[Status],J5)*$M$28</f>
        <v>8</v>
      </c>
      <c r="F27" s="7">
        <f>COUNTIFS(Tabelle13245689101112131415[Pulled after Start],"yes",Tabelle13245689101112131415[Status],J5)</f>
        <v>0</v>
      </c>
      <c r="G27" s="7">
        <f>SUMIFS(Tabelle13245689101112131415[Jira Story Points],Tabelle13245689101112131415[Team],"*",Tabelle13245689101112131415[Pulled after Start],"yes",Tabelle13245689101112131415[Status],J5)+COUNTIFS(Tabelle13245689101112131415[Team],"*",Tabelle13245689101112131415[Jira Story Points],"-",Tabelle13245689101112131415[Pulled after Start],"yes",Tabelle13245689101112131415[Status],J5)*$M$28</f>
        <v>0</v>
      </c>
      <c r="H27" s="7">
        <f t="shared" si="3"/>
        <v>1</v>
      </c>
      <c r="I27" s="7">
        <f t="shared" si="3"/>
        <v>8</v>
      </c>
      <c r="J27" s="7">
        <f>COUNTIFS(Tabelle13245689101112131415[Team],"*",Tabelle13245689101112131415[Jira Story Points],"&lt;&gt;-",Tabelle13245689101112131415[Status],J5)</f>
        <v>1</v>
      </c>
      <c r="K27" s="7">
        <f>SUMIFS(Tabelle13245689101112131415[Jira Story Points],Tabelle13245689101112131415[Team],"*",Tabelle13245689101112131415[Jira Story Points],"&lt;&gt;-",Tabelle13245689101112131415[Status],J5)</f>
        <v>8</v>
      </c>
      <c r="L27" s="17">
        <f>COUNTIFS(Tabelle13245689101112131415[Team],"*",Tabelle13245689101112131415[Jira Story Points],"-",Tabelle13245689101112131415[Status],J5)</f>
        <v>0</v>
      </c>
      <c r="M27" s="8">
        <f>L27*$M$28</f>
        <v>0</v>
      </c>
      <c r="N27" s="7">
        <f t="shared" si="4"/>
        <v>1</v>
      </c>
      <c r="O27" s="7">
        <f t="shared" si="4"/>
        <v>8</v>
      </c>
    </row>
    <row r="28" spans="1:22" ht="13.5" customHeight="1" thickBot="1">
      <c r="C28" s="1"/>
      <c r="D28" s="1"/>
      <c r="E28" s="1"/>
      <c r="F28" s="1"/>
      <c r="G28" s="1"/>
      <c r="H28" s="1"/>
      <c r="I28" s="1"/>
      <c r="J28" s="1"/>
      <c r="K28" s="1"/>
      <c r="L28" s="24" t="s">
        <v>193</v>
      </c>
      <c r="M28" s="45">
        <v>2</v>
      </c>
    </row>
    <row r="31" spans="1:22" s="201" customFormat="1" ht="30.75" customHeight="1">
      <c r="A31" s="197" t="s">
        <v>194</v>
      </c>
      <c r="B31" s="197" t="s">
        <v>195</v>
      </c>
      <c r="C31" s="197" t="s">
        <v>196</v>
      </c>
      <c r="D31" s="197" t="s">
        <v>197</v>
      </c>
      <c r="E31" s="197" t="s">
        <v>198</v>
      </c>
      <c r="F31" s="197" t="s">
        <v>199</v>
      </c>
      <c r="G31" s="197" t="s">
        <v>167</v>
      </c>
      <c r="H31" s="197" t="s">
        <v>106</v>
      </c>
      <c r="I31" s="197" t="s">
        <v>200</v>
      </c>
      <c r="J31" s="197" t="s">
        <v>201</v>
      </c>
      <c r="K31" s="197" t="s">
        <v>202</v>
      </c>
      <c r="L31" s="197" t="s">
        <v>203</v>
      </c>
      <c r="M31" s="199" t="s">
        <v>1304</v>
      </c>
      <c r="N31" s="199" t="s">
        <v>1305</v>
      </c>
      <c r="O31" s="199" t="s">
        <v>1306</v>
      </c>
      <c r="P31" s="200" t="s">
        <v>1307</v>
      </c>
      <c r="Q31" s="199" t="s">
        <v>1308</v>
      </c>
    </row>
    <row r="32" spans="1:22" s="201" customFormat="1" ht="18" hidden="1">
      <c r="A32" s="268" t="s">
        <v>1309</v>
      </c>
      <c r="B32" s="47" t="s">
        <v>1310</v>
      </c>
      <c r="C32" s="203" t="s">
        <v>372</v>
      </c>
      <c r="D32" s="203">
        <v>3</v>
      </c>
      <c r="E32" s="203" t="s">
        <v>324</v>
      </c>
      <c r="F32" s="204">
        <v>5</v>
      </c>
      <c r="G32" s="203" t="s">
        <v>35</v>
      </c>
      <c r="H32" s="216"/>
      <c r="I32" s="216"/>
      <c r="J32" s="203" t="s">
        <v>125</v>
      </c>
      <c r="K32" s="204"/>
      <c r="L32" s="204"/>
      <c r="M32" s="211">
        <f>IF(Tabelle13245689101112131415[[#This Row],[Pulled after Start]]="",MIN(Tabelle13245689101112131415[[#This Row],[Jira Story Points]],Tabelle13245689101112131415[[#This Row],[Carry-over]]),0)</f>
        <v>5</v>
      </c>
      <c r="N32" s="209">
        <f>MIN(Tabelle13245689101112131415[[#This Row],[Jira Story Points]],Tabelle13245689101112131415[[#This Row],[Carry-over]])-Tabelle13245689101112131415[[#This Row],[SP Initially Planned (COS)]]</f>
        <v>0</v>
      </c>
      <c r="O32"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5</v>
      </c>
      <c r="P32" s="211">
        <f>IFERROR(IF(Tabelle13245689101112131415[[#This Row],[Status]]=$J$5,MIN(Tabelle13245689101112131415[[#This Row],[Jira Story Points]],Tabelle13245689101112131415[[#This Row],[Carry-over]]),0),0)</f>
        <v>0</v>
      </c>
      <c r="Q32" s="211">
        <f>IFERROR(IF(Tabelle13245689101112131415[[#This Row],[Status]]=$J$5,0,MIN(Tabelle13245689101112131415[[#This Row],[Jira Story Points]],Tabelle13245689101112131415[[#This Row],[Carry-over]])-Tabelle13245689101112131415[[#This Row],[SP Completed (COS &amp; SOS)]]),0)</f>
        <v>0</v>
      </c>
    </row>
    <row r="33" spans="1:39" s="201" customFormat="1" hidden="1">
      <c r="A33" s="268" t="s">
        <v>1311</v>
      </c>
      <c r="B33" s="47" t="s">
        <v>1312</v>
      </c>
      <c r="C33" s="203" t="s">
        <v>372</v>
      </c>
      <c r="D33" s="203">
        <v>3</v>
      </c>
      <c r="E33" s="203" t="s">
        <v>324</v>
      </c>
      <c r="F33" s="204">
        <v>3</v>
      </c>
      <c r="G33" s="203" t="s">
        <v>35</v>
      </c>
      <c r="H33" s="205"/>
      <c r="I33" s="206"/>
      <c r="J33" s="203" t="s">
        <v>125</v>
      </c>
      <c r="K33" s="204"/>
      <c r="L33" s="204"/>
      <c r="M33" s="211">
        <f>IF(Tabelle13245689101112131415[[#This Row],[Pulled after Start]]="",MIN(Tabelle13245689101112131415[[#This Row],[Jira Story Points]],Tabelle13245689101112131415[[#This Row],[Carry-over]]),0)</f>
        <v>3</v>
      </c>
      <c r="N33" s="209">
        <f>MIN(Tabelle13245689101112131415[[#This Row],[Jira Story Points]],Tabelle13245689101112131415[[#This Row],[Carry-over]])-Tabelle13245689101112131415[[#This Row],[SP Initially Planned (COS)]]</f>
        <v>0</v>
      </c>
      <c r="O33"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33" s="211">
        <f>IFERROR(IF(Tabelle13245689101112131415[[#This Row],[Status]]=$J$5,MIN(Tabelle13245689101112131415[[#This Row],[Jira Story Points]],Tabelle13245689101112131415[[#This Row],[Carry-over]]),0),0)</f>
        <v>0</v>
      </c>
      <c r="Q33" s="211">
        <f>IFERROR(IF(Tabelle13245689101112131415[[#This Row],[Status]]=$J$5,0,MIN(Tabelle13245689101112131415[[#This Row],[Jira Story Points]],Tabelle13245689101112131415[[#This Row],[Carry-over]])-Tabelle13245689101112131415[[#This Row],[SP Completed (COS &amp; SOS)]]),0)</f>
        <v>0</v>
      </c>
    </row>
    <row r="34" spans="1:39" s="213" customFormat="1" hidden="1">
      <c r="A34" s="268" t="s">
        <v>1313</v>
      </c>
      <c r="B34" s="47" t="s">
        <v>1314</v>
      </c>
      <c r="C34" s="203" t="s">
        <v>375</v>
      </c>
      <c r="D34" s="203">
        <v>3</v>
      </c>
      <c r="E34" s="203" t="s">
        <v>324</v>
      </c>
      <c r="F34" s="204">
        <v>2</v>
      </c>
      <c r="G34" s="203" t="s">
        <v>35</v>
      </c>
      <c r="H34" s="205"/>
      <c r="I34" s="206"/>
      <c r="J34" s="203" t="s">
        <v>125</v>
      </c>
      <c r="K34" s="204"/>
      <c r="L34" s="204"/>
      <c r="M34" s="211">
        <f>IF(Tabelle13245689101112131415[[#This Row],[Pulled after Start]]="",MIN(Tabelle13245689101112131415[[#This Row],[Jira Story Points]],Tabelle13245689101112131415[[#This Row],[Carry-over]]),0)</f>
        <v>2</v>
      </c>
      <c r="N34" s="209">
        <f>MIN(Tabelle13245689101112131415[[#This Row],[Jira Story Points]],Tabelle13245689101112131415[[#This Row],[Carry-over]])-Tabelle13245689101112131415[[#This Row],[SP Initially Planned (COS)]]</f>
        <v>0</v>
      </c>
      <c r="O34"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34" s="211">
        <f>IFERROR(IF(Tabelle13245689101112131415[[#This Row],[Status]]=$J$5,MIN(Tabelle13245689101112131415[[#This Row],[Jira Story Points]],Tabelle13245689101112131415[[#This Row],[Carry-over]]),0),0)</f>
        <v>0</v>
      </c>
      <c r="Q34" s="211">
        <f>IFERROR(IF(Tabelle13245689101112131415[[#This Row],[Status]]=$J$5,0,MIN(Tabelle13245689101112131415[[#This Row],[Jira Story Points]],Tabelle13245689101112131415[[#This Row],[Carry-over]])-Tabelle13245689101112131415[[#This Row],[SP Completed (COS &amp; SOS)]]),0)</f>
        <v>0</v>
      </c>
      <c r="AA34" s="1"/>
      <c r="AB34" s="1"/>
      <c r="AC34" s="1"/>
      <c r="AD34" s="1"/>
      <c r="AE34" s="1"/>
      <c r="AF34" s="1"/>
      <c r="AG34" s="1"/>
      <c r="AH34" s="1"/>
      <c r="AI34" s="1"/>
      <c r="AJ34" s="1"/>
      <c r="AK34" s="1"/>
      <c r="AL34" s="1"/>
      <c r="AM34" s="1"/>
    </row>
    <row r="35" spans="1:39" s="213" customFormat="1" hidden="1">
      <c r="A35" s="268" t="s">
        <v>1315</v>
      </c>
      <c r="B35" s="47" t="s">
        <v>1316</v>
      </c>
      <c r="C35" s="203" t="s">
        <v>375</v>
      </c>
      <c r="D35" s="203">
        <v>3</v>
      </c>
      <c r="E35" s="203" t="s">
        <v>324</v>
      </c>
      <c r="F35" s="204">
        <v>2</v>
      </c>
      <c r="G35" s="203" t="s">
        <v>35</v>
      </c>
      <c r="H35" s="205"/>
      <c r="I35" s="206"/>
      <c r="J35" s="203" t="s">
        <v>125</v>
      </c>
      <c r="K35" s="204"/>
      <c r="L35" s="204"/>
      <c r="M35" s="211">
        <f>IF(Tabelle13245689101112131415[[#This Row],[Pulled after Start]]="",MIN(Tabelle13245689101112131415[[#This Row],[Jira Story Points]],Tabelle13245689101112131415[[#This Row],[Carry-over]]),0)</f>
        <v>2</v>
      </c>
      <c r="N35" s="209">
        <f>MIN(Tabelle13245689101112131415[[#This Row],[Jira Story Points]],Tabelle13245689101112131415[[#This Row],[Carry-over]])-Tabelle13245689101112131415[[#This Row],[SP Initially Planned (COS)]]</f>
        <v>0</v>
      </c>
      <c r="O35"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35" s="211">
        <f>IFERROR(IF(Tabelle13245689101112131415[[#This Row],[Status]]=$J$5,MIN(Tabelle13245689101112131415[[#This Row],[Jira Story Points]],Tabelle13245689101112131415[[#This Row],[Carry-over]]),0),0)</f>
        <v>0</v>
      </c>
      <c r="Q35" s="211">
        <f>IFERROR(IF(Tabelle13245689101112131415[[#This Row],[Status]]=$J$5,0,MIN(Tabelle13245689101112131415[[#This Row],[Jira Story Points]],Tabelle13245689101112131415[[#This Row],[Carry-over]])-Tabelle13245689101112131415[[#This Row],[SP Completed (COS &amp; SOS)]]),0)</f>
        <v>0</v>
      </c>
      <c r="AA35" s="1"/>
      <c r="AB35" s="1"/>
      <c r="AC35" s="1"/>
      <c r="AD35" s="1"/>
      <c r="AE35" s="1"/>
      <c r="AF35" s="1"/>
      <c r="AG35" s="1"/>
      <c r="AH35" s="1"/>
      <c r="AI35" s="1"/>
      <c r="AJ35" s="1"/>
      <c r="AK35" s="1"/>
      <c r="AL35" s="1"/>
      <c r="AM35" s="1"/>
    </row>
    <row r="36" spans="1:39" s="213" customFormat="1" hidden="1">
      <c r="A36" s="268" t="s">
        <v>582</v>
      </c>
      <c r="B36" s="47" t="s">
        <v>1317</v>
      </c>
      <c r="C36" s="203" t="s">
        <v>375</v>
      </c>
      <c r="D36" s="203">
        <v>2</v>
      </c>
      <c r="E36" s="203" t="s">
        <v>327</v>
      </c>
      <c r="F36" s="204">
        <v>8</v>
      </c>
      <c r="G36" s="203" t="s">
        <v>35</v>
      </c>
      <c r="H36" s="205"/>
      <c r="I36" s="206"/>
      <c r="J36" s="203" t="s">
        <v>127</v>
      </c>
      <c r="K36" s="204"/>
      <c r="L36" s="204"/>
      <c r="M36" s="211">
        <f>IF(Tabelle13245689101112131415[[#This Row],[Pulled after Start]]="",MIN(Tabelle13245689101112131415[[#This Row],[Jira Story Points]],Tabelle13245689101112131415[[#This Row],[Carry-over]]),0)</f>
        <v>8</v>
      </c>
      <c r="N36" s="209">
        <f>MIN(Tabelle13245689101112131415[[#This Row],[Jira Story Points]],Tabelle13245689101112131415[[#This Row],[Carry-over]])-Tabelle13245689101112131415[[#This Row],[SP Initially Planned (COS)]]</f>
        <v>0</v>
      </c>
      <c r="O36"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36" s="211">
        <f>IFERROR(IF(Tabelle13245689101112131415[[#This Row],[Status]]=$J$5,MIN(Tabelle13245689101112131415[[#This Row],[Jira Story Points]],Tabelle13245689101112131415[[#This Row],[Carry-over]]),0),0)</f>
        <v>0</v>
      </c>
      <c r="Q36" s="211">
        <f>IFERROR(IF(Tabelle13245689101112131415[[#This Row],[Status]]=$J$5,0,MIN(Tabelle13245689101112131415[[#This Row],[Jira Story Points]],Tabelle13245689101112131415[[#This Row],[Carry-over]])-Tabelle13245689101112131415[[#This Row],[SP Completed (COS &amp; SOS)]]),0)</f>
        <v>8</v>
      </c>
      <c r="AA36" s="1"/>
      <c r="AB36" s="1"/>
      <c r="AC36" s="1"/>
      <c r="AD36" s="1"/>
      <c r="AE36" s="1"/>
      <c r="AF36" s="1"/>
      <c r="AG36" s="1"/>
      <c r="AH36" s="1"/>
      <c r="AI36" s="1"/>
      <c r="AJ36" s="1"/>
      <c r="AK36" s="1"/>
      <c r="AL36" s="1"/>
      <c r="AM36" s="1"/>
    </row>
    <row r="37" spans="1:39" s="213" customFormat="1" hidden="1">
      <c r="A37" s="268" t="s">
        <v>586</v>
      </c>
      <c r="B37" s="47" t="s">
        <v>587</v>
      </c>
      <c r="C37" s="203" t="s">
        <v>372</v>
      </c>
      <c r="D37" s="203">
        <v>3</v>
      </c>
      <c r="E37" s="203" t="s">
        <v>1247</v>
      </c>
      <c r="F37" s="204">
        <v>1</v>
      </c>
      <c r="G37" s="203" t="s">
        <v>35</v>
      </c>
      <c r="H37" s="205" t="s">
        <v>209</v>
      </c>
      <c r="I37" s="206"/>
      <c r="J37" s="203" t="s">
        <v>127</v>
      </c>
      <c r="K37" s="204"/>
      <c r="L37" s="204"/>
      <c r="M37" s="211">
        <f>IF(Tabelle13245689101112131415[[#This Row],[Pulled after Start]]="",MIN(Tabelle13245689101112131415[[#This Row],[Jira Story Points]],Tabelle13245689101112131415[[#This Row],[Carry-over]]),0)</f>
        <v>0</v>
      </c>
      <c r="N37" s="209">
        <f>MIN(Tabelle13245689101112131415[[#This Row],[Jira Story Points]],Tabelle13245689101112131415[[#This Row],[Carry-over]])-Tabelle13245689101112131415[[#This Row],[SP Initially Planned (COS)]]</f>
        <v>1</v>
      </c>
      <c r="O37"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37" s="211">
        <f>IFERROR(IF(Tabelle13245689101112131415[[#This Row],[Status]]=$J$5,MIN(Tabelle13245689101112131415[[#This Row],[Jira Story Points]],Tabelle13245689101112131415[[#This Row],[Carry-over]]),0),0)</f>
        <v>0</v>
      </c>
      <c r="Q37" s="211">
        <f>IFERROR(IF(Tabelle13245689101112131415[[#This Row],[Status]]=$J$5,0,MIN(Tabelle13245689101112131415[[#This Row],[Jira Story Points]],Tabelle13245689101112131415[[#This Row],[Carry-over]])-Tabelle13245689101112131415[[#This Row],[SP Completed (COS &amp; SOS)]]),0)</f>
        <v>1</v>
      </c>
      <c r="AA37" s="1"/>
      <c r="AB37" s="1"/>
      <c r="AC37" s="1"/>
      <c r="AD37" s="1"/>
      <c r="AE37" s="1"/>
      <c r="AF37" s="1"/>
      <c r="AG37" s="1"/>
      <c r="AH37" s="1"/>
      <c r="AI37" s="1"/>
      <c r="AJ37" s="1"/>
      <c r="AK37" s="1"/>
      <c r="AL37" s="1"/>
      <c r="AM37" s="1"/>
    </row>
    <row r="38" spans="1:39" s="213" customFormat="1" hidden="1">
      <c r="A38" s="268" t="s">
        <v>1318</v>
      </c>
      <c r="B38" s="47" t="s">
        <v>1319</v>
      </c>
      <c r="C38" s="203" t="s">
        <v>372</v>
      </c>
      <c r="D38" s="203">
        <v>3</v>
      </c>
      <c r="E38" s="203" t="s">
        <v>1247</v>
      </c>
      <c r="F38" s="204">
        <v>3</v>
      </c>
      <c r="G38" s="203" t="s">
        <v>35</v>
      </c>
      <c r="H38" s="205"/>
      <c r="I38" s="206"/>
      <c r="J38" s="203" t="s">
        <v>125</v>
      </c>
      <c r="K38" s="204"/>
      <c r="L38" s="204"/>
      <c r="M38" s="211">
        <f>IF(Tabelle13245689101112131415[[#This Row],[Pulled after Start]]="",MIN(Tabelle13245689101112131415[[#This Row],[Jira Story Points]],Tabelle13245689101112131415[[#This Row],[Carry-over]]),0)</f>
        <v>3</v>
      </c>
      <c r="N38" s="209">
        <f>MIN(Tabelle13245689101112131415[[#This Row],[Jira Story Points]],Tabelle13245689101112131415[[#This Row],[Carry-over]])-Tabelle13245689101112131415[[#This Row],[SP Initially Planned (COS)]]</f>
        <v>0</v>
      </c>
      <c r="O38"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38" s="211">
        <f>IFERROR(IF(Tabelle13245689101112131415[[#This Row],[Status]]=$J$5,MIN(Tabelle13245689101112131415[[#This Row],[Jira Story Points]],Tabelle13245689101112131415[[#This Row],[Carry-over]]),0),0)</f>
        <v>0</v>
      </c>
      <c r="Q38" s="211">
        <f>IFERROR(IF(Tabelle13245689101112131415[[#This Row],[Status]]=$J$5,0,MIN(Tabelle13245689101112131415[[#This Row],[Jira Story Points]],Tabelle13245689101112131415[[#This Row],[Carry-over]])-Tabelle13245689101112131415[[#This Row],[SP Completed (COS &amp; SOS)]]),0)</f>
        <v>0</v>
      </c>
      <c r="AA38" s="1"/>
      <c r="AB38" s="1"/>
      <c r="AC38" s="1"/>
      <c r="AD38" s="1"/>
      <c r="AE38" s="1"/>
      <c r="AF38" s="1"/>
      <c r="AG38" s="1"/>
      <c r="AH38" s="1"/>
      <c r="AI38" s="1"/>
      <c r="AJ38" s="1"/>
      <c r="AK38" s="1"/>
      <c r="AL38" s="1"/>
      <c r="AM38" s="1"/>
    </row>
    <row r="39" spans="1:39" s="213" customFormat="1" hidden="1">
      <c r="A39" s="268" t="s">
        <v>1105</v>
      </c>
      <c r="B39" s="47" t="s">
        <v>1106</v>
      </c>
      <c r="C39" s="203" t="s">
        <v>375</v>
      </c>
      <c r="D39" s="203">
        <v>1</v>
      </c>
      <c r="E39" s="203" t="s">
        <v>637</v>
      </c>
      <c r="F39" s="204">
        <v>3</v>
      </c>
      <c r="G39" s="203" t="s">
        <v>35</v>
      </c>
      <c r="H39" s="205"/>
      <c r="I39" s="206"/>
      <c r="J39" s="203" t="s">
        <v>127</v>
      </c>
      <c r="K39" s="204"/>
      <c r="L39" s="204"/>
      <c r="M39" s="211">
        <f>IF(Tabelle13245689101112131415[[#This Row],[Pulled after Start]]="",MIN(Tabelle13245689101112131415[[#This Row],[Jira Story Points]],Tabelle13245689101112131415[[#This Row],[Carry-over]]),0)</f>
        <v>3</v>
      </c>
      <c r="N39" s="209">
        <f>MIN(Tabelle13245689101112131415[[#This Row],[Jira Story Points]],Tabelle13245689101112131415[[#This Row],[Carry-over]])-Tabelle13245689101112131415[[#This Row],[SP Initially Planned (COS)]]</f>
        <v>0</v>
      </c>
      <c r="O39"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39" s="211">
        <f>IFERROR(IF(Tabelle13245689101112131415[[#This Row],[Status]]=$J$5,MIN(Tabelle13245689101112131415[[#This Row],[Jira Story Points]],Tabelle13245689101112131415[[#This Row],[Carry-over]]),0),0)</f>
        <v>0</v>
      </c>
      <c r="Q39" s="211">
        <f>IFERROR(IF(Tabelle13245689101112131415[[#This Row],[Status]]=$J$5,0,MIN(Tabelle13245689101112131415[[#This Row],[Jira Story Points]],Tabelle13245689101112131415[[#This Row],[Carry-over]])-Tabelle13245689101112131415[[#This Row],[SP Completed (COS &amp; SOS)]]),0)</f>
        <v>3</v>
      </c>
      <c r="AA39" s="2"/>
      <c r="AB39" s="2"/>
      <c r="AC39" s="2"/>
      <c r="AD39" s="2"/>
      <c r="AE39" s="2"/>
      <c r="AF39" s="2"/>
      <c r="AG39" s="2"/>
      <c r="AH39" s="2"/>
      <c r="AI39" s="2"/>
      <c r="AJ39" s="2"/>
      <c r="AK39" s="2"/>
      <c r="AL39" s="2"/>
      <c r="AM39" s="2"/>
    </row>
    <row r="40" spans="1:39" s="213" customFormat="1" hidden="1">
      <c r="A40" s="268" t="s">
        <v>1107</v>
      </c>
      <c r="B40" s="47" t="s">
        <v>1108</v>
      </c>
      <c r="C40" s="203" t="s">
        <v>375</v>
      </c>
      <c r="D40" s="203">
        <v>3</v>
      </c>
      <c r="E40" s="203" t="s">
        <v>637</v>
      </c>
      <c r="F40" s="204">
        <v>5</v>
      </c>
      <c r="G40" s="203" t="s">
        <v>35</v>
      </c>
      <c r="H40" s="205"/>
      <c r="I40" s="206"/>
      <c r="J40" s="203" t="s">
        <v>127</v>
      </c>
      <c r="K40" s="204"/>
      <c r="L40" s="204"/>
      <c r="M40" s="211">
        <f>IF(Tabelle13245689101112131415[[#This Row],[Pulled after Start]]="",MIN(Tabelle13245689101112131415[[#This Row],[Jira Story Points]],Tabelle13245689101112131415[[#This Row],[Carry-over]]),0)</f>
        <v>5</v>
      </c>
      <c r="N40" s="209">
        <f>MIN(Tabelle13245689101112131415[[#This Row],[Jira Story Points]],Tabelle13245689101112131415[[#This Row],[Carry-over]])-Tabelle13245689101112131415[[#This Row],[SP Initially Planned (COS)]]</f>
        <v>0</v>
      </c>
      <c r="O40"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40" s="211">
        <f>IFERROR(IF(Tabelle13245689101112131415[[#This Row],[Status]]=$J$5,MIN(Tabelle13245689101112131415[[#This Row],[Jira Story Points]],Tabelle13245689101112131415[[#This Row],[Carry-over]]),0),0)</f>
        <v>0</v>
      </c>
      <c r="Q40" s="211">
        <f>IFERROR(IF(Tabelle13245689101112131415[[#This Row],[Status]]=$J$5,0,MIN(Tabelle13245689101112131415[[#This Row],[Jira Story Points]],Tabelle13245689101112131415[[#This Row],[Carry-over]])-Tabelle13245689101112131415[[#This Row],[SP Completed (COS &amp; SOS)]]),0)</f>
        <v>5</v>
      </c>
      <c r="AA40" s="1"/>
      <c r="AB40" s="1"/>
      <c r="AC40" s="1"/>
      <c r="AD40" s="1"/>
      <c r="AE40" s="1"/>
      <c r="AF40" s="1"/>
      <c r="AG40" s="1"/>
      <c r="AH40" s="1"/>
      <c r="AI40" s="1"/>
      <c r="AJ40" s="1"/>
      <c r="AK40" s="1"/>
      <c r="AL40" s="1"/>
      <c r="AM40" s="1"/>
    </row>
    <row r="41" spans="1:39" s="213" customFormat="1" hidden="1">
      <c r="A41" s="268" t="s">
        <v>1109</v>
      </c>
      <c r="B41" s="47" t="s">
        <v>1110</v>
      </c>
      <c r="C41" s="203" t="s">
        <v>375</v>
      </c>
      <c r="D41" s="203">
        <v>2</v>
      </c>
      <c r="E41" s="203" t="s">
        <v>327</v>
      </c>
      <c r="F41" s="204">
        <v>5</v>
      </c>
      <c r="G41" s="203" t="s">
        <v>35</v>
      </c>
      <c r="H41" s="205"/>
      <c r="I41" s="206"/>
      <c r="J41" s="203" t="s">
        <v>127</v>
      </c>
      <c r="K41" s="204"/>
      <c r="L41" s="204"/>
      <c r="M41" s="211">
        <f>IF(Tabelle13245689101112131415[[#This Row],[Pulled after Start]]="",MIN(Tabelle13245689101112131415[[#This Row],[Jira Story Points]],Tabelle13245689101112131415[[#This Row],[Carry-over]]),0)</f>
        <v>5</v>
      </c>
      <c r="N41" s="209">
        <f>MIN(Tabelle13245689101112131415[[#This Row],[Jira Story Points]],Tabelle13245689101112131415[[#This Row],[Carry-over]])-Tabelle13245689101112131415[[#This Row],[SP Initially Planned (COS)]]</f>
        <v>0</v>
      </c>
      <c r="O41"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41" s="211">
        <f>IFERROR(IF(Tabelle13245689101112131415[[#This Row],[Status]]=$J$5,MIN(Tabelle13245689101112131415[[#This Row],[Jira Story Points]],Tabelle13245689101112131415[[#This Row],[Carry-over]]),0),0)</f>
        <v>0</v>
      </c>
      <c r="Q41" s="211">
        <f>IFERROR(IF(Tabelle13245689101112131415[[#This Row],[Status]]=$J$5,0,MIN(Tabelle13245689101112131415[[#This Row],[Jira Story Points]],Tabelle13245689101112131415[[#This Row],[Carry-over]])-Tabelle13245689101112131415[[#This Row],[SP Completed (COS &amp; SOS)]]),0)</f>
        <v>5</v>
      </c>
      <c r="AA41" s="2"/>
      <c r="AB41" s="2"/>
      <c r="AC41" s="2"/>
      <c r="AD41" s="2"/>
      <c r="AE41" s="2"/>
      <c r="AF41" s="2"/>
      <c r="AG41" s="2"/>
      <c r="AH41" s="2"/>
      <c r="AI41" s="2"/>
      <c r="AJ41" s="2"/>
      <c r="AK41" s="2"/>
      <c r="AL41" s="2"/>
      <c r="AM41" s="2"/>
    </row>
    <row r="42" spans="1:39" s="213" customFormat="1" hidden="1">
      <c r="A42" s="268" t="s">
        <v>1320</v>
      </c>
      <c r="B42" s="47" t="s">
        <v>1321</v>
      </c>
      <c r="C42" s="203" t="s">
        <v>372</v>
      </c>
      <c r="D42" s="203">
        <v>3</v>
      </c>
      <c r="E42" s="203" t="s">
        <v>324</v>
      </c>
      <c r="F42" s="204">
        <v>2</v>
      </c>
      <c r="G42" s="203" t="s">
        <v>35</v>
      </c>
      <c r="H42" s="205"/>
      <c r="I42" s="206"/>
      <c r="J42" s="203" t="s">
        <v>125</v>
      </c>
      <c r="K42" s="204"/>
      <c r="L42" s="204"/>
      <c r="M42" s="211">
        <f>IF(Tabelle13245689101112131415[[#This Row],[Pulled after Start]]="",MIN(Tabelle13245689101112131415[[#This Row],[Jira Story Points]],Tabelle13245689101112131415[[#This Row],[Carry-over]]),0)</f>
        <v>2</v>
      </c>
      <c r="N42" s="209">
        <f>MIN(Tabelle13245689101112131415[[#This Row],[Jira Story Points]],Tabelle13245689101112131415[[#This Row],[Carry-over]])-Tabelle13245689101112131415[[#This Row],[SP Initially Planned (COS)]]</f>
        <v>0</v>
      </c>
      <c r="O42"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42" s="211">
        <f>IFERROR(IF(Tabelle13245689101112131415[[#This Row],[Status]]=$J$5,MIN(Tabelle13245689101112131415[[#This Row],[Jira Story Points]],Tabelle13245689101112131415[[#This Row],[Carry-over]]),0),0)</f>
        <v>0</v>
      </c>
      <c r="Q42" s="211">
        <f>IFERROR(IF(Tabelle13245689101112131415[[#This Row],[Status]]=$J$5,0,MIN(Tabelle13245689101112131415[[#This Row],[Jira Story Points]],Tabelle13245689101112131415[[#This Row],[Carry-over]])-Tabelle13245689101112131415[[#This Row],[SP Completed (COS &amp; SOS)]]),0)</f>
        <v>0</v>
      </c>
      <c r="AA42" s="2"/>
      <c r="AB42" s="2"/>
      <c r="AC42" s="2"/>
      <c r="AD42" s="2"/>
      <c r="AE42" s="2"/>
      <c r="AF42" s="2"/>
      <c r="AG42" s="2"/>
      <c r="AH42" s="2"/>
      <c r="AI42" s="2"/>
      <c r="AJ42" s="2"/>
      <c r="AK42" s="2"/>
      <c r="AL42" s="2"/>
      <c r="AM42" s="2"/>
    </row>
    <row r="43" spans="1:39" s="213" customFormat="1" hidden="1">
      <c r="A43" s="269" t="s">
        <v>1322</v>
      </c>
      <c r="B43" s="47" t="s">
        <v>646</v>
      </c>
      <c r="C43" s="203" t="s">
        <v>382</v>
      </c>
      <c r="D43" s="203">
        <v>3</v>
      </c>
      <c r="E43" s="203" t="s">
        <v>324</v>
      </c>
      <c r="F43" s="204">
        <v>3</v>
      </c>
      <c r="G43" s="203" t="s">
        <v>35</v>
      </c>
      <c r="H43" s="205"/>
      <c r="I43" s="206"/>
      <c r="J43" s="203" t="s">
        <v>125</v>
      </c>
      <c r="K43" s="204"/>
      <c r="L43" s="204"/>
      <c r="M43" s="211">
        <f>IF(Tabelle13245689101112131415[[#This Row],[Pulled after Start]]="",MIN(Tabelle13245689101112131415[[#This Row],[Jira Story Points]],Tabelle13245689101112131415[[#This Row],[Carry-over]]),0)</f>
        <v>3</v>
      </c>
      <c r="N43" s="209">
        <f>MIN(Tabelle13245689101112131415[[#This Row],[Jira Story Points]],Tabelle13245689101112131415[[#This Row],[Carry-over]])-Tabelle13245689101112131415[[#This Row],[SP Initially Planned (COS)]]</f>
        <v>0</v>
      </c>
      <c r="O43"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43" s="211">
        <f>IFERROR(IF(Tabelle13245689101112131415[[#This Row],[Status]]=$J$5,MIN(Tabelle13245689101112131415[[#This Row],[Jira Story Points]],Tabelle13245689101112131415[[#This Row],[Carry-over]]),0),0)</f>
        <v>0</v>
      </c>
      <c r="Q43" s="211">
        <f>IFERROR(IF(Tabelle13245689101112131415[[#This Row],[Status]]=$J$5,0,MIN(Tabelle13245689101112131415[[#This Row],[Jira Story Points]],Tabelle13245689101112131415[[#This Row],[Carry-over]])-Tabelle13245689101112131415[[#This Row],[SP Completed (COS &amp; SOS)]]),0)</f>
        <v>0</v>
      </c>
      <c r="AA43" s="2"/>
      <c r="AB43" s="2"/>
      <c r="AC43" s="2"/>
      <c r="AD43" s="2"/>
      <c r="AE43" s="2"/>
      <c r="AF43" s="2"/>
      <c r="AG43" s="2"/>
      <c r="AH43" s="2"/>
      <c r="AI43" s="2"/>
      <c r="AJ43" s="2"/>
      <c r="AK43" s="2"/>
      <c r="AL43" s="2"/>
      <c r="AM43" s="2"/>
    </row>
    <row r="44" spans="1:39" s="213" customFormat="1" hidden="1">
      <c r="A44" s="269" t="s">
        <v>1323</v>
      </c>
      <c r="B44" s="47" t="s">
        <v>1324</v>
      </c>
      <c r="C44" s="203" t="s">
        <v>372</v>
      </c>
      <c r="D44" s="203">
        <v>3</v>
      </c>
      <c r="E44" s="203" t="s">
        <v>324</v>
      </c>
      <c r="F44" s="204">
        <v>1</v>
      </c>
      <c r="G44" s="203" t="s">
        <v>35</v>
      </c>
      <c r="H44" s="205" t="s">
        <v>209</v>
      </c>
      <c r="I44" s="206"/>
      <c r="J44" s="203" t="s">
        <v>125</v>
      </c>
      <c r="K44" s="204"/>
      <c r="L44" s="204"/>
      <c r="M44" s="211">
        <f>IF(Tabelle13245689101112131415[[#This Row],[Pulled after Start]]="",MIN(Tabelle13245689101112131415[[#This Row],[Jira Story Points]],Tabelle13245689101112131415[[#This Row],[Carry-over]]),0)</f>
        <v>0</v>
      </c>
      <c r="N44" s="209">
        <f>MIN(Tabelle13245689101112131415[[#This Row],[Jira Story Points]],Tabelle13245689101112131415[[#This Row],[Carry-over]])-Tabelle13245689101112131415[[#This Row],[SP Initially Planned (COS)]]</f>
        <v>1</v>
      </c>
      <c r="O44"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1</v>
      </c>
      <c r="P44" s="211">
        <f>IFERROR(IF(Tabelle13245689101112131415[[#This Row],[Status]]=$J$5,MIN(Tabelle13245689101112131415[[#This Row],[Jira Story Points]],Tabelle13245689101112131415[[#This Row],[Carry-over]]),0),0)</f>
        <v>0</v>
      </c>
      <c r="Q44" s="211">
        <f>IFERROR(IF(Tabelle13245689101112131415[[#This Row],[Status]]=$J$5,0,MIN(Tabelle13245689101112131415[[#This Row],[Jira Story Points]],Tabelle13245689101112131415[[#This Row],[Carry-over]])-Tabelle13245689101112131415[[#This Row],[SP Completed (COS &amp; SOS)]]),0)</f>
        <v>0</v>
      </c>
      <c r="AA44" s="2"/>
      <c r="AB44" s="2"/>
      <c r="AC44" s="2"/>
      <c r="AD44" s="2"/>
      <c r="AE44" s="2"/>
      <c r="AF44" s="2"/>
      <c r="AG44" s="2"/>
      <c r="AH44" s="2"/>
      <c r="AI44" s="2"/>
      <c r="AJ44" s="2"/>
      <c r="AK44" s="2"/>
      <c r="AL44" s="2"/>
      <c r="AM44" s="2"/>
    </row>
    <row r="45" spans="1:39" ht="13.5" customHeight="1">
      <c r="A45" s="267" t="s">
        <v>1325</v>
      </c>
      <c r="B45" t="s">
        <v>1326</v>
      </c>
      <c r="C45" s="203" t="s">
        <v>372</v>
      </c>
      <c r="D45" s="203">
        <v>1</v>
      </c>
      <c r="E45" s="203" t="s">
        <v>216</v>
      </c>
      <c r="F45" s="204">
        <v>1</v>
      </c>
      <c r="G45" s="203" t="s">
        <v>12</v>
      </c>
      <c r="H45" s="205"/>
      <c r="I45" s="206" t="s">
        <v>217</v>
      </c>
      <c r="J45" s="203" t="s">
        <v>125</v>
      </c>
      <c r="K45" s="204"/>
      <c r="L45" s="204"/>
      <c r="M45" s="211">
        <f>IF(Tabelle13245689101112131415[[#This Row],[Pulled after Start]]="",MIN(Tabelle13245689101112131415[[#This Row],[Jira Story Points]],Tabelle13245689101112131415[[#This Row],[Carry-over]]),0)</f>
        <v>1</v>
      </c>
      <c r="N45" s="209">
        <f>MIN(Tabelle13245689101112131415[[#This Row],[Jira Story Points]],Tabelle13245689101112131415[[#This Row],[Carry-over]])-Tabelle13245689101112131415[[#This Row],[SP Initially Planned (COS)]]</f>
        <v>0</v>
      </c>
      <c r="O45"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1</v>
      </c>
      <c r="P45" s="211">
        <f>IFERROR(IF(Tabelle13245689101112131415[[#This Row],[Status]]=$J$5,MIN(Tabelle13245689101112131415[[#This Row],[Jira Story Points]],Tabelle13245689101112131415[[#This Row],[Carry-over]]),0),0)</f>
        <v>0</v>
      </c>
      <c r="Q45" s="211">
        <f>IFERROR(IF(Tabelle13245689101112131415[[#This Row],[Status]]=$J$5,0,MIN(Tabelle13245689101112131415[[#This Row],[Jira Story Points]],Tabelle13245689101112131415[[#This Row],[Carry-over]])-Tabelle13245689101112131415[[#This Row],[SP Completed (COS &amp; SOS)]]),0)</f>
        <v>0</v>
      </c>
    </row>
    <row r="46" spans="1:39" ht="13.5" customHeight="1">
      <c r="A46" s="267" t="s">
        <v>1327</v>
      </c>
      <c r="B46" t="s">
        <v>1328</v>
      </c>
      <c r="C46" s="203" t="s">
        <v>375</v>
      </c>
      <c r="D46" s="203">
        <v>1</v>
      </c>
      <c r="E46" s="203" t="s">
        <v>216</v>
      </c>
      <c r="F46" s="204">
        <v>8</v>
      </c>
      <c r="G46" s="203" t="s">
        <v>12</v>
      </c>
      <c r="H46" s="205" t="s">
        <v>209</v>
      </c>
      <c r="I46" s="206" t="s">
        <v>1329</v>
      </c>
      <c r="J46" s="203" t="s">
        <v>125</v>
      </c>
      <c r="K46" s="204"/>
      <c r="L46" s="204"/>
      <c r="M46" s="211">
        <f>IF(Tabelle13245689101112131415[[#This Row],[Pulled after Start]]="",MIN(Tabelle13245689101112131415[[#This Row],[Jira Story Points]],Tabelle13245689101112131415[[#This Row],[Carry-over]]),0)</f>
        <v>0</v>
      </c>
      <c r="N46" s="209">
        <f>MIN(Tabelle13245689101112131415[[#This Row],[Jira Story Points]],Tabelle13245689101112131415[[#This Row],[Carry-over]])-Tabelle13245689101112131415[[#This Row],[SP Initially Planned (COS)]]</f>
        <v>8</v>
      </c>
      <c r="O46"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8</v>
      </c>
      <c r="P46" s="211">
        <f>IFERROR(IF(Tabelle13245689101112131415[[#This Row],[Status]]=$J$5,MIN(Tabelle13245689101112131415[[#This Row],[Jira Story Points]],Tabelle13245689101112131415[[#This Row],[Carry-over]]),0),0)</f>
        <v>0</v>
      </c>
      <c r="Q46" s="211">
        <f>IFERROR(IF(Tabelle13245689101112131415[[#This Row],[Status]]=$J$5,0,MIN(Tabelle13245689101112131415[[#This Row],[Jira Story Points]],Tabelle13245689101112131415[[#This Row],[Carry-over]])-Tabelle13245689101112131415[[#This Row],[SP Completed (COS &amp; SOS)]]),0)</f>
        <v>0</v>
      </c>
    </row>
    <row r="47" spans="1:39" ht="13.5" customHeight="1">
      <c r="A47" s="267" t="s">
        <v>953</v>
      </c>
      <c r="B47" t="s">
        <v>954</v>
      </c>
      <c r="C47" s="203" t="s">
        <v>375</v>
      </c>
      <c r="D47" s="203">
        <v>2</v>
      </c>
      <c r="E47" s="203" t="s">
        <v>254</v>
      </c>
      <c r="F47" s="204">
        <v>3</v>
      </c>
      <c r="G47" s="203" t="s">
        <v>12</v>
      </c>
      <c r="H47" s="205"/>
      <c r="I47" s="206" t="s">
        <v>217</v>
      </c>
      <c r="J47" s="203" t="s">
        <v>127</v>
      </c>
      <c r="K47" s="204">
        <v>3</v>
      </c>
      <c r="L47" s="204">
        <v>3</v>
      </c>
      <c r="M47" s="211">
        <f>IF(Tabelle13245689101112131415[[#This Row],[Pulled after Start]]="",MIN(Tabelle13245689101112131415[[#This Row],[Jira Story Points]],Tabelle13245689101112131415[[#This Row],[Carry-over]]),0)</f>
        <v>3</v>
      </c>
      <c r="N47" s="209">
        <f>MIN(Tabelle13245689101112131415[[#This Row],[Jira Story Points]],Tabelle13245689101112131415[[#This Row],[Carry-over]])-Tabelle13245689101112131415[[#This Row],[SP Initially Planned (COS)]]</f>
        <v>0</v>
      </c>
      <c r="O47"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47" s="211">
        <f>IFERROR(IF(Tabelle13245689101112131415[[#This Row],[Status]]=$J$5,MIN(Tabelle13245689101112131415[[#This Row],[Jira Story Points]],Tabelle13245689101112131415[[#This Row],[Carry-over]]),0),0)</f>
        <v>0</v>
      </c>
      <c r="Q47" s="211">
        <f>IFERROR(IF(Tabelle13245689101112131415[[#This Row],[Status]]=$J$5,0,MIN(Tabelle13245689101112131415[[#This Row],[Jira Story Points]],Tabelle13245689101112131415[[#This Row],[Carry-over]])-Tabelle13245689101112131415[[#This Row],[SP Completed (COS &amp; SOS)]]),0)</f>
        <v>3</v>
      </c>
    </row>
    <row r="48" spans="1:39" ht="13.5" customHeight="1">
      <c r="A48" s="267" t="s">
        <v>955</v>
      </c>
      <c r="B48" t="s">
        <v>956</v>
      </c>
      <c r="C48" s="203" t="s">
        <v>372</v>
      </c>
      <c r="D48" s="203">
        <v>3</v>
      </c>
      <c r="E48" s="203" t="s">
        <v>238</v>
      </c>
      <c r="F48" s="204">
        <v>3</v>
      </c>
      <c r="G48" s="203" t="s">
        <v>12</v>
      </c>
      <c r="H48" s="205"/>
      <c r="I48" s="206" t="s">
        <v>957</v>
      </c>
      <c r="J48" s="203" t="s">
        <v>127</v>
      </c>
      <c r="K48" s="204"/>
      <c r="L48" s="204">
        <v>1</v>
      </c>
      <c r="M48" s="211">
        <f>IF(Tabelle13245689101112131415[[#This Row],[Pulled after Start]]="",MIN(Tabelle13245689101112131415[[#This Row],[Jira Story Points]],Tabelle13245689101112131415[[#This Row],[Carry-over]]),0)</f>
        <v>3</v>
      </c>
      <c r="N48" s="209">
        <f>MIN(Tabelle13245689101112131415[[#This Row],[Jira Story Points]],Tabelle13245689101112131415[[#This Row],[Carry-over]])-Tabelle13245689101112131415[[#This Row],[SP Initially Planned (COS)]]</f>
        <v>0</v>
      </c>
      <c r="O48"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48" s="211">
        <f>IFERROR(IF(Tabelle13245689101112131415[[#This Row],[Status]]=$J$5,MIN(Tabelle13245689101112131415[[#This Row],[Jira Story Points]],Tabelle13245689101112131415[[#This Row],[Carry-over]]),0),0)</f>
        <v>0</v>
      </c>
      <c r="Q48" s="211">
        <f>IFERROR(IF(Tabelle13245689101112131415[[#This Row],[Status]]=$J$5,0,MIN(Tabelle13245689101112131415[[#This Row],[Jira Story Points]],Tabelle13245689101112131415[[#This Row],[Carry-over]])-Tabelle13245689101112131415[[#This Row],[SP Completed (COS &amp; SOS)]]),0)</f>
        <v>1</v>
      </c>
    </row>
    <row r="49" spans="1:17" ht="13.5" customHeight="1">
      <c r="A49" s="267" t="s">
        <v>1330</v>
      </c>
      <c r="B49" t="s">
        <v>1331</v>
      </c>
      <c r="C49" s="203" t="s">
        <v>375</v>
      </c>
      <c r="D49" s="203">
        <v>3</v>
      </c>
      <c r="E49" s="203" t="s">
        <v>216</v>
      </c>
      <c r="F49" s="204">
        <v>3</v>
      </c>
      <c r="G49" s="203" t="s">
        <v>12</v>
      </c>
      <c r="H49" s="205"/>
      <c r="I49" s="206" t="s">
        <v>217</v>
      </c>
      <c r="J49" s="203" t="s">
        <v>125</v>
      </c>
      <c r="K49" s="204"/>
      <c r="L49" s="204"/>
      <c r="M49" s="211">
        <f>IF(Tabelle13245689101112131415[[#This Row],[Pulled after Start]]="",MIN(Tabelle13245689101112131415[[#This Row],[Jira Story Points]],Tabelle13245689101112131415[[#This Row],[Carry-over]]),0)</f>
        <v>3</v>
      </c>
      <c r="N49" s="209">
        <f>MIN(Tabelle13245689101112131415[[#This Row],[Jira Story Points]],Tabelle13245689101112131415[[#This Row],[Carry-over]])-Tabelle13245689101112131415[[#This Row],[SP Initially Planned (COS)]]</f>
        <v>0</v>
      </c>
      <c r="O49"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49" s="211">
        <f>IFERROR(IF(Tabelle13245689101112131415[[#This Row],[Status]]=$J$5,MIN(Tabelle13245689101112131415[[#This Row],[Jira Story Points]],Tabelle13245689101112131415[[#This Row],[Carry-over]]),0),0)</f>
        <v>0</v>
      </c>
      <c r="Q49" s="211">
        <f>IFERROR(IF(Tabelle13245689101112131415[[#This Row],[Status]]=$J$5,0,MIN(Tabelle13245689101112131415[[#This Row],[Jira Story Points]],Tabelle13245689101112131415[[#This Row],[Carry-over]])-Tabelle13245689101112131415[[#This Row],[SP Completed (COS &amp; SOS)]]),0)</f>
        <v>0</v>
      </c>
    </row>
    <row r="50" spans="1:17" ht="13.5" customHeight="1">
      <c r="A50" s="267" t="s">
        <v>1332</v>
      </c>
      <c r="B50" t="s">
        <v>1333</v>
      </c>
      <c r="C50" s="203" t="s">
        <v>372</v>
      </c>
      <c r="D50" s="203">
        <v>3</v>
      </c>
      <c r="E50" s="203" t="s">
        <v>216</v>
      </c>
      <c r="F50" s="204">
        <v>1</v>
      </c>
      <c r="G50" s="203" t="s">
        <v>12</v>
      </c>
      <c r="H50" s="205"/>
      <c r="I50" s="206" t="s">
        <v>217</v>
      </c>
      <c r="J50" s="203" t="s">
        <v>125</v>
      </c>
      <c r="K50" s="204"/>
      <c r="L50" s="204"/>
      <c r="M50" s="211">
        <f>IF(Tabelle13245689101112131415[[#This Row],[Pulled after Start]]="",MIN(Tabelle13245689101112131415[[#This Row],[Jira Story Points]],Tabelle13245689101112131415[[#This Row],[Carry-over]]),0)</f>
        <v>1</v>
      </c>
      <c r="N50" s="209">
        <f>MIN(Tabelle13245689101112131415[[#This Row],[Jira Story Points]],Tabelle13245689101112131415[[#This Row],[Carry-over]])-Tabelle13245689101112131415[[#This Row],[SP Initially Planned (COS)]]</f>
        <v>0</v>
      </c>
      <c r="O50"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1</v>
      </c>
      <c r="P50" s="211">
        <f>IFERROR(IF(Tabelle13245689101112131415[[#This Row],[Status]]=$J$5,MIN(Tabelle13245689101112131415[[#This Row],[Jira Story Points]],Tabelle13245689101112131415[[#This Row],[Carry-over]]),0),0)</f>
        <v>0</v>
      </c>
      <c r="Q50" s="211">
        <f>IFERROR(IF(Tabelle13245689101112131415[[#This Row],[Status]]=$J$5,0,MIN(Tabelle13245689101112131415[[#This Row],[Jira Story Points]],Tabelle13245689101112131415[[#This Row],[Carry-over]])-Tabelle13245689101112131415[[#This Row],[SP Completed (COS &amp; SOS)]]),0)</f>
        <v>0</v>
      </c>
    </row>
    <row r="51" spans="1:17" ht="13.5" customHeight="1">
      <c r="A51" s="267" t="s">
        <v>1334</v>
      </c>
      <c r="B51" t="s">
        <v>1335</v>
      </c>
      <c r="C51" s="203" t="s">
        <v>372</v>
      </c>
      <c r="D51" s="203">
        <v>3</v>
      </c>
      <c r="E51" s="203" t="s">
        <v>216</v>
      </c>
      <c r="F51" s="204">
        <v>1</v>
      </c>
      <c r="G51" s="203" t="s">
        <v>12</v>
      </c>
      <c r="H51" s="205" t="s">
        <v>209</v>
      </c>
      <c r="I51" s="206" t="s">
        <v>217</v>
      </c>
      <c r="J51" s="203" t="s">
        <v>125</v>
      </c>
      <c r="K51" s="204"/>
      <c r="L51" s="204"/>
      <c r="M51" s="211">
        <f>IF(Tabelle13245689101112131415[[#This Row],[Pulled after Start]]="",MIN(Tabelle13245689101112131415[[#This Row],[Jira Story Points]],Tabelle13245689101112131415[[#This Row],[Carry-over]]),0)</f>
        <v>0</v>
      </c>
      <c r="N51" s="209">
        <f>MIN(Tabelle13245689101112131415[[#This Row],[Jira Story Points]],Tabelle13245689101112131415[[#This Row],[Carry-over]])-Tabelle13245689101112131415[[#This Row],[SP Initially Planned (COS)]]</f>
        <v>1</v>
      </c>
      <c r="O51"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1</v>
      </c>
      <c r="P51" s="211">
        <f>IFERROR(IF(Tabelle13245689101112131415[[#This Row],[Status]]=$J$5,MIN(Tabelle13245689101112131415[[#This Row],[Jira Story Points]],Tabelle13245689101112131415[[#This Row],[Carry-over]]),0),0)</f>
        <v>0</v>
      </c>
      <c r="Q51" s="211">
        <f>IFERROR(IF(Tabelle13245689101112131415[[#This Row],[Status]]=$J$5,0,MIN(Tabelle13245689101112131415[[#This Row],[Jira Story Points]],Tabelle13245689101112131415[[#This Row],[Carry-over]])-Tabelle13245689101112131415[[#This Row],[SP Completed (COS &amp; SOS)]]),0)</f>
        <v>0</v>
      </c>
    </row>
    <row r="52" spans="1:17" ht="13.5" customHeight="1">
      <c r="A52" s="267" t="s">
        <v>959</v>
      </c>
      <c r="B52" t="s">
        <v>960</v>
      </c>
      <c r="C52" s="203" t="s">
        <v>375</v>
      </c>
      <c r="D52" s="203">
        <v>4</v>
      </c>
      <c r="E52" s="203" t="s">
        <v>238</v>
      </c>
      <c r="F52" s="204">
        <v>1</v>
      </c>
      <c r="G52" s="203" t="s">
        <v>12</v>
      </c>
      <c r="H52" s="205" t="s">
        <v>209</v>
      </c>
      <c r="I52" s="206" t="s">
        <v>481</v>
      </c>
      <c r="J52" s="203" t="s">
        <v>127</v>
      </c>
      <c r="K52" s="204"/>
      <c r="L52" s="204">
        <v>0</v>
      </c>
      <c r="M52" s="211">
        <f>IF(Tabelle13245689101112131415[[#This Row],[Pulled after Start]]="",MIN(Tabelle13245689101112131415[[#This Row],[Jira Story Points]],Tabelle13245689101112131415[[#This Row],[Carry-over]]),0)</f>
        <v>0</v>
      </c>
      <c r="N52" s="209">
        <f>MIN(Tabelle13245689101112131415[[#This Row],[Jira Story Points]],Tabelle13245689101112131415[[#This Row],[Carry-over]])-Tabelle13245689101112131415[[#This Row],[SP Initially Planned (COS)]]</f>
        <v>1</v>
      </c>
      <c r="O52"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1</v>
      </c>
      <c r="P52" s="211">
        <f>IFERROR(IF(Tabelle13245689101112131415[[#This Row],[Status]]=$J$5,MIN(Tabelle13245689101112131415[[#This Row],[Jira Story Points]],Tabelle13245689101112131415[[#This Row],[Carry-over]]),0),0)</f>
        <v>0</v>
      </c>
      <c r="Q52" s="211">
        <f>IFERROR(IF(Tabelle13245689101112131415[[#This Row],[Status]]=$J$5,0,MIN(Tabelle13245689101112131415[[#This Row],[Jira Story Points]],Tabelle13245689101112131415[[#This Row],[Carry-over]])-Tabelle13245689101112131415[[#This Row],[SP Completed (COS &amp; SOS)]]),0)</f>
        <v>0</v>
      </c>
    </row>
    <row r="53" spans="1:17" ht="13.5" customHeight="1">
      <c r="A53" s="267" t="s">
        <v>961</v>
      </c>
      <c r="B53" t="s">
        <v>962</v>
      </c>
      <c r="C53" s="203" t="s">
        <v>372</v>
      </c>
      <c r="D53" s="203">
        <v>3</v>
      </c>
      <c r="E53" s="203" t="s">
        <v>238</v>
      </c>
      <c r="F53" s="204">
        <v>1</v>
      </c>
      <c r="G53" s="203" t="s">
        <v>12</v>
      </c>
      <c r="H53" s="205" t="s">
        <v>209</v>
      </c>
      <c r="I53" s="206" t="s">
        <v>217</v>
      </c>
      <c r="J53" s="203" t="s">
        <v>127</v>
      </c>
      <c r="K53" s="204"/>
      <c r="L53" s="204">
        <v>1</v>
      </c>
      <c r="M53" s="211">
        <f>IF(Tabelle13245689101112131415[[#This Row],[Pulled after Start]]="",MIN(Tabelle13245689101112131415[[#This Row],[Jira Story Points]],Tabelle13245689101112131415[[#This Row],[Carry-over]]),0)</f>
        <v>0</v>
      </c>
      <c r="N53" s="209">
        <f>MIN(Tabelle13245689101112131415[[#This Row],[Jira Story Points]],Tabelle13245689101112131415[[#This Row],[Carry-over]])-Tabelle13245689101112131415[[#This Row],[SP Initially Planned (COS)]]</f>
        <v>1</v>
      </c>
      <c r="O53"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53" s="211">
        <f>IFERROR(IF(Tabelle13245689101112131415[[#This Row],[Status]]=$J$5,MIN(Tabelle13245689101112131415[[#This Row],[Jira Story Points]],Tabelle13245689101112131415[[#This Row],[Carry-over]]),0),0)</f>
        <v>0</v>
      </c>
      <c r="Q53" s="211">
        <f>IFERROR(IF(Tabelle13245689101112131415[[#This Row],[Status]]=$J$5,0,MIN(Tabelle13245689101112131415[[#This Row],[Jira Story Points]],Tabelle13245689101112131415[[#This Row],[Carry-over]])-Tabelle13245689101112131415[[#This Row],[SP Completed (COS &amp; SOS)]]),0)</f>
        <v>1</v>
      </c>
    </row>
    <row r="54" spans="1:17" ht="13.5" customHeight="1">
      <c r="A54" s="267" t="s">
        <v>1336</v>
      </c>
      <c r="B54" t="s">
        <v>1337</v>
      </c>
      <c r="C54" s="203" t="s">
        <v>234</v>
      </c>
      <c r="D54" s="203">
        <v>3</v>
      </c>
      <c r="E54" s="203" t="s">
        <v>216</v>
      </c>
      <c r="F54" s="204">
        <v>2</v>
      </c>
      <c r="G54" s="203" t="s">
        <v>12</v>
      </c>
      <c r="H54" s="205"/>
      <c r="I54" s="206" t="s">
        <v>975</v>
      </c>
      <c r="J54" s="203" t="s">
        <v>125</v>
      </c>
      <c r="K54" s="204"/>
      <c r="L54" s="204"/>
      <c r="M54" s="211">
        <f>IF(Tabelle13245689101112131415[[#This Row],[Pulled after Start]]="",MIN(Tabelle13245689101112131415[[#This Row],[Jira Story Points]],Tabelle13245689101112131415[[#This Row],[Carry-over]]),0)</f>
        <v>2</v>
      </c>
      <c r="N54" s="209">
        <f>MIN(Tabelle13245689101112131415[[#This Row],[Jira Story Points]],Tabelle13245689101112131415[[#This Row],[Carry-over]])-Tabelle13245689101112131415[[#This Row],[SP Initially Planned (COS)]]</f>
        <v>0</v>
      </c>
      <c r="O54"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54" s="211">
        <f>IFERROR(IF(Tabelle13245689101112131415[[#This Row],[Status]]=$J$5,MIN(Tabelle13245689101112131415[[#This Row],[Jira Story Points]],Tabelle13245689101112131415[[#This Row],[Carry-over]]),0),0)</f>
        <v>0</v>
      </c>
      <c r="Q54" s="211">
        <f>IFERROR(IF(Tabelle13245689101112131415[[#This Row],[Status]]=$J$5,0,MIN(Tabelle13245689101112131415[[#This Row],[Jira Story Points]],Tabelle13245689101112131415[[#This Row],[Carry-over]])-Tabelle13245689101112131415[[#This Row],[SP Completed (COS &amp; SOS)]]),0)</f>
        <v>0</v>
      </c>
    </row>
    <row r="55" spans="1:17" ht="13.5" customHeight="1">
      <c r="A55" s="264" t="s">
        <v>1338</v>
      </c>
      <c r="B55" t="s">
        <v>1339</v>
      </c>
      <c r="C55" s="203" t="s">
        <v>375</v>
      </c>
      <c r="D55" s="203">
        <v>3</v>
      </c>
      <c r="E55" s="203" t="s">
        <v>216</v>
      </c>
      <c r="F55" s="204">
        <v>1</v>
      </c>
      <c r="G55" s="203" t="s">
        <v>12</v>
      </c>
      <c r="H55" s="205" t="s">
        <v>209</v>
      </c>
      <c r="I55" s="206" t="s">
        <v>217</v>
      </c>
      <c r="J55" s="203" t="s">
        <v>125</v>
      </c>
      <c r="K55" s="204"/>
      <c r="L55" s="204"/>
      <c r="M55" s="211">
        <f>IF(Tabelle13245689101112131415[[#This Row],[Pulled after Start]]="",MIN(Tabelle13245689101112131415[[#This Row],[Jira Story Points]],Tabelle13245689101112131415[[#This Row],[Carry-over]]),0)</f>
        <v>0</v>
      </c>
      <c r="N55" s="209">
        <f>MIN(Tabelle13245689101112131415[[#This Row],[Jira Story Points]],Tabelle13245689101112131415[[#This Row],[Carry-over]])-Tabelle13245689101112131415[[#This Row],[SP Initially Planned (COS)]]</f>
        <v>1</v>
      </c>
      <c r="O55"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1</v>
      </c>
      <c r="P55" s="211">
        <f>IFERROR(IF(Tabelle13245689101112131415[[#This Row],[Status]]=$J$5,MIN(Tabelle13245689101112131415[[#This Row],[Jira Story Points]],Tabelle13245689101112131415[[#This Row],[Carry-over]]),0),0)</f>
        <v>0</v>
      </c>
      <c r="Q55" s="211">
        <f>IFERROR(IF(Tabelle13245689101112131415[[#This Row],[Status]]=$J$5,0,MIN(Tabelle13245689101112131415[[#This Row],[Jira Story Points]],Tabelle13245689101112131415[[#This Row],[Carry-over]])-Tabelle13245689101112131415[[#This Row],[SP Completed (COS &amp; SOS)]]),0)</f>
        <v>0</v>
      </c>
    </row>
    <row r="56" spans="1:17" ht="13.5" customHeight="1">
      <c r="A56" s="264" t="s">
        <v>1340</v>
      </c>
      <c r="B56" t="s">
        <v>1341</v>
      </c>
      <c r="C56" s="203" t="s">
        <v>234</v>
      </c>
      <c r="D56" s="203">
        <v>3</v>
      </c>
      <c r="E56" s="203" t="s">
        <v>216</v>
      </c>
      <c r="F56" s="204">
        <v>1</v>
      </c>
      <c r="G56" s="203" t="s">
        <v>12</v>
      </c>
      <c r="H56" s="205" t="s">
        <v>209</v>
      </c>
      <c r="I56" s="220" t="s">
        <v>975</v>
      </c>
      <c r="J56" s="203" t="s">
        <v>125</v>
      </c>
      <c r="K56" s="204"/>
      <c r="L56" s="204"/>
      <c r="M56" s="211">
        <f>IF(Tabelle13245689101112131415[[#This Row],[Pulled after Start]]="",MIN(Tabelle13245689101112131415[[#This Row],[Jira Story Points]],Tabelle13245689101112131415[[#This Row],[Carry-over]]),0)</f>
        <v>0</v>
      </c>
      <c r="N56" s="209">
        <f>MIN(Tabelle13245689101112131415[[#This Row],[Jira Story Points]],Tabelle13245689101112131415[[#This Row],[Carry-over]])-Tabelle13245689101112131415[[#This Row],[SP Initially Planned (COS)]]</f>
        <v>1</v>
      </c>
      <c r="O56"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1</v>
      </c>
      <c r="P56" s="211">
        <f>IFERROR(IF(Tabelle13245689101112131415[[#This Row],[Status]]=$J$5,MIN(Tabelle13245689101112131415[[#This Row],[Jira Story Points]],Tabelle13245689101112131415[[#This Row],[Carry-over]]),0),0)</f>
        <v>0</v>
      </c>
      <c r="Q56" s="211">
        <f>IFERROR(IF(Tabelle13245689101112131415[[#This Row],[Status]]=$J$5,0,MIN(Tabelle13245689101112131415[[#This Row],[Jira Story Points]],Tabelle13245689101112131415[[#This Row],[Carry-over]])-Tabelle13245689101112131415[[#This Row],[SP Completed (COS &amp; SOS)]]),0)</f>
        <v>0</v>
      </c>
    </row>
    <row r="57" spans="1:17" ht="13.5" hidden="1" customHeight="1">
      <c r="A57" s="268" t="s">
        <v>1342</v>
      </c>
      <c r="B57" s="47" t="s">
        <v>1343</v>
      </c>
      <c r="C57" s="203" t="s">
        <v>375</v>
      </c>
      <c r="D57" s="203">
        <v>1</v>
      </c>
      <c r="E57" s="203" t="s">
        <v>327</v>
      </c>
      <c r="F57" s="204">
        <v>3</v>
      </c>
      <c r="G57" s="203" t="s">
        <v>27</v>
      </c>
      <c r="H57" s="205" t="s">
        <v>209</v>
      </c>
      <c r="I57" s="206"/>
      <c r="J57" s="203" t="s">
        <v>125</v>
      </c>
      <c r="K57" s="204"/>
      <c r="L57" s="204"/>
      <c r="M57" s="211">
        <f>IF(Tabelle13245689101112131415[[#This Row],[Pulled after Start]]="",MIN(Tabelle13245689101112131415[[#This Row],[Jira Story Points]],Tabelle13245689101112131415[[#This Row],[Carry-over]]),0)</f>
        <v>0</v>
      </c>
      <c r="N57" s="209">
        <f>MIN(Tabelle13245689101112131415[[#This Row],[Jira Story Points]],Tabelle13245689101112131415[[#This Row],[Carry-over]])-Tabelle13245689101112131415[[#This Row],[SP Initially Planned (COS)]]</f>
        <v>3</v>
      </c>
      <c r="O57"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57" s="211">
        <f>IFERROR(IF(Tabelle13245689101112131415[[#This Row],[Status]]=$J$5,MIN(Tabelle13245689101112131415[[#This Row],[Jira Story Points]],Tabelle13245689101112131415[[#This Row],[Carry-over]]),0),0)</f>
        <v>0</v>
      </c>
      <c r="Q57" s="211">
        <f>IFERROR(IF(Tabelle13245689101112131415[[#This Row],[Status]]=$J$5,0,MIN(Tabelle13245689101112131415[[#This Row],[Jira Story Points]],Tabelle13245689101112131415[[#This Row],[Carry-over]])-Tabelle13245689101112131415[[#This Row],[SP Completed (COS &amp; SOS)]]),0)</f>
        <v>0</v>
      </c>
    </row>
    <row r="58" spans="1:17" ht="13.5" hidden="1" customHeight="1">
      <c r="A58" s="268" t="s">
        <v>1344</v>
      </c>
      <c r="B58" s="47" t="s">
        <v>1345</v>
      </c>
      <c r="C58" s="203" t="s">
        <v>375</v>
      </c>
      <c r="D58" s="203">
        <v>2</v>
      </c>
      <c r="E58" s="203" t="s">
        <v>324</v>
      </c>
      <c r="F58" s="204">
        <v>2</v>
      </c>
      <c r="G58" s="203" t="s">
        <v>27</v>
      </c>
      <c r="H58" s="205"/>
      <c r="I58" s="206"/>
      <c r="J58" s="203" t="s">
        <v>125</v>
      </c>
      <c r="K58" s="204"/>
      <c r="L58" s="204"/>
      <c r="M58" s="211">
        <f>IF(Tabelle13245689101112131415[[#This Row],[Pulled after Start]]="",MIN(Tabelle13245689101112131415[[#This Row],[Jira Story Points]],Tabelle13245689101112131415[[#This Row],[Carry-over]]),0)</f>
        <v>2</v>
      </c>
      <c r="N58" s="209">
        <f>MIN(Tabelle13245689101112131415[[#This Row],[Jira Story Points]],Tabelle13245689101112131415[[#This Row],[Carry-over]])-Tabelle13245689101112131415[[#This Row],[SP Initially Planned (COS)]]</f>
        <v>0</v>
      </c>
      <c r="O58"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58" s="211">
        <f>IFERROR(IF(Tabelle13245689101112131415[[#This Row],[Status]]=$J$5,MIN(Tabelle13245689101112131415[[#This Row],[Jira Story Points]],Tabelle13245689101112131415[[#This Row],[Carry-over]]),0),0)</f>
        <v>0</v>
      </c>
      <c r="Q58" s="211">
        <f>IFERROR(IF(Tabelle13245689101112131415[[#This Row],[Status]]=$J$5,0,MIN(Tabelle13245689101112131415[[#This Row],[Jira Story Points]],Tabelle13245689101112131415[[#This Row],[Carry-over]])-Tabelle13245689101112131415[[#This Row],[SP Completed (COS &amp; SOS)]]),0)</f>
        <v>0</v>
      </c>
    </row>
    <row r="59" spans="1:17" ht="13.5" hidden="1" customHeight="1">
      <c r="A59" s="268" t="s">
        <v>1346</v>
      </c>
      <c r="B59" s="47" t="s">
        <v>1347</v>
      </c>
      <c r="C59" s="203" t="s">
        <v>372</v>
      </c>
      <c r="D59" s="203">
        <v>3</v>
      </c>
      <c r="E59" s="203" t="s">
        <v>327</v>
      </c>
      <c r="F59" s="204">
        <v>5</v>
      </c>
      <c r="G59" s="203" t="s">
        <v>27</v>
      </c>
      <c r="H59" s="205" t="s">
        <v>209</v>
      </c>
      <c r="I59" s="206"/>
      <c r="J59" s="203" t="s">
        <v>127</v>
      </c>
      <c r="K59" s="204"/>
      <c r="L59" s="204"/>
      <c r="M59" s="211">
        <f>IF(Tabelle13245689101112131415[[#This Row],[Pulled after Start]]="",MIN(Tabelle13245689101112131415[[#This Row],[Jira Story Points]],Tabelle13245689101112131415[[#This Row],[Carry-over]]),0)</f>
        <v>0</v>
      </c>
      <c r="N59" s="209">
        <f>MIN(Tabelle13245689101112131415[[#This Row],[Jira Story Points]],Tabelle13245689101112131415[[#This Row],[Carry-over]])-Tabelle13245689101112131415[[#This Row],[SP Initially Planned (COS)]]</f>
        <v>5</v>
      </c>
      <c r="O59"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59" s="211">
        <f>IFERROR(IF(Tabelle13245689101112131415[[#This Row],[Status]]=$J$5,MIN(Tabelle13245689101112131415[[#This Row],[Jira Story Points]],Tabelle13245689101112131415[[#This Row],[Carry-over]]),0),0)</f>
        <v>0</v>
      </c>
      <c r="Q59" s="211">
        <f>IFERROR(IF(Tabelle13245689101112131415[[#This Row],[Status]]=$J$5,0,MIN(Tabelle13245689101112131415[[#This Row],[Jira Story Points]],Tabelle13245689101112131415[[#This Row],[Carry-over]])-Tabelle13245689101112131415[[#This Row],[SP Completed (COS &amp; SOS)]]),0)</f>
        <v>5</v>
      </c>
    </row>
    <row r="60" spans="1:17" ht="13.5" hidden="1" customHeight="1">
      <c r="A60" s="268" t="s">
        <v>1348</v>
      </c>
      <c r="B60" s="47" t="s">
        <v>1349</v>
      </c>
      <c r="C60" s="203" t="s">
        <v>372</v>
      </c>
      <c r="D60" s="203">
        <v>3</v>
      </c>
      <c r="E60" s="203" t="s">
        <v>327</v>
      </c>
      <c r="F60" s="204">
        <v>5</v>
      </c>
      <c r="G60" s="203" t="s">
        <v>27</v>
      </c>
      <c r="H60" s="205"/>
      <c r="I60" s="206"/>
      <c r="J60" s="203" t="s">
        <v>125</v>
      </c>
      <c r="K60" s="204"/>
      <c r="L60" s="204"/>
      <c r="M60" s="211">
        <f>IF(Tabelle13245689101112131415[[#This Row],[Pulled after Start]]="",MIN(Tabelle13245689101112131415[[#This Row],[Jira Story Points]],Tabelle13245689101112131415[[#This Row],[Carry-over]]),0)</f>
        <v>5</v>
      </c>
      <c r="N60" s="209">
        <f>MIN(Tabelle13245689101112131415[[#This Row],[Jira Story Points]],Tabelle13245689101112131415[[#This Row],[Carry-over]])-Tabelle13245689101112131415[[#This Row],[SP Initially Planned (COS)]]</f>
        <v>0</v>
      </c>
      <c r="O60"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5</v>
      </c>
      <c r="P60" s="211">
        <f>IFERROR(IF(Tabelle13245689101112131415[[#This Row],[Status]]=$J$5,MIN(Tabelle13245689101112131415[[#This Row],[Jira Story Points]],Tabelle13245689101112131415[[#This Row],[Carry-over]]),0),0)</f>
        <v>0</v>
      </c>
      <c r="Q60" s="211">
        <f>IFERROR(IF(Tabelle13245689101112131415[[#This Row],[Status]]=$J$5,0,MIN(Tabelle13245689101112131415[[#This Row],[Jira Story Points]],Tabelle13245689101112131415[[#This Row],[Carry-over]])-Tabelle13245689101112131415[[#This Row],[SP Completed (COS &amp; SOS)]]),0)</f>
        <v>0</v>
      </c>
    </row>
    <row r="61" spans="1:17" ht="13.5" hidden="1" customHeight="1">
      <c r="A61" s="268" t="s">
        <v>1065</v>
      </c>
      <c r="B61" s="47" t="s">
        <v>1066</v>
      </c>
      <c r="C61" s="203" t="s">
        <v>372</v>
      </c>
      <c r="D61" s="203">
        <v>3</v>
      </c>
      <c r="E61" s="203" t="s">
        <v>327</v>
      </c>
      <c r="F61" s="204">
        <v>5</v>
      </c>
      <c r="G61" s="203" t="s">
        <v>27</v>
      </c>
      <c r="H61" s="205"/>
      <c r="I61" s="206"/>
      <c r="J61" s="203" t="s">
        <v>127</v>
      </c>
      <c r="K61" s="204"/>
      <c r="L61" s="204">
        <v>2</v>
      </c>
      <c r="M61" s="211">
        <f>IF(Tabelle13245689101112131415[[#This Row],[Pulled after Start]]="",MIN(Tabelle13245689101112131415[[#This Row],[Jira Story Points]],Tabelle13245689101112131415[[#This Row],[Carry-over]]),0)</f>
        <v>5</v>
      </c>
      <c r="N61" s="209">
        <f>MIN(Tabelle13245689101112131415[[#This Row],[Jira Story Points]],Tabelle13245689101112131415[[#This Row],[Carry-over]])-Tabelle13245689101112131415[[#This Row],[SP Initially Planned (COS)]]</f>
        <v>0</v>
      </c>
      <c r="O61"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61" s="211">
        <f>IFERROR(IF(Tabelle13245689101112131415[[#This Row],[Status]]=$J$5,MIN(Tabelle13245689101112131415[[#This Row],[Jira Story Points]],Tabelle13245689101112131415[[#This Row],[Carry-over]]),0),0)</f>
        <v>0</v>
      </c>
      <c r="Q61" s="211">
        <f>IFERROR(IF(Tabelle13245689101112131415[[#This Row],[Status]]=$J$5,0,MIN(Tabelle13245689101112131415[[#This Row],[Jira Story Points]],Tabelle13245689101112131415[[#This Row],[Carry-over]])-Tabelle13245689101112131415[[#This Row],[SP Completed (COS &amp; SOS)]]),0)</f>
        <v>2</v>
      </c>
    </row>
    <row r="62" spans="1:17" ht="13.5" hidden="1" customHeight="1">
      <c r="A62" s="268" t="s">
        <v>1350</v>
      </c>
      <c r="B62" s="47" t="s">
        <v>1351</v>
      </c>
      <c r="C62" s="203" t="s">
        <v>375</v>
      </c>
      <c r="D62" s="203">
        <v>3</v>
      </c>
      <c r="E62" s="203" t="s">
        <v>324</v>
      </c>
      <c r="F62" s="204">
        <v>3</v>
      </c>
      <c r="G62" s="203" t="s">
        <v>27</v>
      </c>
      <c r="H62" s="205"/>
      <c r="I62" s="206" t="s">
        <v>1352</v>
      </c>
      <c r="J62" s="203" t="s">
        <v>125</v>
      </c>
      <c r="K62" s="204"/>
      <c r="L62" s="204"/>
      <c r="M62" s="211">
        <f>IF(Tabelle13245689101112131415[[#This Row],[Pulled after Start]]="",MIN(Tabelle13245689101112131415[[#This Row],[Jira Story Points]],Tabelle13245689101112131415[[#This Row],[Carry-over]]),0)</f>
        <v>3</v>
      </c>
      <c r="N62" s="209">
        <f>MIN(Tabelle13245689101112131415[[#This Row],[Jira Story Points]],Tabelle13245689101112131415[[#This Row],[Carry-over]])-Tabelle13245689101112131415[[#This Row],[SP Initially Planned (COS)]]</f>
        <v>0</v>
      </c>
      <c r="O62"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62" s="211">
        <f>IFERROR(IF(Tabelle13245689101112131415[[#This Row],[Status]]=$J$5,MIN(Tabelle13245689101112131415[[#This Row],[Jira Story Points]],Tabelle13245689101112131415[[#This Row],[Carry-over]]),0),0)</f>
        <v>0</v>
      </c>
      <c r="Q62" s="211">
        <f>IFERROR(IF(Tabelle13245689101112131415[[#This Row],[Status]]=$J$5,0,MIN(Tabelle13245689101112131415[[#This Row],[Jira Story Points]],Tabelle13245689101112131415[[#This Row],[Carry-over]])-Tabelle13245689101112131415[[#This Row],[SP Completed (COS &amp; SOS)]]),0)</f>
        <v>0</v>
      </c>
    </row>
    <row r="63" spans="1:17" ht="13.5" hidden="1" customHeight="1">
      <c r="A63" s="268" t="s">
        <v>1353</v>
      </c>
      <c r="B63" s="47" t="s">
        <v>1354</v>
      </c>
      <c r="C63" s="203" t="s">
        <v>382</v>
      </c>
      <c r="D63" s="203">
        <v>3</v>
      </c>
      <c r="E63" s="203" t="s">
        <v>324</v>
      </c>
      <c r="F63" s="204">
        <v>2</v>
      </c>
      <c r="G63" s="203" t="s">
        <v>27</v>
      </c>
      <c r="H63" s="205"/>
      <c r="I63" s="206"/>
      <c r="J63" s="203" t="s">
        <v>125</v>
      </c>
      <c r="K63" s="204"/>
      <c r="L63" s="204"/>
      <c r="M63" s="211">
        <f>IF(Tabelle13245689101112131415[[#This Row],[Pulled after Start]]="",MIN(Tabelle13245689101112131415[[#This Row],[Jira Story Points]],Tabelle13245689101112131415[[#This Row],[Carry-over]]),0)</f>
        <v>2</v>
      </c>
      <c r="N63" s="209">
        <f>MIN(Tabelle13245689101112131415[[#This Row],[Jira Story Points]],Tabelle13245689101112131415[[#This Row],[Carry-over]])-Tabelle13245689101112131415[[#This Row],[SP Initially Planned (COS)]]</f>
        <v>0</v>
      </c>
      <c r="O63"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63" s="211">
        <f>IFERROR(IF(Tabelle13245689101112131415[[#This Row],[Status]]=$J$5,MIN(Tabelle13245689101112131415[[#This Row],[Jira Story Points]],Tabelle13245689101112131415[[#This Row],[Carry-over]]),0),0)</f>
        <v>0</v>
      </c>
      <c r="Q63" s="211">
        <f>IFERROR(IF(Tabelle13245689101112131415[[#This Row],[Status]]=$J$5,0,MIN(Tabelle13245689101112131415[[#This Row],[Jira Story Points]],Tabelle13245689101112131415[[#This Row],[Carry-over]])-Tabelle13245689101112131415[[#This Row],[SP Completed (COS &amp; SOS)]]),0)</f>
        <v>0</v>
      </c>
    </row>
    <row r="64" spans="1:17" ht="13.5" hidden="1" customHeight="1">
      <c r="A64" s="268" t="s">
        <v>1355</v>
      </c>
      <c r="B64" s="47" t="s">
        <v>1356</v>
      </c>
      <c r="C64" s="203" t="s">
        <v>372</v>
      </c>
      <c r="D64" s="203">
        <v>3</v>
      </c>
      <c r="E64" s="203" t="s">
        <v>327</v>
      </c>
      <c r="F64" s="204">
        <v>8</v>
      </c>
      <c r="G64" s="203" t="s">
        <v>27</v>
      </c>
      <c r="H64" s="205"/>
      <c r="I64" s="206"/>
      <c r="J64" s="203" t="s">
        <v>125</v>
      </c>
      <c r="K64" s="204"/>
      <c r="L64" s="204"/>
      <c r="M64" s="211">
        <f>IF(Tabelle13245689101112131415[[#This Row],[Pulled after Start]]="",MIN(Tabelle13245689101112131415[[#This Row],[Jira Story Points]],Tabelle13245689101112131415[[#This Row],[Carry-over]]),0)</f>
        <v>8</v>
      </c>
      <c r="N64" s="209">
        <f>MIN(Tabelle13245689101112131415[[#This Row],[Jira Story Points]],Tabelle13245689101112131415[[#This Row],[Carry-over]])-Tabelle13245689101112131415[[#This Row],[SP Initially Planned (COS)]]</f>
        <v>0</v>
      </c>
      <c r="O64"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8</v>
      </c>
      <c r="P64" s="211">
        <f>IFERROR(IF(Tabelle13245689101112131415[[#This Row],[Status]]=$J$5,MIN(Tabelle13245689101112131415[[#This Row],[Jira Story Points]],Tabelle13245689101112131415[[#This Row],[Carry-over]]),0),0)</f>
        <v>0</v>
      </c>
      <c r="Q64" s="211">
        <f>IFERROR(IF(Tabelle13245689101112131415[[#This Row],[Status]]=$J$5,0,MIN(Tabelle13245689101112131415[[#This Row],[Jira Story Points]],Tabelle13245689101112131415[[#This Row],[Carry-over]])-Tabelle13245689101112131415[[#This Row],[SP Completed (COS &amp; SOS)]]),0)</f>
        <v>0</v>
      </c>
    </row>
    <row r="65" spans="1:17" ht="13.5" hidden="1" customHeight="1">
      <c r="A65" s="268" t="s">
        <v>1357</v>
      </c>
      <c r="B65" s="47" t="s">
        <v>1358</v>
      </c>
      <c r="C65" s="203" t="s">
        <v>372</v>
      </c>
      <c r="D65" s="203">
        <v>3</v>
      </c>
      <c r="E65" s="203" t="s">
        <v>327</v>
      </c>
      <c r="F65" s="204">
        <v>13</v>
      </c>
      <c r="G65" s="203" t="s">
        <v>27</v>
      </c>
      <c r="H65" s="205"/>
      <c r="I65" s="206"/>
      <c r="J65" s="203" t="s">
        <v>125</v>
      </c>
      <c r="K65" s="204"/>
      <c r="L65" s="204"/>
      <c r="M65" s="211">
        <f>IF(Tabelle13245689101112131415[[#This Row],[Pulled after Start]]="",MIN(Tabelle13245689101112131415[[#This Row],[Jira Story Points]],Tabelle13245689101112131415[[#This Row],[Carry-over]]),0)</f>
        <v>13</v>
      </c>
      <c r="N65" s="209">
        <f>MIN(Tabelle13245689101112131415[[#This Row],[Jira Story Points]],Tabelle13245689101112131415[[#This Row],[Carry-over]])-Tabelle13245689101112131415[[#This Row],[SP Initially Planned (COS)]]</f>
        <v>0</v>
      </c>
      <c r="O65"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13</v>
      </c>
      <c r="P65" s="211">
        <f>IFERROR(IF(Tabelle13245689101112131415[[#This Row],[Status]]=$J$5,MIN(Tabelle13245689101112131415[[#This Row],[Jira Story Points]],Tabelle13245689101112131415[[#This Row],[Carry-over]]),0),0)</f>
        <v>0</v>
      </c>
      <c r="Q65" s="211">
        <f>IFERROR(IF(Tabelle13245689101112131415[[#This Row],[Status]]=$J$5,0,MIN(Tabelle13245689101112131415[[#This Row],[Jira Story Points]],Tabelle13245689101112131415[[#This Row],[Carry-over]])-Tabelle13245689101112131415[[#This Row],[SP Completed (COS &amp; SOS)]]),0)</f>
        <v>0</v>
      </c>
    </row>
    <row r="66" spans="1:17" ht="13.5" hidden="1" customHeight="1">
      <c r="A66" s="268" t="s">
        <v>1359</v>
      </c>
      <c r="B66" s="47" t="s">
        <v>1360</v>
      </c>
      <c r="C66" s="203" t="s">
        <v>372</v>
      </c>
      <c r="D66" s="203">
        <v>3</v>
      </c>
      <c r="E66" s="203" t="s">
        <v>327</v>
      </c>
      <c r="F66" s="204">
        <v>1</v>
      </c>
      <c r="G66" s="203" t="s">
        <v>27</v>
      </c>
      <c r="H66" s="205" t="s">
        <v>209</v>
      </c>
      <c r="I66" s="206"/>
      <c r="J66" s="203" t="s">
        <v>125</v>
      </c>
      <c r="K66" s="204"/>
      <c r="L66" s="204"/>
      <c r="M66" s="211">
        <f>IF(Tabelle13245689101112131415[[#This Row],[Pulled after Start]]="",MIN(Tabelle13245689101112131415[[#This Row],[Jira Story Points]],Tabelle13245689101112131415[[#This Row],[Carry-over]]),0)</f>
        <v>0</v>
      </c>
      <c r="N66" s="209">
        <f>MIN(Tabelle13245689101112131415[[#This Row],[Jira Story Points]],Tabelle13245689101112131415[[#This Row],[Carry-over]])-Tabelle13245689101112131415[[#This Row],[SP Initially Planned (COS)]]</f>
        <v>1</v>
      </c>
      <c r="O66"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1</v>
      </c>
      <c r="P66" s="211">
        <f>IFERROR(IF(Tabelle13245689101112131415[[#This Row],[Status]]=$J$5,MIN(Tabelle13245689101112131415[[#This Row],[Jira Story Points]],Tabelle13245689101112131415[[#This Row],[Carry-over]]),0),0)</f>
        <v>0</v>
      </c>
      <c r="Q66" s="211">
        <f>IFERROR(IF(Tabelle13245689101112131415[[#This Row],[Status]]=$J$5,0,MIN(Tabelle13245689101112131415[[#This Row],[Jira Story Points]],Tabelle13245689101112131415[[#This Row],[Carry-over]])-Tabelle13245689101112131415[[#This Row],[SP Completed (COS &amp; SOS)]]),0)</f>
        <v>0</v>
      </c>
    </row>
    <row r="67" spans="1:17" ht="13.5" hidden="1" customHeight="1">
      <c r="A67" s="268" t="s">
        <v>1361</v>
      </c>
      <c r="B67" s="47" t="s">
        <v>1362</v>
      </c>
      <c r="C67" s="203" t="s">
        <v>372</v>
      </c>
      <c r="D67" s="203">
        <v>3</v>
      </c>
      <c r="E67" s="203" t="s">
        <v>324</v>
      </c>
      <c r="F67" s="204">
        <v>0</v>
      </c>
      <c r="G67" s="203" t="s">
        <v>27</v>
      </c>
      <c r="H67" s="205" t="s">
        <v>209</v>
      </c>
      <c r="I67" s="206" t="s">
        <v>1363</v>
      </c>
      <c r="J67" s="203" t="s">
        <v>125</v>
      </c>
      <c r="K67" s="204"/>
      <c r="L67" s="204"/>
      <c r="M67" s="211">
        <f>IF(Tabelle13245689101112131415[[#This Row],[Pulled after Start]]="",MIN(Tabelle13245689101112131415[[#This Row],[Jira Story Points]],Tabelle13245689101112131415[[#This Row],[Carry-over]]),0)</f>
        <v>0</v>
      </c>
      <c r="N67" s="209">
        <f>MIN(Tabelle13245689101112131415[[#This Row],[Jira Story Points]],Tabelle13245689101112131415[[#This Row],[Carry-over]])-Tabelle13245689101112131415[[#This Row],[SP Initially Planned (COS)]]</f>
        <v>0</v>
      </c>
      <c r="O67"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67" s="211">
        <f>IFERROR(IF(Tabelle13245689101112131415[[#This Row],[Status]]=$J$5,MIN(Tabelle13245689101112131415[[#This Row],[Jira Story Points]],Tabelle13245689101112131415[[#This Row],[Carry-over]]),0),0)</f>
        <v>0</v>
      </c>
      <c r="Q67" s="211">
        <f>IFERROR(IF(Tabelle13245689101112131415[[#This Row],[Status]]=$J$5,0,MIN(Tabelle13245689101112131415[[#This Row],[Jira Story Points]],Tabelle13245689101112131415[[#This Row],[Carry-over]])-Tabelle13245689101112131415[[#This Row],[SP Completed (COS &amp; SOS)]]),0)</f>
        <v>0</v>
      </c>
    </row>
    <row r="68" spans="1:17" ht="13.5" hidden="1" customHeight="1">
      <c r="A68" s="268" t="s">
        <v>1364</v>
      </c>
      <c r="B68" s="47" t="s">
        <v>1365</v>
      </c>
      <c r="C68" s="203" t="s">
        <v>372</v>
      </c>
      <c r="D68" s="203">
        <v>3</v>
      </c>
      <c r="E68" s="203" t="s">
        <v>324</v>
      </c>
      <c r="F68" s="204">
        <v>2</v>
      </c>
      <c r="G68" s="203" t="s">
        <v>27</v>
      </c>
      <c r="H68" s="205" t="s">
        <v>209</v>
      </c>
      <c r="I68" s="206"/>
      <c r="J68" s="203" t="s">
        <v>125</v>
      </c>
      <c r="K68" s="204"/>
      <c r="L68" s="204"/>
      <c r="M68" s="211">
        <f>IF(Tabelle13245689101112131415[[#This Row],[Pulled after Start]]="",MIN(Tabelle13245689101112131415[[#This Row],[Jira Story Points]],Tabelle13245689101112131415[[#This Row],[Carry-over]]),0)</f>
        <v>0</v>
      </c>
      <c r="N68" s="209">
        <f>MIN(Tabelle13245689101112131415[[#This Row],[Jira Story Points]],Tabelle13245689101112131415[[#This Row],[Carry-over]])-Tabelle13245689101112131415[[#This Row],[SP Initially Planned (COS)]]</f>
        <v>2</v>
      </c>
      <c r="O68"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68" s="211">
        <f>IFERROR(IF(Tabelle13245689101112131415[[#This Row],[Status]]=$J$5,MIN(Tabelle13245689101112131415[[#This Row],[Jira Story Points]],Tabelle13245689101112131415[[#This Row],[Carry-over]]),0),0)</f>
        <v>0</v>
      </c>
      <c r="Q68" s="211">
        <f>IFERROR(IF(Tabelle13245689101112131415[[#This Row],[Status]]=$J$5,0,MIN(Tabelle13245689101112131415[[#This Row],[Jira Story Points]],Tabelle13245689101112131415[[#This Row],[Carry-over]])-Tabelle13245689101112131415[[#This Row],[SP Completed (COS &amp; SOS)]]),0)</f>
        <v>0</v>
      </c>
    </row>
    <row r="69" spans="1:17" ht="13.5" hidden="1" customHeight="1">
      <c r="A69" s="268" t="s">
        <v>424</v>
      </c>
      <c r="B69" s="47" t="s">
        <v>425</v>
      </c>
      <c r="C69" s="203" t="s">
        <v>372</v>
      </c>
      <c r="D69" s="203">
        <v>3</v>
      </c>
      <c r="E69" s="203" t="s">
        <v>351</v>
      </c>
      <c r="F69" s="204">
        <v>8</v>
      </c>
      <c r="G69" s="203" t="s">
        <v>27</v>
      </c>
      <c r="H69" s="205"/>
      <c r="I69" s="206"/>
      <c r="J69" s="203" t="s">
        <v>126</v>
      </c>
      <c r="K69" s="204"/>
      <c r="L69" s="204"/>
      <c r="M69" s="211">
        <f>IF(Tabelle13245689101112131415[[#This Row],[Pulled after Start]]="",MIN(Tabelle13245689101112131415[[#This Row],[Jira Story Points]],Tabelle13245689101112131415[[#This Row],[Carry-over]]),0)</f>
        <v>8</v>
      </c>
      <c r="N69" s="209">
        <f>MIN(Tabelle13245689101112131415[[#This Row],[Jira Story Points]],Tabelle13245689101112131415[[#This Row],[Carry-over]])-Tabelle13245689101112131415[[#This Row],[SP Initially Planned (COS)]]</f>
        <v>0</v>
      </c>
      <c r="O69"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69" s="211">
        <f>IFERROR(IF(Tabelle13245689101112131415[[#This Row],[Status]]=$J$5,MIN(Tabelle13245689101112131415[[#This Row],[Jira Story Points]],Tabelle13245689101112131415[[#This Row],[Carry-over]]),0),0)</f>
        <v>8</v>
      </c>
      <c r="Q69" s="211">
        <f>IFERROR(IF(Tabelle13245689101112131415[[#This Row],[Status]]=$J$5,0,MIN(Tabelle13245689101112131415[[#This Row],[Jira Story Points]],Tabelle13245689101112131415[[#This Row],[Carry-over]])-Tabelle13245689101112131415[[#This Row],[SP Completed (COS &amp; SOS)]]),0)</f>
        <v>0</v>
      </c>
    </row>
    <row r="70" spans="1:17" ht="13.5" hidden="1" customHeight="1">
      <c r="A70" t="s">
        <v>1366</v>
      </c>
      <c r="B70" t="s">
        <v>1367</v>
      </c>
      <c r="C70" s="203" t="s">
        <v>372</v>
      </c>
      <c r="D70" s="203">
        <v>3</v>
      </c>
      <c r="E70" s="203" t="s">
        <v>216</v>
      </c>
      <c r="F70" s="204">
        <v>5</v>
      </c>
      <c r="G70" s="203" t="s">
        <v>21</v>
      </c>
      <c r="H70" s="216"/>
      <c r="I70" s="206"/>
      <c r="J70" s="203" t="s">
        <v>125</v>
      </c>
      <c r="K70" s="204"/>
      <c r="L70" s="204"/>
      <c r="M70" s="211">
        <f>IF(Tabelle13245689101112131415[[#This Row],[Pulled after Start]]="",MIN(Tabelle13245689101112131415[[#This Row],[Jira Story Points]],Tabelle13245689101112131415[[#This Row],[Carry-over]]),0)</f>
        <v>5</v>
      </c>
      <c r="N70" s="209">
        <f>MIN(Tabelle13245689101112131415[[#This Row],[Jira Story Points]],Tabelle13245689101112131415[[#This Row],[Carry-over]])-Tabelle13245689101112131415[[#This Row],[SP Initially Planned (COS)]]</f>
        <v>0</v>
      </c>
      <c r="O70"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5</v>
      </c>
      <c r="P70" s="211">
        <f>IFERROR(IF(Tabelle13245689101112131415[[#This Row],[Status]]=$J$5,MIN(Tabelle13245689101112131415[[#This Row],[Jira Story Points]],Tabelle13245689101112131415[[#This Row],[Carry-over]]),0),0)</f>
        <v>0</v>
      </c>
      <c r="Q70" s="211">
        <f>IFERROR(IF(Tabelle13245689101112131415[[#This Row],[Status]]=$J$5,0,MIN(Tabelle13245689101112131415[[#This Row],[Jira Story Points]],Tabelle13245689101112131415[[#This Row],[Carry-over]])-Tabelle13245689101112131415[[#This Row],[SP Completed (COS &amp; SOS)]]),0)</f>
        <v>0</v>
      </c>
    </row>
    <row r="71" spans="1:17" ht="13.5" hidden="1" customHeight="1">
      <c r="A71" t="s">
        <v>1368</v>
      </c>
      <c r="B71" t="s">
        <v>1369</v>
      </c>
      <c r="C71" s="203" t="s">
        <v>372</v>
      </c>
      <c r="D71" s="203">
        <v>3</v>
      </c>
      <c r="E71" s="203" t="s">
        <v>278</v>
      </c>
      <c r="F71" s="204">
        <v>3</v>
      </c>
      <c r="G71" s="203" t="s">
        <v>21</v>
      </c>
      <c r="H71" s="216"/>
      <c r="I71" s="206"/>
      <c r="J71" s="203" t="s">
        <v>125</v>
      </c>
      <c r="K71" s="204"/>
      <c r="L71" s="204"/>
      <c r="M71" s="211">
        <f>IF(Tabelle13245689101112131415[[#This Row],[Pulled after Start]]="",MIN(Tabelle13245689101112131415[[#This Row],[Jira Story Points]],Tabelle13245689101112131415[[#This Row],[Carry-over]]),0)</f>
        <v>3</v>
      </c>
      <c r="N71" s="209">
        <f>MIN(Tabelle13245689101112131415[[#This Row],[Jira Story Points]],Tabelle13245689101112131415[[#This Row],[Carry-over]])-Tabelle13245689101112131415[[#This Row],[SP Initially Planned (COS)]]</f>
        <v>0</v>
      </c>
      <c r="O71"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71" s="211">
        <f>IFERROR(IF(Tabelle13245689101112131415[[#This Row],[Status]]=$J$5,MIN(Tabelle13245689101112131415[[#This Row],[Jira Story Points]],Tabelle13245689101112131415[[#This Row],[Carry-over]]),0),0)</f>
        <v>0</v>
      </c>
      <c r="Q71" s="211">
        <f>IFERROR(IF(Tabelle13245689101112131415[[#This Row],[Status]]=$J$5,0,MIN(Tabelle13245689101112131415[[#This Row],[Jira Story Points]],Tabelle13245689101112131415[[#This Row],[Carry-over]])-Tabelle13245689101112131415[[#This Row],[SP Completed (COS &amp; SOS)]]),0)</f>
        <v>0</v>
      </c>
    </row>
    <row r="72" spans="1:17" ht="13.5" hidden="1" customHeight="1">
      <c r="A72" t="s">
        <v>1370</v>
      </c>
      <c r="B72" t="s">
        <v>1371</v>
      </c>
      <c r="C72" s="203" t="s">
        <v>372</v>
      </c>
      <c r="D72" s="203">
        <v>3</v>
      </c>
      <c r="E72" s="203" t="s">
        <v>278</v>
      </c>
      <c r="F72" s="204">
        <v>3</v>
      </c>
      <c r="G72" s="203" t="s">
        <v>21</v>
      </c>
      <c r="H72" s="216"/>
      <c r="I72" s="206"/>
      <c r="J72" s="203" t="s">
        <v>125</v>
      </c>
      <c r="K72" s="204"/>
      <c r="L72" s="204"/>
      <c r="M72" s="211">
        <f>IF(Tabelle13245689101112131415[[#This Row],[Pulled after Start]]="",MIN(Tabelle13245689101112131415[[#This Row],[Jira Story Points]],Tabelle13245689101112131415[[#This Row],[Carry-over]]),0)</f>
        <v>3</v>
      </c>
      <c r="N72" s="209">
        <f>MIN(Tabelle13245689101112131415[[#This Row],[Jira Story Points]],Tabelle13245689101112131415[[#This Row],[Carry-over]])-Tabelle13245689101112131415[[#This Row],[SP Initially Planned (COS)]]</f>
        <v>0</v>
      </c>
      <c r="O72"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72" s="211">
        <f>IFERROR(IF(Tabelle13245689101112131415[[#This Row],[Status]]=$J$5,MIN(Tabelle13245689101112131415[[#This Row],[Jira Story Points]],Tabelle13245689101112131415[[#This Row],[Carry-over]]),0),0)</f>
        <v>0</v>
      </c>
      <c r="Q72" s="211">
        <f>IFERROR(IF(Tabelle13245689101112131415[[#This Row],[Status]]=$J$5,0,MIN(Tabelle13245689101112131415[[#This Row],[Jira Story Points]],Tabelle13245689101112131415[[#This Row],[Carry-over]])-Tabelle13245689101112131415[[#This Row],[SP Completed (COS &amp; SOS)]]),0)</f>
        <v>0</v>
      </c>
    </row>
    <row r="73" spans="1:17" ht="13.5" hidden="1" customHeight="1">
      <c r="A73" t="s">
        <v>1372</v>
      </c>
      <c r="B73" t="s">
        <v>1373</v>
      </c>
      <c r="C73" s="203" t="s">
        <v>372</v>
      </c>
      <c r="D73" s="203">
        <v>3</v>
      </c>
      <c r="E73" s="203" t="s">
        <v>324</v>
      </c>
      <c r="F73" s="204">
        <v>3</v>
      </c>
      <c r="G73" s="203" t="s">
        <v>21</v>
      </c>
      <c r="H73" s="216"/>
      <c r="I73" s="206"/>
      <c r="J73" s="203" t="s">
        <v>125</v>
      </c>
      <c r="K73" s="204"/>
      <c r="L73" s="204"/>
      <c r="M73" s="211">
        <f>IF(Tabelle13245689101112131415[[#This Row],[Pulled after Start]]="",MIN(Tabelle13245689101112131415[[#This Row],[Jira Story Points]],Tabelle13245689101112131415[[#This Row],[Carry-over]]),0)</f>
        <v>3</v>
      </c>
      <c r="N73" s="209">
        <f>MIN(Tabelle13245689101112131415[[#This Row],[Jira Story Points]],Tabelle13245689101112131415[[#This Row],[Carry-over]])-Tabelle13245689101112131415[[#This Row],[SP Initially Planned (COS)]]</f>
        <v>0</v>
      </c>
      <c r="O73"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73" s="211">
        <f>IFERROR(IF(Tabelle13245689101112131415[[#This Row],[Status]]=$J$5,MIN(Tabelle13245689101112131415[[#This Row],[Jira Story Points]],Tabelle13245689101112131415[[#This Row],[Carry-over]]),0),0)</f>
        <v>0</v>
      </c>
      <c r="Q73" s="211">
        <f>IFERROR(IF(Tabelle13245689101112131415[[#This Row],[Status]]=$J$5,0,MIN(Tabelle13245689101112131415[[#This Row],[Jira Story Points]],Tabelle13245689101112131415[[#This Row],[Carry-over]])-Tabelle13245689101112131415[[#This Row],[SP Completed (COS &amp; SOS)]]),0)</f>
        <v>0</v>
      </c>
    </row>
    <row r="74" spans="1:17" ht="13.5" hidden="1" customHeight="1">
      <c r="A74" t="s">
        <v>1374</v>
      </c>
      <c r="B74" t="s">
        <v>1375</v>
      </c>
      <c r="C74" s="203" t="s">
        <v>372</v>
      </c>
      <c r="D74" s="203">
        <v>3</v>
      </c>
      <c r="E74" s="203" t="s">
        <v>324</v>
      </c>
      <c r="F74" s="204">
        <v>3</v>
      </c>
      <c r="G74" s="203" t="s">
        <v>21</v>
      </c>
      <c r="H74" s="216"/>
      <c r="I74" s="206"/>
      <c r="J74" s="203" t="s">
        <v>125</v>
      </c>
      <c r="K74" s="204"/>
      <c r="L74" s="204"/>
      <c r="M74" s="211">
        <f>IF(Tabelle13245689101112131415[[#This Row],[Pulled after Start]]="",MIN(Tabelle13245689101112131415[[#This Row],[Jira Story Points]],Tabelle13245689101112131415[[#This Row],[Carry-over]]),0)</f>
        <v>3</v>
      </c>
      <c r="N74" s="209">
        <f>MIN(Tabelle13245689101112131415[[#This Row],[Jira Story Points]],Tabelle13245689101112131415[[#This Row],[Carry-over]])-Tabelle13245689101112131415[[#This Row],[SP Initially Planned (COS)]]</f>
        <v>0</v>
      </c>
      <c r="O74"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74" s="211">
        <f>IFERROR(IF(Tabelle13245689101112131415[[#This Row],[Status]]=$J$5,MIN(Tabelle13245689101112131415[[#This Row],[Jira Story Points]],Tabelle13245689101112131415[[#This Row],[Carry-over]]),0),0)</f>
        <v>0</v>
      </c>
      <c r="Q74" s="211">
        <f>IFERROR(IF(Tabelle13245689101112131415[[#This Row],[Status]]=$J$5,0,MIN(Tabelle13245689101112131415[[#This Row],[Jira Story Points]],Tabelle13245689101112131415[[#This Row],[Carry-over]])-Tabelle13245689101112131415[[#This Row],[SP Completed (COS &amp; SOS)]]),0)</f>
        <v>0</v>
      </c>
    </row>
    <row r="75" spans="1:17" ht="13.5" hidden="1" customHeight="1">
      <c r="A75" t="s">
        <v>1130</v>
      </c>
      <c r="B75" t="s">
        <v>1131</v>
      </c>
      <c r="C75" s="203" t="s">
        <v>372</v>
      </c>
      <c r="D75" s="203">
        <v>3</v>
      </c>
      <c r="E75" s="203" t="s">
        <v>288</v>
      </c>
      <c r="F75" s="204">
        <v>5</v>
      </c>
      <c r="G75" s="203" t="s">
        <v>21</v>
      </c>
      <c r="H75" s="216"/>
      <c r="I75" s="206"/>
      <c r="J75" s="203" t="s">
        <v>127</v>
      </c>
      <c r="K75" s="204"/>
      <c r="L75" s="204">
        <v>3</v>
      </c>
      <c r="M75" s="211">
        <f>IF(Tabelle13245689101112131415[[#This Row],[Pulled after Start]]="",MIN(Tabelle13245689101112131415[[#This Row],[Jira Story Points]],Tabelle13245689101112131415[[#This Row],[Carry-over]]),0)</f>
        <v>5</v>
      </c>
      <c r="N75" s="209">
        <f>MIN(Tabelle13245689101112131415[[#This Row],[Jira Story Points]],Tabelle13245689101112131415[[#This Row],[Carry-over]])-Tabelle13245689101112131415[[#This Row],[SP Initially Planned (COS)]]</f>
        <v>0</v>
      </c>
      <c r="O75"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75" s="211">
        <f>IFERROR(IF(Tabelle13245689101112131415[[#This Row],[Status]]=$J$5,MIN(Tabelle13245689101112131415[[#This Row],[Jira Story Points]],Tabelle13245689101112131415[[#This Row],[Carry-over]]),0),0)</f>
        <v>0</v>
      </c>
      <c r="Q75" s="211">
        <f>IFERROR(IF(Tabelle13245689101112131415[[#This Row],[Status]]=$J$5,0,MIN(Tabelle13245689101112131415[[#This Row],[Jira Story Points]],Tabelle13245689101112131415[[#This Row],[Carry-over]])-Tabelle13245689101112131415[[#This Row],[SP Completed (COS &amp; SOS)]]),0)</f>
        <v>3</v>
      </c>
    </row>
    <row r="76" spans="1:17" ht="13.5" hidden="1" customHeight="1">
      <c r="A76" t="s">
        <v>691</v>
      </c>
      <c r="B76" t="s">
        <v>692</v>
      </c>
      <c r="C76" s="203" t="s">
        <v>372</v>
      </c>
      <c r="D76" s="203">
        <v>3</v>
      </c>
      <c r="E76" s="203" t="s">
        <v>288</v>
      </c>
      <c r="F76" s="204">
        <v>2</v>
      </c>
      <c r="G76" s="203" t="s">
        <v>21</v>
      </c>
      <c r="H76" s="216"/>
      <c r="I76" s="206"/>
      <c r="J76" s="203" t="s">
        <v>127</v>
      </c>
      <c r="K76" s="204"/>
      <c r="L76" s="204">
        <v>2</v>
      </c>
      <c r="M76" s="211">
        <f>IF(Tabelle13245689101112131415[[#This Row],[Pulled after Start]]="",MIN(Tabelle13245689101112131415[[#This Row],[Jira Story Points]],Tabelle13245689101112131415[[#This Row],[Carry-over]]),0)</f>
        <v>2</v>
      </c>
      <c r="N76" s="209">
        <f>MIN(Tabelle13245689101112131415[[#This Row],[Jira Story Points]],Tabelle13245689101112131415[[#This Row],[Carry-over]])-Tabelle13245689101112131415[[#This Row],[SP Initially Planned (COS)]]</f>
        <v>0</v>
      </c>
      <c r="O76"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76" s="211">
        <f>IFERROR(IF(Tabelle13245689101112131415[[#This Row],[Status]]=$J$5,MIN(Tabelle13245689101112131415[[#This Row],[Jira Story Points]],Tabelle13245689101112131415[[#This Row],[Carry-over]]),0),0)</f>
        <v>0</v>
      </c>
      <c r="Q76" s="211">
        <f>IFERROR(IF(Tabelle13245689101112131415[[#This Row],[Status]]=$J$5,0,MIN(Tabelle13245689101112131415[[#This Row],[Jira Story Points]],Tabelle13245689101112131415[[#This Row],[Carry-over]])-Tabelle13245689101112131415[[#This Row],[SP Completed (COS &amp; SOS)]]),0)</f>
        <v>2</v>
      </c>
    </row>
    <row r="77" spans="1:17" ht="13.5" hidden="1" customHeight="1">
      <c r="A77" t="s">
        <v>1376</v>
      </c>
      <c r="B77" t="s">
        <v>1377</v>
      </c>
      <c r="C77" s="203" t="s">
        <v>372</v>
      </c>
      <c r="D77" s="203">
        <v>3</v>
      </c>
      <c r="E77" s="203" t="s">
        <v>324</v>
      </c>
      <c r="F77" s="204">
        <v>3</v>
      </c>
      <c r="G77" s="203" t="s">
        <v>21</v>
      </c>
      <c r="H77" s="216"/>
      <c r="I77" s="206"/>
      <c r="J77" s="203" t="s">
        <v>125</v>
      </c>
      <c r="K77" s="204"/>
      <c r="L77" s="204"/>
      <c r="M77" s="211">
        <f>IF(Tabelle13245689101112131415[[#This Row],[Pulled after Start]]="",MIN(Tabelle13245689101112131415[[#This Row],[Jira Story Points]],Tabelle13245689101112131415[[#This Row],[Carry-over]]),0)</f>
        <v>3</v>
      </c>
      <c r="N77" s="209">
        <f>MIN(Tabelle13245689101112131415[[#This Row],[Jira Story Points]],Tabelle13245689101112131415[[#This Row],[Carry-over]])-Tabelle13245689101112131415[[#This Row],[SP Initially Planned (COS)]]</f>
        <v>0</v>
      </c>
      <c r="O77"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77" s="211">
        <f>IFERROR(IF(Tabelle13245689101112131415[[#This Row],[Status]]=$J$5,MIN(Tabelle13245689101112131415[[#This Row],[Jira Story Points]],Tabelle13245689101112131415[[#This Row],[Carry-over]]),0),0)</f>
        <v>0</v>
      </c>
      <c r="Q77" s="211">
        <f>IFERROR(IF(Tabelle13245689101112131415[[#This Row],[Status]]=$J$5,0,MIN(Tabelle13245689101112131415[[#This Row],[Jira Story Points]],Tabelle13245689101112131415[[#This Row],[Carry-over]])-Tabelle13245689101112131415[[#This Row],[SP Completed (COS &amp; SOS)]]),0)</f>
        <v>0</v>
      </c>
    </row>
    <row r="78" spans="1:17" ht="13.5" hidden="1" customHeight="1">
      <c r="A78" t="s">
        <v>1378</v>
      </c>
      <c r="B78" t="s">
        <v>1379</v>
      </c>
      <c r="C78" s="203" t="s">
        <v>372</v>
      </c>
      <c r="D78" s="203">
        <v>3</v>
      </c>
      <c r="E78" s="203" t="s">
        <v>324</v>
      </c>
      <c r="F78" s="204">
        <v>1</v>
      </c>
      <c r="G78" s="203" t="s">
        <v>21</v>
      </c>
      <c r="H78" s="216"/>
      <c r="I78" s="206"/>
      <c r="J78" s="203" t="s">
        <v>125</v>
      </c>
      <c r="K78" s="204"/>
      <c r="L78" s="204"/>
      <c r="M78" s="211">
        <f>IF(Tabelle13245689101112131415[[#This Row],[Pulled after Start]]="",MIN(Tabelle13245689101112131415[[#This Row],[Jira Story Points]],Tabelle13245689101112131415[[#This Row],[Carry-over]]),0)</f>
        <v>1</v>
      </c>
      <c r="N78" s="209">
        <f>MIN(Tabelle13245689101112131415[[#This Row],[Jira Story Points]],Tabelle13245689101112131415[[#This Row],[Carry-over]])-Tabelle13245689101112131415[[#This Row],[SP Initially Planned (COS)]]</f>
        <v>0</v>
      </c>
      <c r="O78"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1</v>
      </c>
      <c r="P78" s="211">
        <f>IFERROR(IF(Tabelle13245689101112131415[[#This Row],[Status]]=$J$5,MIN(Tabelle13245689101112131415[[#This Row],[Jira Story Points]],Tabelle13245689101112131415[[#This Row],[Carry-over]]),0),0)</f>
        <v>0</v>
      </c>
      <c r="Q78" s="211">
        <f>IFERROR(IF(Tabelle13245689101112131415[[#This Row],[Status]]=$J$5,0,MIN(Tabelle13245689101112131415[[#This Row],[Jira Story Points]],Tabelle13245689101112131415[[#This Row],[Carry-over]])-Tabelle13245689101112131415[[#This Row],[SP Completed (COS &amp; SOS)]]),0)</f>
        <v>0</v>
      </c>
    </row>
    <row r="79" spans="1:17" ht="13.5" hidden="1" customHeight="1">
      <c r="A79" t="s">
        <v>1380</v>
      </c>
      <c r="B79" t="s">
        <v>1381</v>
      </c>
      <c r="C79" s="203" t="s">
        <v>372</v>
      </c>
      <c r="D79" s="203">
        <v>3</v>
      </c>
      <c r="E79" s="203" t="s">
        <v>278</v>
      </c>
      <c r="F79" s="204">
        <v>3</v>
      </c>
      <c r="G79" s="203" t="s">
        <v>21</v>
      </c>
      <c r="H79" s="216"/>
      <c r="I79" s="206"/>
      <c r="J79" s="203" t="s">
        <v>125</v>
      </c>
      <c r="K79" s="204"/>
      <c r="L79" s="204"/>
      <c r="M79" s="211">
        <f>IF(Tabelle13245689101112131415[[#This Row],[Pulled after Start]]="",MIN(Tabelle13245689101112131415[[#This Row],[Jira Story Points]],Tabelle13245689101112131415[[#This Row],[Carry-over]]),0)</f>
        <v>3</v>
      </c>
      <c r="N79" s="209">
        <f>MIN(Tabelle13245689101112131415[[#This Row],[Jira Story Points]],Tabelle13245689101112131415[[#This Row],[Carry-over]])-Tabelle13245689101112131415[[#This Row],[SP Initially Planned (COS)]]</f>
        <v>0</v>
      </c>
      <c r="O79"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79" s="211">
        <f>IFERROR(IF(Tabelle13245689101112131415[[#This Row],[Status]]=$J$5,MIN(Tabelle13245689101112131415[[#This Row],[Jira Story Points]],Tabelle13245689101112131415[[#This Row],[Carry-over]]),0),0)</f>
        <v>0</v>
      </c>
      <c r="Q79" s="211">
        <f>IFERROR(IF(Tabelle13245689101112131415[[#This Row],[Status]]=$J$5,0,MIN(Tabelle13245689101112131415[[#This Row],[Jira Story Points]],Tabelle13245689101112131415[[#This Row],[Carry-over]])-Tabelle13245689101112131415[[#This Row],[SP Completed (COS &amp; SOS)]]),0)</f>
        <v>0</v>
      </c>
    </row>
    <row r="80" spans="1:17" ht="13.5" hidden="1" customHeight="1">
      <c r="A80" t="s">
        <v>1382</v>
      </c>
      <c r="B80" t="s">
        <v>1383</v>
      </c>
      <c r="C80" s="203" t="s">
        <v>372</v>
      </c>
      <c r="D80" s="203">
        <v>3</v>
      </c>
      <c r="E80" s="203" t="s">
        <v>278</v>
      </c>
      <c r="F80" s="204">
        <v>2</v>
      </c>
      <c r="G80" s="203" t="s">
        <v>21</v>
      </c>
      <c r="H80" s="216"/>
      <c r="I80" s="206"/>
      <c r="J80" s="203" t="s">
        <v>125</v>
      </c>
      <c r="K80" s="204"/>
      <c r="L80" s="204"/>
      <c r="M80" s="211">
        <f>IF(Tabelle13245689101112131415[[#This Row],[Pulled after Start]]="",MIN(Tabelle13245689101112131415[[#This Row],[Jira Story Points]],Tabelle13245689101112131415[[#This Row],[Carry-over]]),0)</f>
        <v>2</v>
      </c>
      <c r="N80" s="209">
        <f>MIN(Tabelle13245689101112131415[[#This Row],[Jira Story Points]],Tabelle13245689101112131415[[#This Row],[Carry-over]])-Tabelle13245689101112131415[[#This Row],[SP Initially Planned (COS)]]</f>
        <v>0</v>
      </c>
      <c r="O80"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80" s="211">
        <f>IFERROR(IF(Tabelle13245689101112131415[[#This Row],[Status]]=$J$5,MIN(Tabelle13245689101112131415[[#This Row],[Jira Story Points]],Tabelle13245689101112131415[[#This Row],[Carry-over]]),0),0)</f>
        <v>0</v>
      </c>
      <c r="Q80" s="211">
        <f>IFERROR(IF(Tabelle13245689101112131415[[#This Row],[Status]]=$J$5,0,MIN(Tabelle13245689101112131415[[#This Row],[Jira Story Points]],Tabelle13245689101112131415[[#This Row],[Carry-over]])-Tabelle13245689101112131415[[#This Row],[SP Completed (COS &amp; SOS)]]),0)</f>
        <v>0</v>
      </c>
    </row>
    <row r="81" spans="1:17" ht="13.5" hidden="1" customHeight="1">
      <c r="A81" t="s">
        <v>1384</v>
      </c>
      <c r="B81" t="s">
        <v>1385</v>
      </c>
      <c r="C81" s="203" t="s">
        <v>372</v>
      </c>
      <c r="D81" s="203">
        <v>3</v>
      </c>
      <c r="E81" s="203" t="s">
        <v>278</v>
      </c>
      <c r="F81" s="204">
        <v>2</v>
      </c>
      <c r="G81" s="203" t="s">
        <v>21</v>
      </c>
      <c r="H81" s="203" t="s">
        <v>209</v>
      </c>
      <c r="I81" s="206"/>
      <c r="J81" s="203" t="s">
        <v>125</v>
      </c>
      <c r="K81" s="204"/>
      <c r="L81" s="204"/>
      <c r="M81" s="211">
        <f>IF(Tabelle13245689101112131415[[#This Row],[Pulled after Start]]="",MIN(Tabelle13245689101112131415[[#This Row],[Jira Story Points]],Tabelle13245689101112131415[[#This Row],[Carry-over]]),0)</f>
        <v>0</v>
      </c>
      <c r="N81" s="209">
        <f>MIN(Tabelle13245689101112131415[[#This Row],[Jira Story Points]],Tabelle13245689101112131415[[#This Row],[Carry-over]])-Tabelle13245689101112131415[[#This Row],[SP Initially Planned (COS)]]</f>
        <v>2</v>
      </c>
      <c r="O81"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81" s="211">
        <f>IFERROR(IF(Tabelle13245689101112131415[[#This Row],[Status]]=$J$5,MIN(Tabelle13245689101112131415[[#This Row],[Jira Story Points]],Tabelle13245689101112131415[[#This Row],[Carry-over]]),0),0)</f>
        <v>0</v>
      </c>
      <c r="Q81" s="211">
        <f>IFERROR(IF(Tabelle13245689101112131415[[#This Row],[Status]]=$J$5,0,MIN(Tabelle13245689101112131415[[#This Row],[Jira Story Points]],Tabelle13245689101112131415[[#This Row],[Carry-over]])-Tabelle13245689101112131415[[#This Row],[SP Completed (COS &amp; SOS)]]),0)</f>
        <v>0</v>
      </c>
    </row>
    <row r="82" spans="1:17" ht="13.5" hidden="1" customHeight="1">
      <c r="A82" t="s">
        <v>1386</v>
      </c>
      <c r="B82" t="s">
        <v>1387</v>
      </c>
      <c r="C82" s="203" t="s">
        <v>372</v>
      </c>
      <c r="D82" s="203">
        <v>3</v>
      </c>
      <c r="E82" s="203" t="s">
        <v>324</v>
      </c>
      <c r="F82" s="204">
        <v>3</v>
      </c>
      <c r="G82" s="203" t="s">
        <v>21</v>
      </c>
      <c r="H82" s="203" t="s">
        <v>209</v>
      </c>
      <c r="I82" s="206"/>
      <c r="J82" s="203" t="s">
        <v>125</v>
      </c>
      <c r="K82" s="204"/>
      <c r="L82" s="204"/>
      <c r="M82" s="211">
        <f>IF(Tabelle13245689101112131415[[#This Row],[Pulled after Start]]="",MIN(Tabelle13245689101112131415[[#This Row],[Jira Story Points]],Tabelle13245689101112131415[[#This Row],[Carry-over]]),0)</f>
        <v>0</v>
      </c>
      <c r="N82" s="209">
        <f>MIN(Tabelle13245689101112131415[[#This Row],[Jira Story Points]],Tabelle13245689101112131415[[#This Row],[Carry-over]])-Tabelle13245689101112131415[[#This Row],[SP Initially Planned (COS)]]</f>
        <v>3</v>
      </c>
      <c r="O82"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82" s="211">
        <f>IFERROR(IF(Tabelle13245689101112131415[[#This Row],[Status]]=$J$5,MIN(Tabelle13245689101112131415[[#This Row],[Jira Story Points]],Tabelle13245689101112131415[[#This Row],[Carry-over]]),0),0)</f>
        <v>0</v>
      </c>
      <c r="Q82" s="211">
        <f>IFERROR(IF(Tabelle13245689101112131415[[#This Row],[Status]]=$J$5,0,MIN(Tabelle13245689101112131415[[#This Row],[Jira Story Points]],Tabelle13245689101112131415[[#This Row],[Carry-over]])-Tabelle13245689101112131415[[#This Row],[SP Completed (COS &amp; SOS)]]),0)</f>
        <v>0</v>
      </c>
    </row>
    <row r="83" spans="1:17" ht="13.5" hidden="1" customHeight="1">
      <c r="A83" t="s">
        <v>1388</v>
      </c>
      <c r="B83" t="s">
        <v>1389</v>
      </c>
      <c r="C83" s="203" t="s">
        <v>372</v>
      </c>
      <c r="D83" s="203">
        <v>3</v>
      </c>
      <c r="E83" s="203" t="s">
        <v>324</v>
      </c>
      <c r="F83" s="204">
        <v>1</v>
      </c>
      <c r="G83" s="203" t="s">
        <v>21</v>
      </c>
      <c r="H83" s="203"/>
      <c r="I83" s="206"/>
      <c r="J83" s="203" t="s">
        <v>125</v>
      </c>
      <c r="K83" s="204"/>
      <c r="L83" s="204"/>
      <c r="M83" s="211">
        <f>IF(Tabelle13245689101112131415[[#This Row],[Pulled after Start]]="",MIN(Tabelle13245689101112131415[[#This Row],[Jira Story Points]],Tabelle13245689101112131415[[#This Row],[Carry-over]]),0)</f>
        <v>1</v>
      </c>
      <c r="N83" s="209">
        <f>MIN(Tabelle13245689101112131415[[#This Row],[Jira Story Points]],Tabelle13245689101112131415[[#This Row],[Carry-over]])-Tabelle13245689101112131415[[#This Row],[SP Initially Planned (COS)]]</f>
        <v>0</v>
      </c>
      <c r="O83"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1</v>
      </c>
      <c r="P83" s="211">
        <f>IFERROR(IF(Tabelle13245689101112131415[[#This Row],[Status]]=$J$5,MIN(Tabelle13245689101112131415[[#This Row],[Jira Story Points]],Tabelle13245689101112131415[[#This Row],[Carry-over]]),0),0)</f>
        <v>0</v>
      </c>
      <c r="Q83" s="211">
        <f>IFERROR(IF(Tabelle13245689101112131415[[#This Row],[Status]]=$J$5,0,MIN(Tabelle13245689101112131415[[#This Row],[Jira Story Points]],Tabelle13245689101112131415[[#This Row],[Carry-over]])-Tabelle13245689101112131415[[#This Row],[SP Completed (COS &amp; SOS)]]),0)</f>
        <v>0</v>
      </c>
    </row>
    <row r="84" spans="1:17" ht="13.5" hidden="1" customHeight="1">
      <c r="A84" t="s">
        <v>1390</v>
      </c>
      <c r="B84" t="s">
        <v>1391</v>
      </c>
      <c r="C84" s="203" t="s">
        <v>372</v>
      </c>
      <c r="D84" s="203">
        <v>3</v>
      </c>
      <c r="E84" s="203" t="s">
        <v>324</v>
      </c>
      <c r="F84" s="204">
        <v>3</v>
      </c>
      <c r="G84" s="203" t="s">
        <v>21</v>
      </c>
      <c r="H84" s="203"/>
      <c r="I84" s="206"/>
      <c r="J84" s="203" t="s">
        <v>125</v>
      </c>
      <c r="K84" s="204"/>
      <c r="L84" s="204"/>
      <c r="M84" s="211">
        <f>IF(Tabelle13245689101112131415[[#This Row],[Pulled after Start]]="",MIN(Tabelle13245689101112131415[[#This Row],[Jira Story Points]],Tabelle13245689101112131415[[#This Row],[Carry-over]]),0)</f>
        <v>3</v>
      </c>
      <c r="N84" s="209">
        <f>MIN(Tabelle13245689101112131415[[#This Row],[Jira Story Points]],Tabelle13245689101112131415[[#This Row],[Carry-over]])-Tabelle13245689101112131415[[#This Row],[SP Initially Planned (COS)]]</f>
        <v>0</v>
      </c>
      <c r="O84"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84" s="211">
        <f>IFERROR(IF(Tabelle13245689101112131415[[#This Row],[Status]]=$J$5,MIN(Tabelle13245689101112131415[[#This Row],[Jira Story Points]],Tabelle13245689101112131415[[#This Row],[Carry-over]]),0),0)</f>
        <v>0</v>
      </c>
      <c r="Q84" s="211">
        <f>IFERROR(IF(Tabelle13245689101112131415[[#This Row],[Status]]=$J$5,0,MIN(Tabelle13245689101112131415[[#This Row],[Jira Story Points]],Tabelle13245689101112131415[[#This Row],[Carry-over]])-Tabelle13245689101112131415[[#This Row],[SP Completed (COS &amp; SOS)]]),0)</f>
        <v>0</v>
      </c>
    </row>
    <row r="85" spans="1:17" ht="13.5" hidden="1" customHeight="1">
      <c r="A85" t="s">
        <v>695</v>
      </c>
      <c r="B85" t="s">
        <v>696</v>
      </c>
      <c r="C85" s="203" t="s">
        <v>375</v>
      </c>
      <c r="D85" s="203">
        <v>3</v>
      </c>
      <c r="E85" s="203" t="s">
        <v>288</v>
      </c>
      <c r="F85" s="204">
        <v>3</v>
      </c>
      <c r="G85" s="203" t="s">
        <v>21</v>
      </c>
      <c r="H85" s="203"/>
      <c r="I85" s="206"/>
      <c r="J85" s="203" t="s">
        <v>127</v>
      </c>
      <c r="K85" s="204"/>
      <c r="L85" s="204">
        <v>2</v>
      </c>
      <c r="M85" s="211">
        <f>IF(Tabelle13245689101112131415[[#This Row],[Pulled after Start]]="",MIN(Tabelle13245689101112131415[[#This Row],[Jira Story Points]],Tabelle13245689101112131415[[#This Row],[Carry-over]]),0)</f>
        <v>3</v>
      </c>
      <c r="N85" s="209">
        <f>MIN(Tabelle13245689101112131415[[#This Row],[Jira Story Points]],Tabelle13245689101112131415[[#This Row],[Carry-over]])-Tabelle13245689101112131415[[#This Row],[SP Initially Planned (COS)]]</f>
        <v>0</v>
      </c>
      <c r="O85"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1</v>
      </c>
      <c r="P85" s="211">
        <f>IFERROR(IF(Tabelle13245689101112131415[[#This Row],[Status]]=$J$5,MIN(Tabelle13245689101112131415[[#This Row],[Jira Story Points]],Tabelle13245689101112131415[[#This Row],[Carry-over]]),0),0)</f>
        <v>0</v>
      </c>
      <c r="Q85" s="211">
        <f>IFERROR(IF(Tabelle13245689101112131415[[#This Row],[Status]]=$J$5,0,MIN(Tabelle13245689101112131415[[#This Row],[Jira Story Points]],Tabelle13245689101112131415[[#This Row],[Carry-over]])-Tabelle13245689101112131415[[#This Row],[SP Completed (COS &amp; SOS)]]),0)</f>
        <v>2</v>
      </c>
    </row>
    <row r="86" spans="1:17" ht="13.5" hidden="1" customHeight="1">
      <c r="A86" t="s">
        <v>1392</v>
      </c>
      <c r="B86" t="s">
        <v>1393</v>
      </c>
      <c r="C86" s="203" t="s">
        <v>372</v>
      </c>
      <c r="D86" s="203">
        <v>3</v>
      </c>
      <c r="E86" s="203" t="s">
        <v>324</v>
      </c>
      <c r="F86" s="204">
        <v>2</v>
      </c>
      <c r="G86" s="203" t="s">
        <v>21</v>
      </c>
      <c r="H86" s="203"/>
      <c r="I86" s="206"/>
      <c r="J86" s="203" t="s">
        <v>125</v>
      </c>
      <c r="K86" s="204"/>
      <c r="L86" s="204"/>
      <c r="M86" s="211">
        <f>IF(Tabelle13245689101112131415[[#This Row],[Pulled after Start]]="",MIN(Tabelle13245689101112131415[[#This Row],[Jira Story Points]],Tabelle13245689101112131415[[#This Row],[Carry-over]]),0)</f>
        <v>2</v>
      </c>
      <c r="N86" s="209">
        <f>MIN(Tabelle13245689101112131415[[#This Row],[Jira Story Points]],Tabelle13245689101112131415[[#This Row],[Carry-over]])-Tabelle13245689101112131415[[#This Row],[SP Initially Planned (COS)]]</f>
        <v>0</v>
      </c>
      <c r="O86"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86" s="211">
        <f>IFERROR(IF(Tabelle13245689101112131415[[#This Row],[Status]]=$J$5,MIN(Tabelle13245689101112131415[[#This Row],[Jira Story Points]],Tabelle13245689101112131415[[#This Row],[Carry-over]]),0),0)</f>
        <v>0</v>
      </c>
      <c r="Q86" s="211">
        <f>IFERROR(IF(Tabelle13245689101112131415[[#This Row],[Status]]=$J$5,0,MIN(Tabelle13245689101112131415[[#This Row],[Jira Story Points]],Tabelle13245689101112131415[[#This Row],[Carry-over]])-Tabelle13245689101112131415[[#This Row],[SP Completed (COS &amp; SOS)]]),0)</f>
        <v>0</v>
      </c>
    </row>
    <row r="87" spans="1:17" ht="13.5" hidden="1" customHeight="1">
      <c r="A87" t="s">
        <v>1394</v>
      </c>
      <c r="B87" t="s">
        <v>1395</v>
      </c>
      <c r="C87" s="203" t="s">
        <v>372</v>
      </c>
      <c r="D87" s="203">
        <v>3</v>
      </c>
      <c r="E87" s="203" t="s">
        <v>324</v>
      </c>
      <c r="F87" s="204">
        <v>5</v>
      </c>
      <c r="G87" s="203" t="s">
        <v>21</v>
      </c>
      <c r="H87" s="203"/>
      <c r="I87" s="206"/>
      <c r="J87" s="203" t="s">
        <v>125</v>
      </c>
      <c r="K87" s="204"/>
      <c r="L87" s="204"/>
      <c r="M87" s="211">
        <f>IF(Tabelle13245689101112131415[[#This Row],[Pulled after Start]]="",MIN(Tabelle13245689101112131415[[#This Row],[Jira Story Points]],Tabelle13245689101112131415[[#This Row],[Carry-over]]),0)</f>
        <v>5</v>
      </c>
      <c r="N87" s="209">
        <f>MIN(Tabelle13245689101112131415[[#This Row],[Jira Story Points]],Tabelle13245689101112131415[[#This Row],[Carry-over]])-Tabelle13245689101112131415[[#This Row],[SP Initially Planned (COS)]]</f>
        <v>0</v>
      </c>
      <c r="O87"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5</v>
      </c>
      <c r="P87" s="211">
        <f>IFERROR(IF(Tabelle13245689101112131415[[#This Row],[Status]]=$J$5,MIN(Tabelle13245689101112131415[[#This Row],[Jira Story Points]],Tabelle13245689101112131415[[#This Row],[Carry-over]]),0),0)</f>
        <v>0</v>
      </c>
      <c r="Q87" s="211">
        <f>IFERROR(IF(Tabelle13245689101112131415[[#This Row],[Status]]=$J$5,0,MIN(Tabelle13245689101112131415[[#This Row],[Jira Story Points]],Tabelle13245689101112131415[[#This Row],[Carry-over]])-Tabelle13245689101112131415[[#This Row],[SP Completed (COS &amp; SOS)]]),0)</f>
        <v>0</v>
      </c>
    </row>
    <row r="88" spans="1:17" ht="13.5" hidden="1" customHeight="1">
      <c r="A88" t="s">
        <v>1396</v>
      </c>
      <c r="B88" t="s">
        <v>1397</v>
      </c>
      <c r="C88" s="203" t="s">
        <v>372</v>
      </c>
      <c r="D88" s="203">
        <v>3</v>
      </c>
      <c r="E88" s="203" t="s">
        <v>324</v>
      </c>
      <c r="F88" s="204">
        <v>3</v>
      </c>
      <c r="G88" s="203" t="s">
        <v>21</v>
      </c>
      <c r="H88" s="203"/>
      <c r="I88" s="206"/>
      <c r="J88" s="203" t="s">
        <v>125</v>
      </c>
      <c r="K88" s="204"/>
      <c r="L88" s="204"/>
      <c r="M88" s="211">
        <f>IF(Tabelle13245689101112131415[[#This Row],[Pulled after Start]]="",MIN(Tabelle13245689101112131415[[#This Row],[Jira Story Points]],Tabelle13245689101112131415[[#This Row],[Carry-over]]),0)</f>
        <v>3</v>
      </c>
      <c r="N88" s="209">
        <f>MIN(Tabelle13245689101112131415[[#This Row],[Jira Story Points]],Tabelle13245689101112131415[[#This Row],[Carry-over]])-Tabelle13245689101112131415[[#This Row],[SP Initially Planned (COS)]]</f>
        <v>0</v>
      </c>
      <c r="O88"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88" s="211">
        <f>IFERROR(IF(Tabelle13245689101112131415[[#This Row],[Status]]=$J$5,MIN(Tabelle13245689101112131415[[#This Row],[Jira Story Points]],Tabelle13245689101112131415[[#This Row],[Carry-over]]),0),0)</f>
        <v>0</v>
      </c>
      <c r="Q88" s="211">
        <f>IFERROR(IF(Tabelle13245689101112131415[[#This Row],[Status]]=$J$5,0,MIN(Tabelle13245689101112131415[[#This Row],[Jira Story Points]],Tabelle13245689101112131415[[#This Row],[Carry-over]])-Tabelle13245689101112131415[[#This Row],[SP Completed (COS &amp; SOS)]]),0)</f>
        <v>0</v>
      </c>
    </row>
    <row r="89" spans="1:17" ht="13.5" hidden="1" customHeight="1">
      <c r="A89" t="s">
        <v>1398</v>
      </c>
      <c r="B89" t="s">
        <v>1399</v>
      </c>
      <c r="C89" s="203" t="s">
        <v>372</v>
      </c>
      <c r="D89" s="203">
        <v>3</v>
      </c>
      <c r="E89" s="203" t="s">
        <v>278</v>
      </c>
      <c r="F89" s="204">
        <v>2</v>
      </c>
      <c r="G89" s="203" t="s">
        <v>21</v>
      </c>
      <c r="H89" s="203" t="s">
        <v>209</v>
      </c>
      <c r="I89" s="206"/>
      <c r="J89" s="203" t="s">
        <v>125</v>
      </c>
      <c r="K89" s="204"/>
      <c r="L89" s="204"/>
      <c r="M89" s="211">
        <f>IF(Tabelle13245689101112131415[[#This Row],[Pulled after Start]]="",MIN(Tabelle13245689101112131415[[#This Row],[Jira Story Points]],Tabelle13245689101112131415[[#This Row],[Carry-over]]),0)</f>
        <v>0</v>
      </c>
      <c r="N89" s="209">
        <f>MIN(Tabelle13245689101112131415[[#This Row],[Jira Story Points]],Tabelle13245689101112131415[[#This Row],[Carry-over]])-Tabelle13245689101112131415[[#This Row],[SP Initially Planned (COS)]]</f>
        <v>2</v>
      </c>
      <c r="O89"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89" s="211">
        <f>IFERROR(IF(Tabelle13245689101112131415[[#This Row],[Status]]=$J$5,MIN(Tabelle13245689101112131415[[#This Row],[Jira Story Points]],Tabelle13245689101112131415[[#This Row],[Carry-over]]),0),0)</f>
        <v>0</v>
      </c>
      <c r="Q89" s="211">
        <f>IFERROR(IF(Tabelle13245689101112131415[[#This Row],[Status]]=$J$5,0,MIN(Tabelle13245689101112131415[[#This Row],[Jira Story Points]],Tabelle13245689101112131415[[#This Row],[Carry-over]])-Tabelle13245689101112131415[[#This Row],[SP Completed (COS &amp; SOS)]]),0)</f>
        <v>0</v>
      </c>
    </row>
    <row r="90" spans="1:17" ht="13.5" hidden="1" customHeight="1">
      <c r="A90" t="s">
        <v>1400</v>
      </c>
      <c r="B90" t="s">
        <v>1401</v>
      </c>
      <c r="C90" s="203" t="s">
        <v>372</v>
      </c>
      <c r="D90" s="203">
        <v>3</v>
      </c>
      <c r="E90" s="203" t="s">
        <v>278</v>
      </c>
      <c r="F90" s="204">
        <v>2</v>
      </c>
      <c r="G90" s="203" t="s">
        <v>21</v>
      </c>
      <c r="H90" s="203" t="s">
        <v>209</v>
      </c>
      <c r="I90" s="206"/>
      <c r="J90" s="203" t="s">
        <v>125</v>
      </c>
      <c r="K90" s="204"/>
      <c r="L90" s="204"/>
      <c r="M90" s="211">
        <f>IF(Tabelle13245689101112131415[[#This Row],[Pulled after Start]]="",MIN(Tabelle13245689101112131415[[#This Row],[Jira Story Points]],Tabelle13245689101112131415[[#This Row],[Carry-over]]),0)</f>
        <v>0</v>
      </c>
      <c r="N90" s="209">
        <f>MIN(Tabelle13245689101112131415[[#This Row],[Jira Story Points]],Tabelle13245689101112131415[[#This Row],[Carry-over]])-Tabelle13245689101112131415[[#This Row],[SP Initially Planned (COS)]]</f>
        <v>2</v>
      </c>
      <c r="O90"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90" s="211">
        <f>IFERROR(IF(Tabelle13245689101112131415[[#This Row],[Status]]=$J$5,MIN(Tabelle13245689101112131415[[#This Row],[Jira Story Points]],Tabelle13245689101112131415[[#This Row],[Carry-over]]),0),0)</f>
        <v>0</v>
      </c>
      <c r="Q90" s="211">
        <f>IFERROR(IF(Tabelle13245689101112131415[[#This Row],[Status]]=$J$5,0,MIN(Tabelle13245689101112131415[[#This Row],[Jira Story Points]],Tabelle13245689101112131415[[#This Row],[Carry-over]])-Tabelle13245689101112131415[[#This Row],[SP Completed (COS &amp; SOS)]]),0)</f>
        <v>0</v>
      </c>
    </row>
    <row r="91" spans="1:17" ht="13.5" hidden="1" customHeight="1">
      <c r="A91" s="264" t="s">
        <v>1402</v>
      </c>
      <c r="B91" s="265" t="s">
        <v>1403</v>
      </c>
      <c r="C91" s="203" t="s">
        <v>382</v>
      </c>
      <c r="D91" s="203">
        <v>3</v>
      </c>
      <c r="E91" s="203" t="s">
        <v>278</v>
      </c>
      <c r="F91" s="203">
        <v>3</v>
      </c>
      <c r="G91" s="203" t="s">
        <v>17</v>
      </c>
      <c r="H91" s="216"/>
      <c r="I91" s="205" t="s">
        <v>227</v>
      </c>
      <c r="J91" s="203" t="s">
        <v>125</v>
      </c>
      <c r="K91" s="204"/>
      <c r="L91" s="204"/>
      <c r="M91" s="211">
        <f>IF(Tabelle13245689101112131415[[#This Row],[Pulled after Start]]="",MIN(Tabelle13245689101112131415[[#This Row],[Jira Story Points]],Tabelle13245689101112131415[[#This Row],[Carry-over]]),0)</f>
        <v>3</v>
      </c>
      <c r="N91" s="209">
        <f>MIN(Tabelle13245689101112131415[[#This Row],[Jira Story Points]],Tabelle13245689101112131415[[#This Row],[Carry-over]])-Tabelle13245689101112131415[[#This Row],[SP Initially Planned (COS)]]</f>
        <v>0</v>
      </c>
      <c r="O91"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91" s="211">
        <f>IFERROR(IF(Tabelle13245689101112131415[[#This Row],[Status]]=$J$5,MIN(Tabelle13245689101112131415[[#This Row],[Jira Story Points]],Tabelle13245689101112131415[[#This Row],[Carry-over]]),0),0)</f>
        <v>0</v>
      </c>
      <c r="Q91" s="211">
        <f>IFERROR(IF(Tabelle13245689101112131415[[#This Row],[Status]]=$J$5,0,MIN(Tabelle13245689101112131415[[#This Row],[Jira Story Points]],Tabelle13245689101112131415[[#This Row],[Carry-over]])-Tabelle13245689101112131415[[#This Row],[SP Completed (COS &amp; SOS)]]),0)</f>
        <v>0</v>
      </c>
    </row>
    <row r="92" spans="1:17" ht="13.5" hidden="1" customHeight="1">
      <c r="A92" s="264" t="s">
        <v>1404</v>
      </c>
      <c r="B92" s="265" t="s">
        <v>1405</v>
      </c>
      <c r="C92" s="203" t="s">
        <v>372</v>
      </c>
      <c r="D92" s="203">
        <v>3</v>
      </c>
      <c r="E92" s="203" t="s">
        <v>288</v>
      </c>
      <c r="F92" s="203">
        <v>3</v>
      </c>
      <c r="G92" s="203" t="s">
        <v>17</v>
      </c>
      <c r="H92" s="216"/>
      <c r="I92" s="205" t="s">
        <v>227</v>
      </c>
      <c r="J92" s="203" t="s">
        <v>125</v>
      </c>
      <c r="K92" s="204"/>
      <c r="L92" s="204"/>
      <c r="M92" s="211">
        <f>IF(Tabelle13245689101112131415[[#This Row],[Pulled after Start]]="",MIN(Tabelle13245689101112131415[[#This Row],[Jira Story Points]],Tabelle13245689101112131415[[#This Row],[Carry-over]]),0)</f>
        <v>3</v>
      </c>
      <c r="N92" s="209">
        <f>MIN(Tabelle13245689101112131415[[#This Row],[Jira Story Points]],Tabelle13245689101112131415[[#This Row],[Carry-over]])-Tabelle13245689101112131415[[#This Row],[SP Initially Planned (COS)]]</f>
        <v>0</v>
      </c>
      <c r="O92"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92" s="211">
        <f>IFERROR(IF(Tabelle13245689101112131415[[#This Row],[Status]]=$J$5,MIN(Tabelle13245689101112131415[[#This Row],[Jira Story Points]],Tabelle13245689101112131415[[#This Row],[Carry-over]]),0),0)</f>
        <v>0</v>
      </c>
      <c r="Q92" s="211">
        <f>IFERROR(IF(Tabelle13245689101112131415[[#This Row],[Status]]=$J$5,0,MIN(Tabelle13245689101112131415[[#This Row],[Jira Story Points]],Tabelle13245689101112131415[[#This Row],[Carry-over]])-Tabelle13245689101112131415[[#This Row],[SP Completed (COS &amp; SOS)]]),0)</f>
        <v>0</v>
      </c>
    </row>
    <row r="93" spans="1:17" ht="13.5" hidden="1" customHeight="1">
      <c r="A93" s="264" t="s">
        <v>1406</v>
      </c>
      <c r="B93" s="265" t="s">
        <v>1407</v>
      </c>
      <c r="C93" s="203" t="s">
        <v>372</v>
      </c>
      <c r="D93" s="203">
        <v>3</v>
      </c>
      <c r="E93" s="203" t="s">
        <v>288</v>
      </c>
      <c r="F93" s="203">
        <v>3</v>
      </c>
      <c r="G93" s="203" t="s">
        <v>17</v>
      </c>
      <c r="H93" s="216"/>
      <c r="I93" s="205" t="s">
        <v>227</v>
      </c>
      <c r="J93" s="203" t="s">
        <v>125</v>
      </c>
      <c r="K93" s="204"/>
      <c r="L93" s="204"/>
      <c r="M93" s="211">
        <f>IF(Tabelle13245689101112131415[[#This Row],[Pulled after Start]]="",MIN(Tabelle13245689101112131415[[#This Row],[Jira Story Points]],Tabelle13245689101112131415[[#This Row],[Carry-over]]),0)</f>
        <v>3</v>
      </c>
      <c r="N93" s="209">
        <f>MIN(Tabelle13245689101112131415[[#This Row],[Jira Story Points]],Tabelle13245689101112131415[[#This Row],[Carry-over]])-Tabelle13245689101112131415[[#This Row],[SP Initially Planned (COS)]]</f>
        <v>0</v>
      </c>
      <c r="O93"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93" s="211">
        <f>IFERROR(IF(Tabelle13245689101112131415[[#This Row],[Status]]=$J$5,MIN(Tabelle13245689101112131415[[#This Row],[Jira Story Points]],Tabelle13245689101112131415[[#This Row],[Carry-over]]),0),0)</f>
        <v>0</v>
      </c>
      <c r="Q93" s="211">
        <f>IFERROR(IF(Tabelle13245689101112131415[[#This Row],[Status]]=$J$5,0,MIN(Tabelle13245689101112131415[[#This Row],[Jira Story Points]],Tabelle13245689101112131415[[#This Row],[Carry-over]])-Tabelle13245689101112131415[[#This Row],[SP Completed (COS &amp; SOS)]]),0)</f>
        <v>0</v>
      </c>
    </row>
    <row r="94" spans="1:17" ht="13.5" hidden="1" customHeight="1">
      <c r="A94" s="264" t="s">
        <v>1025</v>
      </c>
      <c r="B94" s="265" t="s">
        <v>1026</v>
      </c>
      <c r="C94" s="203" t="s">
        <v>375</v>
      </c>
      <c r="D94" s="203">
        <v>3</v>
      </c>
      <c r="E94" s="203" t="s">
        <v>288</v>
      </c>
      <c r="F94" s="203">
        <v>3</v>
      </c>
      <c r="G94" s="203" t="s">
        <v>17</v>
      </c>
      <c r="H94" s="216"/>
      <c r="I94" s="205" t="s">
        <v>217</v>
      </c>
      <c r="J94" s="203" t="s">
        <v>127</v>
      </c>
      <c r="K94" s="204"/>
      <c r="L94" s="204">
        <v>1</v>
      </c>
      <c r="M94" s="211">
        <f>IF(Tabelle13245689101112131415[[#This Row],[Pulled after Start]]="",MIN(Tabelle13245689101112131415[[#This Row],[Jira Story Points]],Tabelle13245689101112131415[[#This Row],[Carry-over]]),0)</f>
        <v>3</v>
      </c>
      <c r="N94" s="209">
        <f>MIN(Tabelle13245689101112131415[[#This Row],[Jira Story Points]],Tabelle13245689101112131415[[#This Row],[Carry-over]])-Tabelle13245689101112131415[[#This Row],[SP Initially Planned (COS)]]</f>
        <v>0</v>
      </c>
      <c r="O94"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94" s="211">
        <f>IFERROR(IF(Tabelle13245689101112131415[[#This Row],[Status]]=$J$5,MIN(Tabelle13245689101112131415[[#This Row],[Jira Story Points]],Tabelle13245689101112131415[[#This Row],[Carry-over]]),0),0)</f>
        <v>0</v>
      </c>
      <c r="Q94" s="211">
        <f>IFERROR(IF(Tabelle13245689101112131415[[#This Row],[Status]]=$J$5,0,MIN(Tabelle13245689101112131415[[#This Row],[Jira Story Points]],Tabelle13245689101112131415[[#This Row],[Carry-over]])-Tabelle13245689101112131415[[#This Row],[SP Completed (COS &amp; SOS)]]),0)</f>
        <v>1</v>
      </c>
    </row>
    <row r="95" spans="1:17" ht="13.5" hidden="1" customHeight="1">
      <c r="A95" s="264" t="s">
        <v>1408</v>
      </c>
      <c r="B95" s="265" t="s">
        <v>1409</v>
      </c>
      <c r="C95" s="203" t="s">
        <v>375</v>
      </c>
      <c r="D95" s="203">
        <v>2</v>
      </c>
      <c r="E95" s="203" t="s">
        <v>288</v>
      </c>
      <c r="F95" s="203">
        <v>3</v>
      </c>
      <c r="G95" s="203" t="s">
        <v>17</v>
      </c>
      <c r="H95" s="216"/>
      <c r="I95" s="205" t="s">
        <v>217</v>
      </c>
      <c r="J95" s="203" t="s">
        <v>125</v>
      </c>
      <c r="K95" s="204"/>
      <c r="L95" s="204"/>
      <c r="M95" s="211">
        <f>IF(Tabelle13245689101112131415[[#This Row],[Pulled after Start]]="",MIN(Tabelle13245689101112131415[[#This Row],[Jira Story Points]],Tabelle13245689101112131415[[#This Row],[Carry-over]]),0)</f>
        <v>3</v>
      </c>
      <c r="N95" s="209">
        <f>MIN(Tabelle13245689101112131415[[#This Row],[Jira Story Points]],Tabelle13245689101112131415[[#This Row],[Carry-over]])-Tabelle13245689101112131415[[#This Row],[SP Initially Planned (COS)]]</f>
        <v>0</v>
      </c>
      <c r="O95"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95" s="211">
        <f>IFERROR(IF(Tabelle13245689101112131415[[#This Row],[Status]]=$J$5,MIN(Tabelle13245689101112131415[[#This Row],[Jira Story Points]],Tabelle13245689101112131415[[#This Row],[Carry-over]]),0),0)</f>
        <v>0</v>
      </c>
      <c r="Q95" s="211">
        <f>IFERROR(IF(Tabelle13245689101112131415[[#This Row],[Status]]=$J$5,0,MIN(Tabelle13245689101112131415[[#This Row],[Jira Story Points]],Tabelle13245689101112131415[[#This Row],[Carry-over]])-Tabelle13245689101112131415[[#This Row],[SP Completed (COS &amp; SOS)]]),0)</f>
        <v>0</v>
      </c>
    </row>
    <row r="96" spans="1:17" ht="13.5" hidden="1" customHeight="1">
      <c r="A96" s="264" t="s">
        <v>1410</v>
      </c>
      <c r="B96" s="265" t="s">
        <v>1411</v>
      </c>
      <c r="C96" s="203" t="s">
        <v>375</v>
      </c>
      <c r="D96" s="203">
        <v>3</v>
      </c>
      <c r="E96" s="203" t="s">
        <v>288</v>
      </c>
      <c r="F96" s="203">
        <v>3</v>
      </c>
      <c r="G96" s="203" t="s">
        <v>17</v>
      </c>
      <c r="H96" s="216"/>
      <c r="I96" s="205" t="s">
        <v>217</v>
      </c>
      <c r="J96" s="203" t="s">
        <v>125</v>
      </c>
      <c r="K96" s="204"/>
      <c r="L96" s="204"/>
      <c r="M96" s="211">
        <f>IF(Tabelle13245689101112131415[[#This Row],[Pulled after Start]]="",MIN(Tabelle13245689101112131415[[#This Row],[Jira Story Points]],Tabelle13245689101112131415[[#This Row],[Carry-over]]),0)</f>
        <v>3</v>
      </c>
      <c r="N96" s="209">
        <f>MIN(Tabelle13245689101112131415[[#This Row],[Jira Story Points]],Tabelle13245689101112131415[[#This Row],[Carry-over]])-Tabelle13245689101112131415[[#This Row],[SP Initially Planned (COS)]]</f>
        <v>0</v>
      </c>
      <c r="O96"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96" s="211">
        <f>IFERROR(IF(Tabelle13245689101112131415[[#This Row],[Status]]=$J$5,MIN(Tabelle13245689101112131415[[#This Row],[Jira Story Points]],Tabelle13245689101112131415[[#This Row],[Carry-over]]),0),0)</f>
        <v>0</v>
      </c>
      <c r="Q96" s="211">
        <f>IFERROR(IF(Tabelle13245689101112131415[[#This Row],[Status]]=$J$5,0,MIN(Tabelle13245689101112131415[[#This Row],[Jira Story Points]],Tabelle13245689101112131415[[#This Row],[Carry-over]])-Tabelle13245689101112131415[[#This Row],[SP Completed (COS &amp; SOS)]]),0)</f>
        <v>0</v>
      </c>
    </row>
    <row r="97" spans="1:17" ht="13.5" hidden="1" customHeight="1">
      <c r="A97" s="264" t="s">
        <v>1412</v>
      </c>
      <c r="B97" s="265" t="s">
        <v>1413</v>
      </c>
      <c r="C97" s="203" t="s">
        <v>375</v>
      </c>
      <c r="D97" s="203">
        <v>2</v>
      </c>
      <c r="E97" s="203" t="s">
        <v>278</v>
      </c>
      <c r="F97" s="203">
        <v>2</v>
      </c>
      <c r="G97" s="203" t="s">
        <v>17</v>
      </c>
      <c r="H97" s="205" t="s">
        <v>209</v>
      </c>
      <c r="I97" s="205" t="s">
        <v>217</v>
      </c>
      <c r="J97" s="203" t="s">
        <v>125</v>
      </c>
      <c r="K97" s="204"/>
      <c r="L97" s="204"/>
      <c r="M97" s="211">
        <f>IF(Tabelle13245689101112131415[[#This Row],[Pulled after Start]]="",MIN(Tabelle13245689101112131415[[#This Row],[Jira Story Points]],Tabelle13245689101112131415[[#This Row],[Carry-over]]),0)</f>
        <v>0</v>
      </c>
      <c r="N97" s="209">
        <f>MIN(Tabelle13245689101112131415[[#This Row],[Jira Story Points]],Tabelle13245689101112131415[[#This Row],[Carry-over]])-Tabelle13245689101112131415[[#This Row],[SP Initially Planned (COS)]]</f>
        <v>2</v>
      </c>
      <c r="O97"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97" s="211">
        <f>IFERROR(IF(Tabelle13245689101112131415[[#This Row],[Status]]=$J$5,MIN(Tabelle13245689101112131415[[#This Row],[Jira Story Points]],Tabelle13245689101112131415[[#This Row],[Carry-over]]),0),0)</f>
        <v>0</v>
      </c>
      <c r="Q97" s="211">
        <f>IFERROR(IF(Tabelle13245689101112131415[[#This Row],[Status]]=$J$5,0,MIN(Tabelle13245689101112131415[[#This Row],[Jira Story Points]],Tabelle13245689101112131415[[#This Row],[Carry-over]])-Tabelle13245689101112131415[[#This Row],[SP Completed (COS &amp; SOS)]]),0)</f>
        <v>0</v>
      </c>
    </row>
    <row r="98" spans="1:17" ht="13.5" hidden="1" customHeight="1">
      <c r="A98" s="264" t="s">
        <v>1414</v>
      </c>
      <c r="B98" s="265" t="s">
        <v>1415</v>
      </c>
      <c r="C98" s="203" t="s">
        <v>382</v>
      </c>
      <c r="D98" s="203">
        <v>3</v>
      </c>
      <c r="E98" s="203" t="s">
        <v>281</v>
      </c>
      <c r="F98" s="203">
        <v>3</v>
      </c>
      <c r="G98" s="203" t="s">
        <v>17</v>
      </c>
      <c r="H98" s="216"/>
      <c r="I98" s="205" t="s">
        <v>217</v>
      </c>
      <c r="J98" s="203" t="s">
        <v>125</v>
      </c>
      <c r="K98" s="204"/>
      <c r="L98" s="204"/>
      <c r="M98" s="211">
        <f>IF(Tabelle13245689101112131415[[#This Row],[Pulled after Start]]="",MIN(Tabelle13245689101112131415[[#This Row],[Jira Story Points]],Tabelle13245689101112131415[[#This Row],[Carry-over]]),0)</f>
        <v>3</v>
      </c>
      <c r="N98" s="209">
        <f>MIN(Tabelle13245689101112131415[[#This Row],[Jira Story Points]],Tabelle13245689101112131415[[#This Row],[Carry-over]])-Tabelle13245689101112131415[[#This Row],[SP Initially Planned (COS)]]</f>
        <v>0</v>
      </c>
      <c r="O98"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98" s="211">
        <f>IFERROR(IF(Tabelle13245689101112131415[[#This Row],[Status]]=$J$5,MIN(Tabelle13245689101112131415[[#This Row],[Jira Story Points]],Tabelle13245689101112131415[[#This Row],[Carry-over]]),0),0)</f>
        <v>0</v>
      </c>
      <c r="Q98" s="211">
        <f>IFERROR(IF(Tabelle13245689101112131415[[#This Row],[Status]]=$J$5,0,MIN(Tabelle13245689101112131415[[#This Row],[Jira Story Points]],Tabelle13245689101112131415[[#This Row],[Carry-over]])-Tabelle13245689101112131415[[#This Row],[SP Completed (COS &amp; SOS)]]),0)</f>
        <v>0</v>
      </c>
    </row>
    <row r="99" spans="1:17" ht="13.5" hidden="1" customHeight="1">
      <c r="A99" t="s">
        <v>493</v>
      </c>
      <c r="B99" t="s">
        <v>494</v>
      </c>
      <c r="C99" s="203" t="s">
        <v>372</v>
      </c>
      <c r="D99" s="203">
        <v>3</v>
      </c>
      <c r="E99" s="203" t="s">
        <v>216</v>
      </c>
      <c r="F99" s="204">
        <v>5</v>
      </c>
      <c r="G99" s="203" t="s">
        <v>24</v>
      </c>
      <c r="H99" s="216"/>
      <c r="I99" s="206"/>
      <c r="J99" s="203" t="s">
        <v>125</v>
      </c>
      <c r="K99" s="204">
        <v>3</v>
      </c>
      <c r="L99" s="204"/>
      <c r="M99" s="211">
        <f>IF(Tabelle13245689101112131415[[#This Row],[Pulled after Start]]="",MIN(Tabelle13245689101112131415[[#This Row],[Jira Story Points]],Tabelle13245689101112131415[[#This Row],[Carry-over]]),0)</f>
        <v>3</v>
      </c>
      <c r="N99" s="209">
        <f>MIN(Tabelle13245689101112131415[[#This Row],[Jira Story Points]],Tabelle13245689101112131415[[#This Row],[Carry-over]])-Tabelle13245689101112131415[[#This Row],[SP Initially Planned (COS)]]</f>
        <v>0</v>
      </c>
      <c r="O99"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99" s="211">
        <f>IFERROR(IF(Tabelle13245689101112131415[[#This Row],[Status]]=$J$5,MIN(Tabelle13245689101112131415[[#This Row],[Jira Story Points]],Tabelle13245689101112131415[[#This Row],[Carry-over]]),0),0)</f>
        <v>0</v>
      </c>
      <c r="Q99" s="211">
        <f>IFERROR(IF(Tabelle13245689101112131415[[#This Row],[Status]]=$J$5,0,MIN(Tabelle13245689101112131415[[#This Row],[Jira Story Points]],Tabelle13245689101112131415[[#This Row],[Carry-over]])-Tabelle13245689101112131415[[#This Row],[SP Completed (COS &amp; SOS)]]),0)</f>
        <v>0</v>
      </c>
    </row>
    <row r="100" spans="1:17" ht="13.5" hidden="1" customHeight="1">
      <c r="A100" t="s">
        <v>1416</v>
      </c>
      <c r="B100" t="s">
        <v>1417</v>
      </c>
      <c r="C100" s="203" t="s">
        <v>372</v>
      </c>
      <c r="D100" s="203">
        <v>3</v>
      </c>
      <c r="E100" s="203" t="s">
        <v>278</v>
      </c>
      <c r="F100" s="204">
        <v>3</v>
      </c>
      <c r="G100" s="203" t="s">
        <v>24</v>
      </c>
      <c r="H100" s="216"/>
      <c r="I100" s="206"/>
      <c r="J100" s="203" t="s">
        <v>125</v>
      </c>
      <c r="K100" s="204"/>
      <c r="L100" s="204"/>
      <c r="M100" s="211">
        <f>IF(Tabelle13245689101112131415[[#This Row],[Pulled after Start]]="",MIN(Tabelle13245689101112131415[[#This Row],[Jira Story Points]],Tabelle13245689101112131415[[#This Row],[Carry-over]]),0)</f>
        <v>3</v>
      </c>
      <c r="N100" s="209">
        <f>MIN(Tabelle13245689101112131415[[#This Row],[Jira Story Points]],Tabelle13245689101112131415[[#This Row],[Carry-over]])-Tabelle13245689101112131415[[#This Row],[SP Initially Planned (COS)]]</f>
        <v>0</v>
      </c>
      <c r="O100"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00" s="211">
        <f>IFERROR(IF(Tabelle13245689101112131415[[#This Row],[Status]]=$J$5,MIN(Tabelle13245689101112131415[[#This Row],[Jira Story Points]],Tabelle13245689101112131415[[#This Row],[Carry-over]]),0),0)</f>
        <v>0</v>
      </c>
      <c r="Q100" s="211">
        <f>IFERROR(IF(Tabelle13245689101112131415[[#This Row],[Status]]=$J$5,0,MIN(Tabelle13245689101112131415[[#This Row],[Jira Story Points]],Tabelle13245689101112131415[[#This Row],[Carry-over]])-Tabelle13245689101112131415[[#This Row],[SP Completed (COS &amp; SOS)]]),0)</f>
        <v>0</v>
      </c>
    </row>
    <row r="101" spans="1:17" ht="13.5" hidden="1" customHeight="1">
      <c r="A101" t="s">
        <v>491</v>
      </c>
      <c r="B101" t="s">
        <v>492</v>
      </c>
      <c r="C101" s="203" t="s">
        <v>375</v>
      </c>
      <c r="D101" s="203">
        <v>2</v>
      </c>
      <c r="E101" s="203" t="s">
        <v>288</v>
      </c>
      <c r="F101" s="204">
        <v>3</v>
      </c>
      <c r="G101" s="203" t="s">
        <v>24</v>
      </c>
      <c r="H101" s="216"/>
      <c r="I101" s="206"/>
      <c r="J101" s="203" t="s">
        <v>127</v>
      </c>
      <c r="K101" s="204"/>
      <c r="L101" s="204">
        <v>3</v>
      </c>
      <c r="M101" s="211">
        <f>IF(Tabelle13245689101112131415[[#This Row],[Pulled after Start]]="",MIN(Tabelle13245689101112131415[[#This Row],[Jira Story Points]],Tabelle13245689101112131415[[#This Row],[Carry-over]]),0)</f>
        <v>3</v>
      </c>
      <c r="N101" s="209">
        <f>MIN(Tabelle13245689101112131415[[#This Row],[Jira Story Points]],Tabelle13245689101112131415[[#This Row],[Carry-over]])-Tabelle13245689101112131415[[#This Row],[SP Initially Planned (COS)]]</f>
        <v>0</v>
      </c>
      <c r="O101"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01" s="211">
        <f>IFERROR(IF(Tabelle13245689101112131415[[#This Row],[Status]]=$J$5,MIN(Tabelle13245689101112131415[[#This Row],[Jira Story Points]],Tabelle13245689101112131415[[#This Row],[Carry-over]]),0),0)</f>
        <v>0</v>
      </c>
      <c r="Q101" s="211">
        <f>IFERROR(IF(Tabelle13245689101112131415[[#This Row],[Status]]=$J$5,0,MIN(Tabelle13245689101112131415[[#This Row],[Jira Story Points]],Tabelle13245689101112131415[[#This Row],[Carry-over]])-Tabelle13245689101112131415[[#This Row],[SP Completed (COS &amp; SOS)]]),0)</f>
        <v>3</v>
      </c>
    </row>
    <row r="102" spans="1:17" ht="13.5" hidden="1" customHeight="1">
      <c r="A102" t="s">
        <v>1418</v>
      </c>
      <c r="B102" t="s">
        <v>1419</v>
      </c>
      <c r="C102" s="203" t="s">
        <v>382</v>
      </c>
      <c r="D102" s="203">
        <v>3</v>
      </c>
      <c r="E102" s="203" t="s">
        <v>278</v>
      </c>
      <c r="F102" s="204">
        <v>3</v>
      </c>
      <c r="G102" s="203" t="s">
        <v>24</v>
      </c>
      <c r="H102" s="216"/>
      <c r="I102" s="206"/>
      <c r="J102" s="203" t="s">
        <v>125</v>
      </c>
      <c r="K102" s="204"/>
      <c r="L102" s="204"/>
      <c r="M102" s="211">
        <f>IF(Tabelle13245689101112131415[[#This Row],[Pulled after Start]]="",MIN(Tabelle13245689101112131415[[#This Row],[Jira Story Points]],Tabelle13245689101112131415[[#This Row],[Carry-over]]),0)</f>
        <v>3</v>
      </c>
      <c r="N102" s="209">
        <f>MIN(Tabelle13245689101112131415[[#This Row],[Jira Story Points]],Tabelle13245689101112131415[[#This Row],[Carry-over]])-Tabelle13245689101112131415[[#This Row],[SP Initially Planned (COS)]]</f>
        <v>0</v>
      </c>
      <c r="O102"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02" s="211">
        <f>IFERROR(IF(Tabelle13245689101112131415[[#This Row],[Status]]=$J$5,MIN(Tabelle13245689101112131415[[#This Row],[Jira Story Points]],Tabelle13245689101112131415[[#This Row],[Carry-over]]),0),0)</f>
        <v>0</v>
      </c>
      <c r="Q102" s="211">
        <f>IFERROR(IF(Tabelle13245689101112131415[[#This Row],[Status]]=$J$5,0,MIN(Tabelle13245689101112131415[[#This Row],[Jira Story Points]],Tabelle13245689101112131415[[#This Row],[Carry-over]])-Tabelle13245689101112131415[[#This Row],[SP Completed (COS &amp; SOS)]]),0)</f>
        <v>0</v>
      </c>
    </row>
    <row r="103" spans="1:17" ht="13.5" hidden="1" customHeight="1">
      <c r="A103" t="s">
        <v>1187</v>
      </c>
      <c r="B103" t="s">
        <v>1188</v>
      </c>
      <c r="C103" s="203" t="s">
        <v>372</v>
      </c>
      <c r="D103" s="203">
        <v>3</v>
      </c>
      <c r="E103" s="203" t="s">
        <v>288</v>
      </c>
      <c r="F103" s="204">
        <v>3</v>
      </c>
      <c r="G103" s="203" t="s">
        <v>24</v>
      </c>
      <c r="H103" s="216"/>
      <c r="I103" s="206"/>
      <c r="J103" s="203" t="s">
        <v>127</v>
      </c>
      <c r="K103" s="204"/>
      <c r="L103" s="204">
        <v>1</v>
      </c>
      <c r="M103" s="211">
        <f>IF(Tabelle13245689101112131415[[#This Row],[Pulled after Start]]="",MIN(Tabelle13245689101112131415[[#This Row],[Jira Story Points]],Tabelle13245689101112131415[[#This Row],[Carry-over]]),0)</f>
        <v>3</v>
      </c>
      <c r="N103" s="209">
        <f>MIN(Tabelle13245689101112131415[[#This Row],[Jira Story Points]],Tabelle13245689101112131415[[#This Row],[Carry-over]])-Tabelle13245689101112131415[[#This Row],[SP Initially Planned (COS)]]</f>
        <v>0</v>
      </c>
      <c r="O103"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103" s="211">
        <f>IFERROR(IF(Tabelle13245689101112131415[[#This Row],[Status]]=$J$5,MIN(Tabelle13245689101112131415[[#This Row],[Jira Story Points]],Tabelle13245689101112131415[[#This Row],[Carry-over]]),0),0)</f>
        <v>0</v>
      </c>
      <c r="Q103" s="211">
        <f>IFERROR(IF(Tabelle13245689101112131415[[#This Row],[Status]]=$J$5,0,MIN(Tabelle13245689101112131415[[#This Row],[Jira Story Points]],Tabelle13245689101112131415[[#This Row],[Carry-over]])-Tabelle13245689101112131415[[#This Row],[SP Completed (COS &amp; SOS)]]),0)</f>
        <v>1</v>
      </c>
    </row>
    <row r="104" spans="1:17" ht="13.5" hidden="1" customHeight="1">
      <c r="A104" t="s">
        <v>1189</v>
      </c>
      <c r="B104" t="s">
        <v>1190</v>
      </c>
      <c r="C104" s="203" t="s">
        <v>372</v>
      </c>
      <c r="D104" s="203">
        <v>3</v>
      </c>
      <c r="E104" s="203" t="s">
        <v>288</v>
      </c>
      <c r="F104" s="204">
        <v>5</v>
      </c>
      <c r="G104" s="203" t="s">
        <v>24</v>
      </c>
      <c r="H104" s="216"/>
      <c r="I104" s="206"/>
      <c r="J104" s="203" t="s">
        <v>127</v>
      </c>
      <c r="K104" s="204"/>
      <c r="L104" s="204">
        <v>2</v>
      </c>
      <c r="M104" s="211">
        <f>IF(Tabelle13245689101112131415[[#This Row],[Pulled after Start]]="",MIN(Tabelle13245689101112131415[[#This Row],[Jira Story Points]],Tabelle13245689101112131415[[#This Row],[Carry-over]]),0)</f>
        <v>5</v>
      </c>
      <c r="N104" s="209">
        <f>MIN(Tabelle13245689101112131415[[#This Row],[Jira Story Points]],Tabelle13245689101112131415[[#This Row],[Carry-over]])-Tabelle13245689101112131415[[#This Row],[SP Initially Planned (COS)]]</f>
        <v>0</v>
      </c>
      <c r="O104"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04" s="211">
        <f>IFERROR(IF(Tabelle13245689101112131415[[#This Row],[Status]]=$J$5,MIN(Tabelle13245689101112131415[[#This Row],[Jira Story Points]],Tabelle13245689101112131415[[#This Row],[Carry-over]]),0),0)</f>
        <v>0</v>
      </c>
      <c r="Q104" s="211">
        <f>IFERROR(IF(Tabelle13245689101112131415[[#This Row],[Status]]=$J$5,0,MIN(Tabelle13245689101112131415[[#This Row],[Jira Story Points]],Tabelle13245689101112131415[[#This Row],[Carry-over]])-Tabelle13245689101112131415[[#This Row],[SP Completed (COS &amp; SOS)]]),0)</f>
        <v>2</v>
      </c>
    </row>
    <row r="105" spans="1:17" ht="13.5" hidden="1" customHeight="1">
      <c r="A105" t="s">
        <v>1420</v>
      </c>
      <c r="B105" t="s">
        <v>1421</v>
      </c>
      <c r="C105" s="203" t="s">
        <v>372</v>
      </c>
      <c r="D105" s="203">
        <v>3</v>
      </c>
      <c r="E105" s="203" t="s">
        <v>278</v>
      </c>
      <c r="F105" s="204">
        <v>3</v>
      </c>
      <c r="G105" s="203" t="s">
        <v>24</v>
      </c>
      <c r="H105" s="216"/>
      <c r="I105" s="206"/>
      <c r="J105" s="203" t="s">
        <v>125</v>
      </c>
      <c r="K105" s="204"/>
      <c r="L105" s="204"/>
      <c r="M105" s="211">
        <f>IF(Tabelle13245689101112131415[[#This Row],[Pulled after Start]]="",MIN(Tabelle13245689101112131415[[#This Row],[Jira Story Points]],Tabelle13245689101112131415[[#This Row],[Carry-over]]),0)</f>
        <v>3</v>
      </c>
      <c r="N105" s="209">
        <f>MIN(Tabelle13245689101112131415[[#This Row],[Jira Story Points]],Tabelle13245689101112131415[[#This Row],[Carry-over]])-Tabelle13245689101112131415[[#This Row],[SP Initially Planned (COS)]]</f>
        <v>0</v>
      </c>
      <c r="O105"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05" s="211">
        <f>IFERROR(IF(Tabelle13245689101112131415[[#This Row],[Status]]=$J$5,MIN(Tabelle13245689101112131415[[#This Row],[Jira Story Points]],Tabelle13245689101112131415[[#This Row],[Carry-over]]),0),0)</f>
        <v>0</v>
      </c>
      <c r="Q105" s="211">
        <f>IFERROR(IF(Tabelle13245689101112131415[[#This Row],[Status]]=$J$5,0,MIN(Tabelle13245689101112131415[[#This Row],[Jira Story Points]],Tabelle13245689101112131415[[#This Row],[Carry-over]])-Tabelle13245689101112131415[[#This Row],[SP Completed (COS &amp; SOS)]]),0)</f>
        <v>0</v>
      </c>
    </row>
    <row r="106" spans="1:17" ht="13.5" hidden="1" customHeight="1">
      <c r="A106" t="s">
        <v>1422</v>
      </c>
      <c r="B106" t="s">
        <v>1423</v>
      </c>
      <c r="C106" s="203" t="s">
        <v>372</v>
      </c>
      <c r="D106" s="203">
        <v>3</v>
      </c>
      <c r="E106" s="203" t="s">
        <v>278</v>
      </c>
      <c r="F106" s="204">
        <v>3</v>
      </c>
      <c r="G106" s="203" t="s">
        <v>24</v>
      </c>
      <c r="H106" s="216"/>
      <c r="I106" s="206"/>
      <c r="J106" s="203" t="s">
        <v>125</v>
      </c>
      <c r="K106" s="204"/>
      <c r="L106" s="204"/>
      <c r="M106" s="211">
        <f>IF(Tabelle13245689101112131415[[#This Row],[Pulled after Start]]="",MIN(Tabelle13245689101112131415[[#This Row],[Jira Story Points]],Tabelle13245689101112131415[[#This Row],[Carry-over]]),0)</f>
        <v>3</v>
      </c>
      <c r="N106" s="209">
        <f>MIN(Tabelle13245689101112131415[[#This Row],[Jira Story Points]],Tabelle13245689101112131415[[#This Row],[Carry-over]])-Tabelle13245689101112131415[[#This Row],[SP Initially Planned (COS)]]</f>
        <v>0</v>
      </c>
      <c r="O106"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06" s="211">
        <f>IFERROR(IF(Tabelle13245689101112131415[[#This Row],[Status]]=$J$5,MIN(Tabelle13245689101112131415[[#This Row],[Jira Story Points]],Tabelle13245689101112131415[[#This Row],[Carry-over]]),0),0)</f>
        <v>0</v>
      </c>
      <c r="Q106" s="211">
        <f>IFERROR(IF(Tabelle13245689101112131415[[#This Row],[Status]]=$J$5,0,MIN(Tabelle13245689101112131415[[#This Row],[Jira Story Points]],Tabelle13245689101112131415[[#This Row],[Carry-over]])-Tabelle13245689101112131415[[#This Row],[SP Completed (COS &amp; SOS)]]),0)</f>
        <v>0</v>
      </c>
    </row>
    <row r="107" spans="1:17" ht="13.5" hidden="1" customHeight="1">
      <c r="A107" t="s">
        <v>1424</v>
      </c>
      <c r="B107" t="s">
        <v>1425</v>
      </c>
      <c r="C107" s="203" t="s">
        <v>372</v>
      </c>
      <c r="D107" s="203">
        <v>3</v>
      </c>
      <c r="E107" s="203" t="s">
        <v>278</v>
      </c>
      <c r="F107" s="204">
        <v>3</v>
      </c>
      <c r="G107" s="203" t="s">
        <v>24</v>
      </c>
      <c r="H107" s="216"/>
      <c r="I107" s="206"/>
      <c r="J107" s="203" t="s">
        <v>125</v>
      </c>
      <c r="K107" s="204"/>
      <c r="L107" s="204"/>
      <c r="M107" s="211">
        <f>IF(Tabelle13245689101112131415[[#This Row],[Pulled after Start]]="",MIN(Tabelle13245689101112131415[[#This Row],[Jira Story Points]],Tabelle13245689101112131415[[#This Row],[Carry-over]]),0)</f>
        <v>3</v>
      </c>
      <c r="N107" s="209">
        <f>MIN(Tabelle13245689101112131415[[#This Row],[Jira Story Points]],Tabelle13245689101112131415[[#This Row],[Carry-over]])-Tabelle13245689101112131415[[#This Row],[SP Initially Planned (COS)]]</f>
        <v>0</v>
      </c>
      <c r="O107"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07" s="211">
        <f>IFERROR(IF(Tabelle13245689101112131415[[#This Row],[Status]]=$J$5,MIN(Tabelle13245689101112131415[[#This Row],[Jira Story Points]],Tabelle13245689101112131415[[#This Row],[Carry-over]]),0),0)</f>
        <v>0</v>
      </c>
      <c r="Q107" s="211">
        <f>IFERROR(IF(Tabelle13245689101112131415[[#This Row],[Status]]=$J$5,0,MIN(Tabelle13245689101112131415[[#This Row],[Jira Story Points]],Tabelle13245689101112131415[[#This Row],[Carry-over]])-Tabelle13245689101112131415[[#This Row],[SP Completed (COS &amp; SOS)]]),0)</f>
        <v>0</v>
      </c>
    </row>
    <row r="108" spans="1:17" ht="13.5" hidden="1" customHeight="1">
      <c r="A108" t="s">
        <v>539</v>
      </c>
      <c r="B108" t="s">
        <v>540</v>
      </c>
      <c r="C108" s="203" t="s">
        <v>382</v>
      </c>
      <c r="D108" s="203">
        <v>3</v>
      </c>
      <c r="E108" s="203" t="s">
        <v>216</v>
      </c>
      <c r="F108" s="204">
        <v>5</v>
      </c>
      <c r="G108" s="203" t="s">
        <v>24</v>
      </c>
      <c r="H108" s="216"/>
      <c r="I108" s="206"/>
      <c r="J108" s="203" t="s">
        <v>125</v>
      </c>
      <c r="K108" s="204"/>
      <c r="L108" s="204"/>
      <c r="M108" s="211">
        <f>IF(Tabelle13245689101112131415[[#This Row],[Pulled after Start]]="",MIN(Tabelle13245689101112131415[[#This Row],[Jira Story Points]],Tabelle13245689101112131415[[#This Row],[Carry-over]]),0)</f>
        <v>5</v>
      </c>
      <c r="N108" s="209">
        <f>MIN(Tabelle13245689101112131415[[#This Row],[Jira Story Points]],Tabelle13245689101112131415[[#This Row],[Carry-over]])-Tabelle13245689101112131415[[#This Row],[SP Initially Planned (COS)]]</f>
        <v>0</v>
      </c>
      <c r="O108"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5</v>
      </c>
      <c r="P108" s="211">
        <f>IFERROR(IF(Tabelle13245689101112131415[[#This Row],[Status]]=$J$5,MIN(Tabelle13245689101112131415[[#This Row],[Jira Story Points]],Tabelle13245689101112131415[[#This Row],[Carry-over]]),0),0)</f>
        <v>0</v>
      </c>
      <c r="Q108" s="211">
        <f>IFERROR(IF(Tabelle13245689101112131415[[#This Row],[Status]]=$J$5,0,MIN(Tabelle13245689101112131415[[#This Row],[Jira Story Points]],Tabelle13245689101112131415[[#This Row],[Carry-over]])-Tabelle13245689101112131415[[#This Row],[SP Completed (COS &amp; SOS)]]),0)</f>
        <v>0</v>
      </c>
    </row>
    <row r="109" spans="1:17" ht="13.5" hidden="1" customHeight="1">
      <c r="A109" t="s">
        <v>1195</v>
      </c>
      <c r="B109" t="s">
        <v>1426</v>
      </c>
      <c r="C109" s="203" t="s">
        <v>382</v>
      </c>
      <c r="D109" s="203">
        <v>3</v>
      </c>
      <c r="E109" s="203" t="s">
        <v>216</v>
      </c>
      <c r="F109" s="204">
        <v>3</v>
      </c>
      <c r="G109" s="203" t="s">
        <v>24</v>
      </c>
      <c r="H109" s="205" t="s">
        <v>209</v>
      </c>
      <c r="I109" s="206"/>
      <c r="J109" s="203" t="s">
        <v>125</v>
      </c>
      <c r="K109" s="204"/>
      <c r="L109" s="204"/>
      <c r="M109" s="211">
        <f>IF(Tabelle13245689101112131415[[#This Row],[Pulled after Start]]="",MIN(Tabelle13245689101112131415[[#This Row],[Jira Story Points]],Tabelle13245689101112131415[[#This Row],[Carry-over]]),0)</f>
        <v>0</v>
      </c>
      <c r="N109" s="209">
        <f>MIN(Tabelle13245689101112131415[[#This Row],[Jira Story Points]],Tabelle13245689101112131415[[#This Row],[Carry-over]])-Tabelle13245689101112131415[[#This Row],[SP Initially Planned (COS)]]</f>
        <v>3</v>
      </c>
      <c r="O109"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09" s="211">
        <f>IFERROR(IF(Tabelle13245689101112131415[[#This Row],[Status]]=$J$5,MIN(Tabelle13245689101112131415[[#This Row],[Jira Story Points]],Tabelle13245689101112131415[[#This Row],[Carry-over]]),0),0)</f>
        <v>0</v>
      </c>
      <c r="Q109" s="211">
        <f>IFERROR(IF(Tabelle13245689101112131415[[#This Row],[Status]]=$J$5,0,MIN(Tabelle13245689101112131415[[#This Row],[Jira Story Points]],Tabelle13245689101112131415[[#This Row],[Carry-over]])-Tabelle13245689101112131415[[#This Row],[SP Completed (COS &amp; SOS)]]),0)</f>
        <v>0</v>
      </c>
    </row>
    <row r="110" spans="1:17" ht="13.5" hidden="1" customHeight="1">
      <c r="A110" t="s">
        <v>1181</v>
      </c>
      <c r="B110" t="s">
        <v>1182</v>
      </c>
      <c r="C110" s="203" t="s">
        <v>375</v>
      </c>
      <c r="D110" s="203">
        <v>2</v>
      </c>
      <c r="E110" s="203" t="s">
        <v>330</v>
      </c>
      <c r="F110" s="204">
        <v>3</v>
      </c>
      <c r="G110" s="203" t="s">
        <v>24</v>
      </c>
      <c r="H110" s="205" t="s">
        <v>209</v>
      </c>
      <c r="I110" s="206"/>
      <c r="J110" s="203" t="s">
        <v>127</v>
      </c>
      <c r="K110" s="204"/>
      <c r="L110" s="204">
        <v>3</v>
      </c>
      <c r="M110" s="211">
        <f>IF(Tabelle13245689101112131415[[#This Row],[Pulled after Start]]="",MIN(Tabelle13245689101112131415[[#This Row],[Jira Story Points]],Tabelle13245689101112131415[[#This Row],[Carry-over]]),0)</f>
        <v>0</v>
      </c>
      <c r="N110" s="209">
        <f>MIN(Tabelle13245689101112131415[[#This Row],[Jira Story Points]],Tabelle13245689101112131415[[#This Row],[Carry-over]])-Tabelle13245689101112131415[[#This Row],[SP Initially Planned (COS)]]</f>
        <v>3</v>
      </c>
      <c r="O110"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10" s="211">
        <f>IFERROR(IF(Tabelle13245689101112131415[[#This Row],[Status]]=$J$5,MIN(Tabelle13245689101112131415[[#This Row],[Jira Story Points]],Tabelle13245689101112131415[[#This Row],[Carry-over]]),0),0)</f>
        <v>0</v>
      </c>
      <c r="Q110" s="211">
        <f>IFERROR(IF(Tabelle13245689101112131415[[#This Row],[Status]]=$J$5,0,MIN(Tabelle13245689101112131415[[#This Row],[Jira Story Points]],Tabelle13245689101112131415[[#This Row],[Carry-over]])-Tabelle13245689101112131415[[#This Row],[SP Completed (COS &amp; SOS)]]),0)</f>
        <v>3</v>
      </c>
    </row>
    <row r="111" spans="1:17" ht="13.5" hidden="1" customHeight="1">
      <c r="A111" t="s">
        <v>1427</v>
      </c>
      <c r="B111" t="s">
        <v>1428</v>
      </c>
      <c r="C111" s="203" t="s">
        <v>382</v>
      </c>
      <c r="D111" s="203">
        <v>3</v>
      </c>
      <c r="E111" s="203" t="s">
        <v>216</v>
      </c>
      <c r="F111" s="204">
        <v>2</v>
      </c>
      <c r="G111" s="203" t="s">
        <v>24</v>
      </c>
      <c r="H111" s="205" t="s">
        <v>209</v>
      </c>
      <c r="I111" s="206"/>
      <c r="J111" s="203" t="s">
        <v>125</v>
      </c>
      <c r="K111" s="204"/>
      <c r="L111" s="204"/>
      <c r="M111" s="211">
        <f>IF(Tabelle13245689101112131415[[#This Row],[Pulled after Start]]="",MIN(Tabelle13245689101112131415[[#This Row],[Jira Story Points]],Tabelle13245689101112131415[[#This Row],[Carry-over]]),0)</f>
        <v>0</v>
      </c>
      <c r="N111" s="209">
        <f>MIN(Tabelle13245689101112131415[[#This Row],[Jira Story Points]],Tabelle13245689101112131415[[#This Row],[Carry-over]])-Tabelle13245689101112131415[[#This Row],[SP Initially Planned (COS)]]</f>
        <v>2</v>
      </c>
      <c r="O111"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111" s="211">
        <f>IFERROR(IF(Tabelle13245689101112131415[[#This Row],[Status]]=$J$5,MIN(Tabelle13245689101112131415[[#This Row],[Jira Story Points]],Tabelle13245689101112131415[[#This Row],[Carry-over]]),0),0)</f>
        <v>0</v>
      </c>
      <c r="Q111" s="211">
        <f>IFERROR(IF(Tabelle13245689101112131415[[#This Row],[Status]]=$J$5,0,MIN(Tabelle13245689101112131415[[#This Row],[Jira Story Points]],Tabelle13245689101112131415[[#This Row],[Carry-over]])-Tabelle13245689101112131415[[#This Row],[SP Completed (COS &amp; SOS)]]),0)</f>
        <v>0</v>
      </c>
    </row>
    <row r="112" spans="1:17" ht="13.5" hidden="1" customHeight="1">
      <c r="A112" s="268" t="s">
        <v>347</v>
      </c>
      <c r="B112" s="49" t="s">
        <v>1429</v>
      </c>
      <c r="C112" s="203" t="s">
        <v>375</v>
      </c>
      <c r="D112" s="203">
        <v>3</v>
      </c>
      <c r="E112" s="203" t="s">
        <v>327</v>
      </c>
      <c r="F112" s="204">
        <v>5</v>
      </c>
      <c r="G112" s="203" t="s">
        <v>32</v>
      </c>
      <c r="H112" s="205"/>
      <c r="I112" s="206" t="s">
        <v>1430</v>
      </c>
      <c r="J112" s="203" t="s">
        <v>127</v>
      </c>
      <c r="K112" s="204">
        <v>5</v>
      </c>
      <c r="L112" s="204"/>
      <c r="M112" s="211">
        <f>IF(Tabelle13245689101112131415[[#This Row],[Pulled after Start]]="",MIN(Tabelle13245689101112131415[[#This Row],[Jira Story Points]],Tabelle13245689101112131415[[#This Row],[Carry-over]]),0)</f>
        <v>5</v>
      </c>
      <c r="N112" s="209">
        <f>MIN(Tabelle13245689101112131415[[#This Row],[Jira Story Points]],Tabelle13245689101112131415[[#This Row],[Carry-over]])-Tabelle13245689101112131415[[#This Row],[SP Initially Planned (COS)]]</f>
        <v>0</v>
      </c>
      <c r="O112"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12" s="211">
        <f>IFERROR(IF(Tabelle13245689101112131415[[#This Row],[Status]]=$J$5,MIN(Tabelle13245689101112131415[[#This Row],[Jira Story Points]],Tabelle13245689101112131415[[#This Row],[Carry-over]]),0),0)</f>
        <v>0</v>
      </c>
      <c r="Q112" s="211">
        <f>IFERROR(IF(Tabelle13245689101112131415[[#This Row],[Status]]=$J$5,0,MIN(Tabelle13245689101112131415[[#This Row],[Jira Story Points]],Tabelle13245689101112131415[[#This Row],[Carry-over]])-Tabelle13245689101112131415[[#This Row],[SP Completed (COS &amp; SOS)]]),0)</f>
        <v>5</v>
      </c>
    </row>
    <row r="113" spans="1:17" ht="13.5" hidden="1" customHeight="1">
      <c r="A113" s="268" t="s">
        <v>1431</v>
      </c>
      <c r="B113" s="49" t="s">
        <v>1432</v>
      </c>
      <c r="C113" s="203" t="s">
        <v>375</v>
      </c>
      <c r="D113" s="203">
        <v>2</v>
      </c>
      <c r="E113" s="203" t="s">
        <v>324</v>
      </c>
      <c r="F113" s="204">
        <v>3</v>
      </c>
      <c r="G113" s="203" t="s">
        <v>32</v>
      </c>
      <c r="H113" s="205"/>
      <c r="I113" s="206"/>
      <c r="J113" s="203" t="s">
        <v>125</v>
      </c>
      <c r="K113" s="204"/>
      <c r="L113" s="204"/>
      <c r="M113" s="211">
        <f>IF(Tabelle13245689101112131415[[#This Row],[Pulled after Start]]="",MIN(Tabelle13245689101112131415[[#This Row],[Jira Story Points]],Tabelle13245689101112131415[[#This Row],[Carry-over]]),0)</f>
        <v>3</v>
      </c>
      <c r="N113" s="209">
        <f>MIN(Tabelle13245689101112131415[[#This Row],[Jira Story Points]],Tabelle13245689101112131415[[#This Row],[Carry-over]])-Tabelle13245689101112131415[[#This Row],[SP Initially Planned (COS)]]</f>
        <v>0</v>
      </c>
      <c r="O113"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13" s="211">
        <f>IFERROR(IF(Tabelle13245689101112131415[[#This Row],[Status]]=$J$5,MIN(Tabelle13245689101112131415[[#This Row],[Jira Story Points]],Tabelle13245689101112131415[[#This Row],[Carry-over]]),0),0)</f>
        <v>0</v>
      </c>
      <c r="Q113" s="211">
        <f>IFERROR(IF(Tabelle13245689101112131415[[#This Row],[Status]]=$J$5,0,MIN(Tabelle13245689101112131415[[#This Row],[Jira Story Points]],Tabelle13245689101112131415[[#This Row],[Carry-over]])-Tabelle13245689101112131415[[#This Row],[SP Completed (COS &amp; SOS)]]),0)</f>
        <v>0</v>
      </c>
    </row>
    <row r="114" spans="1:17" ht="13.5" hidden="1" customHeight="1">
      <c r="A114" s="268" t="s">
        <v>1433</v>
      </c>
      <c r="B114" s="49" t="s">
        <v>1434</v>
      </c>
      <c r="C114" s="203" t="s">
        <v>375</v>
      </c>
      <c r="D114" s="203">
        <v>3</v>
      </c>
      <c r="E114" s="203" t="s">
        <v>324</v>
      </c>
      <c r="F114" s="204">
        <v>3</v>
      </c>
      <c r="G114" s="203" t="s">
        <v>32</v>
      </c>
      <c r="H114" s="205"/>
      <c r="I114" s="206"/>
      <c r="J114" s="203" t="s">
        <v>125</v>
      </c>
      <c r="K114" s="204">
        <v>2</v>
      </c>
      <c r="L114" s="204"/>
      <c r="M114" s="211">
        <f>IF(Tabelle13245689101112131415[[#This Row],[Pulled after Start]]="",MIN(Tabelle13245689101112131415[[#This Row],[Jira Story Points]],Tabelle13245689101112131415[[#This Row],[Carry-over]]),0)</f>
        <v>2</v>
      </c>
      <c r="N114" s="209">
        <f>MIN(Tabelle13245689101112131415[[#This Row],[Jira Story Points]],Tabelle13245689101112131415[[#This Row],[Carry-over]])-Tabelle13245689101112131415[[#This Row],[SP Initially Planned (COS)]]</f>
        <v>0</v>
      </c>
      <c r="O114"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114" s="211">
        <f>IFERROR(IF(Tabelle13245689101112131415[[#This Row],[Status]]=$J$5,MIN(Tabelle13245689101112131415[[#This Row],[Jira Story Points]],Tabelle13245689101112131415[[#This Row],[Carry-over]]),0),0)</f>
        <v>0</v>
      </c>
      <c r="Q114" s="211">
        <f>IFERROR(IF(Tabelle13245689101112131415[[#This Row],[Status]]=$J$5,0,MIN(Tabelle13245689101112131415[[#This Row],[Jira Story Points]],Tabelle13245689101112131415[[#This Row],[Carry-over]])-Tabelle13245689101112131415[[#This Row],[SP Completed (COS &amp; SOS)]]),0)</f>
        <v>0</v>
      </c>
    </row>
    <row r="115" spans="1:17" ht="13.5" hidden="1" customHeight="1">
      <c r="A115" s="268" t="s">
        <v>1435</v>
      </c>
      <c r="B115" s="49" t="s">
        <v>1436</v>
      </c>
      <c r="C115" s="203" t="s">
        <v>372</v>
      </c>
      <c r="D115" s="203">
        <v>3</v>
      </c>
      <c r="E115" s="203" t="s">
        <v>324</v>
      </c>
      <c r="F115" s="204">
        <v>3</v>
      </c>
      <c r="G115" s="203" t="s">
        <v>32</v>
      </c>
      <c r="H115" s="205"/>
      <c r="I115" s="206"/>
      <c r="J115" s="203" t="s">
        <v>125</v>
      </c>
      <c r="K115" s="204"/>
      <c r="L115" s="204"/>
      <c r="M115" s="211">
        <f>IF(Tabelle13245689101112131415[[#This Row],[Pulled after Start]]="",MIN(Tabelle13245689101112131415[[#This Row],[Jira Story Points]],Tabelle13245689101112131415[[#This Row],[Carry-over]]),0)</f>
        <v>3</v>
      </c>
      <c r="N115" s="209">
        <f>MIN(Tabelle13245689101112131415[[#This Row],[Jira Story Points]],Tabelle13245689101112131415[[#This Row],[Carry-over]])-Tabelle13245689101112131415[[#This Row],[SP Initially Planned (COS)]]</f>
        <v>0</v>
      </c>
      <c r="O115"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15" s="211">
        <f>IFERROR(IF(Tabelle13245689101112131415[[#This Row],[Status]]=$J$5,MIN(Tabelle13245689101112131415[[#This Row],[Jira Story Points]],Tabelle13245689101112131415[[#This Row],[Carry-over]]),0),0)</f>
        <v>0</v>
      </c>
      <c r="Q115" s="211">
        <f>IFERROR(IF(Tabelle13245689101112131415[[#This Row],[Status]]=$J$5,0,MIN(Tabelle13245689101112131415[[#This Row],[Jira Story Points]],Tabelle13245689101112131415[[#This Row],[Carry-over]])-Tabelle13245689101112131415[[#This Row],[SP Completed (COS &amp; SOS)]]),0)</f>
        <v>0</v>
      </c>
    </row>
    <row r="116" spans="1:17" ht="13.5" hidden="1" customHeight="1">
      <c r="A116" s="268" t="s">
        <v>1437</v>
      </c>
      <c r="B116" s="49" t="s">
        <v>1438</v>
      </c>
      <c r="C116" s="203" t="s">
        <v>372</v>
      </c>
      <c r="D116" s="203">
        <v>3</v>
      </c>
      <c r="E116" s="203" t="s">
        <v>324</v>
      </c>
      <c r="F116" s="204">
        <v>2</v>
      </c>
      <c r="G116" s="203" t="s">
        <v>32</v>
      </c>
      <c r="H116" s="205"/>
      <c r="I116" s="220"/>
      <c r="J116" s="203" t="s">
        <v>125</v>
      </c>
      <c r="K116" s="204">
        <v>1</v>
      </c>
      <c r="L116" s="204"/>
      <c r="M116" s="211">
        <f>IF(Tabelle13245689101112131415[[#This Row],[Pulled after Start]]="",MIN(Tabelle13245689101112131415[[#This Row],[Jira Story Points]],Tabelle13245689101112131415[[#This Row],[Carry-over]]),0)</f>
        <v>1</v>
      </c>
      <c r="N116" s="209">
        <f>MIN(Tabelle13245689101112131415[[#This Row],[Jira Story Points]],Tabelle13245689101112131415[[#This Row],[Carry-over]])-Tabelle13245689101112131415[[#This Row],[SP Initially Planned (COS)]]</f>
        <v>0</v>
      </c>
      <c r="O116"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1</v>
      </c>
      <c r="P116" s="211">
        <f>IFERROR(IF(Tabelle13245689101112131415[[#This Row],[Status]]=$J$5,MIN(Tabelle13245689101112131415[[#This Row],[Jira Story Points]],Tabelle13245689101112131415[[#This Row],[Carry-over]]),0),0)</f>
        <v>0</v>
      </c>
      <c r="Q116" s="211">
        <f>IFERROR(IF(Tabelle13245689101112131415[[#This Row],[Status]]=$J$5,0,MIN(Tabelle13245689101112131415[[#This Row],[Jira Story Points]],Tabelle13245689101112131415[[#This Row],[Carry-over]])-Tabelle13245689101112131415[[#This Row],[SP Completed (COS &amp; SOS)]]),0)</f>
        <v>0</v>
      </c>
    </row>
    <row r="117" spans="1:17" ht="13.5" hidden="1" customHeight="1">
      <c r="A117" s="268" t="s">
        <v>1439</v>
      </c>
      <c r="B117" s="47" t="s">
        <v>1440</v>
      </c>
      <c r="C117" s="203" t="s">
        <v>375</v>
      </c>
      <c r="D117" s="203">
        <v>3</v>
      </c>
      <c r="E117" s="203" t="s">
        <v>324</v>
      </c>
      <c r="F117" s="204">
        <v>3</v>
      </c>
      <c r="G117" s="203" t="s">
        <v>32</v>
      </c>
      <c r="H117" s="205"/>
      <c r="I117" s="206"/>
      <c r="J117" s="203" t="s">
        <v>125</v>
      </c>
      <c r="K117" s="204">
        <v>2</v>
      </c>
      <c r="L117" s="204"/>
      <c r="M117" s="211">
        <f>IF(Tabelle13245689101112131415[[#This Row],[Pulled after Start]]="",MIN(Tabelle13245689101112131415[[#This Row],[Jira Story Points]],Tabelle13245689101112131415[[#This Row],[Carry-over]]),0)</f>
        <v>2</v>
      </c>
      <c r="N117" s="209">
        <f>MIN(Tabelle13245689101112131415[[#This Row],[Jira Story Points]],Tabelle13245689101112131415[[#This Row],[Carry-over]])-Tabelle13245689101112131415[[#This Row],[SP Initially Planned (COS)]]</f>
        <v>0</v>
      </c>
      <c r="O117"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117" s="211">
        <f>IFERROR(IF(Tabelle13245689101112131415[[#This Row],[Status]]=$J$5,MIN(Tabelle13245689101112131415[[#This Row],[Jira Story Points]],Tabelle13245689101112131415[[#This Row],[Carry-over]]),0),0)</f>
        <v>0</v>
      </c>
      <c r="Q117" s="211">
        <f>IFERROR(IF(Tabelle13245689101112131415[[#This Row],[Status]]=$J$5,0,MIN(Tabelle13245689101112131415[[#This Row],[Jira Story Points]],Tabelle13245689101112131415[[#This Row],[Carry-over]])-Tabelle13245689101112131415[[#This Row],[SP Completed (COS &amp; SOS)]]),0)</f>
        <v>0</v>
      </c>
    </row>
    <row r="118" spans="1:17" ht="13.5" hidden="1" customHeight="1">
      <c r="A118" s="268" t="s">
        <v>1004</v>
      </c>
      <c r="B118" s="47" t="s">
        <v>1005</v>
      </c>
      <c r="C118" s="203" t="s">
        <v>372</v>
      </c>
      <c r="D118" s="203">
        <v>3</v>
      </c>
      <c r="E118" s="203" t="s">
        <v>628</v>
      </c>
      <c r="F118" s="204">
        <v>2</v>
      </c>
      <c r="G118" s="203" t="s">
        <v>32</v>
      </c>
      <c r="H118" s="205"/>
      <c r="I118" s="206"/>
      <c r="J118" s="203" t="s">
        <v>127</v>
      </c>
      <c r="K118" s="204"/>
      <c r="L118" s="204">
        <v>2</v>
      </c>
      <c r="M118" s="211">
        <f>IF(Tabelle13245689101112131415[[#This Row],[Pulled after Start]]="",MIN(Tabelle13245689101112131415[[#This Row],[Jira Story Points]],Tabelle13245689101112131415[[#This Row],[Carry-over]]),0)</f>
        <v>2</v>
      </c>
      <c r="N118" s="209">
        <f>MIN(Tabelle13245689101112131415[[#This Row],[Jira Story Points]],Tabelle13245689101112131415[[#This Row],[Carry-over]])-Tabelle13245689101112131415[[#This Row],[SP Initially Planned (COS)]]</f>
        <v>0</v>
      </c>
      <c r="O118"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18" s="211">
        <f>IFERROR(IF(Tabelle13245689101112131415[[#This Row],[Status]]=$J$5,MIN(Tabelle13245689101112131415[[#This Row],[Jira Story Points]],Tabelle13245689101112131415[[#This Row],[Carry-over]]),0),0)</f>
        <v>0</v>
      </c>
      <c r="Q118" s="211">
        <f>IFERROR(IF(Tabelle13245689101112131415[[#This Row],[Status]]=$J$5,0,MIN(Tabelle13245689101112131415[[#This Row],[Jira Story Points]],Tabelle13245689101112131415[[#This Row],[Carry-over]])-Tabelle13245689101112131415[[#This Row],[SP Completed (COS &amp; SOS)]]),0)</f>
        <v>2</v>
      </c>
    </row>
    <row r="119" spans="1:17" ht="13.5" hidden="1" customHeight="1">
      <c r="A119" s="268" t="s">
        <v>1441</v>
      </c>
      <c r="B119" s="47" t="s">
        <v>1442</v>
      </c>
      <c r="C119" s="203" t="s">
        <v>372</v>
      </c>
      <c r="D119" s="203">
        <v>3</v>
      </c>
      <c r="E119" s="203" t="s">
        <v>327</v>
      </c>
      <c r="F119" s="204">
        <v>3</v>
      </c>
      <c r="G119" s="203" t="s">
        <v>32</v>
      </c>
      <c r="H119" s="205"/>
      <c r="I119" s="206"/>
      <c r="J119" s="203" t="s">
        <v>125</v>
      </c>
      <c r="K119" s="204"/>
      <c r="L119" s="204"/>
      <c r="M119" s="211">
        <f>IF(Tabelle13245689101112131415[[#This Row],[Pulled after Start]]="",MIN(Tabelle13245689101112131415[[#This Row],[Jira Story Points]],Tabelle13245689101112131415[[#This Row],[Carry-over]]),0)</f>
        <v>3</v>
      </c>
      <c r="N119" s="209">
        <f>MIN(Tabelle13245689101112131415[[#This Row],[Jira Story Points]],Tabelle13245689101112131415[[#This Row],[Carry-over]])-Tabelle13245689101112131415[[#This Row],[SP Initially Planned (COS)]]</f>
        <v>0</v>
      </c>
      <c r="O119"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19" s="211">
        <f>IFERROR(IF(Tabelle13245689101112131415[[#This Row],[Status]]=$J$5,MIN(Tabelle13245689101112131415[[#This Row],[Jira Story Points]],Tabelle13245689101112131415[[#This Row],[Carry-over]]),0),0)</f>
        <v>0</v>
      </c>
      <c r="Q119" s="211">
        <f>IFERROR(IF(Tabelle13245689101112131415[[#This Row],[Status]]=$J$5,0,MIN(Tabelle13245689101112131415[[#This Row],[Jira Story Points]],Tabelle13245689101112131415[[#This Row],[Carry-over]])-Tabelle13245689101112131415[[#This Row],[SP Completed (COS &amp; SOS)]]),0)</f>
        <v>0</v>
      </c>
    </row>
    <row r="120" spans="1:17" ht="13.5" hidden="1" customHeight="1">
      <c r="A120" s="268" t="s">
        <v>1443</v>
      </c>
      <c r="B120" s="47" t="s">
        <v>1444</v>
      </c>
      <c r="C120" s="203" t="s">
        <v>375</v>
      </c>
      <c r="D120" s="203">
        <v>3</v>
      </c>
      <c r="E120" s="203" t="s">
        <v>324</v>
      </c>
      <c r="F120" s="204">
        <v>2</v>
      </c>
      <c r="G120" s="203" t="s">
        <v>32</v>
      </c>
      <c r="H120" s="205"/>
      <c r="I120" s="206"/>
      <c r="J120" s="203" t="s">
        <v>125</v>
      </c>
      <c r="K120" s="204"/>
      <c r="L120" s="204"/>
      <c r="M120" s="211">
        <f>IF(Tabelle13245689101112131415[[#This Row],[Pulled after Start]]="",MIN(Tabelle13245689101112131415[[#This Row],[Jira Story Points]],Tabelle13245689101112131415[[#This Row],[Carry-over]]),0)</f>
        <v>2</v>
      </c>
      <c r="N120" s="209">
        <f>MIN(Tabelle13245689101112131415[[#This Row],[Jira Story Points]],Tabelle13245689101112131415[[#This Row],[Carry-over]])-Tabelle13245689101112131415[[#This Row],[SP Initially Planned (COS)]]</f>
        <v>0</v>
      </c>
      <c r="O120"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120" s="211">
        <f>IFERROR(IF(Tabelle13245689101112131415[[#This Row],[Status]]=$J$5,MIN(Tabelle13245689101112131415[[#This Row],[Jira Story Points]],Tabelle13245689101112131415[[#This Row],[Carry-over]]),0),0)</f>
        <v>0</v>
      </c>
      <c r="Q120" s="211">
        <f>IFERROR(IF(Tabelle13245689101112131415[[#This Row],[Status]]=$J$5,0,MIN(Tabelle13245689101112131415[[#This Row],[Jira Story Points]],Tabelle13245689101112131415[[#This Row],[Carry-over]])-Tabelle13245689101112131415[[#This Row],[SP Completed (COS &amp; SOS)]]),0)</f>
        <v>0</v>
      </c>
    </row>
    <row r="121" spans="1:17" ht="13.5" hidden="1" customHeight="1">
      <c r="A121" s="268" t="s">
        <v>1445</v>
      </c>
      <c r="B121" s="47" t="s">
        <v>1446</v>
      </c>
      <c r="C121" s="203" t="s">
        <v>382</v>
      </c>
      <c r="D121" s="203">
        <v>3</v>
      </c>
      <c r="E121" s="203" t="s">
        <v>324</v>
      </c>
      <c r="F121" s="204">
        <v>3</v>
      </c>
      <c r="G121" s="203" t="s">
        <v>32</v>
      </c>
      <c r="H121" s="205"/>
      <c r="I121" s="206"/>
      <c r="J121" s="203" t="s">
        <v>125</v>
      </c>
      <c r="K121" s="204"/>
      <c r="L121" s="204"/>
      <c r="M121" s="211">
        <f>IF(Tabelle13245689101112131415[[#This Row],[Pulled after Start]]="",MIN(Tabelle13245689101112131415[[#This Row],[Jira Story Points]],Tabelle13245689101112131415[[#This Row],[Carry-over]]),0)</f>
        <v>3</v>
      </c>
      <c r="N121" s="209">
        <f>MIN(Tabelle13245689101112131415[[#This Row],[Jira Story Points]],Tabelle13245689101112131415[[#This Row],[Carry-over]])-Tabelle13245689101112131415[[#This Row],[SP Initially Planned (COS)]]</f>
        <v>0</v>
      </c>
      <c r="O121"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21" s="211">
        <f>IFERROR(IF(Tabelle13245689101112131415[[#This Row],[Status]]=$J$5,MIN(Tabelle13245689101112131415[[#This Row],[Jira Story Points]],Tabelle13245689101112131415[[#This Row],[Carry-over]]),0),0)</f>
        <v>0</v>
      </c>
      <c r="Q121" s="211">
        <f>IFERROR(IF(Tabelle13245689101112131415[[#This Row],[Status]]=$J$5,0,MIN(Tabelle13245689101112131415[[#This Row],[Jira Story Points]],Tabelle13245689101112131415[[#This Row],[Carry-over]])-Tabelle13245689101112131415[[#This Row],[SP Completed (COS &amp; SOS)]]),0)</f>
        <v>0</v>
      </c>
    </row>
    <row r="122" spans="1:17" ht="13.5" hidden="1" customHeight="1">
      <c r="A122" s="268" t="s">
        <v>1447</v>
      </c>
      <c r="B122" s="47" t="s">
        <v>1448</v>
      </c>
      <c r="C122" s="203" t="s">
        <v>372</v>
      </c>
      <c r="D122" s="203">
        <v>3</v>
      </c>
      <c r="E122" s="203" t="s">
        <v>324</v>
      </c>
      <c r="F122" s="204">
        <v>2</v>
      </c>
      <c r="G122" s="203" t="s">
        <v>32</v>
      </c>
      <c r="H122" s="205"/>
      <c r="I122" s="206"/>
      <c r="J122" s="203" t="s">
        <v>125</v>
      </c>
      <c r="K122" s="204"/>
      <c r="L122" s="204"/>
      <c r="M122" s="211">
        <f>IF(Tabelle13245689101112131415[[#This Row],[Pulled after Start]]="",MIN(Tabelle13245689101112131415[[#This Row],[Jira Story Points]],Tabelle13245689101112131415[[#This Row],[Carry-over]]),0)</f>
        <v>2</v>
      </c>
      <c r="N122" s="209">
        <f>MIN(Tabelle13245689101112131415[[#This Row],[Jira Story Points]],Tabelle13245689101112131415[[#This Row],[Carry-over]])-Tabelle13245689101112131415[[#This Row],[SP Initially Planned (COS)]]</f>
        <v>0</v>
      </c>
      <c r="O122"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122" s="211">
        <f>IFERROR(IF(Tabelle13245689101112131415[[#This Row],[Status]]=$J$5,MIN(Tabelle13245689101112131415[[#This Row],[Jira Story Points]],Tabelle13245689101112131415[[#This Row],[Carry-over]]),0),0)</f>
        <v>0</v>
      </c>
      <c r="Q122" s="211">
        <f>IFERROR(IF(Tabelle13245689101112131415[[#This Row],[Status]]=$J$5,0,MIN(Tabelle13245689101112131415[[#This Row],[Jira Story Points]],Tabelle13245689101112131415[[#This Row],[Carry-over]])-Tabelle13245689101112131415[[#This Row],[SP Completed (COS &amp; SOS)]]),0)</f>
        <v>0</v>
      </c>
    </row>
    <row r="123" spans="1:17" ht="13.5" hidden="1" customHeight="1">
      <c r="A123" s="268" t="s">
        <v>1002</v>
      </c>
      <c r="B123" t="s">
        <v>1003</v>
      </c>
      <c r="C123" s="203" t="s">
        <v>372</v>
      </c>
      <c r="D123" s="203">
        <v>3</v>
      </c>
      <c r="E123" s="203" t="s">
        <v>327</v>
      </c>
      <c r="F123" s="204">
        <v>5</v>
      </c>
      <c r="G123" s="203" t="s">
        <v>32</v>
      </c>
      <c r="H123" s="205"/>
      <c r="I123" s="206"/>
      <c r="J123" s="203" t="s">
        <v>127</v>
      </c>
      <c r="K123" s="207"/>
      <c r="L123" s="204">
        <v>3</v>
      </c>
      <c r="M123" s="211">
        <f>IF(Tabelle13245689101112131415[[#This Row],[Pulled after Start]]="",MIN(Tabelle13245689101112131415[[#This Row],[Jira Story Points]],Tabelle13245689101112131415[[#This Row],[Carry-over]]),0)</f>
        <v>5</v>
      </c>
      <c r="N123" s="209">
        <f>MIN(Tabelle13245689101112131415[[#This Row],[Jira Story Points]],Tabelle13245689101112131415[[#This Row],[Carry-over]])-Tabelle13245689101112131415[[#This Row],[SP Initially Planned (COS)]]</f>
        <v>0</v>
      </c>
      <c r="O123"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123" s="211">
        <f>IFERROR(IF(Tabelle13245689101112131415[[#This Row],[Status]]=$J$5,MIN(Tabelle13245689101112131415[[#This Row],[Jira Story Points]],Tabelle13245689101112131415[[#This Row],[Carry-over]]),0),0)</f>
        <v>0</v>
      </c>
      <c r="Q123" s="211">
        <f>IFERROR(IF(Tabelle13245689101112131415[[#This Row],[Status]]=$J$5,0,MIN(Tabelle13245689101112131415[[#This Row],[Jira Story Points]],Tabelle13245689101112131415[[#This Row],[Carry-over]])-Tabelle13245689101112131415[[#This Row],[SP Completed (COS &amp; SOS)]]),0)</f>
        <v>3</v>
      </c>
    </row>
    <row r="124" spans="1:17" ht="13.5" hidden="1" customHeight="1">
      <c r="A124" s="268" t="s">
        <v>1449</v>
      </c>
      <c r="B124" t="s">
        <v>1450</v>
      </c>
      <c r="C124" s="203" t="s">
        <v>382</v>
      </c>
      <c r="D124" s="203">
        <v>2</v>
      </c>
      <c r="E124" s="203" t="s">
        <v>327</v>
      </c>
      <c r="F124" s="204">
        <v>1</v>
      </c>
      <c r="G124" s="203" t="s">
        <v>32</v>
      </c>
      <c r="H124" s="205" t="s">
        <v>209</v>
      </c>
      <c r="I124" s="206"/>
      <c r="J124" s="203" t="s">
        <v>125</v>
      </c>
      <c r="K124" s="207"/>
      <c r="L124" s="204"/>
      <c r="M124" s="211">
        <f>IF(Tabelle13245689101112131415[[#This Row],[Pulled after Start]]="",MIN(Tabelle13245689101112131415[[#This Row],[Jira Story Points]],Tabelle13245689101112131415[[#This Row],[Carry-over]]),0)</f>
        <v>0</v>
      </c>
      <c r="N124" s="209">
        <f>MIN(Tabelle13245689101112131415[[#This Row],[Jira Story Points]],Tabelle13245689101112131415[[#This Row],[Carry-over]])-Tabelle13245689101112131415[[#This Row],[SP Initially Planned (COS)]]</f>
        <v>1</v>
      </c>
      <c r="O124"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1</v>
      </c>
      <c r="P124" s="211">
        <f>IFERROR(IF(Tabelle13245689101112131415[[#This Row],[Status]]=$J$5,MIN(Tabelle13245689101112131415[[#This Row],[Jira Story Points]],Tabelle13245689101112131415[[#This Row],[Carry-over]]),0),0)</f>
        <v>0</v>
      </c>
      <c r="Q124" s="211">
        <f>IFERROR(IF(Tabelle13245689101112131415[[#This Row],[Status]]=$J$5,0,MIN(Tabelle13245689101112131415[[#This Row],[Jira Story Points]],Tabelle13245689101112131415[[#This Row],[Carry-over]])-Tabelle13245689101112131415[[#This Row],[SP Completed (COS &amp; SOS)]]),0)</f>
        <v>0</v>
      </c>
    </row>
    <row r="125" spans="1:17" ht="13.5" hidden="1" customHeight="1">
      <c r="A125" s="264" t="s">
        <v>1451</v>
      </c>
      <c r="B125" t="s">
        <v>1289</v>
      </c>
      <c r="C125" s="203" t="s">
        <v>372</v>
      </c>
      <c r="D125" s="203"/>
      <c r="E125" s="203" t="s">
        <v>327</v>
      </c>
      <c r="F125" s="204">
        <v>13</v>
      </c>
      <c r="G125" s="203" t="s">
        <v>5</v>
      </c>
      <c r="H125" s="205"/>
      <c r="I125" s="206"/>
      <c r="J125" s="203" t="s">
        <v>127</v>
      </c>
      <c r="K125" s="204">
        <v>3</v>
      </c>
      <c r="L125" s="204">
        <v>5</v>
      </c>
      <c r="M125" s="211">
        <f>IF(Tabelle13245689101112131415[[#This Row],[Pulled after Start]]="",MIN(Tabelle13245689101112131415[[#This Row],[Jira Story Points]],Tabelle13245689101112131415[[#This Row],[Carry-over]]),0)</f>
        <v>3</v>
      </c>
      <c r="N125" s="209">
        <f>MIN(Tabelle13245689101112131415[[#This Row],[Jira Story Points]],Tabelle13245689101112131415[[#This Row],[Carry-over]])-Tabelle13245689101112131415[[#This Row],[SP Initially Planned (COS)]]</f>
        <v>0</v>
      </c>
      <c r="O125"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125" s="211">
        <f>IFERROR(IF(Tabelle13245689101112131415[[#This Row],[Status]]=$J$5,MIN(Tabelle13245689101112131415[[#This Row],[Jira Story Points]],Tabelle13245689101112131415[[#This Row],[Carry-over]]),0),0)</f>
        <v>0</v>
      </c>
      <c r="Q125" s="211">
        <f>IFERROR(IF(Tabelle13245689101112131415[[#This Row],[Status]]=$J$5,0,MIN(Tabelle13245689101112131415[[#This Row],[Jira Story Points]],Tabelle13245689101112131415[[#This Row],[Carry-over]])-Tabelle13245689101112131415[[#This Row],[SP Completed (COS &amp; SOS)]]),0)</f>
        <v>5</v>
      </c>
    </row>
    <row r="126" spans="1:17" ht="13.5" hidden="1" customHeight="1">
      <c r="A126" s="264" t="s">
        <v>1452</v>
      </c>
      <c r="B126" t="s">
        <v>1263</v>
      </c>
      <c r="C126" s="203" t="s">
        <v>372</v>
      </c>
      <c r="D126" s="203"/>
      <c r="E126" s="203" t="s">
        <v>327</v>
      </c>
      <c r="F126" s="204">
        <v>5</v>
      </c>
      <c r="G126" s="203" t="s">
        <v>5</v>
      </c>
      <c r="H126" s="205"/>
      <c r="I126" s="206"/>
      <c r="J126" s="203" t="s">
        <v>125</v>
      </c>
      <c r="K126" s="204">
        <v>3</v>
      </c>
      <c r="L126" s="204"/>
      <c r="M126" s="211">
        <f>IF(Tabelle13245689101112131415[[#This Row],[Pulled after Start]]="",MIN(Tabelle13245689101112131415[[#This Row],[Jira Story Points]],Tabelle13245689101112131415[[#This Row],[Carry-over]]),0)</f>
        <v>3</v>
      </c>
      <c r="N126" s="209">
        <f>MIN(Tabelle13245689101112131415[[#This Row],[Jira Story Points]],Tabelle13245689101112131415[[#This Row],[Carry-over]])-Tabelle13245689101112131415[[#This Row],[SP Initially Planned (COS)]]</f>
        <v>0</v>
      </c>
      <c r="O126"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26" s="211">
        <f>IFERROR(IF(Tabelle13245689101112131415[[#This Row],[Status]]=$J$5,MIN(Tabelle13245689101112131415[[#This Row],[Jira Story Points]],Tabelle13245689101112131415[[#This Row],[Carry-over]]),0),0)</f>
        <v>0</v>
      </c>
      <c r="Q126" s="211">
        <f>IFERROR(IF(Tabelle13245689101112131415[[#This Row],[Status]]=$J$5,0,MIN(Tabelle13245689101112131415[[#This Row],[Jira Story Points]],Tabelle13245689101112131415[[#This Row],[Carry-over]])-Tabelle13245689101112131415[[#This Row],[SP Completed (COS &amp; SOS)]]),0)</f>
        <v>0</v>
      </c>
    </row>
    <row r="127" spans="1:17" ht="13.5" hidden="1" customHeight="1">
      <c r="A127" s="264" t="s">
        <v>1453</v>
      </c>
      <c r="B127" s="264" t="s">
        <v>1265</v>
      </c>
      <c r="C127" s="203" t="s">
        <v>372</v>
      </c>
      <c r="D127" s="203"/>
      <c r="E127" s="203" t="s">
        <v>327</v>
      </c>
      <c r="F127" s="204">
        <v>3</v>
      </c>
      <c r="G127" s="203" t="s">
        <v>5</v>
      </c>
      <c r="H127" s="205" t="s">
        <v>209</v>
      </c>
      <c r="I127" s="206"/>
      <c r="J127" s="203" t="s">
        <v>127</v>
      </c>
      <c r="K127" s="204">
        <v>3</v>
      </c>
      <c r="L127" s="204">
        <v>3</v>
      </c>
      <c r="M127" s="211">
        <f>IF(Tabelle13245689101112131415[[#This Row],[Pulled after Start]]="",MIN(Tabelle13245689101112131415[[#This Row],[Jira Story Points]],Tabelle13245689101112131415[[#This Row],[Carry-over]]),0)</f>
        <v>0</v>
      </c>
      <c r="N127" s="209">
        <f>MIN(Tabelle13245689101112131415[[#This Row],[Jira Story Points]],Tabelle13245689101112131415[[#This Row],[Carry-over]])-Tabelle13245689101112131415[[#This Row],[SP Initially Planned (COS)]]</f>
        <v>3</v>
      </c>
      <c r="O127"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27" s="211">
        <f>IFERROR(IF(Tabelle13245689101112131415[[#This Row],[Status]]=$J$5,MIN(Tabelle13245689101112131415[[#This Row],[Jira Story Points]],Tabelle13245689101112131415[[#This Row],[Carry-over]]),0),0)</f>
        <v>0</v>
      </c>
      <c r="Q127" s="211">
        <f>IFERROR(IF(Tabelle13245689101112131415[[#This Row],[Status]]=$J$5,0,MIN(Tabelle13245689101112131415[[#This Row],[Jira Story Points]],Tabelle13245689101112131415[[#This Row],[Carry-over]])-Tabelle13245689101112131415[[#This Row],[SP Completed (COS &amp; SOS)]]),0)</f>
        <v>3</v>
      </c>
    </row>
    <row r="128" spans="1:17" ht="13.5" hidden="1" customHeight="1">
      <c r="A128" s="264" t="s">
        <v>1454</v>
      </c>
      <c r="B128" s="264" t="s">
        <v>1455</v>
      </c>
      <c r="C128" s="203" t="s">
        <v>372</v>
      </c>
      <c r="D128" s="203"/>
      <c r="E128" s="203" t="s">
        <v>324</v>
      </c>
      <c r="F128" s="204">
        <v>3</v>
      </c>
      <c r="G128" s="203" t="s">
        <v>5</v>
      </c>
      <c r="H128" s="205"/>
      <c r="I128" s="206"/>
      <c r="J128" s="203" t="s">
        <v>125</v>
      </c>
      <c r="K128" s="204"/>
      <c r="L128" s="204"/>
      <c r="M128" s="211">
        <f>IF(Tabelle13245689101112131415[[#This Row],[Pulled after Start]]="",MIN(Tabelle13245689101112131415[[#This Row],[Jira Story Points]],Tabelle13245689101112131415[[#This Row],[Carry-over]]),0)</f>
        <v>3</v>
      </c>
      <c r="N128" s="209">
        <f>MIN(Tabelle13245689101112131415[[#This Row],[Jira Story Points]],Tabelle13245689101112131415[[#This Row],[Carry-over]])-Tabelle13245689101112131415[[#This Row],[SP Initially Planned (COS)]]</f>
        <v>0</v>
      </c>
      <c r="O128"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28" s="211">
        <f>IFERROR(IF(Tabelle13245689101112131415[[#This Row],[Status]]=$J$5,MIN(Tabelle13245689101112131415[[#This Row],[Jira Story Points]],Tabelle13245689101112131415[[#This Row],[Carry-over]]),0),0)</f>
        <v>0</v>
      </c>
      <c r="Q128" s="211">
        <f>IFERROR(IF(Tabelle13245689101112131415[[#This Row],[Status]]=$J$5,0,MIN(Tabelle13245689101112131415[[#This Row],[Jira Story Points]],Tabelle13245689101112131415[[#This Row],[Carry-over]])-Tabelle13245689101112131415[[#This Row],[SP Completed (COS &amp; SOS)]]),0)</f>
        <v>0</v>
      </c>
    </row>
    <row r="129" spans="1:39" ht="13.5" hidden="1" customHeight="1">
      <c r="A129" s="264" t="s">
        <v>1456</v>
      </c>
      <c r="B129" s="47" t="s">
        <v>1457</v>
      </c>
      <c r="C129" s="203" t="s">
        <v>372</v>
      </c>
      <c r="D129" s="203"/>
      <c r="E129" s="203" t="s">
        <v>324</v>
      </c>
      <c r="F129" s="204">
        <v>1</v>
      </c>
      <c r="G129" s="203" t="s">
        <v>5</v>
      </c>
      <c r="H129" s="205"/>
      <c r="I129" s="206"/>
      <c r="J129" s="203" t="s">
        <v>125</v>
      </c>
      <c r="K129" s="204"/>
      <c r="L129" s="204"/>
      <c r="M129" s="211">
        <f>IF(Tabelle13245689101112131415[[#This Row],[Pulled after Start]]="",MIN(Tabelle13245689101112131415[[#This Row],[Jira Story Points]],Tabelle13245689101112131415[[#This Row],[Carry-over]]),0)</f>
        <v>1</v>
      </c>
      <c r="N129" s="209">
        <f>MIN(Tabelle13245689101112131415[[#This Row],[Jira Story Points]],Tabelle13245689101112131415[[#This Row],[Carry-over]])-Tabelle13245689101112131415[[#This Row],[SP Initially Planned (COS)]]</f>
        <v>0</v>
      </c>
      <c r="O129"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1</v>
      </c>
      <c r="P129" s="211">
        <f>IFERROR(IF(Tabelle13245689101112131415[[#This Row],[Status]]=$J$5,MIN(Tabelle13245689101112131415[[#This Row],[Jira Story Points]],Tabelle13245689101112131415[[#This Row],[Carry-over]]),0),0)</f>
        <v>0</v>
      </c>
      <c r="Q129" s="211">
        <f>IFERROR(IF(Tabelle13245689101112131415[[#This Row],[Status]]=$J$5,0,MIN(Tabelle13245689101112131415[[#This Row],[Jira Story Points]],Tabelle13245689101112131415[[#This Row],[Carry-over]])-Tabelle13245689101112131415[[#This Row],[SP Completed (COS &amp; SOS)]]),0)</f>
        <v>0</v>
      </c>
    </row>
    <row r="130" spans="1:39" ht="13.5" hidden="1" customHeight="1">
      <c r="A130" s="264" t="s">
        <v>1458</v>
      </c>
      <c r="B130" s="264" t="s">
        <v>1267</v>
      </c>
      <c r="C130" s="203" t="s">
        <v>372</v>
      </c>
      <c r="D130" s="203"/>
      <c r="E130" s="203" t="s">
        <v>238</v>
      </c>
      <c r="F130" s="204">
        <v>8</v>
      </c>
      <c r="G130" s="203" t="s">
        <v>5</v>
      </c>
      <c r="H130" s="205"/>
      <c r="I130" s="206"/>
      <c r="J130" s="203" t="s">
        <v>125</v>
      </c>
      <c r="K130" s="204"/>
      <c r="L130" s="204"/>
      <c r="M130" s="211">
        <f>IF(Tabelle13245689101112131415[[#This Row],[Pulled after Start]]="",MIN(Tabelle13245689101112131415[[#This Row],[Jira Story Points]],Tabelle13245689101112131415[[#This Row],[Carry-over]]),0)</f>
        <v>8</v>
      </c>
      <c r="N130" s="209">
        <f>MIN(Tabelle13245689101112131415[[#This Row],[Jira Story Points]],Tabelle13245689101112131415[[#This Row],[Carry-over]])-Tabelle13245689101112131415[[#This Row],[SP Initially Planned (COS)]]</f>
        <v>0</v>
      </c>
      <c r="O130"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8</v>
      </c>
      <c r="P130" s="211">
        <f>IFERROR(IF(Tabelle13245689101112131415[[#This Row],[Status]]=$J$5,MIN(Tabelle13245689101112131415[[#This Row],[Jira Story Points]],Tabelle13245689101112131415[[#This Row],[Carry-over]]),0),0)</f>
        <v>0</v>
      </c>
      <c r="Q130" s="211">
        <f>IFERROR(IF(Tabelle13245689101112131415[[#This Row],[Status]]=$J$5,0,MIN(Tabelle13245689101112131415[[#This Row],[Jira Story Points]],Tabelle13245689101112131415[[#This Row],[Carry-over]])-Tabelle13245689101112131415[[#This Row],[SP Completed (COS &amp; SOS)]]),0)</f>
        <v>0</v>
      </c>
    </row>
    <row r="131" spans="1:39" ht="13.5" hidden="1" customHeight="1">
      <c r="A131" s="264" t="s">
        <v>1459</v>
      </c>
      <c r="B131" s="264" t="s">
        <v>1269</v>
      </c>
      <c r="C131" s="203" t="s">
        <v>372</v>
      </c>
      <c r="D131" s="203"/>
      <c r="E131" s="203" t="s">
        <v>238</v>
      </c>
      <c r="F131" s="204">
        <v>5</v>
      </c>
      <c r="G131" s="203" t="s">
        <v>5</v>
      </c>
      <c r="H131" s="205"/>
      <c r="I131" s="206"/>
      <c r="J131" s="203" t="s">
        <v>127</v>
      </c>
      <c r="K131" s="204">
        <v>3</v>
      </c>
      <c r="L131" s="204">
        <v>2</v>
      </c>
      <c r="M131" s="211">
        <f>IF(Tabelle13245689101112131415[[#This Row],[Pulled after Start]]="",MIN(Tabelle13245689101112131415[[#This Row],[Jira Story Points]],Tabelle13245689101112131415[[#This Row],[Carry-over]]),0)</f>
        <v>3</v>
      </c>
      <c r="N131" s="209">
        <f>MIN(Tabelle13245689101112131415[[#This Row],[Jira Story Points]],Tabelle13245689101112131415[[#This Row],[Carry-over]])-Tabelle13245689101112131415[[#This Row],[SP Initially Planned (COS)]]</f>
        <v>0</v>
      </c>
      <c r="O131"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1</v>
      </c>
      <c r="P131" s="211">
        <f>IFERROR(IF(Tabelle13245689101112131415[[#This Row],[Status]]=$J$5,MIN(Tabelle13245689101112131415[[#This Row],[Jira Story Points]],Tabelle13245689101112131415[[#This Row],[Carry-over]]),0),0)</f>
        <v>0</v>
      </c>
      <c r="Q131" s="211">
        <f>IFERROR(IF(Tabelle13245689101112131415[[#This Row],[Status]]=$J$5,0,MIN(Tabelle13245689101112131415[[#This Row],[Jira Story Points]],Tabelle13245689101112131415[[#This Row],[Carry-over]])-Tabelle13245689101112131415[[#This Row],[SP Completed (COS &amp; SOS)]]),0)</f>
        <v>2</v>
      </c>
    </row>
    <row r="132" spans="1:39" ht="13.5" hidden="1" customHeight="1">
      <c r="A132" s="269" t="s">
        <v>1460</v>
      </c>
      <c r="B132" s="47" t="s">
        <v>1461</v>
      </c>
      <c r="C132" s="203" t="s">
        <v>372</v>
      </c>
      <c r="D132" s="203"/>
      <c r="E132" s="203" t="s">
        <v>216</v>
      </c>
      <c r="F132" s="204">
        <v>3</v>
      </c>
      <c r="G132" s="203" t="s">
        <v>5</v>
      </c>
      <c r="H132" s="205"/>
      <c r="I132" s="206"/>
      <c r="J132" s="203" t="s">
        <v>125</v>
      </c>
      <c r="K132" s="204"/>
      <c r="L132" s="204"/>
      <c r="M132" s="211">
        <f>IF(Tabelle13245689101112131415[[#This Row],[Pulled after Start]]="",MIN(Tabelle13245689101112131415[[#This Row],[Jira Story Points]],Tabelle13245689101112131415[[#This Row],[Carry-over]]),0)</f>
        <v>3</v>
      </c>
      <c r="N132" s="209">
        <f>MIN(Tabelle13245689101112131415[[#This Row],[Jira Story Points]],Tabelle13245689101112131415[[#This Row],[Carry-over]])-Tabelle13245689101112131415[[#This Row],[SP Initially Planned (COS)]]</f>
        <v>0</v>
      </c>
      <c r="O132"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32" s="211">
        <f>IFERROR(IF(Tabelle13245689101112131415[[#This Row],[Status]]=$J$5,MIN(Tabelle13245689101112131415[[#This Row],[Jira Story Points]],Tabelle13245689101112131415[[#This Row],[Carry-over]]),0),0)</f>
        <v>0</v>
      </c>
      <c r="Q132" s="211">
        <f>IFERROR(IF(Tabelle13245689101112131415[[#This Row],[Status]]=$J$5,0,MIN(Tabelle13245689101112131415[[#This Row],[Jira Story Points]],Tabelle13245689101112131415[[#This Row],[Carry-over]])-Tabelle13245689101112131415[[#This Row],[SP Completed (COS &amp; SOS)]]),0)</f>
        <v>0</v>
      </c>
    </row>
    <row r="133" spans="1:39" ht="13.5" hidden="1" customHeight="1">
      <c r="A133" s="269" t="s">
        <v>1462</v>
      </c>
      <c r="B133" s="47" t="s">
        <v>1463</v>
      </c>
      <c r="C133" s="203" t="s">
        <v>372</v>
      </c>
      <c r="D133" s="203"/>
      <c r="E133" s="203" t="s">
        <v>238</v>
      </c>
      <c r="F133" s="204">
        <v>3</v>
      </c>
      <c r="G133" s="203" t="s">
        <v>5</v>
      </c>
      <c r="H133" s="205" t="s">
        <v>209</v>
      </c>
      <c r="I133" s="206"/>
      <c r="J133" s="203" t="s">
        <v>127</v>
      </c>
      <c r="K133" s="204">
        <v>2</v>
      </c>
      <c r="L133" s="204">
        <v>1</v>
      </c>
      <c r="M133" s="211">
        <f>IF(Tabelle13245689101112131415[[#This Row],[Pulled after Start]]="",MIN(Tabelle13245689101112131415[[#This Row],[Jira Story Points]],Tabelle13245689101112131415[[#This Row],[Carry-over]]),0)</f>
        <v>0</v>
      </c>
      <c r="N133" s="209">
        <f>MIN(Tabelle13245689101112131415[[#This Row],[Jira Story Points]],Tabelle13245689101112131415[[#This Row],[Carry-over]])-Tabelle13245689101112131415[[#This Row],[SP Initially Planned (COS)]]</f>
        <v>2</v>
      </c>
      <c r="O133"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1</v>
      </c>
      <c r="P133" s="211">
        <f>IFERROR(IF(Tabelle13245689101112131415[[#This Row],[Status]]=$J$5,MIN(Tabelle13245689101112131415[[#This Row],[Jira Story Points]],Tabelle13245689101112131415[[#This Row],[Carry-over]]),0),0)</f>
        <v>0</v>
      </c>
      <c r="Q133" s="211">
        <f>IFERROR(IF(Tabelle13245689101112131415[[#This Row],[Status]]=$J$5,0,MIN(Tabelle13245689101112131415[[#This Row],[Jira Story Points]],Tabelle13245689101112131415[[#This Row],[Carry-over]])-Tabelle13245689101112131415[[#This Row],[SP Completed (COS &amp; SOS)]]),0)</f>
        <v>1</v>
      </c>
    </row>
    <row r="134" spans="1:39" ht="13.5" hidden="1" customHeight="1">
      <c r="A134" s="269" t="s">
        <v>1464</v>
      </c>
      <c r="B134" s="47" t="s">
        <v>1465</v>
      </c>
      <c r="C134" s="203" t="s">
        <v>372</v>
      </c>
      <c r="D134" s="203"/>
      <c r="E134" s="203" t="s">
        <v>324</v>
      </c>
      <c r="F134" s="204">
        <v>1</v>
      </c>
      <c r="G134" s="203" t="s">
        <v>5</v>
      </c>
      <c r="H134" s="205"/>
      <c r="I134" s="206"/>
      <c r="J134" s="203" t="s">
        <v>125</v>
      </c>
      <c r="K134" s="204"/>
      <c r="L134" s="204"/>
      <c r="M134" s="211">
        <f>IF(Tabelle13245689101112131415[[#This Row],[Pulled after Start]]="",MIN(Tabelle13245689101112131415[[#This Row],[Jira Story Points]],Tabelle13245689101112131415[[#This Row],[Carry-over]]),0)</f>
        <v>1</v>
      </c>
      <c r="N134" s="209">
        <f>MIN(Tabelle13245689101112131415[[#This Row],[Jira Story Points]],Tabelle13245689101112131415[[#This Row],[Carry-over]])-Tabelle13245689101112131415[[#This Row],[SP Initially Planned (COS)]]</f>
        <v>0</v>
      </c>
      <c r="O134"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1</v>
      </c>
      <c r="P134" s="211">
        <f>IFERROR(IF(Tabelle13245689101112131415[[#This Row],[Status]]=$J$5,MIN(Tabelle13245689101112131415[[#This Row],[Jira Story Points]],Tabelle13245689101112131415[[#This Row],[Carry-over]]),0),0)</f>
        <v>0</v>
      </c>
      <c r="Q134" s="211">
        <f>IFERROR(IF(Tabelle13245689101112131415[[#This Row],[Status]]=$J$5,0,MIN(Tabelle13245689101112131415[[#This Row],[Jira Story Points]],Tabelle13245689101112131415[[#This Row],[Carry-over]])-Tabelle13245689101112131415[[#This Row],[SP Completed (COS &amp; SOS)]]),0)</f>
        <v>0</v>
      </c>
    </row>
    <row r="135" spans="1:39" ht="13.5" hidden="1" customHeight="1">
      <c r="A135" s="269" t="s">
        <v>1466</v>
      </c>
      <c r="B135" s="47" t="s">
        <v>1271</v>
      </c>
      <c r="C135" s="203" t="s">
        <v>372</v>
      </c>
      <c r="D135" s="203"/>
      <c r="E135" s="203" t="s">
        <v>238</v>
      </c>
      <c r="F135" s="204">
        <v>3</v>
      </c>
      <c r="G135" s="203" t="s">
        <v>5</v>
      </c>
      <c r="H135" s="205" t="s">
        <v>209</v>
      </c>
      <c r="I135" s="206"/>
      <c r="J135" s="203" t="s">
        <v>127</v>
      </c>
      <c r="K135" s="204">
        <v>0</v>
      </c>
      <c r="L135" s="204">
        <v>3</v>
      </c>
      <c r="M135" s="211">
        <f>IF(Tabelle13245689101112131415[[#This Row],[Pulled after Start]]="",MIN(Tabelle13245689101112131415[[#This Row],[Jira Story Points]],Tabelle13245689101112131415[[#This Row],[Carry-over]]),0)</f>
        <v>0</v>
      </c>
      <c r="N135" s="209">
        <f>MIN(Tabelle13245689101112131415[[#This Row],[Jira Story Points]],Tabelle13245689101112131415[[#This Row],[Carry-over]])-Tabelle13245689101112131415[[#This Row],[SP Initially Planned (COS)]]</f>
        <v>0</v>
      </c>
      <c r="O135"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35" s="211">
        <f>IFERROR(IF(Tabelle13245689101112131415[[#This Row],[Status]]=$J$5,MIN(Tabelle13245689101112131415[[#This Row],[Jira Story Points]],Tabelle13245689101112131415[[#This Row],[Carry-over]]),0),0)</f>
        <v>0</v>
      </c>
      <c r="Q135" s="211">
        <f>IFERROR(IF(Tabelle13245689101112131415[[#This Row],[Status]]=$J$5,0,MIN(Tabelle13245689101112131415[[#This Row],[Jira Story Points]],Tabelle13245689101112131415[[#This Row],[Carry-over]])-Tabelle13245689101112131415[[#This Row],[SP Completed (COS &amp; SOS)]]),0)</f>
        <v>3</v>
      </c>
    </row>
    <row r="136" spans="1:39" ht="13.5" hidden="1" customHeight="1">
      <c r="A136" s="270" t="s">
        <v>1467</v>
      </c>
      <c r="B136" s="47" t="s">
        <v>1468</v>
      </c>
      <c r="C136" s="271" t="s">
        <v>372</v>
      </c>
      <c r="D136" s="271">
        <v>3</v>
      </c>
      <c r="E136" s="203" t="s">
        <v>324</v>
      </c>
      <c r="F136" s="271">
        <v>2</v>
      </c>
      <c r="G136" s="203" t="s">
        <v>9</v>
      </c>
      <c r="H136" s="205"/>
      <c r="I136" s="206"/>
      <c r="J136" s="203" t="s">
        <v>125</v>
      </c>
      <c r="K136" s="271" t="s">
        <v>931</v>
      </c>
      <c r="L136" s="204">
        <v>0</v>
      </c>
      <c r="M136" s="211">
        <f>IF(Tabelle13245689101112131415[[#This Row],[Pulled after Start]]="",MIN(Tabelle13245689101112131415[[#This Row],[Jira Story Points]],Tabelle13245689101112131415[[#This Row],[Carry-over]]),0)</f>
        <v>2</v>
      </c>
      <c r="N136" s="209">
        <f>MIN(Tabelle13245689101112131415[[#This Row],[Jira Story Points]],Tabelle13245689101112131415[[#This Row],[Carry-over]])-Tabelle13245689101112131415[[#This Row],[SP Initially Planned (COS)]]</f>
        <v>0</v>
      </c>
      <c r="O136" s="210" t="str">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v>
      </c>
      <c r="P136" s="211">
        <f>IFERROR(IF(Tabelle13245689101112131415[[#This Row],[Status]]=$J$5,MIN(Tabelle13245689101112131415[[#This Row],[Jira Story Points]],Tabelle13245689101112131415[[#This Row],[Carry-over]]),0),0)</f>
        <v>0</v>
      </c>
      <c r="Q136" s="211">
        <f>IFERROR(IF(Tabelle13245689101112131415[[#This Row],[Status]]=$J$5,0,MIN(Tabelle13245689101112131415[[#This Row],[Jira Story Points]],Tabelle13245689101112131415[[#This Row],[Carry-over]])-Tabelle13245689101112131415[[#This Row],[SP Completed (COS &amp; SOS)]]),0)</f>
        <v>0</v>
      </c>
    </row>
    <row r="137" spans="1:39" ht="13.5" hidden="1" customHeight="1">
      <c r="A137" s="266" t="s">
        <v>1469</v>
      </c>
      <c r="B137" s="47" t="s">
        <v>1470</v>
      </c>
      <c r="C137" s="271" t="s">
        <v>372</v>
      </c>
      <c r="D137" s="271">
        <v>3</v>
      </c>
      <c r="E137" s="203" t="s">
        <v>324</v>
      </c>
      <c r="F137" s="271">
        <v>3</v>
      </c>
      <c r="G137" s="203" t="s">
        <v>9</v>
      </c>
      <c r="H137" s="205"/>
      <c r="I137" s="206"/>
      <c r="J137" s="203" t="s">
        <v>125</v>
      </c>
      <c r="K137" s="204">
        <v>3</v>
      </c>
      <c r="L137" s="204">
        <v>0</v>
      </c>
      <c r="M137" s="211">
        <f>IF(Tabelle13245689101112131415[[#This Row],[Pulled after Start]]="",MIN(Tabelle13245689101112131415[[#This Row],[Jira Story Points]],Tabelle13245689101112131415[[#This Row],[Carry-over]]),0)</f>
        <v>3</v>
      </c>
      <c r="N137" s="209">
        <f>MIN(Tabelle13245689101112131415[[#This Row],[Jira Story Points]],Tabelle13245689101112131415[[#This Row],[Carry-over]])-Tabelle13245689101112131415[[#This Row],[SP Initially Planned (COS)]]</f>
        <v>0</v>
      </c>
      <c r="O137"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37" s="211">
        <f>IFERROR(IF(Tabelle13245689101112131415[[#This Row],[Status]]=$J$5,MIN(Tabelle13245689101112131415[[#This Row],[Jira Story Points]],Tabelle13245689101112131415[[#This Row],[Carry-over]]),0),0)</f>
        <v>0</v>
      </c>
      <c r="Q137" s="211">
        <f>IFERROR(IF(Tabelle13245689101112131415[[#This Row],[Status]]=$J$5,0,MIN(Tabelle13245689101112131415[[#This Row],[Jira Story Points]],Tabelle13245689101112131415[[#This Row],[Carry-over]])-Tabelle13245689101112131415[[#This Row],[SP Completed (COS &amp; SOS)]]),0)</f>
        <v>0</v>
      </c>
    </row>
    <row r="138" spans="1:39" s="252" customFormat="1" ht="13.5" hidden="1" customHeight="1">
      <c r="A138" s="270" t="s">
        <v>1471</v>
      </c>
      <c r="B138" s="47" t="s">
        <v>1472</v>
      </c>
      <c r="C138" s="271" t="s">
        <v>372</v>
      </c>
      <c r="D138" s="271">
        <v>3</v>
      </c>
      <c r="E138" s="203" t="s">
        <v>324</v>
      </c>
      <c r="F138" s="271">
        <v>3</v>
      </c>
      <c r="G138" s="203" t="s">
        <v>9</v>
      </c>
      <c r="H138" s="205"/>
      <c r="I138" s="206"/>
      <c r="J138" s="203" t="s">
        <v>125</v>
      </c>
      <c r="K138" s="204"/>
      <c r="L138" s="204">
        <v>0</v>
      </c>
      <c r="M138" s="211">
        <f>IF(Tabelle13245689101112131415[[#This Row],[Pulled after Start]]="",MIN(Tabelle13245689101112131415[[#This Row],[Jira Story Points]],Tabelle13245689101112131415[[#This Row],[Carry-over]]),0)</f>
        <v>3</v>
      </c>
      <c r="N138" s="209">
        <f>MIN(Tabelle13245689101112131415[[#This Row],[Jira Story Points]],Tabelle13245689101112131415[[#This Row],[Carry-over]])-Tabelle13245689101112131415[[#This Row],[SP Initially Planned (COS)]]</f>
        <v>0</v>
      </c>
      <c r="O138"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38" s="211">
        <f>IFERROR(IF(Tabelle13245689101112131415[[#This Row],[Status]]=$J$5,MIN(Tabelle13245689101112131415[[#This Row],[Jira Story Points]],Tabelle13245689101112131415[[#This Row],[Carry-over]]),0),0)</f>
        <v>0</v>
      </c>
      <c r="Q138" s="211">
        <f>IFERROR(IF(Tabelle13245689101112131415[[#This Row],[Status]]=$J$5,0,MIN(Tabelle13245689101112131415[[#This Row],[Jira Story Points]],Tabelle13245689101112131415[[#This Row],[Carry-over]])-Tabelle13245689101112131415[[#This Row],[SP Completed (COS &amp; SOS)]]),0)</f>
        <v>0</v>
      </c>
      <c r="R138" s="1"/>
      <c r="S138" s="1"/>
      <c r="T138" s="1"/>
      <c r="U138" s="1"/>
      <c r="V138" s="1"/>
      <c r="W138" s="1"/>
      <c r="X138" s="1"/>
      <c r="Y138" s="1"/>
      <c r="Z138" s="1"/>
      <c r="AA138" s="1"/>
      <c r="AB138" s="1"/>
      <c r="AC138" s="1"/>
      <c r="AD138" s="1"/>
      <c r="AE138" s="1"/>
      <c r="AF138" s="1"/>
      <c r="AG138" s="1"/>
      <c r="AH138" s="1"/>
      <c r="AI138" s="1"/>
      <c r="AJ138" s="1"/>
      <c r="AK138" s="1"/>
      <c r="AL138" s="1"/>
      <c r="AM138" s="1"/>
    </row>
    <row r="139" spans="1:39" s="252" customFormat="1" ht="13.5" hidden="1" customHeight="1">
      <c r="A139" s="266" t="s">
        <v>1473</v>
      </c>
      <c r="B139" s="47" t="s">
        <v>1474</v>
      </c>
      <c r="C139" s="271" t="s">
        <v>372</v>
      </c>
      <c r="D139" s="271">
        <v>3</v>
      </c>
      <c r="E139" s="203" t="s">
        <v>324</v>
      </c>
      <c r="F139" s="271">
        <v>3</v>
      </c>
      <c r="G139" s="203" t="s">
        <v>9</v>
      </c>
      <c r="H139" s="205"/>
      <c r="I139" s="206"/>
      <c r="J139" s="203" t="s">
        <v>125</v>
      </c>
      <c r="K139" s="204"/>
      <c r="L139" s="204">
        <v>0</v>
      </c>
      <c r="M139" s="211">
        <f>IF(Tabelle13245689101112131415[[#This Row],[Pulled after Start]]="",MIN(Tabelle13245689101112131415[[#This Row],[Jira Story Points]],Tabelle13245689101112131415[[#This Row],[Carry-over]]),0)</f>
        <v>3</v>
      </c>
      <c r="N139" s="209">
        <f>MIN(Tabelle13245689101112131415[[#This Row],[Jira Story Points]],Tabelle13245689101112131415[[#This Row],[Carry-over]])-Tabelle13245689101112131415[[#This Row],[SP Initially Planned (COS)]]</f>
        <v>0</v>
      </c>
      <c r="O139"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39" s="211">
        <f>IFERROR(IF(Tabelle13245689101112131415[[#This Row],[Status]]=$J$5,MIN(Tabelle13245689101112131415[[#This Row],[Jira Story Points]],Tabelle13245689101112131415[[#This Row],[Carry-over]]),0),0)</f>
        <v>0</v>
      </c>
      <c r="Q139" s="211">
        <f>IFERROR(IF(Tabelle13245689101112131415[[#This Row],[Status]]=$J$5,0,MIN(Tabelle13245689101112131415[[#This Row],[Jira Story Points]],Tabelle13245689101112131415[[#This Row],[Carry-over]])-Tabelle13245689101112131415[[#This Row],[SP Completed (COS &amp; SOS)]]),0)</f>
        <v>0</v>
      </c>
      <c r="R139" s="1"/>
      <c r="S139" s="1"/>
      <c r="T139" s="1"/>
      <c r="U139" s="1"/>
      <c r="V139" s="1"/>
      <c r="W139" s="1"/>
      <c r="X139" s="1"/>
      <c r="Y139" s="1"/>
      <c r="Z139" s="1"/>
      <c r="AA139" s="1"/>
      <c r="AB139" s="1"/>
      <c r="AC139" s="1"/>
      <c r="AD139" s="1"/>
      <c r="AE139" s="1"/>
      <c r="AF139" s="1"/>
      <c r="AG139" s="1"/>
      <c r="AH139" s="1"/>
      <c r="AI139" s="1"/>
      <c r="AJ139" s="1"/>
      <c r="AK139" s="1"/>
      <c r="AL139" s="1"/>
      <c r="AM139" s="1"/>
    </row>
    <row r="140" spans="1:39" ht="13.5" hidden="1" customHeight="1">
      <c r="A140" s="270" t="s">
        <v>1475</v>
      </c>
      <c r="B140" s="47" t="s">
        <v>1476</v>
      </c>
      <c r="C140" s="271" t="s">
        <v>372</v>
      </c>
      <c r="D140" s="271">
        <v>3</v>
      </c>
      <c r="E140" s="203" t="s">
        <v>324</v>
      </c>
      <c r="F140" s="271">
        <v>2</v>
      </c>
      <c r="G140" s="203" t="s">
        <v>9</v>
      </c>
      <c r="H140" s="205" t="s">
        <v>209</v>
      </c>
      <c r="I140" s="206"/>
      <c r="J140" s="203" t="s">
        <v>125</v>
      </c>
      <c r="K140" s="204"/>
      <c r="L140" s="204">
        <v>0</v>
      </c>
      <c r="M140" s="211">
        <f>IF(Tabelle13245689101112131415[[#This Row],[Pulled after Start]]="",MIN(Tabelle13245689101112131415[[#This Row],[Jira Story Points]],Tabelle13245689101112131415[[#This Row],[Carry-over]]),0)</f>
        <v>0</v>
      </c>
      <c r="N140" s="209">
        <f>MIN(Tabelle13245689101112131415[[#This Row],[Jira Story Points]],Tabelle13245689101112131415[[#This Row],[Carry-over]])-Tabelle13245689101112131415[[#This Row],[SP Initially Planned (COS)]]</f>
        <v>2</v>
      </c>
      <c r="O140"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140" s="211">
        <f>IFERROR(IF(Tabelle13245689101112131415[[#This Row],[Status]]=$J$5,MIN(Tabelle13245689101112131415[[#This Row],[Jira Story Points]],Tabelle13245689101112131415[[#This Row],[Carry-over]]),0),0)</f>
        <v>0</v>
      </c>
      <c r="Q140" s="211">
        <f>IFERROR(IF(Tabelle13245689101112131415[[#This Row],[Status]]=$J$5,0,MIN(Tabelle13245689101112131415[[#This Row],[Jira Story Points]],Tabelle13245689101112131415[[#This Row],[Carry-over]])-Tabelle13245689101112131415[[#This Row],[SP Completed (COS &amp; SOS)]]),0)</f>
        <v>0</v>
      </c>
    </row>
    <row r="141" spans="1:39" ht="13.5" hidden="1" customHeight="1">
      <c r="A141" s="266" t="s">
        <v>1477</v>
      </c>
      <c r="B141" s="47" t="s">
        <v>1478</v>
      </c>
      <c r="C141" s="271" t="s">
        <v>375</v>
      </c>
      <c r="D141" s="271">
        <v>3</v>
      </c>
      <c r="E141" s="203" t="s">
        <v>324</v>
      </c>
      <c r="F141" s="271">
        <v>2</v>
      </c>
      <c r="G141" s="203" t="s">
        <v>9</v>
      </c>
      <c r="H141" s="205"/>
      <c r="I141" s="206"/>
      <c r="J141" s="203" t="s">
        <v>125</v>
      </c>
      <c r="K141" s="204"/>
      <c r="L141" s="204">
        <v>0</v>
      </c>
      <c r="M141" s="211">
        <f>IF(Tabelle13245689101112131415[[#This Row],[Pulled after Start]]="",MIN(Tabelle13245689101112131415[[#This Row],[Jira Story Points]],Tabelle13245689101112131415[[#This Row],[Carry-over]]),0)</f>
        <v>2</v>
      </c>
      <c r="N141" s="209">
        <f>MIN(Tabelle13245689101112131415[[#This Row],[Jira Story Points]],Tabelle13245689101112131415[[#This Row],[Carry-over]])-Tabelle13245689101112131415[[#This Row],[SP Initially Planned (COS)]]</f>
        <v>0</v>
      </c>
      <c r="O141"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141" s="211">
        <f>IFERROR(IF(Tabelle13245689101112131415[[#This Row],[Status]]=$J$5,MIN(Tabelle13245689101112131415[[#This Row],[Jira Story Points]],Tabelle13245689101112131415[[#This Row],[Carry-over]]),0),0)</f>
        <v>0</v>
      </c>
      <c r="Q141" s="211">
        <f>IFERROR(IF(Tabelle13245689101112131415[[#This Row],[Status]]=$J$5,0,MIN(Tabelle13245689101112131415[[#This Row],[Jira Story Points]],Tabelle13245689101112131415[[#This Row],[Carry-over]])-Tabelle13245689101112131415[[#This Row],[SP Completed (COS &amp; SOS)]]),0)</f>
        <v>0</v>
      </c>
    </row>
    <row r="142" spans="1:39" ht="13.5" hidden="1" customHeight="1">
      <c r="A142" s="270" t="s">
        <v>1479</v>
      </c>
      <c r="B142" s="47" t="s">
        <v>1480</v>
      </c>
      <c r="C142" s="271" t="s">
        <v>372</v>
      </c>
      <c r="D142" s="271">
        <v>3</v>
      </c>
      <c r="E142" s="203" t="s">
        <v>324</v>
      </c>
      <c r="F142" s="271" t="s">
        <v>931</v>
      </c>
      <c r="G142" s="203" t="s">
        <v>9</v>
      </c>
      <c r="H142" s="205"/>
      <c r="I142" s="206"/>
      <c r="J142" s="203" t="s">
        <v>125</v>
      </c>
      <c r="K142" s="204"/>
      <c r="L142" s="204">
        <v>0</v>
      </c>
      <c r="M142" s="211">
        <f>IF(Tabelle13245689101112131415[[#This Row],[Pulled after Start]]="",MIN(Tabelle13245689101112131415[[#This Row],[Jira Story Points]],Tabelle13245689101112131415[[#This Row],[Carry-over]]),0)</f>
        <v>0</v>
      </c>
      <c r="N142" s="209">
        <f>MIN(Tabelle13245689101112131415[[#This Row],[Jira Story Points]],Tabelle13245689101112131415[[#This Row],[Carry-over]])-Tabelle13245689101112131415[[#This Row],[SP Initially Planned (COS)]]</f>
        <v>0</v>
      </c>
      <c r="O142" s="210" t="str">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v>
      </c>
      <c r="P142" s="211">
        <f>IFERROR(IF(Tabelle13245689101112131415[[#This Row],[Status]]=$J$5,MIN(Tabelle13245689101112131415[[#This Row],[Jira Story Points]],Tabelle13245689101112131415[[#This Row],[Carry-over]]),0),0)</f>
        <v>0</v>
      </c>
      <c r="Q142" s="211">
        <f>IFERROR(IF(Tabelle13245689101112131415[[#This Row],[Status]]=$J$5,0,MIN(Tabelle13245689101112131415[[#This Row],[Jira Story Points]],Tabelle13245689101112131415[[#This Row],[Carry-over]])-Tabelle13245689101112131415[[#This Row],[SP Completed (COS &amp; SOS)]]),0)</f>
        <v>0</v>
      </c>
    </row>
    <row r="143" spans="1:39" ht="13.5" hidden="1" customHeight="1">
      <c r="A143" s="266" t="s">
        <v>1481</v>
      </c>
      <c r="B143" s="47" t="s">
        <v>1482</v>
      </c>
      <c r="C143" s="271" t="s">
        <v>372</v>
      </c>
      <c r="D143" s="271">
        <v>3</v>
      </c>
      <c r="E143" s="203" t="s">
        <v>324</v>
      </c>
      <c r="F143" s="271">
        <v>3</v>
      </c>
      <c r="G143" s="203" t="s">
        <v>9</v>
      </c>
      <c r="H143" s="205"/>
      <c r="I143" s="206"/>
      <c r="J143" s="203" t="s">
        <v>125</v>
      </c>
      <c r="K143" s="204"/>
      <c r="L143" s="204">
        <v>0</v>
      </c>
      <c r="M143" s="211">
        <f>IF(Tabelle13245689101112131415[[#This Row],[Pulled after Start]]="",MIN(Tabelle13245689101112131415[[#This Row],[Jira Story Points]],Tabelle13245689101112131415[[#This Row],[Carry-over]]),0)</f>
        <v>3</v>
      </c>
      <c r="N143" s="209">
        <f>MIN(Tabelle13245689101112131415[[#This Row],[Jira Story Points]],Tabelle13245689101112131415[[#This Row],[Carry-over]])-Tabelle13245689101112131415[[#This Row],[SP Initially Planned (COS)]]</f>
        <v>0</v>
      </c>
      <c r="O143"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43" s="211">
        <f>IFERROR(IF(Tabelle13245689101112131415[[#This Row],[Status]]=$J$5,MIN(Tabelle13245689101112131415[[#This Row],[Jira Story Points]],Tabelle13245689101112131415[[#This Row],[Carry-over]]),0),0)</f>
        <v>0</v>
      </c>
      <c r="Q143" s="211">
        <f>IFERROR(IF(Tabelle13245689101112131415[[#This Row],[Status]]=$J$5,0,MIN(Tabelle13245689101112131415[[#This Row],[Jira Story Points]],Tabelle13245689101112131415[[#This Row],[Carry-over]])-Tabelle13245689101112131415[[#This Row],[SP Completed (COS &amp; SOS)]]),0)</f>
        <v>0</v>
      </c>
    </row>
    <row r="144" spans="1:39" ht="13.5" hidden="1" customHeight="1">
      <c r="A144" s="270" t="s">
        <v>1483</v>
      </c>
      <c r="B144" s="47" t="s">
        <v>1484</v>
      </c>
      <c r="C144" s="271" t="s">
        <v>372</v>
      </c>
      <c r="D144" s="271">
        <v>3</v>
      </c>
      <c r="E144" s="203" t="s">
        <v>324</v>
      </c>
      <c r="F144" s="271">
        <v>2</v>
      </c>
      <c r="G144" s="203" t="s">
        <v>9</v>
      </c>
      <c r="H144" s="205"/>
      <c r="I144" s="206"/>
      <c r="J144" s="203" t="s">
        <v>125</v>
      </c>
      <c r="K144" s="204"/>
      <c r="L144" s="204">
        <v>0</v>
      </c>
      <c r="M144" s="211">
        <f>IF(Tabelle13245689101112131415[[#This Row],[Pulled after Start]]="",MIN(Tabelle13245689101112131415[[#This Row],[Jira Story Points]],Tabelle13245689101112131415[[#This Row],[Carry-over]]),0)</f>
        <v>2</v>
      </c>
      <c r="N144" s="209">
        <f>MIN(Tabelle13245689101112131415[[#This Row],[Jira Story Points]],Tabelle13245689101112131415[[#This Row],[Carry-over]])-Tabelle13245689101112131415[[#This Row],[SP Initially Planned (COS)]]</f>
        <v>0</v>
      </c>
      <c r="O144"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144" s="211">
        <f>IFERROR(IF(Tabelle13245689101112131415[[#This Row],[Status]]=$J$5,MIN(Tabelle13245689101112131415[[#This Row],[Jira Story Points]],Tabelle13245689101112131415[[#This Row],[Carry-over]]),0),0)</f>
        <v>0</v>
      </c>
      <c r="Q144" s="211">
        <f>IFERROR(IF(Tabelle13245689101112131415[[#This Row],[Status]]=$J$5,0,MIN(Tabelle13245689101112131415[[#This Row],[Jira Story Points]],Tabelle13245689101112131415[[#This Row],[Carry-over]])-Tabelle13245689101112131415[[#This Row],[SP Completed (COS &amp; SOS)]]),0)</f>
        <v>0</v>
      </c>
    </row>
    <row r="145" spans="1:17" ht="13.5" hidden="1" customHeight="1">
      <c r="A145" s="266" t="s">
        <v>1485</v>
      </c>
      <c r="B145" s="47" t="s">
        <v>1486</v>
      </c>
      <c r="C145" s="271" t="s">
        <v>372</v>
      </c>
      <c r="D145" s="271">
        <v>3</v>
      </c>
      <c r="E145" s="203" t="s">
        <v>324</v>
      </c>
      <c r="F145" s="271">
        <v>3</v>
      </c>
      <c r="G145" s="203" t="s">
        <v>9</v>
      </c>
      <c r="H145" s="205" t="s">
        <v>209</v>
      </c>
      <c r="I145" s="206"/>
      <c r="J145" s="203" t="s">
        <v>125</v>
      </c>
      <c r="K145" s="204"/>
      <c r="L145" s="204">
        <v>0</v>
      </c>
      <c r="M145" s="211">
        <f>IF(Tabelle13245689101112131415[[#This Row],[Pulled after Start]]="",MIN(Tabelle13245689101112131415[[#This Row],[Jira Story Points]],Tabelle13245689101112131415[[#This Row],[Carry-over]]),0)</f>
        <v>0</v>
      </c>
      <c r="N145" s="209">
        <f>MIN(Tabelle13245689101112131415[[#This Row],[Jira Story Points]],Tabelle13245689101112131415[[#This Row],[Carry-over]])-Tabelle13245689101112131415[[#This Row],[SP Initially Planned (COS)]]</f>
        <v>3</v>
      </c>
      <c r="O145"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45" s="211">
        <f>IFERROR(IF(Tabelle13245689101112131415[[#This Row],[Status]]=$J$5,MIN(Tabelle13245689101112131415[[#This Row],[Jira Story Points]],Tabelle13245689101112131415[[#This Row],[Carry-over]]),0),0)</f>
        <v>0</v>
      </c>
      <c r="Q145" s="211">
        <f>IFERROR(IF(Tabelle13245689101112131415[[#This Row],[Status]]=$J$5,0,MIN(Tabelle13245689101112131415[[#This Row],[Jira Story Points]],Tabelle13245689101112131415[[#This Row],[Carry-over]])-Tabelle13245689101112131415[[#This Row],[SP Completed (COS &amp; SOS)]]),0)</f>
        <v>0</v>
      </c>
    </row>
    <row r="146" spans="1:17" ht="13.5" hidden="1" customHeight="1">
      <c r="A146" s="270" t="s">
        <v>1487</v>
      </c>
      <c r="B146" s="47" t="s">
        <v>1488</v>
      </c>
      <c r="C146" s="271" t="s">
        <v>372</v>
      </c>
      <c r="D146" s="271">
        <v>3</v>
      </c>
      <c r="E146" s="203" t="s">
        <v>324</v>
      </c>
      <c r="F146" s="271">
        <v>2</v>
      </c>
      <c r="G146" s="203" t="s">
        <v>9</v>
      </c>
      <c r="H146" s="205" t="s">
        <v>209</v>
      </c>
      <c r="I146" s="206"/>
      <c r="J146" s="203" t="s">
        <v>125</v>
      </c>
      <c r="K146" s="204"/>
      <c r="L146" s="204">
        <v>0</v>
      </c>
      <c r="M146" s="211">
        <f>IF(Tabelle13245689101112131415[[#This Row],[Pulled after Start]]="",MIN(Tabelle13245689101112131415[[#This Row],[Jira Story Points]],Tabelle13245689101112131415[[#This Row],[Carry-over]]),0)</f>
        <v>0</v>
      </c>
      <c r="N146" s="209">
        <f>MIN(Tabelle13245689101112131415[[#This Row],[Jira Story Points]],Tabelle13245689101112131415[[#This Row],[Carry-over]])-Tabelle13245689101112131415[[#This Row],[SP Initially Planned (COS)]]</f>
        <v>2</v>
      </c>
      <c r="O146"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146" s="211">
        <f>IFERROR(IF(Tabelle13245689101112131415[[#This Row],[Status]]=$J$5,MIN(Tabelle13245689101112131415[[#This Row],[Jira Story Points]],Tabelle13245689101112131415[[#This Row],[Carry-over]]),0),0)</f>
        <v>0</v>
      </c>
      <c r="Q146" s="211">
        <f>IFERROR(IF(Tabelle13245689101112131415[[#This Row],[Status]]=$J$5,0,MIN(Tabelle13245689101112131415[[#This Row],[Jira Story Points]],Tabelle13245689101112131415[[#This Row],[Carry-over]])-Tabelle13245689101112131415[[#This Row],[SP Completed (COS &amp; SOS)]]),0)</f>
        <v>0</v>
      </c>
    </row>
    <row r="147" spans="1:17" ht="13.5" hidden="1" customHeight="1">
      <c r="A147" s="266" t="s">
        <v>1489</v>
      </c>
      <c r="B147" s="47" t="s">
        <v>1490</v>
      </c>
      <c r="C147" s="271" t="s">
        <v>382</v>
      </c>
      <c r="D147" s="271">
        <v>3</v>
      </c>
      <c r="E147" s="203" t="s">
        <v>324</v>
      </c>
      <c r="F147" s="271">
        <v>2</v>
      </c>
      <c r="G147" s="203" t="s">
        <v>9</v>
      </c>
      <c r="H147" s="205"/>
      <c r="I147" s="206"/>
      <c r="J147" s="203" t="s">
        <v>125</v>
      </c>
      <c r="K147" s="204"/>
      <c r="L147" s="204">
        <v>0</v>
      </c>
      <c r="M147" s="211">
        <f>IF(Tabelle13245689101112131415[[#This Row],[Pulled after Start]]="",MIN(Tabelle13245689101112131415[[#This Row],[Jira Story Points]],Tabelle13245689101112131415[[#This Row],[Carry-over]]),0)</f>
        <v>2</v>
      </c>
      <c r="N147" s="209">
        <f>MIN(Tabelle13245689101112131415[[#This Row],[Jira Story Points]],Tabelle13245689101112131415[[#This Row],[Carry-over]])-Tabelle13245689101112131415[[#This Row],[SP Initially Planned (COS)]]</f>
        <v>0</v>
      </c>
      <c r="O147"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147" s="211">
        <f>IFERROR(IF(Tabelle13245689101112131415[[#This Row],[Status]]=$J$5,MIN(Tabelle13245689101112131415[[#This Row],[Jira Story Points]],Tabelle13245689101112131415[[#This Row],[Carry-over]]),0),0)</f>
        <v>0</v>
      </c>
      <c r="Q147" s="211">
        <f>IFERROR(IF(Tabelle13245689101112131415[[#This Row],[Status]]=$J$5,0,MIN(Tabelle13245689101112131415[[#This Row],[Jira Story Points]],Tabelle13245689101112131415[[#This Row],[Carry-over]])-Tabelle13245689101112131415[[#This Row],[SP Completed (COS &amp; SOS)]]),0)</f>
        <v>0</v>
      </c>
    </row>
    <row r="148" spans="1:17" ht="13.5" hidden="1" customHeight="1">
      <c r="A148" s="270" t="s">
        <v>1491</v>
      </c>
      <c r="B148" s="47" t="s">
        <v>1492</v>
      </c>
      <c r="C148" s="271" t="s">
        <v>382</v>
      </c>
      <c r="D148" s="271">
        <v>3</v>
      </c>
      <c r="E148" s="203" t="s">
        <v>324</v>
      </c>
      <c r="F148" s="271">
        <v>2</v>
      </c>
      <c r="G148" s="203" t="s">
        <v>9</v>
      </c>
      <c r="H148" s="205" t="s">
        <v>209</v>
      </c>
      <c r="I148" s="206"/>
      <c r="J148" s="203" t="s">
        <v>125</v>
      </c>
      <c r="K148" s="204"/>
      <c r="L148" s="204">
        <v>0</v>
      </c>
      <c r="M148" s="211">
        <f>IF(Tabelle13245689101112131415[[#This Row],[Pulled after Start]]="",MIN(Tabelle13245689101112131415[[#This Row],[Jira Story Points]],Tabelle13245689101112131415[[#This Row],[Carry-over]]),0)</f>
        <v>0</v>
      </c>
      <c r="N148" s="209">
        <f>MIN(Tabelle13245689101112131415[[#This Row],[Jira Story Points]],Tabelle13245689101112131415[[#This Row],[Carry-over]])-Tabelle13245689101112131415[[#This Row],[SP Initially Planned (COS)]]</f>
        <v>2</v>
      </c>
      <c r="O148"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148" s="211">
        <f>IFERROR(IF(Tabelle13245689101112131415[[#This Row],[Status]]=$J$5,MIN(Tabelle13245689101112131415[[#This Row],[Jira Story Points]],Tabelle13245689101112131415[[#This Row],[Carry-over]]),0),0)</f>
        <v>0</v>
      </c>
      <c r="Q148" s="211">
        <f>IFERROR(IF(Tabelle13245689101112131415[[#This Row],[Status]]=$J$5,0,MIN(Tabelle13245689101112131415[[#This Row],[Jira Story Points]],Tabelle13245689101112131415[[#This Row],[Carry-over]])-Tabelle13245689101112131415[[#This Row],[SP Completed (COS &amp; SOS)]]),0)</f>
        <v>0</v>
      </c>
    </row>
    <row r="149" spans="1:17" ht="13.5" hidden="1" customHeight="1">
      <c r="A149" s="266" t="s">
        <v>1493</v>
      </c>
      <c r="B149" s="47" t="s">
        <v>1494</v>
      </c>
      <c r="C149" s="271" t="s">
        <v>372</v>
      </c>
      <c r="D149" s="271">
        <v>3</v>
      </c>
      <c r="E149" s="203" t="s">
        <v>324</v>
      </c>
      <c r="F149" s="271">
        <v>8</v>
      </c>
      <c r="G149" s="203" t="s">
        <v>9</v>
      </c>
      <c r="H149" s="205"/>
      <c r="I149" s="206"/>
      <c r="J149" s="203" t="s">
        <v>125</v>
      </c>
      <c r="K149" s="204" t="s">
        <v>931</v>
      </c>
      <c r="L149" s="204">
        <v>0</v>
      </c>
      <c r="M149" s="211">
        <f>IF(Tabelle13245689101112131415[[#This Row],[Pulled after Start]]="",MIN(Tabelle13245689101112131415[[#This Row],[Jira Story Points]],Tabelle13245689101112131415[[#This Row],[Carry-over]]),0)</f>
        <v>8</v>
      </c>
      <c r="N149" s="209">
        <f>MIN(Tabelle13245689101112131415[[#This Row],[Jira Story Points]],Tabelle13245689101112131415[[#This Row],[Carry-over]])-Tabelle13245689101112131415[[#This Row],[SP Initially Planned (COS)]]</f>
        <v>0</v>
      </c>
      <c r="O149" s="210" t="str">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v>
      </c>
      <c r="P149" s="211">
        <f>IFERROR(IF(Tabelle13245689101112131415[[#This Row],[Status]]=$J$5,MIN(Tabelle13245689101112131415[[#This Row],[Jira Story Points]],Tabelle13245689101112131415[[#This Row],[Carry-over]]),0),0)</f>
        <v>0</v>
      </c>
      <c r="Q149" s="211">
        <f>IFERROR(IF(Tabelle13245689101112131415[[#This Row],[Status]]=$J$5,0,MIN(Tabelle13245689101112131415[[#This Row],[Jira Story Points]],Tabelle13245689101112131415[[#This Row],[Carry-over]])-Tabelle13245689101112131415[[#This Row],[SP Completed (COS &amp; SOS)]]),0)</f>
        <v>0</v>
      </c>
    </row>
    <row r="150" spans="1:17" ht="13.5" hidden="1" customHeight="1">
      <c r="A150" s="270" t="s">
        <v>1495</v>
      </c>
      <c r="B150" s="47" t="s">
        <v>1496</v>
      </c>
      <c r="C150" s="271" t="s">
        <v>372</v>
      </c>
      <c r="D150" s="271">
        <v>3</v>
      </c>
      <c r="E150" s="203" t="s">
        <v>324</v>
      </c>
      <c r="F150" s="271">
        <v>3</v>
      </c>
      <c r="G150" s="203" t="s">
        <v>9</v>
      </c>
      <c r="H150" s="205"/>
      <c r="I150" s="206"/>
      <c r="J150" s="203" t="s">
        <v>125</v>
      </c>
      <c r="K150" s="204"/>
      <c r="L150" s="204">
        <v>0</v>
      </c>
      <c r="M150" s="211">
        <f>IF(Tabelle13245689101112131415[[#This Row],[Pulled after Start]]="",MIN(Tabelle13245689101112131415[[#This Row],[Jira Story Points]],Tabelle13245689101112131415[[#This Row],[Carry-over]]),0)</f>
        <v>3</v>
      </c>
      <c r="N150" s="209">
        <f>MIN(Tabelle13245689101112131415[[#This Row],[Jira Story Points]],Tabelle13245689101112131415[[#This Row],[Carry-over]])-Tabelle13245689101112131415[[#This Row],[SP Initially Planned (COS)]]</f>
        <v>0</v>
      </c>
      <c r="O150"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50" s="211">
        <f>IFERROR(IF(Tabelle13245689101112131415[[#This Row],[Status]]=$J$5,MIN(Tabelle13245689101112131415[[#This Row],[Jira Story Points]],Tabelle13245689101112131415[[#This Row],[Carry-over]]),0),0)</f>
        <v>0</v>
      </c>
      <c r="Q150" s="211">
        <f>IFERROR(IF(Tabelle13245689101112131415[[#This Row],[Status]]=$J$5,0,MIN(Tabelle13245689101112131415[[#This Row],[Jira Story Points]],Tabelle13245689101112131415[[#This Row],[Carry-over]])-Tabelle13245689101112131415[[#This Row],[SP Completed (COS &amp; SOS)]]),0)</f>
        <v>0</v>
      </c>
    </row>
    <row r="151" spans="1:17" ht="13.5" hidden="1" customHeight="1">
      <c r="A151" s="266" t="s">
        <v>1497</v>
      </c>
      <c r="B151" s="47" t="s">
        <v>1498</v>
      </c>
      <c r="C151" s="271" t="s">
        <v>372</v>
      </c>
      <c r="D151" s="271">
        <v>3</v>
      </c>
      <c r="E151" s="203" t="s">
        <v>324</v>
      </c>
      <c r="F151" s="271">
        <v>3</v>
      </c>
      <c r="G151" s="203" t="s">
        <v>9</v>
      </c>
      <c r="H151" s="205"/>
      <c r="I151" s="206"/>
      <c r="J151" s="203" t="s">
        <v>125</v>
      </c>
      <c r="K151" s="204"/>
      <c r="L151" s="204">
        <v>0</v>
      </c>
      <c r="M151" s="211">
        <f>IF(Tabelle13245689101112131415[[#This Row],[Pulled after Start]]="",MIN(Tabelle13245689101112131415[[#This Row],[Jira Story Points]],Tabelle13245689101112131415[[#This Row],[Carry-over]]),0)</f>
        <v>3</v>
      </c>
      <c r="N151" s="209">
        <f>MIN(Tabelle13245689101112131415[[#This Row],[Jira Story Points]],Tabelle13245689101112131415[[#This Row],[Carry-over]])-Tabelle13245689101112131415[[#This Row],[SP Initially Planned (COS)]]</f>
        <v>0</v>
      </c>
      <c r="O151"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3</v>
      </c>
      <c r="P151" s="211">
        <f>IFERROR(IF(Tabelle13245689101112131415[[#This Row],[Status]]=$J$5,MIN(Tabelle13245689101112131415[[#This Row],[Jira Story Points]],Tabelle13245689101112131415[[#This Row],[Carry-over]]),0),0)</f>
        <v>0</v>
      </c>
      <c r="Q151" s="211">
        <f>IFERROR(IF(Tabelle13245689101112131415[[#This Row],[Status]]=$J$5,0,MIN(Tabelle13245689101112131415[[#This Row],[Jira Story Points]],Tabelle13245689101112131415[[#This Row],[Carry-over]])-Tabelle13245689101112131415[[#This Row],[SP Completed (COS &amp; SOS)]]),0)</f>
        <v>0</v>
      </c>
    </row>
    <row r="152" spans="1:17" ht="13.5" hidden="1" customHeight="1">
      <c r="A152" s="270" t="s">
        <v>899</v>
      </c>
      <c r="B152" s="271" t="s">
        <v>900</v>
      </c>
      <c r="C152" s="271" t="s">
        <v>372</v>
      </c>
      <c r="D152" s="271">
        <v>3</v>
      </c>
      <c r="E152" s="203" t="s">
        <v>327</v>
      </c>
      <c r="F152" s="271">
        <v>5</v>
      </c>
      <c r="G152" s="203" t="s">
        <v>9</v>
      </c>
      <c r="H152" s="205"/>
      <c r="I152" s="272" t="s">
        <v>1499</v>
      </c>
      <c r="J152" s="203" t="s">
        <v>127</v>
      </c>
      <c r="K152" s="204">
        <v>1</v>
      </c>
      <c r="L152" s="204">
        <v>1</v>
      </c>
      <c r="M152" s="211">
        <f>IF(Tabelle13245689101112131415[[#This Row],[Pulled after Start]]="",MIN(Tabelle13245689101112131415[[#This Row],[Jira Story Points]],Tabelle13245689101112131415[[#This Row],[Carry-over]]),0)</f>
        <v>1</v>
      </c>
      <c r="N152" s="209">
        <f>MIN(Tabelle13245689101112131415[[#This Row],[Jira Story Points]],Tabelle13245689101112131415[[#This Row],[Carry-over]])-Tabelle13245689101112131415[[#This Row],[SP Initially Planned (COS)]]</f>
        <v>0</v>
      </c>
      <c r="O152"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52" s="211">
        <f>IFERROR(IF(Tabelle13245689101112131415[[#This Row],[Status]]=$J$5,MIN(Tabelle13245689101112131415[[#This Row],[Jira Story Points]],Tabelle13245689101112131415[[#This Row],[Carry-over]]),0),0)</f>
        <v>0</v>
      </c>
      <c r="Q152" s="211">
        <f>IFERROR(IF(Tabelle13245689101112131415[[#This Row],[Status]]=$J$5,0,MIN(Tabelle13245689101112131415[[#This Row],[Jira Story Points]],Tabelle13245689101112131415[[#This Row],[Carry-over]])-Tabelle13245689101112131415[[#This Row],[SP Completed (COS &amp; SOS)]]),0)</f>
        <v>1</v>
      </c>
    </row>
    <row r="153" spans="1:17" ht="13.5" hidden="1" customHeight="1">
      <c r="A153" s="266" t="s">
        <v>902</v>
      </c>
      <c r="B153" s="271" t="s">
        <v>903</v>
      </c>
      <c r="C153" s="271" t="s">
        <v>372</v>
      </c>
      <c r="D153" s="271">
        <v>3</v>
      </c>
      <c r="E153" s="203" t="s">
        <v>327</v>
      </c>
      <c r="F153" s="271">
        <v>8</v>
      </c>
      <c r="G153" s="203" t="s">
        <v>9</v>
      </c>
      <c r="H153" s="205"/>
      <c r="I153" s="272" t="s">
        <v>1500</v>
      </c>
      <c r="J153" s="203" t="s">
        <v>127</v>
      </c>
      <c r="K153" s="204">
        <v>1</v>
      </c>
      <c r="L153" s="204">
        <v>0</v>
      </c>
      <c r="M153" s="211">
        <f>IF(Tabelle13245689101112131415[[#This Row],[Pulled after Start]]="",MIN(Tabelle13245689101112131415[[#This Row],[Jira Story Points]],Tabelle13245689101112131415[[#This Row],[Carry-over]]),0)</f>
        <v>1</v>
      </c>
      <c r="N153" s="209">
        <f>MIN(Tabelle13245689101112131415[[#This Row],[Jira Story Points]],Tabelle13245689101112131415[[#This Row],[Carry-over]])-Tabelle13245689101112131415[[#This Row],[SP Initially Planned (COS)]]</f>
        <v>0</v>
      </c>
      <c r="O153"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1</v>
      </c>
      <c r="P153" s="211">
        <f>IFERROR(IF(Tabelle13245689101112131415[[#This Row],[Status]]=$J$5,MIN(Tabelle13245689101112131415[[#This Row],[Jira Story Points]],Tabelle13245689101112131415[[#This Row],[Carry-over]]),0),0)</f>
        <v>0</v>
      </c>
      <c r="Q153" s="211">
        <f>IFERROR(IF(Tabelle13245689101112131415[[#This Row],[Status]]=$J$5,0,MIN(Tabelle13245689101112131415[[#This Row],[Jira Story Points]],Tabelle13245689101112131415[[#This Row],[Carry-over]])-Tabelle13245689101112131415[[#This Row],[SP Completed (COS &amp; SOS)]]),0)</f>
        <v>0</v>
      </c>
    </row>
    <row r="154" spans="1:17" ht="13.5" hidden="1" customHeight="1">
      <c r="A154" s="270" t="s">
        <v>1501</v>
      </c>
      <c r="B154" s="271" t="s">
        <v>1246</v>
      </c>
      <c r="C154" s="271" t="s">
        <v>372</v>
      </c>
      <c r="D154" s="271">
        <v>3</v>
      </c>
      <c r="E154" s="203" t="s">
        <v>327</v>
      </c>
      <c r="F154" s="271">
        <v>0</v>
      </c>
      <c r="G154" s="203" t="s">
        <v>9</v>
      </c>
      <c r="H154" s="205"/>
      <c r="I154" s="206"/>
      <c r="J154" s="203" t="s">
        <v>127</v>
      </c>
      <c r="K154" s="204"/>
      <c r="L154" s="204">
        <v>0</v>
      </c>
      <c r="M154" s="211">
        <f>IF(Tabelle13245689101112131415[[#This Row],[Pulled after Start]]="",MIN(Tabelle13245689101112131415[[#This Row],[Jira Story Points]],Tabelle13245689101112131415[[#This Row],[Carry-over]]),0)</f>
        <v>0</v>
      </c>
      <c r="N154" s="209">
        <f>MIN(Tabelle13245689101112131415[[#This Row],[Jira Story Points]],Tabelle13245689101112131415[[#This Row],[Carry-over]])-Tabelle13245689101112131415[[#This Row],[SP Initially Planned (COS)]]</f>
        <v>0</v>
      </c>
      <c r="O154"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54" s="211">
        <f>IFERROR(IF(Tabelle13245689101112131415[[#This Row],[Status]]=$J$5,MIN(Tabelle13245689101112131415[[#This Row],[Jira Story Points]],Tabelle13245689101112131415[[#This Row],[Carry-over]]),0),0)</f>
        <v>0</v>
      </c>
      <c r="Q154" s="211">
        <f>IFERROR(IF(Tabelle13245689101112131415[[#This Row],[Status]]=$J$5,0,MIN(Tabelle13245689101112131415[[#This Row],[Jira Story Points]],Tabelle13245689101112131415[[#This Row],[Carry-over]])-Tabelle13245689101112131415[[#This Row],[SP Completed (COS &amp; SOS)]]),0)</f>
        <v>0</v>
      </c>
    </row>
    <row r="155" spans="1:17" ht="13.5" hidden="1" customHeight="1">
      <c r="A155" s="273" t="s">
        <v>1502</v>
      </c>
      <c r="B155" s="271" t="s">
        <v>1219</v>
      </c>
      <c r="C155" s="271" t="s">
        <v>382</v>
      </c>
      <c r="D155" s="271">
        <v>3</v>
      </c>
      <c r="E155" s="203" t="s">
        <v>324</v>
      </c>
      <c r="F155" s="271">
        <v>5</v>
      </c>
      <c r="G155" s="203" t="s">
        <v>9</v>
      </c>
      <c r="H155" s="205" t="s">
        <v>209</v>
      </c>
      <c r="I155" s="206"/>
      <c r="J155" s="203" t="s">
        <v>127</v>
      </c>
      <c r="K155" s="204"/>
      <c r="L155" s="204">
        <v>1</v>
      </c>
      <c r="M155" s="211">
        <f>IF(Tabelle13245689101112131415[[#This Row],[Pulled after Start]]="",MIN(Tabelle13245689101112131415[[#This Row],[Jira Story Points]],Tabelle13245689101112131415[[#This Row],[Carry-over]]),0)</f>
        <v>0</v>
      </c>
      <c r="N155" s="209">
        <f>MIN(Tabelle13245689101112131415[[#This Row],[Jira Story Points]],Tabelle13245689101112131415[[#This Row],[Carry-over]])-Tabelle13245689101112131415[[#This Row],[SP Initially Planned (COS)]]</f>
        <v>5</v>
      </c>
      <c r="O155"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4</v>
      </c>
      <c r="P155" s="211">
        <f>IFERROR(IF(Tabelle13245689101112131415[[#This Row],[Status]]=$J$5,MIN(Tabelle13245689101112131415[[#This Row],[Jira Story Points]],Tabelle13245689101112131415[[#This Row],[Carry-over]]),0),0)</f>
        <v>0</v>
      </c>
      <c r="Q155" s="211">
        <f>IFERROR(IF(Tabelle13245689101112131415[[#This Row],[Status]]=$J$5,0,MIN(Tabelle13245689101112131415[[#This Row],[Jira Story Points]],Tabelle13245689101112131415[[#This Row],[Carry-over]])-Tabelle13245689101112131415[[#This Row],[SP Completed (COS &amp; SOS)]]),0)</f>
        <v>1</v>
      </c>
    </row>
    <row r="156" spans="1:17" ht="13.5" hidden="1" customHeight="1">
      <c r="A156" s="270" t="s">
        <v>1224</v>
      </c>
      <c r="B156" s="271" t="s">
        <v>1225</v>
      </c>
      <c r="C156" s="271" t="s">
        <v>382</v>
      </c>
      <c r="D156" s="271">
        <v>3</v>
      </c>
      <c r="E156" s="203" t="s">
        <v>327</v>
      </c>
      <c r="F156" s="271">
        <v>13</v>
      </c>
      <c r="G156" s="203" t="s">
        <v>9</v>
      </c>
      <c r="H156" s="205"/>
      <c r="I156" s="206" t="s">
        <v>1503</v>
      </c>
      <c r="J156" s="203" t="s">
        <v>127</v>
      </c>
      <c r="K156" s="204">
        <v>7</v>
      </c>
      <c r="L156" s="204">
        <v>5</v>
      </c>
      <c r="M156" s="211">
        <f>IF(Tabelle13245689101112131415[[#This Row],[Pulled after Start]]="",MIN(Tabelle13245689101112131415[[#This Row],[Jira Story Points]],Tabelle13245689101112131415[[#This Row],[Carry-over]]),0)</f>
        <v>7</v>
      </c>
      <c r="N156" s="209">
        <f>MIN(Tabelle13245689101112131415[[#This Row],[Jira Story Points]],Tabelle13245689101112131415[[#This Row],[Carry-over]])-Tabelle13245689101112131415[[#This Row],[SP Initially Planned (COS)]]</f>
        <v>0</v>
      </c>
      <c r="O156"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2</v>
      </c>
      <c r="P156" s="211">
        <f>IFERROR(IF(Tabelle13245689101112131415[[#This Row],[Status]]=$J$5,MIN(Tabelle13245689101112131415[[#This Row],[Jira Story Points]],Tabelle13245689101112131415[[#This Row],[Carry-over]]),0),0)</f>
        <v>0</v>
      </c>
      <c r="Q156" s="211">
        <f>IFERROR(IF(Tabelle13245689101112131415[[#This Row],[Status]]=$J$5,0,MIN(Tabelle13245689101112131415[[#This Row],[Jira Story Points]],Tabelle13245689101112131415[[#This Row],[Carry-over]])-Tabelle13245689101112131415[[#This Row],[SP Completed (COS &amp; SOS)]]),0)</f>
        <v>5</v>
      </c>
    </row>
    <row r="157" spans="1:17" ht="13.5" hidden="1" customHeight="1">
      <c r="A157" s="266" t="s">
        <v>1504</v>
      </c>
      <c r="B157" s="271" t="s">
        <v>1211</v>
      </c>
      <c r="C157" s="271" t="s">
        <v>372</v>
      </c>
      <c r="D157" s="271">
        <v>3</v>
      </c>
      <c r="E157" s="203" t="s">
        <v>327</v>
      </c>
      <c r="F157" s="204">
        <v>2</v>
      </c>
      <c r="G157" s="203" t="s">
        <v>9</v>
      </c>
      <c r="H157" s="205" t="s">
        <v>209</v>
      </c>
      <c r="I157" s="206"/>
      <c r="J157" s="203" t="s">
        <v>127</v>
      </c>
      <c r="K157" s="204"/>
      <c r="L157" s="204" t="s">
        <v>931</v>
      </c>
      <c r="M157" s="211">
        <f>IF(Tabelle13245689101112131415[[#This Row],[Pulled after Start]]="",MIN(Tabelle13245689101112131415[[#This Row],[Jira Story Points]],Tabelle13245689101112131415[[#This Row],[Carry-over]]),0)</f>
        <v>0</v>
      </c>
      <c r="N157" s="209">
        <f>MIN(Tabelle13245689101112131415[[#This Row],[Jira Story Points]],Tabelle13245689101112131415[[#This Row],[Carry-over]])-Tabelle13245689101112131415[[#This Row],[SP Initially Planned (COS)]]</f>
        <v>2</v>
      </c>
      <c r="O157" s="210" t="str">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v>
      </c>
      <c r="P157" s="211">
        <f>IFERROR(IF(Tabelle13245689101112131415[[#This Row],[Status]]=$J$5,MIN(Tabelle13245689101112131415[[#This Row],[Jira Story Points]],Tabelle13245689101112131415[[#This Row],[Carry-over]]),0),0)</f>
        <v>0</v>
      </c>
      <c r="Q157" s="211">
        <f>IFERROR(IF(Tabelle13245689101112131415[[#This Row],[Status]]=$J$5,0,MIN(Tabelle13245689101112131415[[#This Row],[Jira Story Points]],Tabelle13245689101112131415[[#This Row],[Carry-over]])-Tabelle13245689101112131415[[#This Row],[SP Completed (COS &amp; SOS)]]),0)</f>
        <v>0</v>
      </c>
    </row>
    <row r="158" spans="1:17" ht="13.5" hidden="1" customHeight="1">
      <c r="A158" s="268"/>
      <c r="B158" s="47"/>
      <c r="C158" s="203"/>
      <c r="D158" s="203"/>
      <c r="E158" s="203"/>
      <c r="F158" s="204"/>
      <c r="G158" s="203"/>
      <c r="H158" s="205"/>
      <c r="I158" s="206"/>
      <c r="J158" s="203"/>
      <c r="K158" s="204"/>
      <c r="L158" s="204"/>
      <c r="M158" s="211">
        <f>IF(Tabelle13245689101112131415[[#This Row],[Pulled after Start]]="",MIN(Tabelle13245689101112131415[[#This Row],[Jira Story Points]],Tabelle13245689101112131415[[#This Row],[Carry-over]]),0)</f>
        <v>0</v>
      </c>
      <c r="N158" s="209">
        <f>MIN(Tabelle13245689101112131415[[#This Row],[Jira Story Points]],Tabelle13245689101112131415[[#This Row],[Carry-over]])-Tabelle13245689101112131415[[#This Row],[SP Initially Planned (COS)]]</f>
        <v>0</v>
      </c>
      <c r="O158"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58" s="211">
        <f>IFERROR(IF(Tabelle13245689101112131415[[#This Row],[Status]]=$J$5,MIN(Tabelle13245689101112131415[[#This Row],[Jira Story Points]],Tabelle13245689101112131415[[#This Row],[Carry-over]]),0),0)</f>
        <v>0</v>
      </c>
      <c r="Q158" s="211">
        <f>IFERROR(IF(Tabelle13245689101112131415[[#This Row],[Status]]=$J$5,0,MIN(Tabelle13245689101112131415[[#This Row],[Jira Story Points]],Tabelle13245689101112131415[[#This Row],[Carry-over]])-Tabelle13245689101112131415[[#This Row],[SP Completed (COS &amp; SOS)]]),0)</f>
        <v>0</v>
      </c>
    </row>
    <row r="159" spans="1:17" ht="13.5" hidden="1" customHeight="1">
      <c r="A159" s="268"/>
      <c r="B159" s="47"/>
      <c r="C159" s="203"/>
      <c r="D159" s="203"/>
      <c r="E159" s="203"/>
      <c r="F159" s="204"/>
      <c r="G159" s="203"/>
      <c r="H159" s="205"/>
      <c r="I159" s="206"/>
      <c r="J159" s="203"/>
      <c r="K159" s="204"/>
      <c r="L159" s="204"/>
      <c r="M159" s="211">
        <f>IF(Tabelle13245689101112131415[[#This Row],[Pulled after Start]]="",MIN(Tabelle13245689101112131415[[#This Row],[Jira Story Points]],Tabelle13245689101112131415[[#This Row],[Carry-over]]),0)</f>
        <v>0</v>
      </c>
      <c r="N159" s="209">
        <f>MIN(Tabelle13245689101112131415[[#This Row],[Jira Story Points]],Tabelle13245689101112131415[[#This Row],[Carry-over]])-Tabelle13245689101112131415[[#This Row],[SP Initially Planned (COS)]]</f>
        <v>0</v>
      </c>
      <c r="O159"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59" s="211">
        <f>IFERROR(IF(Tabelle13245689101112131415[[#This Row],[Status]]=$J$5,MIN(Tabelle13245689101112131415[[#This Row],[Jira Story Points]],Tabelle13245689101112131415[[#This Row],[Carry-over]]),0),0)</f>
        <v>0</v>
      </c>
      <c r="Q159" s="211">
        <f>IFERROR(IF(Tabelle13245689101112131415[[#This Row],[Status]]=$J$5,0,MIN(Tabelle13245689101112131415[[#This Row],[Jira Story Points]],Tabelle13245689101112131415[[#This Row],[Carry-over]])-Tabelle13245689101112131415[[#This Row],[SP Completed (COS &amp; SOS)]]),0)</f>
        <v>0</v>
      </c>
    </row>
    <row r="160" spans="1:17" ht="13.5" hidden="1" customHeight="1">
      <c r="A160" s="268"/>
      <c r="B160" s="47"/>
      <c r="C160" s="203"/>
      <c r="D160" s="203"/>
      <c r="E160" s="203"/>
      <c r="F160" s="204"/>
      <c r="G160" s="203"/>
      <c r="H160" s="205"/>
      <c r="I160" s="206"/>
      <c r="J160" s="203"/>
      <c r="K160" s="204"/>
      <c r="L160" s="204"/>
      <c r="M160" s="211">
        <f>IF(Tabelle13245689101112131415[[#This Row],[Pulled after Start]]="",MIN(Tabelle13245689101112131415[[#This Row],[Jira Story Points]],Tabelle13245689101112131415[[#This Row],[Carry-over]]),0)</f>
        <v>0</v>
      </c>
      <c r="N160" s="209">
        <f>MIN(Tabelle13245689101112131415[[#This Row],[Jira Story Points]],Tabelle13245689101112131415[[#This Row],[Carry-over]])-Tabelle13245689101112131415[[#This Row],[SP Initially Planned (COS)]]</f>
        <v>0</v>
      </c>
      <c r="O160"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60" s="211">
        <f>IFERROR(IF(Tabelle13245689101112131415[[#This Row],[Status]]=$J$5,MIN(Tabelle13245689101112131415[[#This Row],[Jira Story Points]],Tabelle13245689101112131415[[#This Row],[Carry-over]]),0),0)</f>
        <v>0</v>
      </c>
      <c r="Q160" s="211">
        <f>IFERROR(IF(Tabelle13245689101112131415[[#This Row],[Status]]=$J$5,0,MIN(Tabelle13245689101112131415[[#This Row],[Jira Story Points]],Tabelle13245689101112131415[[#This Row],[Carry-over]])-Tabelle13245689101112131415[[#This Row],[SP Completed (COS &amp; SOS)]]),0)</f>
        <v>0</v>
      </c>
    </row>
    <row r="161" spans="1:17" ht="13.5" hidden="1" customHeight="1">
      <c r="A161" s="268"/>
      <c r="B161" s="47"/>
      <c r="C161" s="203"/>
      <c r="D161" s="203"/>
      <c r="E161" s="203"/>
      <c r="F161" s="204"/>
      <c r="G161" s="203"/>
      <c r="H161" s="205"/>
      <c r="I161" s="206"/>
      <c r="J161" s="203"/>
      <c r="K161" s="204"/>
      <c r="L161" s="204"/>
      <c r="M161" s="211">
        <f>IF(Tabelle13245689101112131415[[#This Row],[Pulled after Start]]="",MIN(Tabelle13245689101112131415[[#This Row],[Jira Story Points]],Tabelle13245689101112131415[[#This Row],[Carry-over]]),0)</f>
        <v>0</v>
      </c>
      <c r="N161" s="209">
        <f>MIN(Tabelle13245689101112131415[[#This Row],[Jira Story Points]],Tabelle13245689101112131415[[#This Row],[Carry-over]])-Tabelle13245689101112131415[[#This Row],[SP Initially Planned (COS)]]</f>
        <v>0</v>
      </c>
      <c r="O161"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61" s="211">
        <f>IFERROR(IF(Tabelle13245689101112131415[[#This Row],[Status]]=$J$5,MIN(Tabelle13245689101112131415[[#This Row],[Jira Story Points]],Tabelle13245689101112131415[[#This Row],[Carry-over]]),0),0)</f>
        <v>0</v>
      </c>
      <c r="Q161" s="211">
        <f>IFERROR(IF(Tabelle13245689101112131415[[#This Row],[Status]]=$J$5,0,MIN(Tabelle13245689101112131415[[#This Row],[Jira Story Points]],Tabelle13245689101112131415[[#This Row],[Carry-over]])-Tabelle13245689101112131415[[#This Row],[SP Completed (COS &amp; SOS)]]),0)</f>
        <v>0</v>
      </c>
    </row>
    <row r="162" spans="1:17" ht="13.5" hidden="1" customHeight="1">
      <c r="A162" s="268"/>
      <c r="B162" s="47"/>
      <c r="C162" s="203"/>
      <c r="D162" s="203"/>
      <c r="E162" s="203"/>
      <c r="F162" s="204"/>
      <c r="G162" s="203"/>
      <c r="H162" s="205"/>
      <c r="I162" s="206"/>
      <c r="J162" s="203"/>
      <c r="K162" s="204"/>
      <c r="L162" s="204"/>
      <c r="M162" s="211">
        <f>IF(Tabelle13245689101112131415[[#This Row],[Pulled after Start]]="",MIN(Tabelle13245689101112131415[[#This Row],[Jira Story Points]],Tabelle13245689101112131415[[#This Row],[Carry-over]]),0)</f>
        <v>0</v>
      </c>
      <c r="N162" s="209">
        <f>MIN(Tabelle13245689101112131415[[#This Row],[Jira Story Points]],Tabelle13245689101112131415[[#This Row],[Carry-over]])-Tabelle13245689101112131415[[#This Row],[SP Initially Planned (COS)]]</f>
        <v>0</v>
      </c>
      <c r="O162"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62" s="211">
        <f>IFERROR(IF(Tabelle13245689101112131415[[#This Row],[Status]]=$J$5,MIN(Tabelle13245689101112131415[[#This Row],[Jira Story Points]],Tabelle13245689101112131415[[#This Row],[Carry-over]]),0),0)</f>
        <v>0</v>
      </c>
      <c r="Q162" s="211">
        <f>IFERROR(IF(Tabelle13245689101112131415[[#This Row],[Status]]=$J$5,0,MIN(Tabelle13245689101112131415[[#This Row],[Jira Story Points]],Tabelle13245689101112131415[[#This Row],[Carry-over]])-Tabelle13245689101112131415[[#This Row],[SP Completed (COS &amp; SOS)]]),0)</f>
        <v>0</v>
      </c>
    </row>
    <row r="163" spans="1:17" ht="13.5" hidden="1" customHeight="1">
      <c r="A163" s="268"/>
      <c r="B163" s="47"/>
      <c r="C163" s="203"/>
      <c r="D163" s="203"/>
      <c r="E163" s="203"/>
      <c r="F163" s="204"/>
      <c r="G163" s="203"/>
      <c r="H163" s="205"/>
      <c r="I163" s="206"/>
      <c r="J163" s="203"/>
      <c r="K163" s="204"/>
      <c r="L163" s="204"/>
      <c r="M163" s="211">
        <f>IF(Tabelle13245689101112131415[[#This Row],[Pulled after Start]]="",MIN(Tabelle13245689101112131415[[#This Row],[Jira Story Points]],Tabelle13245689101112131415[[#This Row],[Carry-over]]),0)</f>
        <v>0</v>
      </c>
      <c r="N163" s="209">
        <f>MIN(Tabelle13245689101112131415[[#This Row],[Jira Story Points]],Tabelle13245689101112131415[[#This Row],[Carry-over]])-Tabelle13245689101112131415[[#This Row],[SP Initially Planned (COS)]]</f>
        <v>0</v>
      </c>
      <c r="O163"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63" s="211">
        <f>IFERROR(IF(Tabelle13245689101112131415[[#This Row],[Status]]=$J$5,MIN(Tabelle13245689101112131415[[#This Row],[Jira Story Points]],Tabelle13245689101112131415[[#This Row],[Carry-over]]),0),0)</f>
        <v>0</v>
      </c>
      <c r="Q163" s="211">
        <f>IFERROR(IF(Tabelle13245689101112131415[[#This Row],[Status]]=$J$5,0,MIN(Tabelle13245689101112131415[[#This Row],[Jira Story Points]],Tabelle13245689101112131415[[#This Row],[Carry-over]])-Tabelle13245689101112131415[[#This Row],[SP Completed (COS &amp; SOS)]]),0)</f>
        <v>0</v>
      </c>
    </row>
    <row r="164" spans="1:17" ht="13.5" hidden="1" customHeight="1">
      <c r="A164" s="268"/>
      <c r="B164" s="47"/>
      <c r="C164" s="203"/>
      <c r="D164" s="203"/>
      <c r="E164" s="203"/>
      <c r="F164" s="204"/>
      <c r="G164" s="203"/>
      <c r="H164" s="205"/>
      <c r="I164" s="206"/>
      <c r="J164" s="203"/>
      <c r="K164" s="204"/>
      <c r="L164" s="204"/>
      <c r="M164" s="211">
        <f>IF(Tabelle13245689101112131415[[#This Row],[Pulled after Start]]="",MIN(Tabelle13245689101112131415[[#This Row],[Jira Story Points]],Tabelle13245689101112131415[[#This Row],[Carry-over]]),0)</f>
        <v>0</v>
      </c>
      <c r="N164" s="209">
        <f>MIN(Tabelle13245689101112131415[[#This Row],[Jira Story Points]],Tabelle13245689101112131415[[#This Row],[Carry-over]])-Tabelle13245689101112131415[[#This Row],[SP Initially Planned (COS)]]</f>
        <v>0</v>
      </c>
      <c r="O164"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64" s="211">
        <f>IFERROR(IF(Tabelle13245689101112131415[[#This Row],[Status]]=$J$5,MIN(Tabelle13245689101112131415[[#This Row],[Jira Story Points]],Tabelle13245689101112131415[[#This Row],[Carry-over]]),0),0)</f>
        <v>0</v>
      </c>
      <c r="Q164" s="211">
        <f>IFERROR(IF(Tabelle13245689101112131415[[#This Row],[Status]]=$J$5,0,MIN(Tabelle13245689101112131415[[#This Row],[Jira Story Points]],Tabelle13245689101112131415[[#This Row],[Carry-over]])-Tabelle13245689101112131415[[#This Row],[SP Completed (COS &amp; SOS)]]),0)</f>
        <v>0</v>
      </c>
    </row>
    <row r="165" spans="1:17" ht="13.5" hidden="1" customHeight="1">
      <c r="A165" s="268"/>
      <c r="B165" s="47"/>
      <c r="C165" s="203"/>
      <c r="D165" s="203"/>
      <c r="E165" s="203"/>
      <c r="F165" s="204"/>
      <c r="G165" s="203"/>
      <c r="H165" s="205"/>
      <c r="I165" s="206"/>
      <c r="J165" s="203"/>
      <c r="K165" s="204"/>
      <c r="L165" s="204"/>
      <c r="M165" s="211">
        <f>IF(Tabelle13245689101112131415[[#This Row],[Pulled after Start]]="",MIN(Tabelle13245689101112131415[[#This Row],[Jira Story Points]],Tabelle13245689101112131415[[#This Row],[Carry-over]]),0)</f>
        <v>0</v>
      </c>
      <c r="N165" s="209">
        <f>MIN(Tabelle13245689101112131415[[#This Row],[Jira Story Points]],Tabelle13245689101112131415[[#This Row],[Carry-over]])-Tabelle13245689101112131415[[#This Row],[SP Initially Planned (COS)]]</f>
        <v>0</v>
      </c>
      <c r="O165"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65" s="211">
        <f>IFERROR(IF(Tabelle13245689101112131415[[#This Row],[Status]]=$J$5,MIN(Tabelle13245689101112131415[[#This Row],[Jira Story Points]],Tabelle13245689101112131415[[#This Row],[Carry-over]]),0),0)</f>
        <v>0</v>
      </c>
      <c r="Q165" s="211">
        <f>IFERROR(IF(Tabelle13245689101112131415[[#This Row],[Status]]=$J$5,0,MIN(Tabelle13245689101112131415[[#This Row],[Jira Story Points]],Tabelle13245689101112131415[[#This Row],[Carry-over]])-Tabelle13245689101112131415[[#This Row],[SP Completed (COS &amp; SOS)]]),0)</f>
        <v>0</v>
      </c>
    </row>
    <row r="166" spans="1:17" ht="13.5" hidden="1" customHeight="1">
      <c r="A166" s="268"/>
      <c r="B166" s="47"/>
      <c r="C166" s="203"/>
      <c r="D166" s="203"/>
      <c r="E166" s="203"/>
      <c r="F166" s="204"/>
      <c r="G166" s="203"/>
      <c r="H166" s="205"/>
      <c r="I166" s="206"/>
      <c r="J166" s="203"/>
      <c r="K166" s="204"/>
      <c r="L166" s="204"/>
      <c r="M166" s="211">
        <f>IF(Tabelle13245689101112131415[[#This Row],[Pulled after Start]]="",MIN(Tabelle13245689101112131415[[#This Row],[Jira Story Points]],Tabelle13245689101112131415[[#This Row],[Carry-over]]),0)</f>
        <v>0</v>
      </c>
      <c r="N166" s="209">
        <f>MIN(Tabelle13245689101112131415[[#This Row],[Jira Story Points]],Tabelle13245689101112131415[[#This Row],[Carry-over]])-Tabelle13245689101112131415[[#This Row],[SP Initially Planned (COS)]]</f>
        <v>0</v>
      </c>
      <c r="O166"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66" s="211">
        <f>IFERROR(IF(Tabelle13245689101112131415[[#This Row],[Status]]=$J$5,MIN(Tabelle13245689101112131415[[#This Row],[Jira Story Points]],Tabelle13245689101112131415[[#This Row],[Carry-over]]),0),0)</f>
        <v>0</v>
      </c>
      <c r="Q166" s="211">
        <f>IFERROR(IF(Tabelle13245689101112131415[[#This Row],[Status]]=$J$5,0,MIN(Tabelle13245689101112131415[[#This Row],[Jira Story Points]],Tabelle13245689101112131415[[#This Row],[Carry-over]])-Tabelle13245689101112131415[[#This Row],[SP Completed (COS &amp; SOS)]]),0)</f>
        <v>0</v>
      </c>
    </row>
    <row r="167" spans="1:17" ht="13.5" hidden="1" customHeight="1">
      <c r="A167" s="268"/>
      <c r="B167" s="47"/>
      <c r="C167" s="203"/>
      <c r="D167" s="203"/>
      <c r="E167" s="203"/>
      <c r="F167" s="204"/>
      <c r="G167" s="203"/>
      <c r="H167" s="205"/>
      <c r="I167" s="206"/>
      <c r="J167" s="203"/>
      <c r="K167" s="204"/>
      <c r="L167" s="204"/>
      <c r="M167" s="211">
        <f>IF(Tabelle13245689101112131415[[#This Row],[Pulled after Start]]="",MIN(Tabelle13245689101112131415[[#This Row],[Jira Story Points]],Tabelle13245689101112131415[[#This Row],[Carry-over]]),0)</f>
        <v>0</v>
      </c>
      <c r="N167" s="209">
        <f>MIN(Tabelle13245689101112131415[[#This Row],[Jira Story Points]],Tabelle13245689101112131415[[#This Row],[Carry-over]])-Tabelle13245689101112131415[[#This Row],[SP Initially Planned (COS)]]</f>
        <v>0</v>
      </c>
      <c r="O167"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67" s="211">
        <f>IFERROR(IF(Tabelle13245689101112131415[[#This Row],[Status]]=$J$5,MIN(Tabelle13245689101112131415[[#This Row],[Jira Story Points]],Tabelle13245689101112131415[[#This Row],[Carry-over]]),0),0)</f>
        <v>0</v>
      </c>
      <c r="Q167" s="211">
        <f>IFERROR(IF(Tabelle13245689101112131415[[#This Row],[Status]]=$J$5,0,MIN(Tabelle13245689101112131415[[#This Row],[Jira Story Points]],Tabelle13245689101112131415[[#This Row],[Carry-over]])-Tabelle13245689101112131415[[#This Row],[SP Completed (COS &amp; SOS)]]),0)</f>
        <v>0</v>
      </c>
    </row>
    <row r="168" spans="1:17" ht="13.5" hidden="1" customHeight="1">
      <c r="A168" s="268"/>
      <c r="B168" s="47"/>
      <c r="C168" s="203"/>
      <c r="D168" s="203"/>
      <c r="E168" s="203"/>
      <c r="F168" s="204"/>
      <c r="G168" s="203"/>
      <c r="H168" s="205"/>
      <c r="I168" s="206"/>
      <c r="J168" s="203"/>
      <c r="K168" s="204"/>
      <c r="L168" s="204"/>
      <c r="M168" s="211">
        <f>IF(Tabelle13245689101112131415[[#This Row],[Pulled after Start]]="",MIN(Tabelle13245689101112131415[[#This Row],[Jira Story Points]],Tabelle13245689101112131415[[#This Row],[Carry-over]]),0)</f>
        <v>0</v>
      </c>
      <c r="N168" s="209">
        <f>MIN(Tabelle13245689101112131415[[#This Row],[Jira Story Points]],Tabelle13245689101112131415[[#This Row],[Carry-over]])-Tabelle13245689101112131415[[#This Row],[SP Initially Planned (COS)]]</f>
        <v>0</v>
      </c>
      <c r="O168"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68" s="211">
        <f>IFERROR(IF(Tabelle13245689101112131415[[#This Row],[Status]]=$J$5,MIN(Tabelle13245689101112131415[[#This Row],[Jira Story Points]],Tabelle13245689101112131415[[#This Row],[Carry-over]]),0),0)</f>
        <v>0</v>
      </c>
      <c r="Q168" s="211">
        <f>IFERROR(IF(Tabelle13245689101112131415[[#This Row],[Status]]=$J$5,0,MIN(Tabelle13245689101112131415[[#This Row],[Jira Story Points]],Tabelle13245689101112131415[[#This Row],[Carry-over]])-Tabelle13245689101112131415[[#This Row],[SP Completed (COS &amp; SOS)]]),0)</f>
        <v>0</v>
      </c>
    </row>
    <row r="169" spans="1:17" ht="13.5" hidden="1" customHeight="1">
      <c r="A169" s="268"/>
      <c r="B169" s="47"/>
      <c r="C169" s="203"/>
      <c r="D169" s="203"/>
      <c r="E169" s="203"/>
      <c r="F169" s="204"/>
      <c r="G169" s="203"/>
      <c r="H169" s="205"/>
      <c r="I169" s="206"/>
      <c r="J169" s="203"/>
      <c r="K169" s="204"/>
      <c r="L169" s="204"/>
      <c r="M169" s="211">
        <f>IF(Tabelle13245689101112131415[[#This Row],[Pulled after Start]]="",MIN(Tabelle13245689101112131415[[#This Row],[Jira Story Points]],Tabelle13245689101112131415[[#This Row],[Carry-over]]),0)</f>
        <v>0</v>
      </c>
      <c r="N169" s="209">
        <f>MIN(Tabelle13245689101112131415[[#This Row],[Jira Story Points]],Tabelle13245689101112131415[[#This Row],[Carry-over]])-Tabelle13245689101112131415[[#This Row],[SP Initially Planned (COS)]]</f>
        <v>0</v>
      </c>
      <c r="O169"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69" s="211">
        <f>IFERROR(IF(Tabelle13245689101112131415[[#This Row],[Status]]=$J$5,MIN(Tabelle13245689101112131415[[#This Row],[Jira Story Points]],Tabelle13245689101112131415[[#This Row],[Carry-over]]),0),0)</f>
        <v>0</v>
      </c>
      <c r="Q169" s="211">
        <f>IFERROR(IF(Tabelle13245689101112131415[[#This Row],[Status]]=$J$5,0,MIN(Tabelle13245689101112131415[[#This Row],[Jira Story Points]],Tabelle13245689101112131415[[#This Row],[Carry-over]])-Tabelle13245689101112131415[[#This Row],[SP Completed (COS &amp; SOS)]]),0)</f>
        <v>0</v>
      </c>
    </row>
    <row r="170" spans="1:17" ht="13.5" hidden="1" customHeight="1">
      <c r="A170" s="268"/>
      <c r="B170" s="47"/>
      <c r="C170" s="203"/>
      <c r="D170" s="203"/>
      <c r="E170" s="203"/>
      <c r="F170" s="204"/>
      <c r="G170" s="203"/>
      <c r="H170" s="205"/>
      <c r="I170" s="206"/>
      <c r="J170" s="203"/>
      <c r="K170" s="204"/>
      <c r="L170" s="204"/>
      <c r="M170" s="211">
        <f>IF(Tabelle13245689101112131415[[#This Row],[Pulled after Start]]="",MIN(Tabelle13245689101112131415[[#This Row],[Jira Story Points]],Tabelle13245689101112131415[[#This Row],[Carry-over]]),0)</f>
        <v>0</v>
      </c>
      <c r="N170" s="209">
        <f>MIN(Tabelle13245689101112131415[[#This Row],[Jira Story Points]],Tabelle13245689101112131415[[#This Row],[Carry-over]])-Tabelle13245689101112131415[[#This Row],[SP Initially Planned (COS)]]</f>
        <v>0</v>
      </c>
      <c r="O170"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70" s="211">
        <f>IFERROR(IF(Tabelle13245689101112131415[[#This Row],[Status]]=$J$5,MIN(Tabelle13245689101112131415[[#This Row],[Jira Story Points]],Tabelle13245689101112131415[[#This Row],[Carry-over]]),0),0)</f>
        <v>0</v>
      </c>
      <c r="Q170" s="211">
        <f>IFERROR(IF(Tabelle13245689101112131415[[#This Row],[Status]]=$J$5,0,MIN(Tabelle13245689101112131415[[#This Row],[Jira Story Points]],Tabelle13245689101112131415[[#This Row],[Carry-over]])-Tabelle13245689101112131415[[#This Row],[SP Completed (COS &amp; SOS)]]),0)</f>
        <v>0</v>
      </c>
    </row>
    <row r="171" spans="1:17" ht="13.5" hidden="1" customHeight="1">
      <c r="A171" s="268"/>
      <c r="B171" s="47"/>
      <c r="C171" s="203"/>
      <c r="D171" s="203"/>
      <c r="E171" s="203"/>
      <c r="F171" s="204"/>
      <c r="G171" s="203"/>
      <c r="H171" s="205"/>
      <c r="I171" s="206"/>
      <c r="J171" s="203"/>
      <c r="K171" s="204"/>
      <c r="L171" s="204"/>
      <c r="M171" s="211">
        <f>IF(Tabelle13245689101112131415[[#This Row],[Pulled after Start]]="",MIN(Tabelle13245689101112131415[[#This Row],[Jira Story Points]],Tabelle13245689101112131415[[#This Row],[Carry-over]]),0)</f>
        <v>0</v>
      </c>
      <c r="N171" s="209">
        <f>MIN(Tabelle13245689101112131415[[#This Row],[Jira Story Points]],Tabelle13245689101112131415[[#This Row],[Carry-over]])-Tabelle13245689101112131415[[#This Row],[SP Initially Planned (COS)]]</f>
        <v>0</v>
      </c>
      <c r="O171"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71" s="211">
        <f>IFERROR(IF(Tabelle13245689101112131415[[#This Row],[Status]]=$J$5,MIN(Tabelle13245689101112131415[[#This Row],[Jira Story Points]],Tabelle13245689101112131415[[#This Row],[Carry-over]]),0),0)</f>
        <v>0</v>
      </c>
      <c r="Q171" s="211">
        <f>IFERROR(IF(Tabelle13245689101112131415[[#This Row],[Status]]=$J$5,0,MIN(Tabelle13245689101112131415[[#This Row],[Jira Story Points]],Tabelle13245689101112131415[[#This Row],[Carry-over]])-Tabelle13245689101112131415[[#This Row],[SP Completed (COS &amp; SOS)]]),0)</f>
        <v>0</v>
      </c>
    </row>
    <row r="172" spans="1:17" ht="13.5" hidden="1" customHeight="1">
      <c r="A172" s="268"/>
      <c r="B172" s="47"/>
      <c r="C172" s="203"/>
      <c r="D172" s="203"/>
      <c r="E172" s="203"/>
      <c r="F172" s="204"/>
      <c r="G172" s="203"/>
      <c r="H172" s="205"/>
      <c r="I172" s="206"/>
      <c r="J172" s="203"/>
      <c r="K172" s="204"/>
      <c r="L172" s="204"/>
      <c r="M172" s="211">
        <f>IF(Tabelle13245689101112131415[[#This Row],[Pulled after Start]]="",MIN(Tabelle13245689101112131415[[#This Row],[Jira Story Points]],Tabelle13245689101112131415[[#This Row],[Carry-over]]),0)</f>
        <v>0</v>
      </c>
      <c r="N172" s="209">
        <f>MIN(Tabelle13245689101112131415[[#This Row],[Jira Story Points]],Tabelle13245689101112131415[[#This Row],[Carry-over]])-Tabelle13245689101112131415[[#This Row],[SP Initially Planned (COS)]]</f>
        <v>0</v>
      </c>
      <c r="O172"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72" s="211">
        <f>IFERROR(IF(Tabelle13245689101112131415[[#This Row],[Status]]=$J$5,MIN(Tabelle13245689101112131415[[#This Row],[Jira Story Points]],Tabelle13245689101112131415[[#This Row],[Carry-over]]),0),0)</f>
        <v>0</v>
      </c>
      <c r="Q172" s="211">
        <f>IFERROR(IF(Tabelle13245689101112131415[[#This Row],[Status]]=$J$5,0,MIN(Tabelle13245689101112131415[[#This Row],[Jira Story Points]],Tabelle13245689101112131415[[#This Row],[Carry-over]])-Tabelle13245689101112131415[[#This Row],[SP Completed (COS &amp; SOS)]]),0)</f>
        <v>0</v>
      </c>
    </row>
    <row r="173" spans="1:17" ht="13.5" hidden="1" customHeight="1">
      <c r="A173" s="268"/>
      <c r="B173" s="47"/>
      <c r="C173" s="203"/>
      <c r="D173" s="203"/>
      <c r="E173" s="203"/>
      <c r="F173" s="204"/>
      <c r="G173" s="203"/>
      <c r="H173" s="205"/>
      <c r="I173" s="206"/>
      <c r="J173" s="203"/>
      <c r="K173" s="204"/>
      <c r="L173" s="204"/>
      <c r="M173" s="211">
        <f>IF(Tabelle13245689101112131415[[#This Row],[Pulled after Start]]="",MIN(Tabelle13245689101112131415[[#This Row],[Jira Story Points]],Tabelle13245689101112131415[[#This Row],[Carry-over]]),0)</f>
        <v>0</v>
      </c>
      <c r="N173" s="209">
        <f>MIN(Tabelle13245689101112131415[[#This Row],[Jira Story Points]],Tabelle13245689101112131415[[#This Row],[Carry-over]])-Tabelle13245689101112131415[[#This Row],[SP Initially Planned (COS)]]</f>
        <v>0</v>
      </c>
      <c r="O173"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73" s="211">
        <f>IFERROR(IF(Tabelle13245689101112131415[[#This Row],[Status]]=$J$5,MIN(Tabelle13245689101112131415[[#This Row],[Jira Story Points]],Tabelle13245689101112131415[[#This Row],[Carry-over]]),0),0)</f>
        <v>0</v>
      </c>
      <c r="Q173" s="211">
        <f>IFERROR(IF(Tabelle13245689101112131415[[#This Row],[Status]]=$J$5,0,MIN(Tabelle13245689101112131415[[#This Row],[Jira Story Points]],Tabelle13245689101112131415[[#This Row],[Carry-over]])-Tabelle13245689101112131415[[#This Row],[SP Completed (COS &amp; SOS)]]),0)</f>
        <v>0</v>
      </c>
    </row>
    <row r="174" spans="1:17" ht="13.5" hidden="1" customHeight="1">
      <c r="A174" s="268"/>
      <c r="B174" s="47"/>
      <c r="C174" s="203"/>
      <c r="D174" s="203"/>
      <c r="E174" s="203"/>
      <c r="F174" s="204"/>
      <c r="G174" s="203"/>
      <c r="H174" s="205"/>
      <c r="I174" s="206"/>
      <c r="J174" s="203"/>
      <c r="K174" s="204"/>
      <c r="L174" s="204"/>
      <c r="M174" s="211">
        <f>IF(Tabelle13245689101112131415[[#This Row],[Pulled after Start]]="",MIN(Tabelle13245689101112131415[[#This Row],[Jira Story Points]],Tabelle13245689101112131415[[#This Row],[Carry-over]]),0)</f>
        <v>0</v>
      </c>
      <c r="N174" s="209">
        <f>MIN(Tabelle13245689101112131415[[#This Row],[Jira Story Points]],Tabelle13245689101112131415[[#This Row],[Carry-over]])-Tabelle13245689101112131415[[#This Row],[SP Initially Planned (COS)]]</f>
        <v>0</v>
      </c>
      <c r="O174"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74" s="211">
        <f>IFERROR(IF(Tabelle13245689101112131415[[#This Row],[Status]]=$J$5,MIN(Tabelle13245689101112131415[[#This Row],[Jira Story Points]],Tabelle13245689101112131415[[#This Row],[Carry-over]]),0),0)</f>
        <v>0</v>
      </c>
      <c r="Q174" s="211">
        <f>IFERROR(IF(Tabelle13245689101112131415[[#This Row],[Status]]=$J$5,0,MIN(Tabelle13245689101112131415[[#This Row],[Jira Story Points]],Tabelle13245689101112131415[[#This Row],[Carry-over]])-Tabelle13245689101112131415[[#This Row],[SP Completed (COS &amp; SOS)]]),0)</f>
        <v>0</v>
      </c>
    </row>
    <row r="175" spans="1:17" ht="13.5" hidden="1" customHeight="1">
      <c r="A175" s="268"/>
      <c r="B175" s="47"/>
      <c r="C175" s="203"/>
      <c r="D175" s="203"/>
      <c r="E175" s="203"/>
      <c r="F175" s="204"/>
      <c r="G175" s="203"/>
      <c r="H175" s="205"/>
      <c r="I175" s="206"/>
      <c r="J175" s="203"/>
      <c r="K175" s="204"/>
      <c r="L175" s="204"/>
      <c r="M175" s="211">
        <f>IF(Tabelle13245689101112131415[[#This Row],[Pulled after Start]]="",MIN(Tabelle13245689101112131415[[#This Row],[Jira Story Points]],Tabelle13245689101112131415[[#This Row],[Carry-over]]),0)</f>
        <v>0</v>
      </c>
      <c r="N175" s="209">
        <f>MIN(Tabelle13245689101112131415[[#This Row],[Jira Story Points]],Tabelle13245689101112131415[[#This Row],[Carry-over]])-Tabelle13245689101112131415[[#This Row],[SP Initially Planned (COS)]]</f>
        <v>0</v>
      </c>
      <c r="O175"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75" s="211">
        <f>IFERROR(IF(Tabelle13245689101112131415[[#This Row],[Status]]=$J$5,MIN(Tabelle13245689101112131415[[#This Row],[Jira Story Points]],Tabelle13245689101112131415[[#This Row],[Carry-over]]),0),0)</f>
        <v>0</v>
      </c>
      <c r="Q175" s="211">
        <f>IFERROR(IF(Tabelle13245689101112131415[[#This Row],[Status]]=$J$5,0,MIN(Tabelle13245689101112131415[[#This Row],[Jira Story Points]],Tabelle13245689101112131415[[#This Row],[Carry-over]])-Tabelle13245689101112131415[[#This Row],[SP Completed (COS &amp; SOS)]]),0)</f>
        <v>0</v>
      </c>
    </row>
    <row r="176" spans="1:17" ht="13.5" hidden="1" customHeight="1">
      <c r="A176" s="268"/>
      <c r="B176" s="47"/>
      <c r="C176" s="203"/>
      <c r="D176" s="203"/>
      <c r="E176" s="203"/>
      <c r="F176" s="204"/>
      <c r="G176" s="203"/>
      <c r="H176" s="205"/>
      <c r="I176" s="206"/>
      <c r="J176" s="203"/>
      <c r="K176" s="204"/>
      <c r="L176" s="204"/>
      <c r="M176" s="211">
        <f>IF(Tabelle13245689101112131415[[#This Row],[Pulled after Start]]="",MIN(Tabelle13245689101112131415[[#This Row],[Jira Story Points]],Tabelle13245689101112131415[[#This Row],[Carry-over]]),0)</f>
        <v>0</v>
      </c>
      <c r="N176" s="209">
        <f>MIN(Tabelle13245689101112131415[[#This Row],[Jira Story Points]],Tabelle13245689101112131415[[#This Row],[Carry-over]])-Tabelle13245689101112131415[[#This Row],[SP Initially Planned (COS)]]</f>
        <v>0</v>
      </c>
      <c r="O176"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76" s="211">
        <f>IFERROR(IF(Tabelle13245689101112131415[[#This Row],[Status]]=$J$5,MIN(Tabelle13245689101112131415[[#This Row],[Jira Story Points]],Tabelle13245689101112131415[[#This Row],[Carry-over]]),0),0)</f>
        <v>0</v>
      </c>
      <c r="Q176" s="211">
        <f>IFERROR(IF(Tabelle13245689101112131415[[#This Row],[Status]]=$J$5,0,MIN(Tabelle13245689101112131415[[#This Row],[Jira Story Points]],Tabelle13245689101112131415[[#This Row],[Carry-over]])-Tabelle13245689101112131415[[#This Row],[SP Completed (COS &amp; SOS)]]),0)</f>
        <v>0</v>
      </c>
    </row>
    <row r="177" spans="1:17" ht="13.5" hidden="1" customHeight="1">
      <c r="A177" s="268"/>
      <c r="B177" s="47"/>
      <c r="C177" s="203"/>
      <c r="D177" s="203"/>
      <c r="E177" s="203"/>
      <c r="F177" s="204"/>
      <c r="G177" s="203"/>
      <c r="H177" s="205"/>
      <c r="I177" s="206"/>
      <c r="J177" s="203"/>
      <c r="K177" s="204"/>
      <c r="L177" s="204"/>
      <c r="M177" s="211">
        <f>IF(Tabelle13245689101112131415[[#This Row],[Pulled after Start]]="",MIN(Tabelle13245689101112131415[[#This Row],[Jira Story Points]],Tabelle13245689101112131415[[#This Row],[Carry-over]]),0)</f>
        <v>0</v>
      </c>
      <c r="N177" s="209">
        <f>MIN(Tabelle13245689101112131415[[#This Row],[Jira Story Points]],Tabelle13245689101112131415[[#This Row],[Carry-over]])-Tabelle13245689101112131415[[#This Row],[SP Initially Planned (COS)]]</f>
        <v>0</v>
      </c>
      <c r="O177"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77" s="211">
        <f>IFERROR(IF(Tabelle13245689101112131415[[#This Row],[Status]]=$J$5,MIN(Tabelle13245689101112131415[[#This Row],[Jira Story Points]],Tabelle13245689101112131415[[#This Row],[Carry-over]]),0),0)</f>
        <v>0</v>
      </c>
      <c r="Q177" s="211">
        <f>IFERROR(IF(Tabelle13245689101112131415[[#This Row],[Status]]=$J$5,0,MIN(Tabelle13245689101112131415[[#This Row],[Jira Story Points]],Tabelle13245689101112131415[[#This Row],[Carry-over]])-Tabelle13245689101112131415[[#This Row],[SP Completed (COS &amp; SOS)]]),0)</f>
        <v>0</v>
      </c>
    </row>
    <row r="178" spans="1:17" ht="13.5" hidden="1" customHeight="1">
      <c r="A178" s="268"/>
      <c r="B178" s="47"/>
      <c r="C178" s="203"/>
      <c r="D178" s="203"/>
      <c r="E178" s="203"/>
      <c r="F178" s="204"/>
      <c r="G178" s="203"/>
      <c r="H178" s="205"/>
      <c r="I178" s="206"/>
      <c r="J178" s="203"/>
      <c r="K178" s="204"/>
      <c r="L178" s="204"/>
      <c r="M178" s="211">
        <f>IF(Tabelle13245689101112131415[[#This Row],[Pulled after Start]]="",MIN(Tabelle13245689101112131415[[#This Row],[Jira Story Points]],Tabelle13245689101112131415[[#This Row],[Carry-over]]),0)</f>
        <v>0</v>
      </c>
      <c r="N178" s="209">
        <f>MIN(Tabelle13245689101112131415[[#This Row],[Jira Story Points]],Tabelle13245689101112131415[[#This Row],[Carry-over]])-Tabelle13245689101112131415[[#This Row],[SP Initially Planned (COS)]]</f>
        <v>0</v>
      </c>
      <c r="O178"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78" s="211">
        <f>IFERROR(IF(Tabelle13245689101112131415[[#This Row],[Status]]=$J$5,MIN(Tabelle13245689101112131415[[#This Row],[Jira Story Points]],Tabelle13245689101112131415[[#This Row],[Carry-over]]),0),0)</f>
        <v>0</v>
      </c>
      <c r="Q178" s="211">
        <f>IFERROR(IF(Tabelle13245689101112131415[[#This Row],[Status]]=$J$5,0,MIN(Tabelle13245689101112131415[[#This Row],[Jira Story Points]],Tabelle13245689101112131415[[#This Row],[Carry-over]])-Tabelle13245689101112131415[[#This Row],[SP Completed (COS &amp; SOS)]]),0)</f>
        <v>0</v>
      </c>
    </row>
    <row r="179" spans="1:17" ht="13.5" hidden="1" customHeight="1">
      <c r="A179" s="268"/>
      <c r="B179" s="47"/>
      <c r="C179" s="203"/>
      <c r="D179" s="203"/>
      <c r="E179" s="203"/>
      <c r="F179" s="204"/>
      <c r="G179" s="203"/>
      <c r="H179" s="205"/>
      <c r="I179" s="206"/>
      <c r="J179" s="203"/>
      <c r="K179" s="204"/>
      <c r="L179" s="204"/>
      <c r="M179" s="211">
        <f>IF(Tabelle13245689101112131415[[#This Row],[Pulled after Start]]="",MIN(Tabelle13245689101112131415[[#This Row],[Jira Story Points]],Tabelle13245689101112131415[[#This Row],[Carry-over]]),0)</f>
        <v>0</v>
      </c>
      <c r="N179" s="209">
        <f>MIN(Tabelle13245689101112131415[[#This Row],[Jira Story Points]],Tabelle13245689101112131415[[#This Row],[Carry-over]])-Tabelle13245689101112131415[[#This Row],[SP Initially Planned (COS)]]</f>
        <v>0</v>
      </c>
      <c r="O179"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79" s="211">
        <f>IFERROR(IF(Tabelle13245689101112131415[[#This Row],[Status]]=$J$5,MIN(Tabelle13245689101112131415[[#This Row],[Jira Story Points]],Tabelle13245689101112131415[[#This Row],[Carry-over]]),0),0)</f>
        <v>0</v>
      </c>
      <c r="Q179" s="211">
        <f>IFERROR(IF(Tabelle13245689101112131415[[#This Row],[Status]]=$J$5,0,MIN(Tabelle13245689101112131415[[#This Row],[Jira Story Points]],Tabelle13245689101112131415[[#This Row],[Carry-over]])-Tabelle13245689101112131415[[#This Row],[SP Completed (COS &amp; SOS)]]),0)</f>
        <v>0</v>
      </c>
    </row>
    <row r="180" spans="1:17" ht="13.5" hidden="1" customHeight="1">
      <c r="A180" s="268"/>
      <c r="B180" s="47"/>
      <c r="C180" s="203"/>
      <c r="D180" s="203"/>
      <c r="E180" s="203"/>
      <c r="F180" s="204"/>
      <c r="G180" s="203"/>
      <c r="H180" s="205"/>
      <c r="I180" s="206"/>
      <c r="J180" s="203"/>
      <c r="K180" s="204"/>
      <c r="L180" s="204"/>
      <c r="M180" s="211">
        <f>IF(Tabelle13245689101112131415[[#This Row],[Pulled after Start]]="",MIN(Tabelle13245689101112131415[[#This Row],[Jira Story Points]],Tabelle13245689101112131415[[#This Row],[Carry-over]]),0)</f>
        <v>0</v>
      </c>
      <c r="N180" s="209">
        <f>MIN(Tabelle13245689101112131415[[#This Row],[Jira Story Points]],Tabelle13245689101112131415[[#This Row],[Carry-over]])-Tabelle13245689101112131415[[#This Row],[SP Initially Planned (COS)]]</f>
        <v>0</v>
      </c>
      <c r="O180"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80" s="211">
        <f>IFERROR(IF(Tabelle13245689101112131415[[#This Row],[Status]]=$J$5,MIN(Tabelle13245689101112131415[[#This Row],[Jira Story Points]],Tabelle13245689101112131415[[#This Row],[Carry-over]]),0),0)</f>
        <v>0</v>
      </c>
      <c r="Q180" s="211">
        <f>IFERROR(IF(Tabelle13245689101112131415[[#This Row],[Status]]=$J$5,0,MIN(Tabelle13245689101112131415[[#This Row],[Jira Story Points]],Tabelle13245689101112131415[[#This Row],[Carry-over]])-Tabelle13245689101112131415[[#This Row],[SP Completed (COS &amp; SOS)]]),0)</f>
        <v>0</v>
      </c>
    </row>
    <row r="181" spans="1:17" ht="13.5" hidden="1" customHeight="1">
      <c r="A181" s="268"/>
      <c r="B181" s="47"/>
      <c r="C181" s="203"/>
      <c r="D181" s="203"/>
      <c r="E181" s="203"/>
      <c r="F181" s="204"/>
      <c r="G181" s="203"/>
      <c r="H181" s="205"/>
      <c r="I181" s="206"/>
      <c r="J181" s="203"/>
      <c r="K181" s="204"/>
      <c r="L181" s="204"/>
      <c r="M181" s="211">
        <f>IF(Tabelle13245689101112131415[[#This Row],[Pulled after Start]]="",MIN(Tabelle13245689101112131415[[#This Row],[Jira Story Points]],Tabelle13245689101112131415[[#This Row],[Carry-over]]),0)</f>
        <v>0</v>
      </c>
      <c r="N181" s="209">
        <f>MIN(Tabelle13245689101112131415[[#This Row],[Jira Story Points]],Tabelle13245689101112131415[[#This Row],[Carry-over]])-Tabelle13245689101112131415[[#This Row],[SP Initially Planned (COS)]]</f>
        <v>0</v>
      </c>
      <c r="O181"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81" s="211">
        <f>IFERROR(IF(Tabelle13245689101112131415[[#This Row],[Status]]=$J$5,MIN(Tabelle13245689101112131415[[#This Row],[Jira Story Points]],Tabelle13245689101112131415[[#This Row],[Carry-over]]),0),0)</f>
        <v>0</v>
      </c>
      <c r="Q181" s="211">
        <f>IFERROR(IF(Tabelle13245689101112131415[[#This Row],[Status]]=$J$5,0,MIN(Tabelle13245689101112131415[[#This Row],[Jira Story Points]],Tabelle13245689101112131415[[#This Row],[Carry-over]])-Tabelle13245689101112131415[[#This Row],[SP Completed (COS &amp; SOS)]]),0)</f>
        <v>0</v>
      </c>
    </row>
    <row r="182" spans="1:17" ht="13.5" hidden="1" customHeight="1">
      <c r="A182" s="268"/>
      <c r="B182" s="47"/>
      <c r="C182" s="203"/>
      <c r="D182" s="203"/>
      <c r="E182" s="203"/>
      <c r="F182" s="204"/>
      <c r="G182" s="203"/>
      <c r="H182" s="205"/>
      <c r="I182" s="206"/>
      <c r="J182" s="203"/>
      <c r="K182" s="204"/>
      <c r="L182" s="204"/>
      <c r="M182" s="211">
        <f>IF(Tabelle13245689101112131415[[#This Row],[Pulled after Start]]="",MIN(Tabelle13245689101112131415[[#This Row],[Jira Story Points]],Tabelle13245689101112131415[[#This Row],[Carry-over]]),0)</f>
        <v>0</v>
      </c>
      <c r="N182" s="209">
        <f>MIN(Tabelle13245689101112131415[[#This Row],[Jira Story Points]],Tabelle13245689101112131415[[#This Row],[Carry-over]])-Tabelle13245689101112131415[[#This Row],[SP Initially Planned (COS)]]</f>
        <v>0</v>
      </c>
      <c r="O182"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82" s="211">
        <f>IFERROR(IF(Tabelle13245689101112131415[[#This Row],[Status]]=$J$5,MIN(Tabelle13245689101112131415[[#This Row],[Jira Story Points]],Tabelle13245689101112131415[[#This Row],[Carry-over]]),0),0)</f>
        <v>0</v>
      </c>
      <c r="Q182" s="211">
        <f>IFERROR(IF(Tabelle13245689101112131415[[#This Row],[Status]]=$J$5,0,MIN(Tabelle13245689101112131415[[#This Row],[Jira Story Points]],Tabelle13245689101112131415[[#This Row],[Carry-over]])-Tabelle13245689101112131415[[#This Row],[SP Completed (COS &amp; SOS)]]),0)</f>
        <v>0</v>
      </c>
    </row>
    <row r="183" spans="1:17" ht="13.5" hidden="1" customHeight="1">
      <c r="A183" s="268"/>
      <c r="B183" s="47"/>
      <c r="C183" s="203"/>
      <c r="D183" s="203"/>
      <c r="E183" s="203"/>
      <c r="F183" s="204"/>
      <c r="G183" s="203"/>
      <c r="H183" s="205"/>
      <c r="I183" s="206"/>
      <c r="J183" s="203"/>
      <c r="K183" s="204"/>
      <c r="L183" s="204"/>
      <c r="M183" s="211">
        <f>IF(Tabelle13245689101112131415[[#This Row],[Pulled after Start]]="",MIN(Tabelle13245689101112131415[[#This Row],[Jira Story Points]],Tabelle13245689101112131415[[#This Row],[Carry-over]]),0)</f>
        <v>0</v>
      </c>
      <c r="N183" s="209">
        <f>MIN(Tabelle13245689101112131415[[#This Row],[Jira Story Points]],Tabelle13245689101112131415[[#This Row],[Carry-over]])-Tabelle13245689101112131415[[#This Row],[SP Initially Planned (COS)]]</f>
        <v>0</v>
      </c>
      <c r="O183"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83" s="211">
        <f>IFERROR(IF(Tabelle13245689101112131415[[#This Row],[Status]]=$J$5,MIN(Tabelle13245689101112131415[[#This Row],[Jira Story Points]],Tabelle13245689101112131415[[#This Row],[Carry-over]]),0),0)</f>
        <v>0</v>
      </c>
      <c r="Q183" s="211">
        <f>IFERROR(IF(Tabelle13245689101112131415[[#This Row],[Status]]=$J$5,0,MIN(Tabelle13245689101112131415[[#This Row],[Jira Story Points]],Tabelle13245689101112131415[[#This Row],[Carry-over]])-Tabelle13245689101112131415[[#This Row],[SP Completed (COS &amp; SOS)]]),0)</f>
        <v>0</v>
      </c>
    </row>
    <row r="184" spans="1:17" ht="13.5" hidden="1" customHeight="1">
      <c r="A184" s="268"/>
      <c r="B184" s="47"/>
      <c r="C184" s="203"/>
      <c r="D184" s="203"/>
      <c r="E184" s="203"/>
      <c r="F184" s="204"/>
      <c r="G184" s="203"/>
      <c r="H184" s="205"/>
      <c r="I184" s="206"/>
      <c r="J184" s="203"/>
      <c r="K184" s="204"/>
      <c r="L184" s="204"/>
      <c r="M184" s="211">
        <f>IF(Tabelle13245689101112131415[[#This Row],[Pulled after Start]]="",MIN(Tabelle13245689101112131415[[#This Row],[Jira Story Points]],Tabelle13245689101112131415[[#This Row],[Carry-over]]),0)</f>
        <v>0</v>
      </c>
      <c r="N184" s="209">
        <f>MIN(Tabelle13245689101112131415[[#This Row],[Jira Story Points]],Tabelle13245689101112131415[[#This Row],[Carry-over]])-Tabelle13245689101112131415[[#This Row],[SP Initially Planned (COS)]]</f>
        <v>0</v>
      </c>
      <c r="O184"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84" s="211">
        <f>IFERROR(IF(Tabelle13245689101112131415[[#This Row],[Status]]=$J$5,MIN(Tabelle13245689101112131415[[#This Row],[Jira Story Points]],Tabelle13245689101112131415[[#This Row],[Carry-over]]),0),0)</f>
        <v>0</v>
      </c>
      <c r="Q184" s="211">
        <f>IFERROR(IF(Tabelle13245689101112131415[[#This Row],[Status]]=$J$5,0,MIN(Tabelle13245689101112131415[[#This Row],[Jira Story Points]],Tabelle13245689101112131415[[#This Row],[Carry-over]])-Tabelle13245689101112131415[[#This Row],[SP Completed (COS &amp; SOS)]]),0)</f>
        <v>0</v>
      </c>
    </row>
    <row r="185" spans="1:17" ht="13.5" hidden="1" customHeight="1">
      <c r="A185" s="268"/>
      <c r="B185" s="47"/>
      <c r="C185" s="203"/>
      <c r="D185" s="203"/>
      <c r="E185" s="203"/>
      <c r="F185" s="204"/>
      <c r="G185" s="203"/>
      <c r="H185" s="205"/>
      <c r="I185" s="206"/>
      <c r="J185" s="203"/>
      <c r="K185" s="204"/>
      <c r="L185" s="204"/>
      <c r="M185" s="211">
        <f>IF(Tabelle13245689101112131415[[#This Row],[Pulled after Start]]="",MIN(Tabelle13245689101112131415[[#This Row],[Jira Story Points]],Tabelle13245689101112131415[[#This Row],[Carry-over]]),0)</f>
        <v>0</v>
      </c>
      <c r="N185" s="209">
        <f>MIN(Tabelle13245689101112131415[[#This Row],[Jira Story Points]],Tabelle13245689101112131415[[#This Row],[Carry-over]])-Tabelle13245689101112131415[[#This Row],[SP Initially Planned (COS)]]</f>
        <v>0</v>
      </c>
      <c r="O185"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85" s="211">
        <f>IFERROR(IF(Tabelle13245689101112131415[[#This Row],[Status]]=$J$5,MIN(Tabelle13245689101112131415[[#This Row],[Jira Story Points]],Tabelle13245689101112131415[[#This Row],[Carry-over]]),0),0)</f>
        <v>0</v>
      </c>
      <c r="Q185" s="211">
        <f>IFERROR(IF(Tabelle13245689101112131415[[#This Row],[Status]]=$J$5,0,MIN(Tabelle13245689101112131415[[#This Row],[Jira Story Points]],Tabelle13245689101112131415[[#This Row],[Carry-over]])-Tabelle13245689101112131415[[#This Row],[SP Completed (COS &amp; SOS)]]),0)</f>
        <v>0</v>
      </c>
    </row>
    <row r="186" spans="1:17" ht="13.5" hidden="1" customHeight="1">
      <c r="A186" s="268"/>
      <c r="B186" s="47"/>
      <c r="C186" s="203"/>
      <c r="D186" s="203"/>
      <c r="E186" s="203"/>
      <c r="F186" s="204"/>
      <c r="G186" s="203"/>
      <c r="H186" s="205"/>
      <c r="I186" s="206"/>
      <c r="J186" s="203"/>
      <c r="K186" s="204"/>
      <c r="L186" s="204"/>
      <c r="M186" s="211">
        <f>IF(Tabelle13245689101112131415[[#This Row],[Pulled after Start]]="",MIN(Tabelle13245689101112131415[[#This Row],[Jira Story Points]],Tabelle13245689101112131415[[#This Row],[Carry-over]]),0)</f>
        <v>0</v>
      </c>
      <c r="N186" s="209">
        <f>MIN(Tabelle13245689101112131415[[#This Row],[Jira Story Points]],Tabelle13245689101112131415[[#This Row],[Carry-over]])-Tabelle13245689101112131415[[#This Row],[SP Initially Planned (COS)]]</f>
        <v>0</v>
      </c>
      <c r="O186"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86" s="211">
        <f>IFERROR(IF(Tabelle13245689101112131415[[#This Row],[Status]]=$J$5,MIN(Tabelle13245689101112131415[[#This Row],[Jira Story Points]],Tabelle13245689101112131415[[#This Row],[Carry-over]]),0),0)</f>
        <v>0</v>
      </c>
      <c r="Q186" s="211">
        <f>IFERROR(IF(Tabelle13245689101112131415[[#This Row],[Status]]=$J$5,0,MIN(Tabelle13245689101112131415[[#This Row],[Jira Story Points]],Tabelle13245689101112131415[[#This Row],[Carry-over]])-Tabelle13245689101112131415[[#This Row],[SP Completed (COS &amp; SOS)]]),0)</f>
        <v>0</v>
      </c>
    </row>
    <row r="187" spans="1:17" ht="13.5" hidden="1" customHeight="1">
      <c r="A187" s="214"/>
      <c r="B187" s="47"/>
      <c r="C187" s="203"/>
      <c r="D187" s="203"/>
      <c r="E187" s="203"/>
      <c r="F187" s="204"/>
      <c r="G187" s="203"/>
      <c r="H187" s="205"/>
      <c r="I187" s="206"/>
      <c r="J187" s="203"/>
      <c r="K187" s="204"/>
      <c r="L187" s="204"/>
      <c r="M187" s="208">
        <f>IF(Tabelle13245689101112131415[[#This Row],[Pulled after Start]]="",MIN(Tabelle13245689101112131415[[#This Row],[Jira Story Points]],Tabelle13245689101112131415[[#This Row],[Carry-over]]),0)</f>
        <v>0</v>
      </c>
      <c r="N187" s="209">
        <f>MIN(Tabelle13245689101112131415[[#This Row],[Jira Story Points]],Tabelle13245689101112131415[[#This Row],[Carry-over]])-Tabelle13245689101112131415[[#This Row],[SP Initially Planned (COS)]]</f>
        <v>0</v>
      </c>
      <c r="O187"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87" s="211">
        <f>IFERROR(IF(Tabelle13245689101112131415[[#This Row],[Status]]=$J$5,MIN(Tabelle13245689101112131415[[#This Row],[Jira Story Points]],Tabelle13245689101112131415[[#This Row],[Carry-over]]),0),0)</f>
        <v>0</v>
      </c>
      <c r="Q187" s="211">
        <f>IFERROR(IF(Tabelle13245689101112131415[[#This Row],[Status]]=$J$5,0,MIN(Tabelle13245689101112131415[[#This Row],[Jira Story Points]],Tabelle13245689101112131415[[#This Row],[Carry-over]])-Tabelle13245689101112131415[[#This Row],[SP Completed (COS &amp; SOS)]]),0)</f>
        <v>0</v>
      </c>
    </row>
    <row r="188" spans="1:17" ht="13.5" hidden="1" customHeight="1">
      <c r="A188" s="214"/>
      <c r="B188" s="47"/>
      <c r="C188" s="203"/>
      <c r="D188" s="203"/>
      <c r="E188" s="203"/>
      <c r="F188" s="204"/>
      <c r="G188" s="203"/>
      <c r="H188" s="205"/>
      <c r="I188" s="206"/>
      <c r="J188" s="203"/>
      <c r="K188" s="204"/>
      <c r="L188" s="204"/>
      <c r="M188" s="208">
        <f>IF(Tabelle13245689101112131415[[#This Row],[Pulled after Start]]="",MIN(Tabelle13245689101112131415[[#This Row],[Jira Story Points]],Tabelle13245689101112131415[[#This Row],[Carry-over]]),0)</f>
        <v>0</v>
      </c>
      <c r="N188" s="209">
        <f>MIN(Tabelle13245689101112131415[[#This Row],[Jira Story Points]],Tabelle13245689101112131415[[#This Row],[Carry-over]])-Tabelle13245689101112131415[[#This Row],[SP Initially Planned (COS)]]</f>
        <v>0</v>
      </c>
      <c r="O188"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88" s="211">
        <f>IFERROR(IF(Tabelle13245689101112131415[[#This Row],[Status]]=$J$5,MIN(Tabelle13245689101112131415[[#This Row],[Jira Story Points]],Tabelle13245689101112131415[[#This Row],[Carry-over]]),0),0)</f>
        <v>0</v>
      </c>
      <c r="Q188" s="211">
        <f>IFERROR(IF(Tabelle13245689101112131415[[#This Row],[Status]]=$J$5,0,MIN(Tabelle13245689101112131415[[#This Row],[Jira Story Points]],Tabelle13245689101112131415[[#This Row],[Carry-over]])-Tabelle13245689101112131415[[#This Row],[SP Completed (COS &amp; SOS)]]),0)</f>
        <v>0</v>
      </c>
    </row>
    <row r="189" spans="1:17" ht="13.5" hidden="1" customHeight="1">
      <c r="A189" s="214"/>
      <c r="B189" s="47"/>
      <c r="C189" s="203"/>
      <c r="D189" s="203"/>
      <c r="E189" s="203"/>
      <c r="F189" s="204"/>
      <c r="G189" s="203"/>
      <c r="H189" s="205"/>
      <c r="I189" s="206"/>
      <c r="J189" s="203"/>
      <c r="K189" s="204"/>
      <c r="L189" s="204"/>
      <c r="M189" s="208">
        <f>IF(Tabelle13245689101112131415[[#This Row],[Pulled after Start]]="",MIN(Tabelle13245689101112131415[[#This Row],[Jira Story Points]],Tabelle13245689101112131415[[#This Row],[Carry-over]]),0)</f>
        <v>0</v>
      </c>
      <c r="N189" s="209">
        <f>MIN(Tabelle13245689101112131415[[#This Row],[Jira Story Points]],Tabelle13245689101112131415[[#This Row],[Carry-over]])-Tabelle13245689101112131415[[#This Row],[SP Initially Planned (COS)]]</f>
        <v>0</v>
      </c>
      <c r="O189"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89" s="211">
        <f>IFERROR(IF(Tabelle13245689101112131415[[#This Row],[Status]]=$J$5,MIN(Tabelle13245689101112131415[[#This Row],[Jira Story Points]],Tabelle13245689101112131415[[#This Row],[Carry-over]]),0),0)</f>
        <v>0</v>
      </c>
      <c r="Q189" s="211">
        <f>IFERROR(IF(Tabelle13245689101112131415[[#This Row],[Status]]=$J$5,0,MIN(Tabelle13245689101112131415[[#This Row],[Jira Story Points]],Tabelle13245689101112131415[[#This Row],[Carry-over]])-Tabelle13245689101112131415[[#This Row],[SP Completed (COS &amp; SOS)]]),0)</f>
        <v>0</v>
      </c>
    </row>
    <row r="190" spans="1:17" ht="13.5" hidden="1" customHeight="1">
      <c r="A190" s="214"/>
      <c r="B190" s="47"/>
      <c r="C190" s="203"/>
      <c r="D190" s="203"/>
      <c r="E190" s="203"/>
      <c r="F190" s="204"/>
      <c r="G190" s="203"/>
      <c r="H190" s="205"/>
      <c r="I190" s="206"/>
      <c r="J190" s="203"/>
      <c r="K190" s="204"/>
      <c r="L190" s="204"/>
      <c r="M190" s="208">
        <f>IF(Tabelle13245689101112131415[[#This Row],[Pulled after Start]]="",MIN(Tabelle13245689101112131415[[#This Row],[Jira Story Points]],Tabelle13245689101112131415[[#This Row],[Carry-over]]),0)</f>
        <v>0</v>
      </c>
      <c r="N190" s="209">
        <f>MIN(Tabelle13245689101112131415[[#This Row],[Jira Story Points]],Tabelle13245689101112131415[[#This Row],[Carry-over]])-Tabelle13245689101112131415[[#This Row],[SP Initially Planned (COS)]]</f>
        <v>0</v>
      </c>
      <c r="O190"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90" s="211">
        <f>IFERROR(IF(Tabelle13245689101112131415[[#This Row],[Status]]=$J$5,MIN(Tabelle13245689101112131415[[#This Row],[Jira Story Points]],Tabelle13245689101112131415[[#This Row],[Carry-over]]),0),0)</f>
        <v>0</v>
      </c>
      <c r="Q190" s="211">
        <f>IFERROR(IF(Tabelle13245689101112131415[[#This Row],[Status]]=$J$5,0,MIN(Tabelle13245689101112131415[[#This Row],[Jira Story Points]],Tabelle13245689101112131415[[#This Row],[Carry-over]])-Tabelle13245689101112131415[[#This Row],[SP Completed (COS &amp; SOS)]]),0)</f>
        <v>0</v>
      </c>
    </row>
    <row r="191" spans="1:17" ht="13.5" hidden="1" customHeight="1">
      <c r="A191" s="214"/>
      <c r="B191" s="47"/>
      <c r="C191" s="203"/>
      <c r="D191" s="203"/>
      <c r="E191" s="203"/>
      <c r="F191" s="204"/>
      <c r="G191" s="203"/>
      <c r="H191" s="205"/>
      <c r="I191" s="206"/>
      <c r="J191" s="203"/>
      <c r="K191" s="204"/>
      <c r="L191" s="204"/>
      <c r="M191" s="208">
        <f>IF(Tabelle13245689101112131415[[#This Row],[Pulled after Start]]="",MIN(Tabelle13245689101112131415[[#This Row],[Jira Story Points]],Tabelle13245689101112131415[[#This Row],[Carry-over]]),0)</f>
        <v>0</v>
      </c>
      <c r="N191" s="209">
        <f>MIN(Tabelle13245689101112131415[[#This Row],[Jira Story Points]],Tabelle13245689101112131415[[#This Row],[Carry-over]])-Tabelle13245689101112131415[[#This Row],[SP Initially Planned (COS)]]</f>
        <v>0</v>
      </c>
      <c r="O191"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91" s="211">
        <f>IFERROR(IF(Tabelle13245689101112131415[[#This Row],[Status]]=$J$5,MIN(Tabelle13245689101112131415[[#This Row],[Jira Story Points]],Tabelle13245689101112131415[[#This Row],[Carry-over]]),0),0)</f>
        <v>0</v>
      </c>
      <c r="Q191" s="211">
        <f>IFERROR(IF(Tabelle13245689101112131415[[#This Row],[Status]]=$J$5,0,MIN(Tabelle13245689101112131415[[#This Row],[Jira Story Points]],Tabelle13245689101112131415[[#This Row],[Carry-over]])-Tabelle13245689101112131415[[#This Row],[SP Completed (COS &amp; SOS)]]),0)</f>
        <v>0</v>
      </c>
    </row>
    <row r="192" spans="1:17" ht="13.5" hidden="1" customHeight="1">
      <c r="A192" s="214"/>
      <c r="B192" s="47"/>
      <c r="C192" s="203"/>
      <c r="D192" s="203"/>
      <c r="E192" s="203"/>
      <c r="F192" s="204"/>
      <c r="G192" s="203"/>
      <c r="H192" s="205"/>
      <c r="I192" s="206"/>
      <c r="J192" s="203"/>
      <c r="K192" s="204"/>
      <c r="L192" s="204"/>
      <c r="M192" s="208">
        <f>IF(Tabelle13245689101112131415[[#This Row],[Pulled after Start]]="",MIN(Tabelle13245689101112131415[[#This Row],[Jira Story Points]],Tabelle13245689101112131415[[#This Row],[Carry-over]]),0)</f>
        <v>0</v>
      </c>
      <c r="N192" s="209">
        <f>MIN(Tabelle13245689101112131415[[#This Row],[Jira Story Points]],Tabelle13245689101112131415[[#This Row],[Carry-over]])-Tabelle13245689101112131415[[#This Row],[SP Initially Planned (COS)]]</f>
        <v>0</v>
      </c>
      <c r="O192"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92" s="211">
        <f>IFERROR(IF(Tabelle13245689101112131415[[#This Row],[Status]]=$J$5,MIN(Tabelle13245689101112131415[[#This Row],[Jira Story Points]],Tabelle13245689101112131415[[#This Row],[Carry-over]]),0),0)</f>
        <v>0</v>
      </c>
      <c r="Q192" s="211">
        <f>IFERROR(IF(Tabelle13245689101112131415[[#This Row],[Status]]=$J$5,0,MIN(Tabelle13245689101112131415[[#This Row],[Jira Story Points]],Tabelle13245689101112131415[[#This Row],[Carry-over]])-Tabelle13245689101112131415[[#This Row],[SP Completed (COS &amp; SOS)]]),0)</f>
        <v>0</v>
      </c>
    </row>
    <row r="193" spans="1:17" ht="13.5" hidden="1" customHeight="1">
      <c r="A193" s="214"/>
      <c r="B193" s="47"/>
      <c r="C193" s="203"/>
      <c r="D193" s="203"/>
      <c r="E193" s="203"/>
      <c r="F193" s="204"/>
      <c r="G193" s="203"/>
      <c r="H193" s="205"/>
      <c r="I193" s="206"/>
      <c r="J193" s="203"/>
      <c r="K193" s="204"/>
      <c r="L193" s="204"/>
      <c r="M193" s="208">
        <f>IF(Tabelle13245689101112131415[[#This Row],[Pulled after Start]]="",MIN(Tabelle13245689101112131415[[#This Row],[Jira Story Points]],Tabelle13245689101112131415[[#This Row],[Carry-over]]),0)</f>
        <v>0</v>
      </c>
      <c r="N193" s="209">
        <f>MIN(Tabelle13245689101112131415[[#This Row],[Jira Story Points]],Tabelle13245689101112131415[[#This Row],[Carry-over]])-Tabelle13245689101112131415[[#This Row],[SP Initially Planned (COS)]]</f>
        <v>0</v>
      </c>
      <c r="O193"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93" s="211">
        <f>IFERROR(IF(Tabelle13245689101112131415[[#This Row],[Status]]=$J$5,MIN(Tabelle13245689101112131415[[#This Row],[Jira Story Points]],Tabelle13245689101112131415[[#This Row],[Carry-over]]),0),0)</f>
        <v>0</v>
      </c>
      <c r="Q193" s="211">
        <f>IFERROR(IF(Tabelle13245689101112131415[[#This Row],[Status]]=$J$5,0,MIN(Tabelle13245689101112131415[[#This Row],[Jira Story Points]],Tabelle13245689101112131415[[#This Row],[Carry-over]])-Tabelle13245689101112131415[[#This Row],[SP Completed (COS &amp; SOS)]]),0)</f>
        <v>0</v>
      </c>
    </row>
    <row r="194" spans="1:17" ht="13.5" hidden="1" customHeight="1">
      <c r="A194" s="214"/>
      <c r="B194" s="47"/>
      <c r="C194" s="203"/>
      <c r="D194" s="203"/>
      <c r="E194" s="203"/>
      <c r="F194" s="204"/>
      <c r="G194" s="203"/>
      <c r="H194" s="205"/>
      <c r="I194" s="206"/>
      <c r="J194" s="203"/>
      <c r="K194" s="204"/>
      <c r="L194" s="204"/>
      <c r="M194" s="208">
        <f>IF(Tabelle13245689101112131415[[#This Row],[Pulled after Start]]="",MIN(Tabelle13245689101112131415[[#This Row],[Jira Story Points]],Tabelle13245689101112131415[[#This Row],[Carry-over]]),0)</f>
        <v>0</v>
      </c>
      <c r="N194" s="209">
        <f>MIN(Tabelle13245689101112131415[[#This Row],[Jira Story Points]],Tabelle13245689101112131415[[#This Row],[Carry-over]])-Tabelle13245689101112131415[[#This Row],[SP Initially Planned (COS)]]</f>
        <v>0</v>
      </c>
      <c r="O194"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94" s="211">
        <f>IFERROR(IF(Tabelle13245689101112131415[[#This Row],[Status]]=$J$5,MIN(Tabelle13245689101112131415[[#This Row],[Jira Story Points]],Tabelle13245689101112131415[[#This Row],[Carry-over]]),0),0)</f>
        <v>0</v>
      </c>
      <c r="Q194" s="211">
        <f>IFERROR(IF(Tabelle13245689101112131415[[#This Row],[Status]]=$J$5,0,MIN(Tabelle13245689101112131415[[#This Row],[Jira Story Points]],Tabelle13245689101112131415[[#This Row],[Carry-over]])-Tabelle13245689101112131415[[#This Row],[SP Completed (COS &amp; SOS)]]),0)</f>
        <v>0</v>
      </c>
    </row>
    <row r="195" spans="1:17" ht="13.5" hidden="1" customHeight="1">
      <c r="A195" s="214"/>
      <c r="B195" s="47"/>
      <c r="C195" s="203"/>
      <c r="D195" s="203"/>
      <c r="E195" s="203"/>
      <c r="F195" s="204"/>
      <c r="G195" s="203"/>
      <c r="H195" s="205"/>
      <c r="I195" s="206"/>
      <c r="J195" s="203"/>
      <c r="K195" s="204"/>
      <c r="L195" s="204"/>
      <c r="M195" s="208">
        <f>IF(Tabelle13245689101112131415[[#This Row],[Pulled after Start]]="",MIN(Tabelle13245689101112131415[[#This Row],[Jira Story Points]],Tabelle13245689101112131415[[#This Row],[Carry-over]]),0)</f>
        <v>0</v>
      </c>
      <c r="N195" s="209">
        <f>MIN(Tabelle13245689101112131415[[#This Row],[Jira Story Points]],Tabelle13245689101112131415[[#This Row],[Carry-over]])-Tabelle13245689101112131415[[#This Row],[SP Initially Planned (COS)]]</f>
        <v>0</v>
      </c>
      <c r="O195"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95" s="211">
        <f>IFERROR(IF(Tabelle13245689101112131415[[#This Row],[Status]]=$J$5,MIN(Tabelle13245689101112131415[[#This Row],[Jira Story Points]],Tabelle13245689101112131415[[#This Row],[Carry-over]]),0),0)</f>
        <v>0</v>
      </c>
      <c r="Q195" s="211">
        <f>IFERROR(IF(Tabelle13245689101112131415[[#This Row],[Status]]=$J$5,0,MIN(Tabelle13245689101112131415[[#This Row],[Jira Story Points]],Tabelle13245689101112131415[[#This Row],[Carry-over]])-Tabelle13245689101112131415[[#This Row],[SP Completed (COS &amp; SOS)]]),0)</f>
        <v>0</v>
      </c>
    </row>
    <row r="196" spans="1:17" ht="13.5" hidden="1" customHeight="1">
      <c r="A196" s="214"/>
      <c r="B196" s="47"/>
      <c r="C196" s="203"/>
      <c r="D196" s="203"/>
      <c r="E196" s="203"/>
      <c r="F196" s="204"/>
      <c r="G196" s="203"/>
      <c r="H196" s="205"/>
      <c r="I196" s="206"/>
      <c r="J196" s="203"/>
      <c r="K196" s="204"/>
      <c r="L196" s="204"/>
      <c r="M196" s="208">
        <f>IF(Tabelle13245689101112131415[[#This Row],[Pulled after Start]]="",MIN(Tabelle13245689101112131415[[#This Row],[Jira Story Points]],Tabelle13245689101112131415[[#This Row],[Carry-over]]),0)</f>
        <v>0</v>
      </c>
      <c r="N196" s="209">
        <f>MIN(Tabelle13245689101112131415[[#This Row],[Jira Story Points]],Tabelle13245689101112131415[[#This Row],[Carry-over]])-Tabelle13245689101112131415[[#This Row],[SP Initially Planned (COS)]]</f>
        <v>0</v>
      </c>
      <c r="O196"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96" s="211">
        <f>IFERROR(IF(Tabelle13245689101112131415[[#This Row],[Status]]=$J$5,MIN(Tabelle13245689101112131415[[#This Row],[Jira Story Points]],Tabelle13245689101112131415[[#This Row],[Carry-over]]),0),0)</f>
        <v>0</v>
      </c>
      <c r="Q196" s="211">
        <f>IFERROR(IF(Tabelle13245689101112131415[[#This Row],[Status]]=$J$5,0,MIN(Tabelle13245689101112131415[[#This Row],[Jira Story Points]],Tabelle13245689101112131415[[#This Row],[Carry-over]])-Tabelle13245689101112131415[[#This Row],[SP Completed (COS &amp; SOS)]]),0)</f>
        <v>0</v>
      </c>
    </row>
    <row r="197" spans="1:17" ht="13.5" hidden="1" customHeight="1">
      <c r="A197" s="214"/>
      <c r="B197" s="47"/>
      <c r="C197" s="203"/>
      <c r="D197" s="203"/>
      <c r="E197" s="203"/>
      <c r="F197" s="204"/>
      <c r="G197" s="203"/>
      <c r="H197" s="205"/>
      <c r="I197" s="206"/>
      <c r="J197" s="203"/>
      <c r="K197" s="204"/>
      <c r="L197" s="204"/>
      <c r="M197" s="208">
        <f>IF(Tabelle13245689101112131415[[#This Row],[Pulled after Start]]="",MIN(Tabelle13245689101112131415[[#This Row],[Jira Story Points]],Tabelle13245689101112131415[[#This Row],[Carry-over]]),0)</f>
        <v>0</v>
      </c>
      <c r="N197" s="209">
        <f>MIN(Tabelle13245689101112131415[[#This Row],[Jira Story Points]],Tabelle13245689101112131415[[#This Row],[Carry-over]])-Tabelle13245689101112131415[[#This Row],[SP Initially Planned (COS)]]</f>
        <v>0</v>
      </c>
      <c r="O197"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97" s="211">
        <f>IFERROR(IF(Tabelle13245689101112131415[[#This Row],[Status]]=$J$5,MIN(Tabelle13245689101112131415[[#This Row],[Jira Story Points]],Tabelle13245689101112131415[[#This Row],[Carry-over]]),0),0)</f>
        <v>0</v>
      </c>
      <c r="Q197" s="211">
        <f>IFERROR(IF(Tabelle13245689101112131415[[#This Row],[Status]]=$J$5,0,MIN(Tabelle13245689101112131415[[#This Row],[Jira Story Points]],Tabelle13245689101112131415[[#This Row],[Carry-over]])-Tabelle13245689101112131415[[#This Row],[SP Completed (COS &amp; SOS)]]),0)</f>
        <v>0</v>
      </c>
    </row>
    <row r="198" spans="1:17" ht="13.5" hidden="1" customHeight="1">
      <c r="A198" s="214"/>
      <c r="B198" s="47"/>
      <c r="C198" s="203"/>
      <c r="D198" s="203"/>
      <c r="E198" s="203"/>
      <c r="F198" s="204"/>
      <c r="G198" s="203"/>
      <c r="H198" s="205"/>
      <c r="I198" s="206"/>
      <c r="J198" s="203"/>
      <c r="K198" s="204"/>
      <c r="L198" s="204"/>
      <c r="M198" s="208">
        <f>IF(Tabelle13245689101112131415[[#This Row],[Pulled after Start]]="",MIN(Tabelle13245689101112131415[[#This Row],[Jira Story Points]],Tabelle13245689101112131415[[#This Row],[Carry-over]]),0)</f>
        <v>0</v>
      </c>
      <c r="N198" s="209">
        <f>MIN(Tabelle13245689101112131415[[#This Row],[Jira Story Points]],Tabelle13245689101112131415[[#This Row],[Carry-over]])-Tabelle13245689101112131415[[#This Row],[SP Initially Planned (COS)]]</f>
        <v>0</v>
      </c>
      <c r="O198"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98" s="211">
        <f>IFERROR(IF(Tabelle13245689101112131415[[#This Row],[Status]]=$J$5,MIN(Tabelle13245689101112131415[[#This Row],[Jira Story Points]],Tabelle13245689101112131415[[#This Row],[Carry-over]]),0),0)</f>
        <v>0</v>
      </c>
      <c r="Q198" s="211">
        <f>IFERROR(IF(Tabelle13245689101112131415[[#This Row],[Status]]=$J$5,0,MIN(Tabelle13245689101112131415[[#This Row],[Jira Story Points]],Tabelle13245689101112131415[[#This Row],[Carry-over]])-Tabelle13245689101112131415[[#This Row],[SP Completed (COS &amp; SOS)]]),0)</f>
        <v>0</v>
      </c>
    </row>
    <row r="199" spans="1:17" ht="13.5" hidden="1" customHeight="1">
      <c r="A199" s="214"/>
      <c r="B199" s="47"/>
      <c r="C199" s="203"/>
      <c r="D199" s="203"/>
      <c r="E199" s="203"/>
      <c r="F199" s="204"/>
      <c r="G199" s="203"/>
      <c r="H199" s="205"/>
      <c r="I199" s="206"/>
      <c r="J199" s="203"/>
      <c r="K199" s="204"/>
      <c r="L199" s="204"/>
      <c r="M199" s="208">
        <f>IF(Tabelle13245689101112131415[[#This Row],[Pulled after Start]]="",MIN(Tabelle13245689101112131415[[#This Row],[Jira Story Points]],Tabelle13245689101112131415[[#This Row],[Carry-over]]),0)</f>
        <v>0</v>
      </c>
      <c r="N199" s="209">
        <f>MIN(Tabelle13245689101112131415[[#This Row],[Jira Story Points]],Tabelle13245689101112131415[[#This Row],[Carry-over]])-Tabelle13245689101112131415[[#This Row],[SP Initially Planned (COS)]]</f>
        <v>0</v>
      </c>
      <c r="O199"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199" s="211">
        <f>IFERROR(IF(Tabelle13245689101112131415[[#This Row],[Status]]=$J$5,MIN(Tabelle13245689101112131415[[#This Row],[Jira Story Points]],Tabelle13245689101112131415[[#This Row],[Carry-over]]),0),0)</f>
        <v>0</v>
      </c>
      <c r="Q199" s="211">
        <f>IFERROR(IF(Tabelle13245689101112131415[[#This Row],[Status]]=$J$5,0,MIN(Tabelle13245689101112131415[[#This Row],[Jira Story Points]],Tabelle13245689101112131415[[#This Row],[Carry-over]])-Tabelle13245689101112131415[[#This Row],[SP Completed (COS &amp; SOS)]]),0)</f>
        <v>0</v>
      </c>
    </row>
    <row r="200" spans="1:17" ht="13.5" hidden="1" customHeight="1">
      <c r="A200" s="214"/>
      <c r="B200" s="47"/>
      <c r="C200" s="203"/>
      <c r="D200" s="203"/>
      <c r="E200" s="203"/>
      <c r="F200" s="204"/>
      <c r="G200" s="203"/>
      <c r="H200" s="205"/>
      <c r="I200" s="206"/>
      <c r="J200" s="203"/>
      <c r="K200" s="204"/>
      <c r="L200" s="204"/>
      <c r="M200" s="208">
        <f>IF(Tabelle13245689101112131415[[#This Row],[Pulled after Start]]="",MIN(Tabelle13245689101112131415[[#This Row],[Jira Story Points]],Tabelle13245689101112131415[[#This Row],[Carry-over]]),0)</f>
        <v>0</v>
      </c>
      <c r="N200" s="209">
        <f>MIN(Tabelle13245689101112131415[[#This Row],[Jira Story Points]],Tabelle13245689101112131415[[#This Row],[Carry-over]])-Tabelle13245689101112131415[[#This Row],[SP Initially Planned (COS)]]</f>
        <v>0</v>
      </c>
      <c r="O200"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200" s="211">
        <f>IFERROR(IF(Tabelle13245689101112131415[[#This Row],[Status]]=$J$5,MIN(Tabelle13245689101112131415[[#This Row],[Jira Story Points]],Tabelle13245689101112131415[[#This Row],[Carry-over]]),0),0)</f>
        <v>0</v>
      </c>
      <c r="Q200" s="211">
        <f>IFERROR(IF(Tabelle13245689101112131415[[#This Row],[Status]]=$J$5,0,MIN(Tabelle13245689101112131415[[#This Row],[Jira Story Points]],Tabelle13245689101112131415[[#This Row],[Carry-over]])-Tabelle13245689101112131415[[#This Row],[SP Completed (COS &amp; SOS)]]),0)</f>
        <v>0</v>
      </c>
    </row>
    <row r="201" spans="1:17" ht="13.5" hidden="1" customHeight="1">
      <c r="A201" s="214"/>
      <c r="B201" s="47"/>
      <c r="C201" s="203"/>
      <c r="D201" s="203"/>
      <c r="E201" s="203"/>
      <c r="F201" s="204"/>
      <c r="G201" s="203"/>
      <c r="H201" s="205"/>
      <c r="I201" s="206"/>
      <c r="J201" s="203"/>
      <c r="K201" s="204"/>
      <c r="L201" s="204"/>
      <c r="M201" s="208">
        <f>IF(Tabelle13245689101112131415[[#This Row],[Pulled after Start]]="",MIN(Tabelle13245689101112131415[[#This Row],[Jira Story Points]],Tabelle13245689101112131415[[#This Row],[Carry-over]]),0)</f>
        <v>0</v>
      </c>
      <c r="N201" s="209">
        <f>MIN(Tabelle13245689101112131415[[#This Row],[Jira Story Points]],Tabelle13245689101112131415[[#This Row],[Carry-over]])-Tabelle13245689101112131415[[#This Row],[SP Initially Planned (COS)]]</f>
        <v>0</v>
      </c>
      <c r="O201"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201" s="211">
        <f>IFERROR(IF(Tabelle13245689101112131415[[#This Row],[Status]]=$J$5,MIN(Tabelle13245689101112131415[[#This Row],[Jira Story Points]],Tabelle13245689101112131415[[#This Row],[Carry-over]]),0),0)</f>
        <v>0</v>
      </c>
      <c r="Q201" s="211">
        <f>IFERROR(IF(Tabelle13245689101112131415[[#This Row],[Status]]=$J$5,0,MIN(Tabelle13245689101112131415[[#This Row],[Jira Story Points]],Tabelle13245689101112131415[[#This Row],[Carry-over]])-Tabelle13245689101112131415[[#This Row],[SP Completed (COS &amp; SOS)]]),0)</f>
        <v>0</v>
      </c>
    </row>
    <row r="202" spans="1:17" ht="13.5" hidden="1" customHeight="1">
      <c r="A202" s="214"/>
      <c r="B202" s="47"/>
      <c r="C202" s="203"/>
      <c r="D202" s="203"/>
      <c r="E202" s="203"/>
      <c r="F202" s="204"/>
      <c r="G202" s="203"/>
      <c r="H202" s="205"/>
      <c r="I202" s="206"/>
      <c r="J202" s="203"/>
      <c r="K202" s="204"/>
      <c r="L202" s="204"/>
      <c r="M202" s="208">
        <f>IF(Tabelle13245689101112131415[[#This Row],[Pulled after Start]]="",MIN(Tabelle13245689101112131415[[#This Row],[Jira Story Points]],Tabelle13245689101112131415[[#This Row],[Carry-over]]),0)</f>
        <v>0</v>
      </c>
      <c r="N202" s="209">
        <f>MIN(Tabelle13245689101112131415[[#This Row],[Jira Story Points]],Tabelle13245689101112131415[[#This Row],[Carry-over]])-Tabelle13245689101112131415[[#This Row],[SP Initially Planned (COS)]]</f>
        <v>0</v>
      </c>
      <c r="O202"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202" s="211">
        <f>IFERROR(IF(Tabelle13245689101112131415[[#This Row],[Status]]=$J$5,MIN(Tabelle13245689101112131415[[#This Row],[Jira Story Points]],Tabelle13245689101112131415[[#This Row],[Carry-over]]),0),0)</f>
        <v>0</v>
      </c>
      <c r="Q202" s="211">
        <f>IFERROR(IF(Tabelle13245689101112131415[[#This Row],[Status]]=$J$5,0,MIN(Tabelle13245689101112131415[[#This Row],[Jira Story Points]],Tabelle13245689101112131415[[#This Row],[Carry-over]])-Tabelle13245689101112131415[[#This Row],[SP Completed (COS &amp; SOS)]]),0)</f>
        <v>0</v>
      </c>
    </row>
    <row r="203" spans="1:17" ht="13.5" hidden="1" customHeight="1">
      <c r="A203" s="214"/>
      <c r="B203" s="47"/>
      <c r="C203" s="203"/>
      <c r="D203" s="203"/>
      <c r="E203" s="203"/>
      <c r="F203" s="204"/>
      <c r="G203" s="203"/>
      <c r="H203" s="205"/>
      <c r="I203" s="206"/>
      <c r="J203" s="203"/>
      <c r="K203" s="204"/>
      <c r="L203" s="204"/>
      <c r="M203" s="208">
        <f>IF(Tabelle13245689101112131415[[#This Row],[Pulled after Start]]="",MIN(Tabelle13245689101112131415[[#This Row],[Jira Story Points]],Tabelle13245689101112131415[[#This Row],[Carry-over]]),0)</f>
        <v>0</v>
      </c>
      <c r="N203" s="209">
        <f>MIN(Tabelle13245689101112131415[[#This Row],[Jira Story Points]],Tabelle13245689101112131415[[#This Row],[Carry-over]])-Tabelle13245689101112131415[[#This Row],[SP Initially Planned (COS)]]</f>
        <v>0</v>
      </c>
      <c r="O203" s="210">
        <f>IFERROR(IF(OR(Tabelle13245689101112131415[[#This Row],[Status]]=$J$5,ISBLANK(Tabelle13245689101112131415[[#This Row],[Status]])),0,IF(AND(Tabelle13245689101112131415[[#This Row],[Status]]=$I$5,ISBLANK(Tabelle13245689101112131415[[#This Row],[Spill-over]])),0,IF(NOT(ISBLANK(Tabelle13245689101112131415[[#This Row],[Carry-over]])),Tabelle13245689101112131415[[#This Row],[Carry-over]]-Tabelle13245689101112131415[[#This Row],[Spill-over]],Tabelle13245689101112131415[[#This Row],[Jira Story Points]]-Tabelle13245689101112131415[[#This Row],[Spill-over]]))),"-")</f>
        <v>0</v>
      </c>
      <c r="P203" s="211">
        <f>IFERROR(IF(Tabelle13245689101112131415[[#This Row],[Status]]=$J$5,MIN(Tabelle13245689101112131415[[#This Row],[Jira Story Points]],Tabelle13245689101112131415[[#This Row],[Carry-over]]),0),0)</f>
        <v>0</v>
      </c>
      <c r="Q203" s="211">
        <f>IFERROR(IF(Tabelle13245689101112131415[[#This Row],[Status]]=$J$5,0,MIN(Tabelle13245689101112131415[[#This Row],[Jira Story Points]],Tabelle13245689101112131415[[#This Row],[Carry-over]])-Tabelle13245689101112131415[[#This Row],[SP Completed (COS &amp; SOS)]]),0)</f>
        <v>0</v>
      </c>
    </row>
    <row r="215" spans="12:12" ht="13.5" customHeight="1">
      <c r="L215" s="253"/>
    </row>
  </sheetData>
  <mergeCells count="12">
    <mergeCell ref="B6:B15"/>
    <mergeCell ref="N22:O22"/>
    <mergeCell ref="C1:J1"/>
    <mergeCell ref="H3:J3"/>
    <mergeCell ref="D4:E4"/>
    <mergeCell ref="F4:K4"/>
    <mergeCell ref="M4:R4"/>
    <mergeCell ref="D22:E22"/>
    <mergeCell ref="F22:G22"/>
    <mergeCell ref="H22:I22"/>
    <mergeCell ref="J22:K22"/>
    <mergeCell ref="L22:M22"/>
  </mergeCells>
  <dataValidations disablePrompts="1" count="4">
    <dataValidation type="list" allowBlank="1" showErrorMessage="1" sqref="J32:J203" xr:uid="{55C81858-E6C7-484E-A23A-9AD536A223C1}">
      <formula1>$H$5:$J$5</formula1>
    </dataValidation>
    <dataValidation type="list" allowBlank="1" showErrorMessage="1" sqref="G69:G79 G32:G56" xr:uid="{C75CFEC4-C068-4689-80CF-1B3D70E1F0B3}">
      <formula1>$C$6:$C$15</formula1>
    </dataValidation>
    <dataValidation allowBlank="1" showInputMessage="1" showErrorMessage="1" sqref="K34:K40 M34:N38 L39:N39 L41:L44 M40:N203" xr:uid="{AC9D2E53-E38A-41D9-A280-308C2892A300}"/>
    <dataValidation type="list" allowBlank="1" showErrorMessage="1" sqref="H99:H103 H91:H92 H66:H89 H59 H32:H57" xr:uid="{5E653E37-99E2-4DDD-AC87-761FEC643CFA}">
      <formula1>"yes"</formula1>
    </dataValidation>
  </dataValidations>
  <hyperlinks>
    <hyperlink ref="A45" r:id="rId1" display="[ANP-26869] Analysis of ANP-26718: [1] Main Driver: Conduction of RCA for &quot;no printer&quot; - Jira" xr:uid="{B1AFFF27-67D2-442B-9820-82281975EA68}"/>
    <hyperlink ref="A47" r:id="rId2" display="[ANP-25421] EFT - Foreign cards transactions (Carrefour France, Ukraine) were not successful according to cash register, but charged to customer - Jira" xr:uid="{409E4B15-6B95-4FA8-887D-DBF092CE1581}"/>
    <hyperlink ref="A48" r:id="rId3" display="[ANP-25572] Display Separate Receipt Total and Cashback Amount in Switzerland at Monolane and Multilane Till - Jira" xr:uid="{646FFD2E-BA5C-43D4-BBAE-C8B512A285BA}"/>
    <hyperlink ref="A49" r:id="rId4" display="[ANP-23958] [IT Ejournal] Error during Ejournal entry creation with EPSON Fiscal Printer - Jira" xr:uid="{66B2F761-3D02-48F8-A796-85A380C7456E}"/>
    <hyperlink ref="A50" r:id="rId5" display="[ANP-26614] Analysis of ANP-25550: [CHOP] 90+CODE does not print printer and terminal information - Jira" xr:uid="{7CAB404F-E714-4072-B3A5-C5971059A9D0}"/>
    <hyperlink ref="A51" r:id="rId6" display="[ANP-26615] Analysis of ANP-25417: when multilane till is restarted during unfinished sales of 2 customers, only 1 cancelled sale receipt appears in db instead of two - Jira" xr:uid="{067E90B8-B904-40BA-AA2D-0EA238CDCF05}"/>
    <hyperlink ref="A52" r:id="rId7" display="[ANP-25550] [CHOP] 90+CODE does not print printer and terminal information - Jira" xr:uid="{D17B6543-AB98-4C17-85AA-C23EB53FCC9B}"/>
    <hyperlink ref="A46" r:id="rId8" display="https://aldi-sued.atlassian.net/browse/ANP-27068" xr:uid="{1E5638DD-72B7-4820-9086-C6D0017347B5}"/>
    <hyperlink ref="A55" r:id="rId9" display="https://aldi-sued.atlassian.net/browse/ANP-26617" xr:uid="{1ED3E293-8F2C-40AE-9AAD-B80E63112BE4}"/>
    <hyperlink ref="A53" r:id="rId10" display="[ANP-26616] Analysis of ANP-25064: Store- credit card payments against signature, the merchant receipt will no longer be printed- EM: no - Jira" xr:uid="{7804F771-D67E-46CD-B9CD-20FA691FB4B6}"/>
    <hyperlink ref="A54" r:id="rId11" display="[ANP-26974] test maturity assessment - Jira" xr:uid="{694FA685-C9DC-45AA-BEB5-02CAFE84264F}"/>
    <hyperlink ref="A56" r:id="rId12" display="[ANP-27095] attend meeting regarding ANP-24559 &quot;HU: NEWPOSS Middleware solution for Hungary / Testing Efforts for Payment (2025_PI2)&quot; - Jira" xr:uid="{36E8D3C9-6B5E-4878-8D1E-B47C35D60D54}"/>
    <hyperlink ref="A57" r:id="rId13" display="https://aldi-sued.atlassian.net/browse/ANP-27103" xr:uid="{2C59F57D-5858-4D83-A175-30CDE6334975}"/>
    <hyperlink ref="B57" r:id="rId14" display="https://aldi-sued.atlassian.net/browse/ANP-27103" xr:uid="{25BC521B-9CA7-4D3D-BD0A-F082493A4B84}"/>
    <hyperlink ref="G57" r:id="rId15" display="https://aldi-sued.atlassian.net/issues/?jql=cf%5B12600%5D%20%3D%20%22Checkout_Base%22" xr:uid="{F8074C98-4B51-4343-B2F8-25FCA498E9A8}"/>
    <hyperlink ref="A58" r:id="rId16" display="https://aldi-sued.atlassian.net/browse/ANP-26747" xr:uid="{C2B90EBC-A9EA-4755-8B7C-A3E89EE67CAC}"/>
    <hyperlink ref="B58" r:id="rId17" display="https://aldi-sued.atlassian.net/browse/ANP-26747" xr:uid="{EF597B9D-1A10-4ADE-A321-500C56BE7FDD}"/>
    <hyperlink ref="A59" r:id="rId18" display="https://aldi-sued.atlassian.net/browse/ANP-27109" xr:uid="{91EAC035-BBCD-4881-8848-5036A61663ED}"/>
    <hyperlink ref="B59" r:id="rId19" display="https://aldi-sued.atlassian.net/browse/ANP-27109" xr:uid="{2E23E4C2-865E-40BC-874B-1B10F3C7AC5A}"/>
    <hyperlink ref="A60" r:id="rId20" display="https://aldi-sued.atlassian.net/browse/ANP-26387" xr:uid="{C7C8BDD3-06EE-472E-9FD3-778605B206F9}"/>
    <hyperlink ref="B60" r:id="rId21" display="https://aldi-sued.atlassian.net/browse/ANP-26387" xr:uid="{4839B2F1-D285-4694-874F-299FFD2EAB9B}"/>
    <hyperlink ref="A61" r:id="rId22" display="https://aldi-sued.atlassian.net/browse/ANP-26752" xr:uid="{E8410F40-5B48-456C-885F-EBEE3918D811}"/>
    <hyperlink ref="B61" r:id="rId23" display="https://aldi-sued.atlassian.net/browse/ANP-26752" xr:uid="{C76984DB-523C-47F0-A17C-301F8B48EB8E}"/>
    <hyperlink ref="A62" r:id="rId24" display="https://aldi-sued.atlassian.net/browse/ANP-26377" xr:uid="{C10F0E5C-4112-4D9F-8210-054E663DD02B}"/>
    <hyperlink ref="B62" r:id="rId25" display="https://aldi-sued.atlassian.net/browse/ANP-26377" xr:uid="{7EE4E1BD-54A3-4EFE-AFB9-7081F17F6442}"/>
    <hyperlink ref="A63" r:id="rId26" display="https://aldi-sued.atlassian.net/browse/ANP-26665" xr:uid="{A80DADD7-443D-4B2B-8772-575D13BF7C62}"/>
    <hyperlink ref="B63" r:id="rId27" display="https://aldi-sued.atlassian.net/browse/ANP-26665" xr:uid="{5FB6480C-02B1-4858-B783-C88BF3FD9E65}"/>
    <hyperlink ref="A64" r:id="rId28" display="https://aldi-sued.atlassian.net/browse/ANP-26340" xr:uid="{322FA75A-6AE7-448D-BC69-FCC48484DA0C}"/>
    <hyperlink ref="B64" r:id="rId29" display="https://aldi-sued.atlassian.net/browse/ANP-26340" xr:uid="{53BB435C-41E1-48E2-974E-78ED4A778738}"/>
    <hyperlink ref="A65" r:id="rId30" display="https://aldi-sued.atlassian.net/browse/ANP-12281" xr:uid="{17F9A8B6-92EF-4F52-B4CA-459B2C60758E}"/>
    <hyperlink ref="B65" r:id="rId31" display="https://aldi-sued.atlassian.net/browse/ANP-12281" xr:uid="{5914F3A9-1E59-4B33-9627-03E83A9C7B27}"/>
    <hyperlink ref="A66" r:id="rId32" display="https://aldi-sued.atlassian.net/browse/ANP-27089" xr:uid="{20585680-B4F7-40FB-BDCF-F3992425D03D}"/>
    <hyperlink ref="B66" r:id="rId33" display="https://aldi-sued.atlassian.net/browse/ANP-27089" xr:uid="{1E531A63-413F-47D2-9664-AE53DF3EFF35}"/>
    <hyperlink ref="A67" r:id="rId34" display="https://aldi-sued.atlassian.net/browse/ANP-26977" xr:uid="{A6034402-92A9-45D0-9DD9-6930048D5A55}"/>
    <hyperlink ref="B67" r:id="rId35" display="https://aldi-sued.atlassian.net/browse/ANP-26977" xr:uid="{0E9220D9-4EE9-4C5D-A827-BC3D586A0B96}"/>
    <hyperlink ref="A68" r:id="rId36" display="https://aldi-sued.atlassian.net/browse/ANP-27058" xr:uid="{5DF9FAC0-5CC3-4A89-B248-45EB6D024E99}"/>
    <hyperlink ref="B68" r:id="rId37" display="https://aldi-sued.atlassian.net/browse/ANP-27058" xr:uid="{595AF520-FE16-4B21-835D-295BFD6C4A12}"/>
    <hyperlink ref="G58:G68" r:id="rId38" display="https://aldi-sued.atlassian.net/issues/?jql=cf%5B12600%5D%20%3D%20%22Checkout_Base%22" xr:uid="{81D206F4-719A-40C9-B6B0-06F2974E6967}"/>
    <hyperlink ref="A69" r:id="rId39" xr:uid="{C752C2C5-67FC-4E60-BB73-17BB256AF2DF}"/>
    <hyperlink ref="A91" r:id="rId40" xr:uid="{E69CA5CC-8968-4AF0-A3E7-802DA03C1666}"/>
    <hyperlink ref="B91" r:id="rId41" xr:uid="{7629772A-490E-4F67-8B43-EEC557C002F2}"/>
    <hyperlink ref="A92" r:id="rId42" xr:uid="{58B25B21-20B7-480E-AD68-4CA8F2EA5B25}"/>
    <hyperlink ref="B92" r:id="rId43" xr:uid="{B6440018-3770-4F6D-80D2-3105AF7603D5}"/>
    <hyperlink ref="A93" r:id="rId44" xr:uid="{608E205C-4FFE-43A7-AF4D-10DED750DF34}"/>
    <hyperlink ref="B93" r:id="rId45" xr:uid="{A31CB6A1-6D37-4FF1-9E34-2304F4A827A6}"/>
    <hyperlink ref="A94" r:id="rId46" xr:uid="{9545E8C0-B269-4603-A63C-904E1AA12DC8}"/>
    <hyperlink ref="B94" r:id="rId47" xr:uid="{65422D9C-4EFC-42C4-9962-15E795878CED}"/>
    <hyperlink ref="A95" r:id="rId48" xr:uid="{2AD510C8-C237-464D-82AA-F066C111EB49}"/>
    <hyperlink ref="B95" r:id="rId49" xr:uid="{2A00624B-49CA-41AE-BA15-4E81C6E22745}"/>
    <hyperlink ref="A96" r:id="rId50" xr:uid="{BFF07E43-ACCE-48C1-BA66-97B8A4156F5B}"/>
    <hyperlink ref="B96" r:id="rId51" xr:uid="{0C3F8D8F-DC84-4C75-BD2D-E1C7F8CF08DB}"/>
    <hyperlink ref="A97" r:id="rId52" xr:uid="{CB0C4654-9659-4FF9-8207-231B21977E9C}"/>
    <hyperlink ref="B97" r:id="rId53" xr:uid="{3D0CB621-25D3-4345-B356-66A6FBBAF783}"/>
    <hyperlink ref="A98" r:id="rId54" xr:uid="{48DEF92C-269E-425A-8175-554B0B4EADD8}"/>
    <hyperlink ref="B98" r:id="rId55" xr:uid="{274BB3AF-133D-4641-A5FB-8A90F583ABC2}"/>
    <hyperlink ref="A124" r:id="rId56" xr:uid="{E5E18197-3C1B-44D9-9C02-BEED6DFD125F}"/>
    <hyperlink ref="A150" r:id="rId57" xr:uid="{E2B81F29-29F4-4CDA-A504-1938E0F55781}"/>
    <hyperlink ref="A151" r:id="rId58" xr:uid="{88BC7C2D-8D07-43A0-95B4-386E13C44068}"/>
    <hyperlink ref="A136" r:id="rId59" xr:uid="{25FDA254-86BE-4999-A962-3BE2021939B3}"/>
    <hyperlink ref="A137" r:id="rId60" xr:uid="{A80E39AB-5F73-4590-8840-6741A07F2A41}"/>
    <hyperlink ref="A138" r:id="rId61" xr:uid="{F2C36171-5462-4473-95CE-C20644E92061}"/>
    <hyperlink ref="A139" r:id="rId62" xr:uid="{B87766C7-22A9-4EFA-8C89-E2832A1BAE78}"/>
    <hyperlink ref="A140" r:id="rId63" xr:uid="{AC109605-A521-48ED-9D38-94A3D067BC71}"/>
    <hyperlink ref="A141" r:id="rId64" xr:uid="{1E7CC4D6-ED10-4FBE-822F-FA48B3A0FACF}"/>
    <hyperlink ref="A142" r:id="rId65" xr:uid="{77E84A29-91FF-44DA-98AF-2F62A1E15AB7}"/>
    <hyperlink ref="A143" r:id="rId66" xr:uid="{7DC1D604-6787-4B71-9650-327B6E3A72BB}"/>
    <hyperlink ref="A144" r:id="rId67" xr:uid="{BD724A53-3BDC-452B-B7B3-AB06D693E700}"/>
    <hyperlink ref="A145" r:id="rId68" xr:uid="{653DF481-33DC-4866-880C-7F8120E41BB0}"/>
    <hyperlink ref="A146" r:id="rId69" xr:uid="{792FB042-8D04-44FA-862C-FEAEB6276A97}"/>
    <hyperlink ref="A147" r:id="rId70" xr:uid="{E4638EB4-9256-4FC3-8075-05E0749008DE}"/>
    <hyperlink ref="A148" r:id="rId71" xr:uid="{6D68D5A3-89CD-4EA8-A228-F1F91963E1C5}"/>
    <hyperlink ref="A149" r:id="rId72" xr:uid="{07189793-2C38-4B40-A79E-E4E3F29F45A0}"/>
    <hyperlink ref="A153" r:id="rId73" xr:uid="{AF91FF7E-2130-44BC-BE0A-7A2D89E3975E}"/>
    <hyperlink ref="A154" r:id="rId74" xr:uid="{4500CB60-BA9A-4AEA-870B-91DA0BAB381A}"/>
    <hyperlink ref="A155" r:id="rId75" xr:uid="{14A34ED0-3411-4C8E-A741-E4AFA5CAB022}"/>
    <hyperlink ref="A156" r:id="rId76" xr:uid="{FFA94F4E-7772-4B25-99F3-2BDC5FA06648}"/>
    <hyperlink ref="A152" r:id="rId77" xr:uid="{F5AF8A0F-9598-4C6F-8AEA-CA45C3D16535}"/>
    <hyperlink ref="A157" r:id="rId78" xr:uid="{C02E688E-5CE9-44FE-927D-E9BFAB961C11}"/>
  </hyperlinks>
  <pageMargins left="0.23622047244094491" right="0.23622047244094491" top="0.35433070866141736" bottom="0.35433070866141736" header="0" footer="0"/>
  <pageSetup paperSize="9" scale="88" fitToHeight="0" orientation="landscape"/>
  <headerFooter>
    <oddFooter>&amp;CS. &amp;P / &amp;N</oddFooter>
  </headerFooter>
  <tableParts count="1">
    <tablePart r:id="rId7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c193cfb-2228-493f-a305-7c1f126705b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E4B09FD39731546B03EC43C0654CF94" ma:contentTypeVersion="11" ma:contentTypeDescription="Ein neues Dokument erstellen." ma:contentTypeScope="" ma:versionID="dd8c37e0c1177cb48a8e35970e556ba5">
  <xsd:schema xmlns:xsd="http://www.w3.org/2001/XMLSchema" xmlns:xs="http://www.w3.org/2001/XMLSchema" xmlns:p="http://schemas.microsoft.com/office/2006/metadata/properties" xmlns:ns2="8c193cfb-2228-493f-a305-7c1f126705bb" targetNamespace="http://schemas.microsoft.com/office/2006/metadata/properties" ma:root="true" ma:fieldsID="2391be1a622d6c43cd9499127baf7665" ns2:_="">
    <xsd:import namespace="8c193cfb-2228-493f-a305-7c1f126705b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193cfb-2228-493f-a305-7c1f126705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3ebdf076-b869-4fc8-8e4d-af9ecb5d9c2b"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3D5742-7AC4-4AE5-964A-0C906C28553A}">
  <ds:schemaRefs>
    <ds:schemaRef ds:uri="8c193cfb-2228-493f-a305-7c1f126705bb"/>
    <ds:schemaRef ds:uri="http://schemas.microsoft.com/office/2006/documentManagement/types"/>
    <ds:schemaRef ds:uri="http://purl.org/dc/elements/1.1/"/>
    <ds:schemaRef ds:uri="http://purl.org/dc/term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1442DD05-8ED9-4614-95C1-407F047DF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193cfb-2228-493f-a305-7c1f126705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050C6E-4A9A-4E12-8AC6-3968382805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20</vt:i4>
      </vt:variant>
    </vt:vector>
  </HeadingPairs>
  <TitlesOfParts>
    <vt:vector size="20" baseType="lpstr">
      <vt:lpstr>Diagramme PAY@MCO (FTE)</vt:lpstr>
      <vt:lpstr>Diagramme PAY@MCO</vt:lpstr>
      <vt:lpstr>KPIs HIL</vt:lpstr>
      <vt:lpstr>KPIs IDL</vt:lpstr>
      <vt:lpstr>Sprint_TEST</vt:lpstr>
      <vt:lpstr>Sprint_3_1u2</vt:lpstr>
      <vt:lpstr>Sprint_2_5u6</vt:lpstr>
      <vt:lpstr>Sprint_2_3u4</vt:lpstr>
      <vt:lpstr>Sprint_2_2</vt:lpstr>
      <vt:lpstr>Sprint_2_1</vt:lpstr>
      <vt:lpstr>Sprint_1_6</vt:lpstr>
      <vt:lpstr>Sprint_1_5</vt:lpstr>
      <vt:lpstr>Sprint_1_4</vt:lpstr>
      <vt:lpstr>Sprint_1_3</vt:lpstr>
      <vt:lpstr>Sprint_1_2</vt:lpstr>
      <vt:lpstr>Sprint_1_1</vt:lpstr>
      <vt:lpstr>Sprint_4_8</vt:lpstr>
      <vt:lpstr>Sprint_4_6</vt:lpstr>
      <vt:lpstr>Sprint_4_5</vt:lpstr>
      <vt:lpstr>Sprint_4_4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Carsten Plath</dc:creator>
  <cp:keywords/>
  <dc:description/>
  <cp:lastModifiedBy>Philipp Wagner</cp:lastModifiedBy>
  <cp:revision/>
  <dcterms:created xsi:type="dcterms:W3CDTF">2024-09-27T12:49:53Z</dcterms:created>
  <dcterms:modified xsi:type="dcterms:W3CDTF">2025-08-06T08:25:26Z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0x0101003E4B09FD39731546B03EC43C0654CF94</vt:lpwstr>
  </property>
  <property fmtid="{D5CDD505-2E9C-101B-9397-08002B2CF9AE}" pid="3" name="MediaServiceImageTags">
    <vt:lpwstr/>
  </property>
</Properties>
</file>